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ft12909696-my.sharepoint.com/personal/ariel_miller_clearwatercky_com/Documents/Nebo Water District/Response to RFI1/"/>
    </mc:Choice>
  </mc:AlternateContent>
  <xr:revisionPtr revIDLastSave="683" documentId="8_{F20429B6-B55F-49CF-B83F-B2EC50C978E8}" xr6:coauthVersionLast="47" xr6:coauthVersionMax="47" xr10:uidLastSave="{BF69E0B3-F6A6-41ED-8A6E-42E4AF1D51A7}"/>
  <bookViews>
    <workbookView xWindow="38280" yWindow="-120" windowWidth="29040" windowHeight="15720" tabRatio="641" xr2:uid="{00000000-000D-0000-FFFF-FFFF00000000}"/>
  </bookViews>
  <sheets>
    <sheet name="SAO" sheetId="6" r:id="rId1"/>
    <sheet name="AR to ATB" sheetId="60" r:id="rId2"/>
    <sheet name="Debt Service" sheetId="50" r:id="rId3"/>
    <sheet name="Depreciation" sheetId="51" r:id="rId4"/>
    <sheet name="Capital" sheetId="56" r:id="rId5"/>
    <sheet name="Purchased Water" sheetId="54" r:id="rId6"/>
    <sheet name="Rates" sheetId="2" r:id="rId7"/>
    <sheet name="Meter Size CN" sheetId="59" r:id="rId8"/>
    <sheet name="Bills" sheetId="42" r:id="rId9"/>
    <sheet name="ExBA" sheetId="52" r:id="rId10"/>
    <sheet name="PrBA" sheetId="58" r:id="rId11"/>
  </sheets>
  <definedNames>
    <definedName name="AHV">#REF!</definedName>
    <definedName name="_xlnm.Print_Area" localSheetId="8">Bills!$B$1:$I$19</definedName>
    <definedName name="_xlnm.Print_Area" localSheetId="2">'Debt Service'!$A$1:$O$22</definedName>
    <definedName name="_xlnm.Print_Area" localSheetId="3">Depreciation!$A$1:$L$46</definedName>
    <definedName name="_xlnm.Print_Area" localSheetId="9">ExBA!$A$1:$K$34</definedName>
    <definedName name="_xlnm.Print_Area" localSheetId="7">'Meter Size CN'!$B$1:$I$15</definedName>
    <definedName name="_xlnm.Print_Area" localSheetId="10">PrBA!$A$1:$H$32</definedName>
    <definedName name="_xlnm.Print_Area" localSheetId="6">Rates!$B$1:$I$27</definedName>
    <definedName name="_xlnm.Print_Area" localSheetId="0">SAO!$A$1:$G$49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60" l="1"/>
  <c r="H55" i="60"/>
  <c r="I55" i="60" s="1"/>
  <c r="H4" i="60"/>
  <c r="I4" i="60" s="1"/>
  <c r="H16" i="60"/>
  <c r="H37" i="60"/>
  <c r="I37" i="60" s="1"/>
  <c r="H45" i="60"/>
  <c r="H42" i="60"/>
  <c r="H27" i="60"/>
  <c r="H64" i="60"/>
  <c r="D55" i="60"/>
  <c r="D64" i="60" s="1"/>
  <c r="D18" i="60"/>
  <c r="D66" i="60" l="1"/>
  <c r="F12" i="59"/>
  <c r="E12" i="59"/>
  <c r="F11" i="59"/>
  <c r="E11" i="59"/>
  <c r="F10" i="59"/>
  <c r="E10" i="59"/>
  <c r="F9" i="59"/>
  <c r="E9" i="59"/>
  <c r="F8" i="59"/>
  <c r="E8" i="59"/>
  <c r="G40" i="6"/>
  <c r="E11" i="42"/>
  <c r="E12" i="42" s="1"/>
  <c r="E10" i="42"/>
  <c r="E9" i="42"/>
  <c r="J36" i="2"/>
  <c r="J35" i="2"/>
  <c r="F36" i="2"/>
  <c r="F35" i="2"/>
  <c r="D36" i="2"/>
  <c r="D35" i="2"/>
  <c r="I34" i="2"/>
  <c r="F31" i="2"/>
  <c r="F30" i="2"/>
  <c r="J31" i="2"/>
  <c r="J30" i="2"/>
  <c r="D31" i="2"/>
  <c r="D30" i="2"/>
  <c r="I29" i="2"/>
  <c r="F26" i="2"/>
  <c r="F27" i="2"/>
  <c r="F25" i="2"/>
  <c r="D26" i="2"/>
  <c r="J26" i="2" s="1"/>
  <c r="D27" i="2"/>
  <c r="J27" i="2" s="1"/>
  <c r="D25" i="2"/>
  <c r="J25" i="2" s="1"/>
  <c r="I24" i="2"/>
  <c r="F22" i="2"/>
  <c r="F20" i="2"/>
  <c r="F21" i="2"/>
  <c r="F19" i="2"/>
  <c r="D22" i="2"/>
  <c r="J22" i="2" s="1"/>
  <c r="D20" i="2"/>
  <c r="J20" i="2" s="1"/>
  <c r="D21" i="2"/>
  <c r="J21" i="2" s="1"/>
  <c r="D19" i="2"/>
  <c r="J19" i="2" s="1"/>
  <c r="F13" i="2"/>
  <c r="F14" i="2"/>
  <c r="F15" i="2"/>
  <c r="F16" i="2"/>
  <c r="F12" i="2"/>
  <c r="D13" i="2"/>
  <c r="J13" i="2" s="1"/>
  <c r="D14" i="2"/>
  <c r="J14" i="2" s="1"/>
  <c r="D15" i="2"/>
  <c r="J15" i="2" s="1"/>
  <c r="D16" i="2"/>
  <c r="J16" i="2" s="1"/>
  <c r="D12" i="2"/>
  <c r="J12" i="2" s="1"/>
  <c r="G11" i="59" l="1"/>
  <c r="H11" i="59" s="1"/>
  <c r="G8" i="59"/>
  <c r="H8" i="59" s="1"/>
  <c r="G9" i="59"/>
  <c r="H9" i="59" s="1"/>
  <c r="E13" i="42"/>
  <c r="E14" i="42"/>
  <c r="G12" i="59" l="1"/>
  <c r="H12" i="59" s="1"/>
  <c r="G10" i="59"/>
  <c r="H10" i="59" s="1"/>
  <c r="E16" i="42"/>
  <c r="E15" i="42"/>
  <c r="B154" i="58" l="1"/>
  <c r="D153" i="58"/>
  <c r="D155" i="58" s="1"/>
  <c r="B152" i="58"/>
  <c r="B151" i="58"/>
  <c r="B150" i="58"/>
  <c r="D146" i="58"/>
  <c r="C146" i="58"/>
  <c r="C150" i="58" s="1"/>
  <c r="I145" i="58"/>
  <c r="J145" i="58" s="1"/>
  <c r="F144" i="58"/>
  <c r="E144" i="58"/>
  <c r="G143" i="58"/>
  <c r="F142" i="58"/>
  <c r="F146" i="58" s="1"/>
  <c r="E141" i="58"/>
  <c r="E146" i="58" s="1"/>
  <c r="I140" i="58"/>
  <c r="G140" i="58"/>
  <c r="G144" i="58" s="1"/>
  <c r="F140" i="58"/>
  <c r="E140" i="58"/>
  <c r="B134" i="58"/>
  <c r="F133" i="58"/>
  <c r="D133" i="58"/>
  <c r="D135" i="58" s="1"/>
  <c r="B132" i="58"/>
  <c r="B131" i="58"/>
  <c r="B130" i="58"/>
  <c r="D126" i="58"/>
  <c r="C126" i="58"/>
  <c r="C130" i="58" s="1"/>
  <c r="I125" i="58"/>
  <c r="J125" i="58" s="1"/>
  <c r="G124" i="58"/>
  <c r="F124" i="58"/>
  <c r="E124" i="58"/>
  <c r="J124" i="58" s="1"/>
  <c r="G123" i="58"/>
  <c r="G126" i="58" s="1"/>
  <c r="F122" i="58"/>
  <c r="F126" i="58" s="1"/>
  <c r="E121" i="58"/>
  <c r="E126" i="58" s="1"/>
  <c r="I120" i="58"/>
  <c r="G120" i="58"/>
  <c r="F120" i="58"/>
  <c r="E120" i="58"/>
  <c r="C115" i="58"/>
  <c r="B114" i="58"/>
  <c r="B113" i="58"/>
  <c r="D109" i="58"/>
  <c r="C109" i="58"/>
  <c r="F108" i="58"/>
  <c r="G108" i="58" s="1"/>
  <c r="E107" i="58"/>
  <c r="G107" i="58" s="1"/>
  <c r="G109" i="58" s="1"/>
  <c r="F106" i="58"/>
  <c r="E106" i="58"/>
  <c r="B100" i="58"/>
  <c r="C99" i="58"/>
  <c r="C101" i="58" s="1"/>
  <c r="B99" i="58"/>
  <c r="D95" i="58"/>
  <c r="C95" i="58"/>
  <c r="E93" i="58"/>
  <c r="G93" i="58" s="1"/>
  <c r="F92" i="58"/>
  <c r="E92" i="58"/>
  <c r="C88" i="58"/>
  <c r="B87" i="58"/>
  <c r="B86" i="58"/>
  <c r="D82" i="58"/>
  <c r="C82" i="58"/>
  <c r="E80" i="58"/>
  <c r="F79" i="58"/>
  <c r="E79" i="58"/>
  <c r="E94" i="58" s="1"/>
  <c r="B73" i="58"/>
  <c r="B71" i="58"/>
  <c r="D67" i="58"/>
  <c r="C67" i="58"/>
  <c r="C71" i="58" s="1"/>
  <c r="E64" i="58"/>
  <c r="H64" i="58" s="1"/>
  <c r="G63" i="58"/>
  <c r="F63" i="58"/>
  <c r="F66" i="58" s="1"/>
  <c r="E63" i="58"/>
  <c r="E65" i="58" s="1"/>
  <c r="D59" i="58"/>
  <c r="B58" i="58"/>
  <c r="D57" i="58"/>
  <c r="B56" i="58"/>
  <c r="B55" i="58"/>
  <c r="B54" i="58"/>
  <c r="D50" i="58"/>
  <c r="F7" i="58" s="1"/>
  <c r="C50" i="58"/>
  <c r="E7" i="58" s="1"/>
  <c r="I49" i="58"/>
  <c r="J49" i="58" s="1"/>
  <c r="F48" i="58"/>
  <c r="E48" i="58"/>
  <c r="J48" i="58" s="1"/>
  <c r="G47" i="58"/>
  <c r="J47" i="58" s="1"/>
  <c r="F46" i="58"/>
  <c r="J46" i="58" s="1"/>
  <c r="J50" i="58" s="1"/>
  <c r="E45" i="58"/>
  <c r="E50" i="58" s="1"/>
  <c r="I44" i="58"/>
  <c r="G44" i="58"/>
  <c r="G48" i="58" s="1"/>
  <c r="F44" i="58"/>
  <c r="E44" i="58"/>
  <c r="D40" i="58"/>
  <c r="Q39" i="58"/>
  <c r="B39" i="58"/>
  <c r="B37" i="58"/>
  <c r="B36" i="58"/>
  <c r="B35" i="58"/>
  <c r="D31" i="58"/>
  <c r="F6" i="58" s="1"/>
  <c r="C31" i="58"/>
  <c r="E6" i="58" s="1"/>
  <c r="H30" i="58"/>
  <c r="G30" i="58"/>
  <c r="F30" i="58"/>
  <c r="E30" i="58"/>
  <c r="E26" i="58"/>
  <c r="J26" i="58" s="1"/>
  <c r="I25" i="58"/>
  <c r="H25" i="58"/>
  <c r="G25" i="58"/>
  <c r="G29" i="58" s="1"/>
  <c r="F25" i="58"/>
  <c r="F29" i="58" s="1"/>
  <c r="E25" i="58"/>
  <c r="E29" i="58" s="1"/>
  <c r="G15" i="58"/>
  <c r="F10" i="58"/>
  <c r="E10" i="58"/>
  <c r="F9" i="58"/>
  <c r="E9" i="58"/>
  <c r="H34" i="51"/>
  <c r="F34" i="51"/>
  <c r="H33" i="51"/>
  <c r="F33" i="51"/>
  <c r="F30" i="51"/>
  <c r="F10" i="51"/>
  <c r="F27" i="51"/>
  <c r="H11" i="51"/>
  <c r="F11" i="51"/>
  <c r="H28" i="51"/>
  <c r="F28" i="51"/>
  <c r="F13" i="51"/>
  <c r="G15" i="52"/>
  <c r="F20" i="6"/>
  <c r="F22" i="6"/>
  <c r="E22" i="6"/>
  <c r="E16" i="6"/>
  <c r="G13" i="52"/>
  <c r="G12" i="52"/>
  <c r="G11" i="52"/>
  <c r="G17" i="52"/>
  <c r="B32" i="54"/>
  <c r="B31" i="54"/>
  <c r="G16" i="6"/>
  <c r="F154" i="52"/>
  <c r="B154" i="52"/>
  <c r="D153" i="52"/>
  <c r="F153" i="52" s="1"/>
  <c r="F152" i="52"/>
  <c r="B152" i="52"/>
  <c r="F151" i="52"/>
  <c r="B151" i="52"/>
  <c r="B150" i="52"/>
  <c r="D146" i="52"/>
  <c r="C146" i="52"/>
  <c r="C150" i="52" s="1"/>
  <c r="I145" i="52"/>
  <c r="J145" i="52" s="1"/>
  <c r="G143" i="52"/>
  <c r="F142" i="52"/>
  <c r="E141" i="52"/>
  <c r="I140" i="52"/>
  <c r="G140" i="52"/>
  <c r="G144" i="52" s="1"/>
  <c r="F140" i="52"/>
  <c r="E140" i="52"/>
  <c r="F134" i="52"/>
  <c r="B134" i="52"/>
  <c r="D133" i="52"/>
  <c r="D135" i="52" s="1"/>
  <c r="F132" i="52"/>
  <c r="B132" i="52"/>
  <c r="F131" i="52"/>
  <c r="B131" i="52"/>
  <c r="B130" i="52"/>
  <c r="D126" i="52"/>
  <c r="C126" i="52"/>
  <c r="C130" i="52" s="1"/>
  <c r="C135" i="52" s="1"/>
  <c r="I125" i="52"/>
  <c r="J125" i="52" s="1"/>
  <c r="G123" i="52"/>
  <c r="F122" i="52"/>
  <c r="E121" i="52"/>
  <c r="I120" i="52"/>
  <c r="G120" i="52"/>
  <c r="G124" i="52" s="1"/>
  <c r="F120" i="52"/>
  <c r="E120" i="52"/>
  <c r="C115" i="52"/>
  <c r="F114" i="52"/>
  <c r="B114" i="52"/>
  <c r="F113" i="52"/>
  <c r="F115" i="52" s="1"/>
  <c r="B113" i="52"/>
  <c r="D109" i="52"/>
  <c r="C109" i="52"/>
  <c r="E107" i="52"/>
  <c r="G107" i="52" s="1"/>
  <c r="F106" i="52"/>
  <c r="E106" i="52"/>
  <c r="B100" i="52"/>
  <c r="B99" i="52"/>
  <c r="D95" i="52"/>
  <c r="F10" i="52" s="1"/>
  <c r="C95" i="52"/>
  <c r="C99" i="52" s="1"/>
  <c r="E93" i="52"/>
  <c r="F92" i="52"/>
  <c r="E92" i="52"/>
  <c r="B87" i="52"/>
  <c r="B86" i="52"/>
  <c r="C82" i="52"/>
  <c r="D82" i="52"/>
  <c r="F9" i="52" s="1"/>
  <c r="E80" i="52"/>
  <c r="F79" i="52"/>
  <c r="E79" i="52"/>
  <c r="E81" i="52" s="1"/>
  <c r="B73" i="52"/>
  <c r="B71" i="52"/>
  <c r="D67" i="52"/>
  <c r="C67" i="52"/>
  <c r="E64" i="52"/>
  <c r="H64" i="52" s="1"/>
  <c r="G63" i="52"/>
  <c r="F63" i="52"/>
  <c r="F66" i="52" s="1"/>
  <c r="E63" i="52"/>
  <c r="E65" i="52" s="1"/>
  <c r="B58" i="52"/>
  <c r="B56" i="52"/>
  <c r="B55" i="52"/>
  <c r="B54" i="52"/>
  <c r="D50" i="52"/>
  <c r="F7" i="52" s="1"/>
  <c r="C50" i="52"/>
  <c r="E7" i="52" s="1"/>
  <c r="E45" i="52"/>
  <c r="I44" i="52"/>
  <c r="G44" i="52"/>
  <c r="G48" i="52" s="1"/>
  <c r="F44" i="52"/>
  <c r="E44" i="52"/>
  <c r="Q39" i="52"/>
  <c r="B39" i="52"/>
  <c r="B37" i="52"/>
  <c r="B36" i="52"/>
  <c r="B35" i="52"/>
  <c r="C31" i="52"/>
  <c r="D31" i="52"/>
  <c r="F6" i="52" s="1"/>
  <c r="E26" i="52"/>
  <c r="J26" i="52" s="1"/>
  <c r="I25" i="52"/>
  <c r="H25" i="52"/>
  <c r="H30" i="52" s="1"/>
  <c r="G25" i="52"/>
  <c r="F25" i="52"/>
  <c r="F28" i="52" s="1"/>
  <c r="E25" i="52"/>
  <c r="E28" i="52" s="1"/>
  <c r="C135" i="58" l="1"/>
  <c r="F65" i="58"/>
  <c r="F67" i="58" s="1"/>
  <c r="D72" i="58" s="1"/>
  <c r="H65" i="58"/>
  <c r="G146" i="58"/>
  <c r="C74" i="58"/>
  <c r="E8" i="58" s="1"/>
  <c r="H29" i="58"/>
  <c r="H31" i="58" s="1"/>
  <c r="C155" i="58"/>
  <c r="E95" i="58"/>
  <c r="D99" i="58" s="1"/>
  <c r="F94" i="58"/>
  <c r="F95" i="58" s="1"/>
  <c r="D100" i="58" s="1"/>
  <c r="F100" i="58" s="1"/>
  <c r="F101" i="58" s="1"/>
  <c r="G10" i="58" s="1"/>
  <c r="J126" i="58"/>
  <c r="J144" i="58"/>
  <c r="J146" i="58" s="1"/>
  <c r="I126" i="58"/>
  <c r="F50" i="58"/>
  <c r="I146" i="58"/>
  <c r="C35" i="58"/>
  <c r="G50" i="58"/>
  <c r="E109" i="58"/>
  <c r="D113" i="58" s="1"/>
  <c r="D115" i="58" s="1"/>
  <c r="I50" i="58"/>
  <c r="F109" i="58"/>
  <c r="E81" i="58"/>
  <c r="E82" i="58" s="1"/>
  <c r="D86" i="58" s="1"/>
  <c r="D88" i="58" s="1"/>
  <c r="I30" i="58"/>
  <c r="I31" i="58" s="1"/>
  <c r="E66" i="58"/>
  <c r="C54" i="58"/>
  <c r="G80" i="58"/>
  <c r="E28" i="58"/>
  <c r="E27" i="58"/>
  <c r="F28" i="58"/>
  <c r="G28" i="58" s="1"/>
  <c r="G31" i="58" s="1"/>
  <c r="F153" i="58"/>
  <c r="F144" i="52"/>
  <c r="F146" i="52" s="1"/>
  <c r="E144" i="52"/>
  <c r="E94" i="52"/>
  <c r="F94" i="52" s="1"/>
  <c r="F95" i="52" s="1"/>
  <c r="D100" i="52" s="1"/>
  <c r="F100" i="52" s="1"/>
  <c r="I146" i="52"/>
  <c r="G126" i="52"/>
  <c r="E30" i="52"/>
  <c r="E124" i="52"/>
  <c r="F124" i="52"/>
  <c r="F126" i="52" s="1"/>
  <c r="E146" i="52"/>
  <c r="D155" i="52"/>
  <c r="F150" i="52"/>
  <c r="F155" i="52" s="1"/>
  <c r="C155" i="52"/>
  <c r="G146" i="52"/>
  <c r="I126" i="52"/>
  <c r="F133" i="52"/>
  <c r="F130" i="52"/>
  <c r="E109" i="52"/>
  <c r="D113" i="52" s="1"/>
  <c r="D115" i="52" s="1"/>
  <c r="E66" i="52"/>
  <c r="E67" i="52" s="1"/>
  <c r="D71" i="52" s="1"/>
  <c r="E29" i="52"/>
  <c r="E95" i="52"/>
  <c r="D99" i="52" s="1"/>
  <c r="D101" i="52" s="1"/>
  <c r="F108" i="52"/>
  <c r="F109" i="52" s="1"/>
  <c r="C88" i="52"/>
  <c r="F86" i="52"/>
  <c r="E9" i="52"/>
  <c r="G66" i="52"/>
  <c r="G67" i="52" s="1"/>
  <c r="D73" i="52" s="1"/>
  <c r="F73" i="52" s="1"/>
  <c r="C54" i="52"/>
  <c r="C59" i="52" s="1"/>
  <c r="G30" i="52"/>
  <c r="G29" i="52"/>
  <c r="F29" i="52"/>
  <c r="F30" i="52"/>
  <c r="C71" i="52"/>
  <c r="G93" i="52"/>
  <c r="G28" i="52"/>
  <c r="C101" i="52"/>
  <c r="F101" i="52"/>
  <c r="G10" i="52" s="1"/>
  <c r="C35" i="52"/>
  <c r="E6" i="52"/>
  <c r="F65" i="52"/>
  <c r="F67" i="52" s="1"/>
  <c r="D72" i="52" s="1"/>
  <c r="F72" i="52" s="1"/>
  <c r="E82" i="52"/>
  <c r="D86" i="52" s="1"/>
  <c r="E10" i="52"/>
  <c r="F46" i="52"/>
  <c r="J46" i="52" s="1"/>
  <c r="G80" i="52"/>
  <c r="E48" i="52"/>
  <c r="E50" i="52" s="1"/>
  <c r="F48" i="52"/>
  <c r="E27" i="52"/>
  <c r="F27" i="52" s="1"/>
  <c r="F81" i="52"/>
  <c r="F82" i="52" s="1"/>
  <c r="F87" i="52" s="1"/>
  <c r="G66" i="58" l="1"/>
  <c r="G67" i="58" s="1"/>
  <c r="D73" i="58" s="1"/>
  <c r="E31" i="58"/>
  <c r="F27" i="58"/>
  <c r="F31" i="58" s="1"/>
  <c r="C59" i="58"/>
  <c r="J30" i="58"/>
  <c r="G94" i="58"/>
  <c r="G95" i="58" s="1"/>
  <c r="E67" i="58"/>
  <c r="D71" i="58" s="1"/>
  <c r="D74" i="58" s="1"/>
  <c r="F8" i="58" s="1"/>
  <c r="J28" i="58"/>
  <c r="F81" i="58"/>
  <c r="F82" i="58" s="1"/>
  <c r="C40" i="58"/>
  <c r="D101" i="58"/>
  <c r="J29" i="58"/>
  <c r="F88" i="52"/>
  <c r="G9" i="52" s="1"/>
  <c r="J144" i="52"/>
  <c r="J146" i="52" s="1"/>
  <c r="G94" i="52"/>
  <c r="J124" i="52"/>
  <c r="E126" i="52"/>
  <c r="F135" i="52"/>
  <c r="J126" i="52"/>
  <c r="H66" i="52"/>
  <c r="G108" i="52"/>
  <c r="G109" i="52" s="1"/>
  <c r="D88" i="52"/>
  <c r="D74" i="52"/>
  <c r="F8" i="52" s="1"/>
  <c r="F54" i="52"/>
  <c r="G47" i="52"/>
  <c r="G50" i="52" s="1"/>
  <c r="F56" i="52" s="1"/>
  <c r="F31" i="52"/>
  <c r="F36" i="52" s="1"/>
  <c r="H29" i="52"/>
  <c r="H31" i="52" s="1"/>
  <c r="F38" i="52" s="1"/>
  <c r="I30" i="52"/>
  <c r="I31" i="52" s="1"/>
  <c r="F39" i="52" s="1"/>
  <c r="G31" i="52"/>
  <c r="F37" i="52" s="1"/>
  <c r="F35" i="52"/>
  <c r="C40" i="52"/>
  <c r="G95" i="52"/>
  <c r="I49" i="52"/>
  <c r="I50" i="52" s="1"/>
  <c r="F58" i="52" s="1"/>
  <c r="J28" i="52"/>
  <c r="H65" i="52"/>
  <c r="H67" i="52" s="1"/>
  <c r="C74" i="52"/>
  <c r="E8" i="52" s="1"/>
  <c r="F71" i="52"/>
  <c r="F74" i="52" s="1"/>
  <c r="G8" i="52" s="1"/>
  <c r="G81" i="52"/>
  <c r="G82" i="52" s="1"/>
  <c r="J27" i="52"/>
  <c r="E31" i="52"/>
  <c r="D57" i="52"/>
  <c r="F57" i="52" s="1"/>
  <c r="F50" i="52"/>
  <c r="F55" i="52" s="1"/>
  <c r="G81" i="58" l="1"/>
  <c r="G82" i="58" s="1"/>
  <c r="J27" i="58"/>
  <c r="J31" i="58" s="1"/>
  <c r="H66" i="58"/>
  <c r="H67" i="58" s="1"/>
  <c r="J47" i="52"/>
  <c r="J29" i="52"/>
  <c r="J30" i="52"/>
  <c r="F40" i="52"/>
  <c r="G6" i="52" s="1"/>
  <c r="D40" i="52"/>
  <c r="F59" i="52"/>
  <c r="G7" i="52" s="1"/>
  <c r="J48" i="52"/>
  <c r="J31" i="52"/>
  <c r="J49" i="52"/>
  <c r="D59" i="52"/>
  <c r="G14" i="52" l="1"/>
  <c r="G16" i="52" s="1"/>
  <c r="J50" i="52"/>
  <c r="N34" i="51" l="1"/>
  <c r="N37" i="51" s="1"/>
  <c r="F49" i="51"/>
  <c r="M13" i="50" l="1"/>
  <c r="G32" i="6" l="1"/>
  <c r="G18" i="6"/>
  <c r="B33" i="54"/>
  <c r="G10" i="6"/>
  <c r="A33" i="54"/>
  <c r="A32" i="54"/>
  <c r="F43" i="51" l="1"/>
  <c r="J18" i="51"/>
  <c r="J17" i="51"/>
  <c r="J41" i="51"/>
  <c r="J22" i="51"/>
  <c r="K22" i="51" s="1"/>
  <c r="K18" i="51" l="1"/>
  <c r="K17" i="51"/>
  <c r="K41" i="51"/>
  <c r="C6" i="56"/>
  <c r="C5" i="56"/>
  <c r="C21" i="54"/>
  <c r="C13" i="54"/>
  <c r="C4" i="54"/>
  <c r="C22" i="54" l="1"/>
  <c r="D24" i="54"/>
  <c r="D26" i="54" s="1"/>
  <c r="C31" i="54" s="1"/>
  <c r="D31" i="54" s="1"/>
  <c r="E19" i="6" s="1"/>
  <c r="G19" i="6" s="1"/>
  <c r="C33" i="54" l="1"/>
  <c r="D33" i="54" s="1"/>
  <c r="C32" i="54"/>
  <c r="D32" i="54" s="1"/>
  <c r="E20" i="6" s="1"/>
  <c r="D34" i="54" l="1"/>
  <c r="H43" i="51"/>
  <c r="J40" i="51"/>
  <c r="K40" i="51" s="1"/>
  <c r="J37" i="51"/>
  <c r="K37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J27" i="51"/>
  <c r="K27" i="51" s="1"/>
  <c r="J26" i="51"/>
  <c r="K26" i="51" s="1"/>
  <c r="J23" i="51"/>
  <c r="K23" i="51" s="1"/>
  <c r="J21" i="51"/>
  <c r="K21" i="51" s="1"/>
  <c r="J14" i="51"/>
  <c r="K14" i="51" s="1"/>
  <c r="J13" i="51"/>
  <c r="K13" i="51" s="1"/>
  <c r="J12" i="51"/>
  <c r="K12" i="51" s="1"/>
  <c r="J11" i="51"/>
  <c r="K11" i="51" s="1"/>
  <c r="J10" i="51"/>
  <c r="K10" i="51" s="1"/>
  <c r="K15" i="50"/>
  <c r="I15" i="50"/>
  <c r="G15" i="50"/>
  <c r="E15" i="50"/>
  <c r="C15" i="50"/>
  <c r="M12" i="50"/>
  <c r="M15" i="50" s="1"/>
  <c r="L15" i="50"/>
  <c r="J15" i="50"/>
  <c r="H15" i="50"/>
  <c r="F15" i="50"/>
  <c r="D15" i="50"/>
  <c r="K43" i="51" l="1"/>
  <c r="J43" i="51"/>
  <c r="F48" i="51" s="1"/>
  <c r="F50" i="51" s="1"/>
  <c r="E31" i="6" s="1"/>
  <c r="P15" i="50"/>
  <c r="M18" i="50"/>
  <c r="G31" i="6" l="1"/>
  <c r="M20" i="50"/>
  <c r="P20" i="50" l="1"/>
  <c r="G28" i="6"/>
  <c r="G27" i="6"/>
  <c r="G26" i="6"/>
  <c r="G25" i="6"/>
  <c r="G24" i="6"/>
  <c r="G22" i="6"/>
  <c r="G21" i="6"/>
  <c r="G20" i="6"/>
  <c r="G17" i="6"/>
  <c r="G7" i="6"/>
  <c r="G42" i="6" s="1"/>
  <c r="G23" i="6" l="1"/>
  <c r="G11" i="6" l="1"/>
  <c r="G9" i="6" l="1"/>
  <c r="D12" i="6"/>
  <c r="D29" i="6"/>
  <c r="G41" i="6" l="1"/>
  <c r="G29" i="6"/>
  <c r="D33" i="6"/>
  <c r="G33" i="6" l="1"/>
  <c r="D35" i="6"/>
  <c r="G38" i="6" l="1"/>
  <c r="G45" i="6" s="1"/>
  <c r="G17" i="58" s="1"/>
  <c r="G18" i="52" l="1"/>
  <c r="E6" i="6" s="1"/>
  <c r="G6" i="6" s="1"/>
  <c r="H18" i="52" l="1"/>
  <c r="G46" i="6"/>
  <c r="G47" i="6" s="1"/>
  <c r="G49" i="6" s="1"/>
  <c r="L4" i="58" s="1"/>
  <c r="G12" i="6"/>
  <c r="G35" i="6" s="1"/>
  <c r="E113" i="58" l="1"/>
  <c r="E87" i="58"/>
  <c r="E86" i="58"/>
  <c r="E73" i="58"/>
  <c r="E55" i="58"/>
  <c r="E57" i="58"/>
  <c r="F57" i="58" s="1"/>
  <c r="E39" i="58"/>
  <c r="E114" i="58"/>
  <c r="E72" i="58"/>
  <c r="E71" i="58"/>
  <c r="E56" i="58"/>
  <c r="E58" i="58"/>
  <c r="E35" i="58"/>
  <c r="E54" i="58"/>
  <c r="E36" i="58"/>
  <c r="E37" i="58"/>
  <c r="E38" i="58"/>
  <c r="L12" i="2" l="1"/>
  <c r="E130" i="58"/>
  <c r="F35" i="58"/>
  <c r="L36" i="2"/>
  <c r="N36" i="2" s="1"/>
  <c r="O36" i="2" s="1"/>
  <c r="F114" i="58"/>
  <c r="L14" i="2"/>
  <c r="N14" i="2" s="1"/>
  <c r="O14" i="2" s="1"/>
  <c r="F37" i="58"/>
  <c r="E131" i="58"/>
  <c r="L19" i="2"/>
  <c r="N19" i="2" s="1"/>
  <c r="O19" i="2" s="1"/>
  <c r="F54" i="58"/>
  <c r="L21" i="2"/>
  <c r="N21" i="2" s="1"/>
  <c r="O21" i="2" s="1"/>
  <c r="F56" i="58"/>
  <c r="L31" i="2"/>
  <c r="N31" i="2" s="1"/>
  <c r="O31" i="2" s="1"/>
  <c r="F87" i="58"/>
  <c r="L15" i="2"/>
  <c r="N15" i="2" s="1"/>
  <c r="O15" i="2" s="1"/>
  <c r="F38" i="58"/>
  <c r="E132" i="58"/>
  <c r="F36" i="58"/>
  <c r="L13" i="2"/>
  <c r="N13" i="2" s="1"/>
  <c r="O13" i="2" s="1"/>
  <c r="L22" i="2"/>
  <c r="N22" i="2" s="1"/>
  <c r="O22" i="2" s="1"/>
  <c r="F58" i="58"/>
  <c r="L25" i="2"/>
  <c r="N25" i="2" s="1"/>
  <c r="O25" i="2" s="1"/>
  <c r="F71" i="58"/>
  <c r="L26" i="2"/>
  <c r="N26" i="2" s="1"/>
  <c r="O26" i="2" s="1"/>
  <c r="F72" i="58"/>
  <c r="L16" i="2"/>
  <c r="N16" i="2" s="1"/>
  <c r="O16" i="2" s="1"/>
  <c r="F39" i="58"/>
  <c r="E134" i="58"/>
  <c r="L20" i="2"/>
  <c r="N20" i="2" s="1"/>
  <c r="O20" i="2" s="1"/>
  <c r="F55" i="58"/>
  <c r="L27" i="2"/>
  <c r="N27" i="2" s="1"/>
  <c r="O27" i="2" s="1"/>
  <c r="F73" i="58"/>
  <c r="L30" i="2"/>
  <c r="N30" i="2" s="1"/>
  <c r="O30" i="2" s="1"/>
  <c r="F86" i="58"/>
  <c r="L35" i="2"/>
  <c r="N35" i="2" s="1"/>
  <c r="O35" i="2" s="1"/>
  <c r="F113" i="58"/>
  <c r="F74" i="58" l="1"/>
  <c r="G8" i="58" s="1"/>
  <c r="F59" i="58"/>
  <c r="G7" i="58" s="1"/>
  <c r="F88" i="58"/>
  <c r="G9" i="58" s="1"/>
  <c r="F40" i="58"/>
  <c r="G6" i="58" s="1"/>
  <c r="E152" i="58"/>
  <c r="F152" i="58" s="1"/>
  <c r="F132" i="58"/>
  <c r="E150" i="58"/>
  <c r="F150" i="58" s="1"/>
  <c r="F130" i="58"/>
  <c r="E154" i="58"/>
  <c r="F154" i="58" s="1"/>
  <c r="F134" i="58"/>
  <c r="E151" i="58"/>
  <c r="F151" i="58" s="1"/>
  <c r="F131" i="58"/>
  <c r="F115" i="58"/>
  <c r="G11" i="58" s="1"/>
  <c r="N12" i="2"/>
  <c r="O12" i="2" s="1"/>
  <c r="F11" i="42"/>
  <c r="F9" i="42"/>
  <c r="F155" i="58" l="1"/>
  <c r="G13" i="58" s="1"/>
  <c r="G14" i="58"/>
  <c r="G16" i="58" s="1"/>
  <c r="G18" i="58" s="1"/>
  <c r="H18" i="58" s="1"/>
  <c r="F135" i="58"/>
  <c r="G12" i="58" s="1"/>
  <c r="F10" i="42"/>
  <c r="G10" i="42" s="1"/>
  <c r="H10" i="42" s="1"/>
  <c r="G9" i="42"/>
  <c r="H9" i="42" s="1"/>
  <c r="F14" i="42"/>
  <c r="F12" i="42"/>
  <c r="G12" i="42" s="1"/>
  <c r="H12" i="42" s="1"/>
  <c r="F13" i="42"/>
  <c r="G13" i="42" s="1"/>
  <c r="H13" i="42" s="1"/>
  <c r="G11" i="42"/>
  <c r="H11" i="42" s="1"/>
  <c r="F15" i="42" l="1"/>
  <c r="G15" i="42" s="1"/>
  <c r="H15" i="42" s="1"/>
  <c r="F16" i="42"/>
  <c r="G16" i="42" s="1"/>
  <c r="H16" i="42" s="1"/>
  <c r="G14" i="42"/>
  <c r="H14" i="42" s="1"/>
</calcChain>
</file>

<file path=xl/sharedStrings.xml><?xml version="1.0" encoding="utf-8"?>
<sst xmlns="http://schemas.openxmlformats.org/spreadsheetml/2006/main" count="800" uniqueCount="264">
  <si>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</si>
  <si>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</si>
  <si>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</si>
  <si>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</si>
  <si>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</si>
  <si>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</si>
  <si>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</si>
  <si>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</si>
  <si>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</si>
  <si>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Miscellaneous Expenses</t>
  </si>
  <si>
    <t>Transportation Expenses</t>
  </si>
  <si>
    <t>Proposed</t>
  </si>
  <si>
    <t>Interest Income</t>
  </si>
  <si>
    <t>Gallons</t>
  </si>
  <si>
    <t>Operating Revenues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</si>
  <si>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</si>
  <si>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</si>
  <si>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</si>
  <si>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</si>
  <si>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</si>
  <si>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</si>
  <si>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Less:</t>
  </si>
  <si>
    <t>Other Operating Revenue</t>
  </si>
  <si>
    <t>Existing</t>
  </si>
  <si>
    <t>Change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</si>
  <si>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</si>
  <si>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</si>
  <si>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</si>
  <si>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</si>
  <si>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</si>
  <si>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</si>
  <si>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</si>
  <si>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Insurance - Gen. Liab. &amp; Workers Comp.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</si>
  <si>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</si>
  <si>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</si>
  <si>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</si>
  <si>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</si>
  <si>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</si>
  <si>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</si>
  <si>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</si>
  <si>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</si>
  <si>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</si>
  <si>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</si>
  <si>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</si>
  <si>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</si>
  <si>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</si>
  <si>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</si>
  <si>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FIRST</t>
  </si>
  <si>
    <t>ALL OVER</t>
  </si>
  <si>
    <t>USAGE</t>
  </si>
  <si>
    <t>BILLS</t>
  </si>
  <si>
    <t>GALLONS</t>
  </si>
  <si>
    <t>TOTAL</t>
  </si>
  <si>
    <t>RATE</t>
  </si>
  <si>
    <t>REVENUE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</si>
  <si>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</si>
  <si>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</si>
  <si>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</si>
  <si>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</si>
  <si>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</si>
  <si>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</si>
  <si>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</si>
  <si>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</si>
  <si>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Difference</t>
  </si>
  <si>
    <t>Bill</t>
  </si>
  <si>
    <t>Percentage</t>
  </si>
  <si>
    <t>Size</t>
  </si>
  <si>
    <t>5/8 x 3/4"</t>
  </si>
  <si>
    <t>TOTALS</t>
  </si>
  <si>
    <t>per Month*</t>
  </si>
  <si>
    <t>* Highlighted usage represents the average residential bill.</t>
  </si>
  <si>
    <t>Chemicals</t>
  </si>
  <si>
    <t xml:space="preserve"> </t>
  </si>
  <si>
    <t>Table B</t>
  </si>
  <si>
    <t>DEBT SERVICE SCHDULE</t>
  </si>
  <si>
    <t>CY 2022 - 2026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</si>
  <si>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</si>
  <si>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</si>
  <si>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</si>
  <si>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</si>
  <si>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</si>
  <si>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</si>
  <si>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</si>
  <si>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</si>
  <si>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</si>
  <si>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</si>
  <si>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</si>
  <si>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</si>
  <si>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</si>
  <si>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</si>
  <si>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</si>
  <si>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</si>
  <si>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</si>
  <si>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</si>
  <si>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Tools, Shop, &amp; Garage Equipment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</si>
  <si>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</si>
  <si>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</si>
  <si>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</si>
  <si>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</si>
  <si>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</si>
  <si>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</si>
  <si>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</si>
  <si>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</si>
  <si>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</si>
  <si>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</si>
  <si>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</si>
  <si>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</si>
  <si>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</si>
  <si>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</si>
  <si>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</si>
  <si>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varies</t>
  </si>
  <si>
    <t>NEXT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</si>
  <si>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</si>
  <si>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</si>
  <si>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</si>
  <si>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</si>
  <si>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</si>
  <si>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</si>
  <si>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</si>
  <si>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</si>
  <si>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</si>
  <si>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</si>
  <si>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</si>
  <si>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</si>
  <si>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</si>
  <si>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</si>
  <si>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Tank O.F.</t>
  </si>
  <si>
    <t xml:space="preserve">   Line Brks.</t>
  </si>
  <si>
    <t xml:space="preserve">   Line Leaks</t>
  </si>
  <si>
    <t xml:space="preserve">   Unknown</t>
  </si>
  <si>
    <t>Total Losses:</t>
  </si>
  <si>
    <t>Sold, Used, and Lost</t>
  </si>
  <si>
    <t>H</t>
  </si>
  <si>
    <t>Labor and Materials Adjustment for New Service Installations</t>
  </si>
  <si>
    <t xml:space="preserve">Labor </t>
  </si>
  <si>
    <t xml:space="preserve">Materials </t>
  </si>
  <si>
    <t>New Meter Fees Collected</t>
  </si>
  <si>
    <t>Structures and Improvements</t>
  </si>
  <si>
    <t>Water Treatment Equipment</t>
  </si>
  <si>
    <t>Source of Supply Plant</t>
  </si>
  <si>
    <t>Collecting &amp; Impounding Reservoirs</t>
  </si>
  <si>
    <t>Supply Mains</t>
  </si>
  <si>
    <t>Allowed Depreciation</t>
  </si>
  <si>
    <t>Less: Reported Depreciation</t>
  </si>
  <si>
    <t>Adjustment to Allowed Depreciation</t>
  </si>
  <si>
    <t>``</t>
  </si>
  <si>
    <t>Total Adjustment</t>
  </si>
  <si>
    <t>CURRENT AND PROPOSED BILLS</t>
  </si>
  <si>
    <t>Purchased Water above allowable water loss.</t>
  </si>
  <si>
    <t>Purchased Power above allowable water loss.</t>
  </si>
  <si>
    <t>Chemicals above allowable water loss.</t>
  </si>
  <si>
    <t>Computation of Water Loss Adjustment</t>
  </si>
  <si>
    <t>Proforma Purchased Water</t>
  </si>
  <si>
    <t>Computation of Adjustment to Purchases above Allowable Water Loss:</t>
  </si>
  <si>
    <t>Nebo Water District</t>
  </si>
  <si>
    <t>Series B12-03</t>
  </si>
  <si>
    <t>Sales to Public Authorities</t>
  </si>
  <si>
    <t>Rents from Water Property</t>
  </si>
  <si>
    <t>CY 2027</t>
  </si>
  <si>
    <t>CY 2028</t>
  </si>
  <si>
    <t>Nonutility Income</t>
  </si>
  <si>
    <t>CURRENT BILLING ANALYSIS - CURRENT USAGE &amp; EXISTING RATES</t>
  </si>
  <si>
    <t xml:space="preserve">  SUMMARY  </t>
  </si>
  <si>
    <t>No. of Bills</t>
  </si>
  <si>
    <t>Gallons Sold</t>
  </si>
  <si>
    <t>Revenue</t>
  </si>
  <si>
    <t xml:space="preserve">     5/8" X 3/4" Meters</t>
  </si>
  <si>
    <t xml:space="preserve">     1" Meters</t>
  </si>
  <si>
    <t xml:space="preserve">     1 1/2" Meters</t>
  </si>
  <si>
    <t xml:space="preserve">     2" Meters</t>
  </si>
  <si>
    <t xml:space="preserve">    Fire Hydrant</t>
  </si>
  <si>
    <t>Totals</t>
  </si>
  <si>
    <t>Less Billing Adjustments</t>
  </si>
  <si>
    <t>Net Total</t>
  </si>
  <si>
    <t>Less PSC Annual Report</t>
  </si>
  <si>
    <t>SAO Adjustment</t>
  </si>
  <si>
    <t>5/8" x 3/4" METERS</t>
  </si>
  <si>
    <t xml:space="preserve">     REVENUE BY RATE INCREMENT</t>
  </si>
  <si>
    <t>1" METERS</t>
  </si>
  <si>
    <t>1 1/2" METERS</t>
  </si>
  <si>
    <t>2" METERS</t>
  </si>
  <si>
    <t>FIRE HYDRANT</t>
  </si>
  <si>
    <t>PROPOSED BILLING ANALYSIS - CURRENT USAGE &amp; PROPOSED RATES</t>
  </si>
  <si>
    <t>4" METERS</t>
  </si>
  <si>
    <t>5/8" METERS</t>
  </si>
  <si>
    <t xml:space="preserve">     4" Meters</t>
  </si>
  <si>
    <t xml:space="preserve">     5/8" Meters</t>
  </si>
  <si>
    <t xml:space="preserve">    5/8" Meters</t>
  </si>
  <si>
    <t>Theft</t>
  </si>
  <si>
    <t>(A)</t>
  </si>
  <si>
    <t>(B)</t>
  </si>
  <si>
    <t>(C)</t>
  </si>
  <si>
    <t>(D)</t>
  </si>
  <si>
    <t>(E)</t>
  </si>
  <si>
    <t>Percent Increase:</t>
  </si>
  <si>
    <t>Less Required Revenue from Water Sales</t>
  </si>
  <si>
    <t>TABLE C</t>
  </si>
  <si>
    <t>CURRENT AND PROPOSED MONTHLY RATES</t>
  </si>
  <si>
    <t>CURRENT RATE SCHEDULE</t>
  </si>
  <si>
    <t>PROPOSED RATE SCHEDULE</t>
  </si>
  <si>
    <t>DIFFERENCE</t>
  </si>
  <si>
    <t>PERCENT</t>
  </si>
  <si>
    <t>5/8" x 3/4" Meters</t>
  </si>
  <si>
    <t>First</t>
  </si>
  <si>
    <t>gallons</t>
  </si>
  <si>
    <t>Minimum Bill</t>
  </si>
  <si>
    <t>Next</t>
  </si>
  <si>
    <t>per 1,000 gallons</t>
  </si>
  <si>
    <t>Over</t>
  </si>
  <si>
    <t>2" Meters</t>
  </si>
  <si>
    <t>1" Meters</t>
  </si>
  <si>
    <t>1 1/2" Meters</t>
  </si>
  <si>
    <t>4" Meters</t>
  </si>
  <si>
    <t>NEBO WATER DISTRICT</t>
  </si>
  <si>
    <t>Divide by: 88 percent Operating Ratio</t>
  </si>
  <si>
    <t>1"</t>
  </si>
  <si>
    <t>1 1/2"</t>
  </si>
  <si>
    <t>2"</t>
  </si>
  <si>
    <t>4"</t>
  </si>
  <si>
    <t>per Month</t>
  </si>
  <si>
    <t>Annual Report</t>
  </si>
  <si>
    <t>Adjusted Trial Balance</t>
  </si>
  <si>
    <t>00461-0000  Meter Water Rev</t>
  </si>
  <si>
    <t>00461-0001  Metered Sales to Residential</t>
  </si>
  <si>
    <t>00461-0002  Metered Sales to Commercial</t>
  </si>
  <si>
    <t>00461-0005  Metered sales to Multiple Family Dw.</t>
  </si>
  <si>
    <t>00470-0000  Forfeited Discounts-Penalties</t>
  </si>
  <si>
    <t>00471-0000  Miscellaneous Service Rev</t>
  </si>
  <si>
    <t>00403-0000  Depreciation Expense</t>
  </si>
  <si>
    <t>00601-0000  Salaries and Wages-Employees</t>
  </si>
  <si>
    <t>00603-0000  Salaries and Wages- Commissioners</t>
  </si>
  <si>
    <t>00604-0000  Employee 401K Simple IRA and Benefits</t>
  </si>
  <si>
    <t>00605-0000  Payroll Taxes</t>
  </si>
  <si>
    <t>00607-0000  Uniforms</t>
  </si>
  <si>
    <t>00610-0000  Purchased Water</t>
  </si>
  <si>
    <t>00615-0000  Purchased Power</t>
  </si>
  <si>
    <t>00620-0000  Materials and Supplies</t>
  </si>
  <si>
    <t>00620-0001  Materials and Supplies-T &amp; D Operation</t>
  </si>
  <si>
    <t>00620-0002  Materials and Supplies-T &amp; D Maintenance</t>
  </si>
  <si>
    <t>00620-0004  Materials and Supplies-General</t>
  </si>
  <si>
    <t>00621-0000  Repairs and Maintenance</t>
  </si>
  <si>
    <t>00622-0000  Utilities</t>
  </si>
  <si>
    <t>00623-0000  Bank Service Charges</t>
  </si>
  <si>
    <t>00625-0000  Telephones &amp; Internet</t>
  </si>
  <si>
    <t>00625-0001  Postage Expenses</t>
  </si>
  <si>
    <t>00626-0000  Education Expense</t>
  </si>
  <si>
    <t>00630-0000  Office Expenses</t>
  </si>
  <si>
    <t>00631-0000  Contractual Services- Engineering</t>
  </si>
  <si>
    <t>00632-0000  Contractual Services- Accounting</t>
  </si>
  <si>
    <t>00633-0000  Contractual Services-Legal</t>
  </si>
  <si>
    <t>00635-0000  Contractual Services- T &amp; D Maintenance</t>
  </si>
  <si>
    <t xml:space="preserve">00650-0001  Trans. Expense - Repairs &amp; Maintenance </t>
  </si>
  <si>
    <t>00650-0002  Transportation Expenses - Fuel</t>
  </si>
  <si>
    <t>00658-0000  Insurance -Workers Compensation</t>
  </si>
  <si>
    <t>00659-0001  Insurance -Employee Group</t>
  </si>
  <si>
    <t>00659-0003  Insurance -General</t>
  </si>
  <si>
    <t xml:space="preserve">00667-0000  Reg Comm Exp- PSC </t>
  </si>
  <si>
    <t>00675-0000  Misc Exp</t>
  </si>
  <si>
    <t>00400-0001  Fee Income - Credit Card Fees</t>
  </si>
  <si>
    <t>00400-0003  Connect Fees</t>
  </si>
  <si>
    <t>00400-0004  Reconnect Fees</t>
  </si>
  <si>
    <t>00400-0006  Returned Check Fee</t>
  </si>
  <si>
    <t>00404-0000  Tower Lease Income</t>
  </si>
  <si>
    <t>Total Discrepancy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</si>
</sst>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</numFmts>
  <fonts count="2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0" fillId="0" borderId="6" xfId="0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3" xfId="1" applyNumberFormat="1" applyFon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165" fontId="3" fillId="0" borderId="0" xfId="5" applyNumberFormat="1" applyFont="1"/>
    <xf numFmtId="3" fontId="3" fillId="0" borderId="0" xfId="0" applyNumberFormat="1" applyFont="1" applyAlignment="1">
      <alignment horizontal="right"/>
    </xf>
    <xf numFmtId="165" fontId="3" fillId="0" borderId="7" xfId="5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1" xfId="5" applyNumberFormat="1" applyFont="1" applyBorder="1"/>
    <xf numFmtId="165" fontId="3" fillId="0" borderId="0" xfId="5" applyNumberFormat="1" applyFont="1" applyBorder="1"/>
    <xf numFmtId="0" fontId="3" fillId="0" borderId="0" xfId="0" applyFont="1" applyAlignment="1">
      <alignment horizontal="centerContinuous"/>
    </xf>
    <xf numFmtId="165" fontId="9" fillId="0" borderId="0" xfId="1" applyNumberFormat="1" applyFont="1"/>
    <xf numFmtId="167" fontId="8" fillId="0" borderId="0" xfId="5" applyNumberFormat="1" applyFont="1" applyBorder="1" applyAlignment="1">
      <alignment horizontal="center"/>
    </xf>
    <xf numFmtId="43" fontId="3" fillId="0" borderId="7" xfId="1" applyFont="1" applyBorder="1"/>
    <xf numFmtId="165" fontId="3" fillId="0" borderId="1" xfId="0" applyNumberFormat="1" applyFont="1" applyBorder="1"/>
    <xf numFmtId="164" fontId="3" fillId="0" borderId="0" xfId="6" applyNumberFormat="1" applyFont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/>
    </xf>
    <xf numFmtId="43" fontId="3" fillId="0" borderId="8" xfId="1" quotePrefix="1" applyFont="1" applyBorder="1" applyAlignment="1">
      <alignment horizontal="center"/>
    </xf>
    <xf numFmtId="43" fontId="3" fillId="0" borderId="1" xfId="1" applyFont="1" applyBorder="1"/>
    <xf numFmtId="43" fontId="3" fillId="0" borderId="5" xfId="1" applyFont="1" applyBorder="1"/>
    <xf numFmtId="166" fontId="3" fillId="0" borderId="8" xfId="3" applyNumberFormat="1" applyFont="1" applyBorder="1"/>
    <xf numFmtId="165" fontId="3" fillId="2" borderId="0" xfId="1" applyNumberFormat="1" applyFont="1" applyFill="1" applyBorder="1"/>
    <xf numFmtId="43" fontId="3" fillId="2" borderId="8" xfId="1" quotePrefix="1" applyFont="1" applyFill="1" applyBorder="1" applyAlignment="1">
      <alignment horizontal="center"/>
    </xf>
    <xf numFmtId="43" fontId="3" fillId="2" borderId="0" xfId="1" applyFont="1" applyFill="1" applyBorder="1"/>
    <xf numFmtId="166" fontId="3" fillId="2" borderId="8" xfId="3" applyNumberFormat="1" applyFont="1" applyFill="1" applyBorder="1"/>
    <xf numFmtId="165" fontId="13" fillId="0" borderId="0" xfId="1" applyNumberFormat="1" applyFont="1"/>
    <xf numFmtId="10" fontId="3" fillId="0" borderId="0" xfId="0" applyNumberFormat="1" applyFont="1"/>
    <xf numFmtId="44" fontId="3" fillId="0" borderId="0" xfId="2" applyFont="1" applyBorder="1"/>
    <xf numFmtId="165" fontId="3" fillId="0" borderId="0" xfId="5" quotePrefix="1" applyNumberFormat="1" applyFont="1"/>
    <xf numFmtId="0" fontId="3" fillId="0" borderId="7" xfId="0" applyFont="1" applyBorder="1"/>
    <xf numFmtId="165" fontId="16" fillId="0" borderId="0" xfId="1" applyNumberFormat="1" applyFont="1"/>
    <xf numFmtId="165" fontId="3" fillId="0" borderId="0" xfId="1" applyNumberFormat="1" applyFont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11" fillId="0" borderId="0" xfId="1" applyNumberFormat="1" applyFont="1" applyAlignment="1">
      <alignment horizontal="centerContinuous" vertical="center"/>
    </xf>
    <xf numFmtId="165" fontId="8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center"/>
    </xf>
    <xf numFmtId="165" fontId="10" fillId="0" borderId="0" xfId="1" quotePrefix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3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0" fontId="3" fillId="0" borderId="0" xfId="3" applyNumberFormat="1" applyFont="1" applyAlignment="1">
      <alignment vertical="center"/>
    </xf>
    <xf numFmtId="165" fontId="3" fillId="0" borderId="6" xfId="5" applyNumberFormat="1" applyFont="1" applyBorder="1"/>
    <xf numFmtId="165" fontId="3" fillId="0" borderId="0" xfId="5" applyNumberFormat="1" applyFont="1" applyBorder="1" applyAlignment="1">
      <alignment horizontal="center"/>
    </xf>
    <xf numFmtId="10" fontId="3" fillId="0" borderId="0" xfId="3" applyNumberFormat="1" applyFont="1" applyBorder="1"/>
    <xf numFmtId="10" fontId="3" fillId="2" borderId="0" xfId="3" applyNumberFormat="1" applyFont="1" applyFill="1" applyBorder="1"/>
    <xf numFmtId="165" fontId="3" fillId="0" borderId="8" xfId="5" applyNumberFormat="1" applyFont="1" applyBorder="1"/>
    <xf numFmtId="165" fontId="7" fillId="0" borderId="7" xfId="5" applyNumberFormat="1" applyFont="1" applyBorder="1" applyAlignment="1">
      <alignment horizontal="center"/>
    </xf>
    <xf numFmtId="165" fontId="3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3" fillId="0" borderId="3" xfId="5" applyNumberFormat="1" applyFont="1" applyBorder="1"/>
    <xf numFmtId="165" fontId="3" fillId="0" borderId="2" xfId="5" applyNumberFormat="1" applyFont="1" applyBorder="1"/>
    <xf numFmtId="165" fontId="3" fillId="0" borderId="4" xfId="5" applyNumberFormat="1" applyFont="1" applyBorder="1"/>
    <xf numFmtId="165" fontId="4" fillId="0" borderId="7" xfId="5" applyNumberFormat="1" applyFont="1" applyBorder="1" applyAlignment="1">
      <alignment horizontal="centerContinuous"/>
    </xf>
    <xf numFmtId="165" fontId="7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3" fontId="11" fillId="0" borderId="7" xfId="0" applyNumberFormat="1" applyFont="1" applyBorder="1" applyAlignment="1">
      <alignment horizontal="centerContinuous" vertical="center"/>
    </xf>
    <xf numFmtId="165" fontId="18" fillId="0" borderId="7" xfId="5" applyNumberFormat="1" applyFont="1" applyBorder="1" applyAlignment="1">
      <alignment horizontal="centerContinuous"/>
    </xf>
    <xf numFmtId="165" fontId="3" fillId="0" borderId="0" xfId="5" applyNumberFormat="1" applyFont="1" applyAlignment="1">
      <alignment horizontal="centerContinuous"/>
    </xf>
    <xf numFmtId="165" fontId="3" fillId="0" borderId="7" xfId="5" applyNumberFormat="1" applyFont="1" applyBorder="1" applyAlignment="1">
      <alignment horizontal="centerContinuous"/>
    </xf>
    <xf numFmtId="165" fontId="3" fillId="0" borderId="9" xfId="5" applyNumberFormat="1" applyFont="1" applyBorder="1" applyAlignment="1">
      <alignment horizontal="left"/>
    </xf>
    <xf numFmtId="165" fontId="3" fillId="0" borderId="3" xfId="5" applyNumberFormat="1" applyFont="1" applyBorder="1" applyAlignment="1">
      <alignment horizontal="left"/>
    </xf>
    <xf numFmtId="165" fontId="3" fillId="0" borderId="2" xfId="5" applyNumberFormat="1" applyFont="1" applyBorder="1" applyAlignment="1">
      <alignment horizontal="left"/>
    </xf>
    <xf numFmtId="165" fontId="3" fillId="0" borderId="4" xfId="5" applyNumberFormat="1" applyFont="1" applyBorder="1" applyAlignment="1">
      <alignment horizontal="left"/>
    </xf>
    <xf numFmtId="165" fontId="3" fillId="0" borderId="10" xfId="5" applyNumberFormat="1" applyFont="1" applyBorder="1"/>
    <xf numFmtId="165" fontId="10" fillId="0" borderId="0" xfId="5" applyNumberFormat="1" applyFont="1" applyAlignment="1">
      <alignment horizontal="center" vertical="center"/>
    </xf>
    <xf numFmtId="165" fontId="7" fillId="0" borderId="8" xfId="5" applyNumberFormat="1" applyFont="1" applyBorder="1" applyAlignment="1">
      <alignment horizontal="center" vertical="center"/>
    </xf>
    <xf numFmtId="165" fontId="7" fillId="0" borderId="0" xfId="5" applyNumberFormat="1" applyFont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3" fillId="0" borderId="10" xfId="5" applyNumberFormat="1" applyFont="1" applyBorder="1" applyAlignment="1">
      <alignment horizontal="left"/>
    </xf>
    <xf numFmtId="165" fontId="3" fillId="0" borderId="7" xfId="5" applyNumberFormat="1" applyFont="1" applyBorder="1" applyAlignment="1">
      <alignment horizontal="center"/>
    </xf>
    <xf numFmtId="165" fontId="3" fillId="0" borderId="0" xfId="5" applyNumberFormat="1" applyFont="1" applyAlignment="1">
      <alignment horizontal="center"/>
    </xf>
    <xf numFmtId="165" fontId="3" fillId="0" borderId="8" xfId="5" applyNumberFormat="1" applyFont="1" applyBorder="1" applyAlignment="1">
      <alignment horizontal="center"/>
    </xf>
    <xf numFmtId="165" fontId="3" fillId="0" borderId="0" xfId="5" quotePrefix="1" applyNumberFormat="1" applyFont="1" applyBorder="1" applyAlignment="1">
      <alignment horizontal="center"/>
    </xf>
    <xf numFmtId="165" fontId="3" fillId="0" borderId="10" xfId="5" quotePrefix="1" applyNumberFormat="1" applyFont="1" applyBorder="1" applyAlignment="1">
      <alignment horizontal="center"/>
    </xf>
    <xf numFmtId="165" fontId="3" fillId="0" borderId="7" xfId="5" quotePrefix="1" applyNumberFormat="1" applyFont="1" applyBorder="1" applyAlignment="1">
      <alignment horizontal="left"/>
    </xf>
    <xf numFmtId="165" fontId="3" fillId="0" borderId="0" xfId="5" quotePrefix="1" applyNumberFormat="1" applyFont="1" applyAlignment="1">
      <alignment horizontal="left"/>
    </xf>
    <xf numFmtId="165" fontId="3" fillId="0" borderId="8" xfId="5" quotePrefix="1" applyNumberFormat="1" applyFont="1" applyBorder="1" applyAlignment="1">
      <alignment horizontal="left"/>
    </xf>
    <xf numFmtId="165" fontId="7" fillId="0" borderId="7" xfId="5" quotePrefix="1" applyNumberFormat="1" applyFont="1" applyBorder="1" applyAlignment="1">
      <alignment horizontal="left"/>
    </xf>
    <xf numFmtId="165" fontId="7" fillId="0" borderId="0" xfId="5" quotePrefix="1" applyNumberFormat="1" applyFont="1" applyAlignment="1">
      <alignment horizontal="left"/>
    </xf>
    <xf numFmtId="165" fontId="7" fillId="0" borderId="8" xfId="5" quotePrefix="1" applyNumberFormat="1" applyFont="1" applyBorder="1" applyAlignment="1">
      <alignment horizontal="left"/>
    </xf>
    <xf numFmtId="164" fontId="7" fillId="0" borderId="0" xfId="6" quotePrefix="1" applyNumberFormat="1" applyFont="1" applyBorder="1" applyAlignment="1">
      <alignment horizontal="left"/>
    </xf>
    <xf numFmtId="165" fontId="7" fillId="0" borderId="11" xfId="5" applyNumberFormat="1" applyFont="1" applyBorder="1" applyAlignment="1">
      <alignment horizontal="right"/>
    </xf>
    <xf numFmtId="165" fontId="7" fillId="0" borderId="5" xfId="5" applyNumberFormat="1" applyFont="1" applyBorder="1" applyAlignment="1">
      <alignment horizontal="right"/>
    </xf>
    <xf numFmtId="165" fontId="7" fillId="0" borderId="1" xfId="5" applyNumberFormat="1" applyFont="1" applyBorder="1" applyAlignment="1">
      <alignment horizontal="right"/>
    </xf>
    <xf numFmtId="165" fontId="7" fillId="0" borderId="6" xfId="5" applyNumberFormat="1" applyFont="1" applyBorder="1" applyAlignment="1">
      <alignment horizontal="right"/>
    </xf>
    <xf numFmtId="165" fontId="7" fillId="0" borderId="8" xfId="5" applyNumberFormat="1" applyFont="1" applyBorder="1" applyAlignment="1">
      <alignment horizontal="right"/>
    </xf>
    <xf numFmtId="165" fontId="7" fillId="0" borderId="7" xfId="5" applyNumberFormat="1" applyFont="1" applyBorder="1" applyAlignment="1">
      <alignment horizontal="right"/>
    </xf>
    <xf numFmtId="165" fontId="7" fillId="0" borderId="0" xfId="5" applyNumberFormat="1" applyFont="1" applyAlignment="1">
      <alignment horizontal="right"/>
    </xf>
    <xf numFmtId="165" fontId="7" fillId="0" borderId="2" xfId="5" applyNumberFormat="1" applyFont="1" applyBorder="1" applyAlignment="1">
      <alignment horizontal="right"/>
    </xf>
    <xf numFmtId="165" fontId="7" fillId="0" borderId="7" xfId="5" applyNumberFormat="1" applyFont="1" applyBorder="1"/>
    <xf numFmtId="164" fontId="7" fillId="0" borderId="0" xfId="6" applyNumberFormat="1" applyFont="1"/>
    <xf numFmtId="165" fontId="7" fillId="0" borderId="0" xfId="5" applyNumberFormat="1" applyFont="1"/>
    <xf numFmtId="165" fontId="7" fillId="0" borderId="0" xfId="5" applyNumberFormat="1" applyFont="1" applyBorder="1"/>
    <xf numFmtId="164" fontId="7" fillId="0" borderId="0" xfId="6" applyNumberFormat="1" applyFont="1" applyBorder="1"/>
    <xf numFmtId="165" fontId="3" fillId="0" borderId="5" xfId="5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3" fontId="3" fillId="0" borderId="2" xfId="0" applyNumberFormat="1" applyFont="1" applyBorder="1"/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3" fillId="0" borderId="1" xfId="0" applyNumberFormat="1" applyFont="1" applyBorder="1"/>
    <xf numFmtId="44" fontId="10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7" fontId="3" fillId="0" borderId="0" xfId="5" applyNumberFormat="1" applyFont="1" applyAlignment="1"/>
    <xf numFmtId="167" fontId="3" fillId="0" borderId="2" xfId="5" applyNumberFormat="1" applyFont="1" applyBorder="1"/>
    <xf numFmtId="167" fontId="3" fillId="0" borderId="0" xfId="5" applyNumberFormat="1" applyFont="1" applyBorder="1" applyAlignment="1"/>
    <xf numFmtId="167" fontId="3" fillId="0" borderId="0" xfId="5" applyNumberFormat="1" applyFont="1" applyBorder="1" applyAlignment="1">
      <alignment horizontal="center"/>
    </xf>
    <xf numFmtId="167" fontId="13" fillId="0" borderId="0" xfId="5" applyNumberFormat="1" applyFont="1" applyBorder="1" applyAlignment="1"/>
    <xf numFmtId="170" fontId="3" fillId="0" borderId="0" xfId="0" applyNumberFormat="1" applyFont="1"/>
    <xf numFmtId="169" fontId="7" fillId="0" borderId="0" xfId="0" applyNumberFormat="1" applyFont="1"/>
    <xf numFmtId="167" fontId="3" fillId="0" borderId="0" xfId="5" quotePrefix="1" applyNumberFormat="1" applyFont="1" applyBorder="1" applyAlignment="1">
      <alignment horizontal="center"/>
    </xf>
    <xf numFmtId="3" fontId="3" fillId="0" borderId="4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4" fontId="3" fillId="0" borderId="7" xfId="0" applyNumberFormat="1" applyFont="1" applyBorder="1"/>
    <xf numFmtId="37" fontId="3" fillId="0" borderId="0" xfId="0" applyNumberFormat="1" applyFont="1" applyAlignment="1">
      <alignment horizontal="center"/>
    </xf>
    <xf numFmtId="164" fontId="3" fillId="0" borderId="0" xfId="6" applyNumberFormat="1" applyFont="1" applyBorder="1"/>
    <xf numFmtId="164" fontId="3" fillId="0" borderId="0" xfId="0" applyNumberFormat="1" applyFont="1"/>
    <xf numFmtId="37" fontId="3" fillId="0" borderId="0" xfId="0" applyNumberFormat="1" applyFont="1"/>
    <xf numFmtId="0" fontId="7" fillId="0" borderId="0" xfId="0" applyFont="1" applyAlignment="1">
      <alignment horizontal="left"/>
    </xf>
    <xf numFmtId="165" fontId="3" fillId="0" borderId="0" xfId="5" applyNumberFormat="1" applyFont="1" applyBorder="1" applyAlignment="1">
      <alignment horizontal="right"/>
    </xf>
    <xf numFmtId="165" fontId="3" fillId="0" borderId="0" xfId="1" applyNumberFormat="1" applyFont="1" applyFill="1" applyAlignment="1">
      <alignment vertical="center"/>
    </xf>
    <xf numFmtId="6" fontId="3" fillId="0" borderId="0" xfId="0" applyNumberFormat="1" applyFont="1"/>
    <xf numFmtId="9" fontId="3" fillId="0" borderId="0" xfId="0" applyNumberFormat="1" applyFont="1"/>
    <xf numFmtId="44" fontId="3" fillId="0" borderId="0" xfId="0" applyNumberFormat="1" applyFont="1"/>
    <xf numFmtId="3" fontId="3" fillId="0" borderId="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7" fillId="0" borderId="0" xfId="0" applyNumberFormat="1" applyFont="1" applyAlignment="1">
      <alignment horizontal="right"/>
    </xf>
    <xf numFmtId="167" fontId="3" fillId="0" borderId="1" xfId="5" applyNumberFormat="1" applyFont="1" applyBorder="1" applyAlignment="1">
      <alignment horizontal="right"/>
    </xf>
    <xf numFmtId="167" fontId="3" fillId="0" borderId="0" xfId="5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3" fillId="0" borderId="0" xfId="5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44" fontId="3" fillId="0" borderId="0" xfId="1" applyNumberFormat="1" applyFont="1" applyBorder="1"/>
    <xf numFmtId="10" fontId="3" fillId="0" borderId="0" xfId="1" applyNumberFormat="1" applyFont="1"/>
    <xf numFmtId="10" fontId="3" fillId="0" borderId="0" xfId="1" applyNumberFormat="1" applyFont="1" applyBorder="1"/>
    <xf numFmtId="165" fontId="9" fillId="0" borderId="0" xfId="0" applyNumberFormat="1" applyFont="1"/>
    <xf numFmtId="164" fontId="3" fillId="0" borderId="0" xfId="2" applyNumberFormat="1" applyFont="1" applyBorder="1"/>
    <xf numFmtId="164" fontId="3" fillId="0" borderId="0" xfId="5" applyNumberFormat="1" applyFont="1" applyFill="1" applyBorder="1" applyAlignment="1">
      <alignment horizontal="right"/>
    </xf>
    <xf numFmtId="0" fontId="7" fillId="0" borderId="0" xfId="0" applyFont="1"/>
    <xf numFmtId="44" fontId="7" fillId="0" borderId="0" xfId="0" applyNumberFormat="1" applyFont="1"/>
    <xf numFmtId="10" fontId="3" fillId="0" borderId="1" xfId="0" applyNumberFormat="1" applyFont="1" applyBorder="1"/>
    <xf numFmtId="165" fontId="7" fillId="0" borderId="0" xfId="1" applyNumberFormat="1" applyFont="1"/>
    <xf numFmtId="44" fontId="7" fillId="0" borderId="0" xfId="1" applyNumberFormat="1" applyFont="1" applyBorder="1"/>
    <xf numFmtId="164" fontId="7" fillId="0" borderId="0" xfId="2" applyNumberFormat="1" applyFont="1" applyBorder="1"/>
    <xf numFmtId="165" fontId="3" fillId="0" borderId="7" xfId="5" applyNumberFormat="1" applyFont="1" applyFill="1" applyBorder="1" applyAlignment="1">
      <alignment horizontal="center"/>
    </xf>
    <xf numFmtId="165" fontId="3" fillId="0" borderId="8" xfId="5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2" applyNumberFormat="1" applyFont="1"/>
    <xf numFmtId="43" fontId="3" fillId="2" borderId="7" xfId="1" applyFont="1" applyFill="1" applyBorder="1"/>
    <xf numFmtId="164" fontId="3" fillId="0" borderId="1" xfId="6" applyNumberFormat="1" applyFont="1" applyBorder="1"/>
    <xf numFmtId="165" fontId="3" fillId="0" borderId="0" xfId="5" applyNumberFormat="1" applyFont="1" applyFill="1" applyBorder="1"/>
    <xf numFmtId="165" fontId="0" fillId="0" borderId="0" xfId="0" applyNumberFormat="1"/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0" borderId="0" xfId="5" applyFont="1"/>
    <xf numFmtId="165" fontId="3" fillId="0" borderId="0" xfId="5" applyNumberFormat="1" applyFont="1" applyAlignment="1">
      <alignment horizontal="right"/>
    </xf>
    <xf numFmtId="165" fontId="3" fillId="0" borderId="1" xfId="5" applyNumberFormat="1" applyFont="1" applyBorder="1" applyAlignment="1">
      <alignment horizontal="right"/>
    </xf>
    <xf numFmtId="43" fontId="3" fillId="0" borderId="0" xfId="0" applyNumberFormat="1" applyFont="1"/>
    <xf numFmtId="165" fontId="3" fillId="0" borderId="0" xfId="5" applyNumberFormat="1" applyFont="1" applyFill="1"/>
    <xf numFmtId="166" fontId="3" fillId="0" borderId="0" xfId="7" applyNumberFormat="1" applyFont="1" applyFill="1"/>
    <xf numFmtId="164" fontId="7" fillId="0" borderId="0" xfId="0" applyNumberFormat="1" applyFont="1" applyAlignment="1">
      <alignment horizontal="right"/>
    </xf>
    <xf numFmtId="0" fontId="19" fillId="0" borderId="0" xfId="0" applyFont="1"/>
    <xf numFmtId="37" fontId="3" fillId="0" borderId="1" xfId="0" applyNumberFormat="1" applyFont="1" applyBorder="1" applyAlignment="1">
      <alignment horizontal="center"/>
    </xf>
    <xf numFmtId="3" fontId="3" fillId="0" borderId="0" xfId="5" applyNumberFormat="1" applyFont="1" applyFill="1"/>
    <xf numFmtId="37" fontId="3" fillId="0" borderId="1" xfId="0" applyNumberFormat="1" applyFont="1" applyBorder="1"/>
    <xf numFmtId="3" fontId="3" fillId="0" borderId="1" xfId="5" applyNumberFormat="1" applyFont="1" applyFill="1" applyBorder="1"/>
    <xf numFmtId="165" fontId="3" fillId="0" borderId="1" xfId="5" applyNumberFormat="1" applyFont="1" applyFill="1" applyBorder="1"/>
    <xf numFmtId="44" fontId="3" fillId="0" borderId="0" xfId="6" applyFont="1"/>
    <xf numFmtId="0" fontId="3" fillId="0" borderId="1" xfId="0" applyFont="1" applyBorder="1"/>
    <xf numFmtId="44" fontId="3" fillId="0" borderId="1" xfId="6" applyFont="1" applyBorder="1"/>
    <xf numFmtId="166" fontId="3" fillId="0" borderId="0" xfId="7" applyNumberFormat="1" applyFont="1"/>
    <xf numFmtId="0" fontId="3" fillId="0" borderId="0" xfId="0" quotePrefix="1" applyFont="1" applyAlignment="1">
      <alignment horizontal="center"/>
    </xf>
    <xf numFmtId="164" fontId="3" fillId="0" borderId="0" xfId="2" applyNumberFormat="1" applyFont="1"/>
    <xf numFmtId="165" fontId="10" fillId="0" borderId="0" xfId="1" applyNumberFormat="1" applyFont="1"/>
    <xf numFmtId="10" fontId="3" fillId="0" borderId="0" xfId="3" applyNumberFormat="1" applyFont="1"/>
    <xf numFmtId="0" fontId="18" fillId="0" borderId="0" xfId="0" applyFont="1"/>
    <xf numFmtId="0" fontId="3" fillId="0" borderId="6" xfId="0" applyFont="1" applyBorder="1"/>
    <xf numFmtId="0" fontId="3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/>
    <xf numFmtId="165" fontId="3" fillId="0" borderId="0" xfId="5" applyNumberFormat="1" applyFont="1" applyBorder="1" applyAlignment="1"/>
    <xf numFmtId="44" fontId="3" fillId="0" borderId="0" xfId="6" applyFont="1" applyBorder="1" applyAlignment="1"/>
    <xf numFmtId="44" fontId="3" fillId="0" borderId="7" xfId="0" applyNumberFormat="1" applyFont="1" applyBorder="1"/>
    <xf numFmtId="10" fontId="3" fillId="0" borderId="8" xfId="7" applyNumberFormat="1" applyFont="1" applyBorder="1" applyAlignment="1">
      <alignment horizontal="center"/>
    </xf>
    <xf numFmtId="44" fontId="18" fillId="0" borderId="0" xfId="0" applyNumberFormat="1" applyFont="1"/>
    <xf numFmtId="43" fontId="18" fillId="0" borderId="0" xfId="5" applyFont="1" applyAlignment="1"/>
    <xf numFmtId="165" fontId="3" fillId="0" borderId="1" xfId="5" applyNumberFormat="1" applyFont="1" applyBorder="1" applyAlignment="1"/>
    <xf numFmtId="165" fontId="18" fillId="0" borderId="0" xfId="5" applyNumberFormat="1" applyFont="1" applyAlignment="1"/>
    <xf numFmtId="0" fontId="6" fillId="0" borderId="0" xfId="0" applyFont="1" applyAlignment="1">
      <alignment horizontal="center"/>
    </xf>
    <xf numFmtId="165" fontId="3" fillId="0" borderId="0" xfId="5" applyNumberFormat="1" applyFont="1" applyAlignment="1"/>
    <xf numFmtId="166" fontId="3" fillId="0" borderId="0" xfId="7" applyNumberFormat="1" applyFont="1" applyAlignment="1"/>
    <xf numFmtId="43" fontId="3" fillId="0" borderId="0" xfId="5" applyFont="1" applyAlignment="1"/>
    <xf numFmtId="165" fontId="3" fillId="0" borderId="0" xfId="1" applyNumberFormat="1" applyFont="1" applyFill="1" applyBorder="1"/>
    <xf numFmtId="43" fontId="3" fillId="0" borderId="8" xfId="1" quotePrefix="1" applyFont="1" applyFill="1" applyBorder="1" applyAlignment="1">
      <alignment horizontal="center"/>
    </xf>
    <xf numFmtId="43" fontId="3" fillId="0" borderId="7" xfId="1" applyFont="1" applyFill="1" applyBorder="1"/>
    <xf numFmtId="43" fontId="3" fillId="0" borderId="0" xfId="1" applyFont="1" applyFill="1" applyBorder="1"/>
    <xf numFmtId="10" fontId="3" fillId="0" borderId="0" xfId="3" applyNumberFormat="1" applyFont="1" applyFill="1" applyBorder="1"/>
    <xf numFmtId="166" fontId="3" fillId="0" borderId="8" xfId="3" applyNumberFormat="1" applyFont="1" applyFill="1" applyBorder="1"/>
    <xf numFmtId="165" fontId="4" fillId="0" borderId="0" xfId="1" applyNumberFormat="1" applyFont="1" applyAlignment="1">
      <alignment horizontal="center" vertical="center"/>
    </xf>
    <xf numFmtId="165" fontId="10" fillId="0" borderId="7" xfId="5" applyNumberFormat="1" applyFont="1" applyBorder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7" fontId="8" fillId="0" borderId="0" xfId="5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43" fontId="22" fillId="0" borderId="0" xfId="1" applyFont="1" applyAlignment="1">
      <alignment horizontal="left" vertical="top"/>
    </xf>
    <xf numFmtId="0" fontId="23" fillId="0" borderId="0" xfId="0" applyFont="1"/>
    <xf numFmtId="0" fontId="21" fillId="0" borderId="0" xfId="0" applyFont="1"/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showGridLines="0" tabSelected="1" workbookViewId="0">
      <selection activeCell="D6" sqref="D6:D7"/>
    </sheetView>
  </sheetViews>
  <sheetFormatPr defaultColWidth="8.77734375" defaultRowHeight="15" x14ac:dyDescent="0.2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11" width="11.33203125" style="7" customWidth="1"/>
    <col min="12" max="12" width="10.88671875" style="7" customWidth="1"/>
    <col min="13" max="16384" width="8.77734375" style="7"/>
  </cols>
  <sheetData>
    <row r="1" spans="1:12" ht="18.75" x14ac:dyDescent="0.25">
      <c r="A1" s="245" t="s">
        <v>26</v>
      </c>
      <c r="B1" s="245"/>
      <c r="C1" s="245"/>
      <c r="D1" s="245"/>
      <c r="E1" s="245"/>
      <c r="F1" s="245"/>
      <c r="G1" s="245"/>
      <c r="H1" s="52"/>
      <c r="I1" s="52"/>
      <c r="J1" s="52"/>
      <c r="K1" s="52"/>
    </row>
    <row r="2" spans="1:12" ht="15.75" x14ac:dyDescent="0.25">
      <c r="A2" s="53" t="s">
        <v>154</v>
      </c>
      <c r="B2" s="51"/>
      <c r="C2" s="51"/>
      <c r="D2" s="51"/>
      <c r="E2" s="51"/>
      <c r="F2" s="51"/>
      <c r="G2" s="51"/>
      <c r="H2" s="52"/>
      <c r="I2" s="52"/>
      <c r="J2" s="52"/>
      <c r="K2" s="52"/>
      <c r="L2" s="52"/>
    </row>
    <row r="3" spans="1:12" x14ac:dyDescent="0.25">
      <c r="A3" s="45"/>
      <c r="B3" s="51"/>
      <c r="C3" s="51"/>
      <c r="D3" s="51"/>
      <c r="E3" s="51"/>
      <c r="F3" s="51"/>
      <c r="G3" s="51"/>
      <c r="H3" s="52"/>
      <c r="I3" s="52"/>
      <c r="J3" s="52"/>
      <c r="K3" s="52"/>
    </row>
    <row r="4" spans="1:12" ht="17.25" x14ac:dyDescent="0.25">
      <c r="A4" s="52"/>
      <c r="B4" s="52"/>
      <c r="C4" s="52"/>
      <c r="D4" s="54" t="s">
        <v>27</v>
      </c>
      <c r="E4" s="54" t="s">
        <v>28</v>
      </c>
      <c r="F4" s="54" t="s">
        <v>29</v>
      </c>
      <c r="G4" s="54" t="s">
        <v>30</v>
      </c>
      <c r="H4" s="52"/>
      <c r="I4" s="67" t="s">
        <v>36</v>
      </c>
      <c r="J4" s="52"/>
      <c r="K4" s="52"/>
    </row>
    <row r="5" spans="1:12" x14ac:dyDescent="0.25">
      <c r="A5" s="55" t="s">
        <v>14</v>
      </c>
      <c r="B5" s="52"/>
      <c r="C5" s="52"/>
      <c r="D5" s="52"/>
      <c r="F5" s="52"/>
      <c r="G5" s="52"/>
      <c r="H5" s="52"/>
      <c r="J5" s="52"/>
      <c r="K5" s="52"/>
    </row>
    <row r="6" spans="1:12" x14ac:dyDescent="0.25">
      <c r="A6" s="52"/>
      <c r="B6" s="52" t="s">
        <v>38</v>
      </c>
      <c r="C6" s="52"/>
      <c r="D6" s="52">
        <v>862702</v>
      </c>
      <c r="E6" s="52">
        <f>ExBA!G18</f>
        <v>12881.616999999853</v>
      </c>
      <c r="F6" s="56" t="s">
        <v>189</v>
      </c>
      <c r="G6" s="52">
        <f>D6+E6</f>
        <v>875583.61699999985</v>
      </c>
      <c r="H6" s="57"/>
      <c r="I6" s="52"/>
      <c r="J6" s="52"/>
      <c r="K6" s="52"/>
    </row>
    <row r="7" spans="1:12" x14ac:dyDescent="0.25">
      <c r="A7" s="52"/>
      <c r="B7" s="52" t="s">
        <v>156</v>
      </c>
      <c r="C7" s="52"/>
      <c r="D7" s="52">
        <v>3274</v>
      </c>
      <c r="E7" s="52"/>
      <c r="F7" s="56"/>
      <c r="G7" s="52">
        <f>D7+E7</f>
        <v>3274</v>
      </c>
      <c r="H7" s="58"/>
      <c r="I7" s="50"/>
      <c r="J7" s="52"/>
      <c r="K7" s="52"/>
    </row>
    <row r="8" spans="1:12" x14ac:dyDescent="0.25">
      <c r="A8" s="52"/>
      <c r="B8" s="52" t="s">
        <v>15</v>
      </c>
      <c r="C8" s="52"/>
      <c r="D8" s="52"/>
      <c r="E8" s="52"/>
      <c r="F8" s="56"/>
      <c r="G8" s="52"/>
      <c r="H8" s="59"/>
      <c r="I8" s="52"/>
      <c r="J8" s="52"/>
      <c r="K8" s="52"/>
    </row>
    <row r="9" spans="1:12" x14ac:dyDescent="0.25">
      <c r="A9" s="52"/>
      <c r="B9" s="52"/>
      <c r="C9" s="52" t="s">
        <v>37</v>
      </c>
      <c r="D9" s="52">
        <v>14297</v>
      </c>
      <c r="E9" s="52"/>
      <c r="F9" s="56"/>
      <c r="G9" s="52">
        <f>D9+E9</f>
        <v>14297</v>
      </c>
      <c r="H9" s="57"/>
      <c r="I9" s="52"/>
      <c r="J9" s="52"/>
      <c r="K9" s="52"/>
    </row>
    <row r="10" spans="1:12" x14ac:dyDescent="0.25">
      <c r="A10" s="52"/>
      <c r="C10" s="52" t="s">
        <v>16</v>
      </c>
      <c r="D10" s="52">
        <v>16622</v>
      </c>
      <c r="E10" s="52"/>
      <c r="F10" s="56"/>
      <c r="G10" s="52">
        <f>D10+E10</f>
        <v>16622</v>
      </c>
      <c r="H10" s="57"/>
      <c r="J10" s="52"/>
      <c r="K10" s="52"/>
    </row>
    <row r="11" spans="1:12" ht="17.25" x14ac:dyDescent="0.25">
      <c r="A11" s="52"/>
      <c r="C11" s="52" t="s">
        <v>157</v>
      </c>
      <c r="D11" s="76">
        <v>2400</v>
      </c>
      <c r="E11" s="52"/>
      <c r="F11" s="56"/>
      <c r="G11" s="76">
        <f>D11+E11</f>
        <v>2400</v>
      </c>
      <c r="H11" s="58"/>
      <c r="I11" s="52"/>
      <c r="J11" s="52"/>
      <c r="K11" s="52"/>
    </row>
    <row r="12" spans="1:12" x14ac:dyDescent="0.25">
      <c r="A12" s="60" t="s">
        <v>17</v>
      </c>
      <c r="B12" s="52"/>
      <c r="C12" s="52"/>
      <c r="D12" s="52">
        <f>SUM(D6:D11)</f>
        <v>899295</v>
      </c>
      <c r="E12" s="52"/>
      <c r="F12" s="56"/>
      <c r="G12" s="52">
        <f>SUM(G6:G11)</f>
        <v>912176.61699999985</v>
      </c>
      <c r="H12" s="59"/>
      <c r="J12" s="52"/>
      <c r="K12" s="52"/>
    </row>
    <row r="13" spans="1:12" x14ac:dyDescent="0.25">
      <c r="A13" s="52"/>
      <c r="B13" s="52"/>
      <c r="C13" s="52"/>
      <c r="D13" s="52"/>
      <c r="E13" s="52"/>
      <c r="F13" s="56"/>
      <c r="G13" s="52"/>
      <c r="H13" s="59"/>
      <c r="I13" s="52"/>
      <c r="J13" s="52"/>
      <c r="K13" s="52"/>
    </row>
    <row r="14" spans="1:12" x14ac:dyDescent="0.25">
      <c r="A14" s="55" t="s">
        <v>18</v>
      </c>
      <c r="B14" s="52"/>
      <c r="C14" s="52"/>
      <c r="D14" s="52"/>
      <c r="E14" s="52"/>
      <c r="F14" s="56"/>
      <c r="G14" s="52"/>
      <c r="H14" s="59"/>
      <c r="I14" s="52"/>
      <c r="J14" s="52"/>
      <c r="K14" s="52"/>
    </row>
    <row r="15" spans="1:12" x14ac:dyDescent="0.25">
      <c r="A15" s="52"/>
      <c r="B15" s="52" t="s">
        <v>31</v>
      </c>
      <c r="C15" s="52"/>
      <c r="D15" s="52"/>
      <c r="E15" s="52"/>
      <c r="F15" s="56"/>
      <c r="G15" s="52"/>
      <c r="H15" s="59"/>
      <c r="I15" s="52"/>
      <c r="J15" s="52"/>
      <c r="K15" s="52"/>
    </row>
    <row r="16" spans="1:12" x14ac:dyDescent="0.25">
      <c r="A16" s="52"/>
      <c r="B16" s="52"/>
      <c r="C16" s="52" t="s">
        <v>2</v>
      </c>
      <c r="D16" s="52">
        <v>251567</v>
      </c>
      <c r="E16" s="157">
        <f>-Capital!C5</f>
        <v>-3300</v>
      </c>
      <c r="F16" s="61" t="s">
        <v>190</v>
      </c>
      <c r="G16" s="52">
        <f>SUM(D16:E16)</f>
        <v>248267</v>
      </c>
      <c r="H16" s="57"/>
      <c r="I16" s="52"/>
      <c r="J16" s="52"/>
      <c r="K16" s="52"/>
    </row>
    <row r="17" spans="1:11" x14ac:dyDescent="0.25">
      <c r="A17" s="52"/>
      <c r="B17" s="52"/>
      <c r="C17" s="52" t="s">
        <v>3</v>
      </c>
      <c r="D17" s="52">
        <v>10800</v>
      </c>
      <c r="E17" s="157"/>
      <c r="F17" s="56"/>
      <c r="G17" s="52">
        <f t="shared" ref="G17:G28" si="0">D17+E17</f>
        <v>10800</v>
      </c>
      <c r="H17" s="57"/>
    </row>
    <row r="18" spans="1:11" x14ac:dyDescent="0.25">
      <c r="A18" s="52"/>
      <c r="B18" s="52"/>
      <c r="C18" s="52" t="s">
        <v>4</v>
      </c>
      <c r="D18" s="52">
        <v>47347</v>
      </c>
      <c r="E18" s="157"/>
      <c r="F18" s="61"/>
      <c r="G18" s="52">
        <f>D18+E18</f>
        <v>47347</v>
      </c>
      <c r="H18" s="57"/>
      <c r="I18" s="52"/>
      <c r="J18" s="52"/>
      <c r="K18" s="52"/>
    </row>
    <row r="19" spans="1:11" x14ac:dyDescent="0.25">
      <c r="A19" s="52"/>
      <c r="B19" s="52"/>
      <c r="C19" s="52" t="s">
        <v>5</v>
      </c>
      <c r="D19" s="52">
        <v>459978</v>
      </c>
      <c r="E19" s="157">
        <f>-'Purchased Water'!D31</f>
        <v>-10275.220385863586</v>
      </c>
      <c r="F19" s="61" t="s">
        <v>191</v>
      </c>
      <c r="G19" s="52">
        <f>SUM(D19:E19)</f>
        <v>449702.77961413644</v>
      </c>
      <c r="H19" s="62"/>
    </row>
    <row r="20" spans="1:11" x14ac:dyDescent="0.25">
      <c r="A20" s="52"/>
      <c r="B20" s="52"/>
      <c r="C20" s="52" t="s">
        <v>6</v>
      </c>
      <c r="D20" s="52">
        <v>17355</v>
      </c>
      <c r="E20" s="52">
        <f>-'Purchased Water'!D32</f>
        <v>-387.68473665406287</v>
      </c>
      <c r="F20" s="61" t="str">
        <f>F19</f>
        <v>(C)</v>
      </c>
      <c r="G20" s="52">
        <f t="shared" si="0"/>
        <v>16967.315263345936</v>
      </c>
      <c r="H20" s="63"/>
      <c r="J20" s="52"/>
      <c r="K20" s="52"/>
    </row>
    <row r="21" spans="1:11" x14ac:dyDescent="0.25">
      <c r="A21" s="52"/>
      <c r="B21" s="52"/>
      <c r="C21" s="52" t="s">
        <v>71</v>
      </c>
      <c r="D21" s="52"/>
      <c r="E21" s="52"/>
      <c r="F21" s="61"/>
      <c r="G21" s="52">
        <f t="shared" si="0"/>
        <v>0</v>
      </c>
      <c r="H21" s="63"/>
      <c r="J21" s="52"/>
      <c r="K21" s="52"/>
    </row>
    <row r="22" spans="1:11" x14ac:dyDescent="0.25">
      <c r="A22" s="52"/>
      <c r="B22" s="52"/>
      <c r="C22" s="52" t="s">
        <v>7</v>
      </c>
      <c r="D22" s="52">
        <v>45861</v>
      </c>
      <c r="E22" s="52">
        <f>-Capital!C6</f>
        <v>-7699.9999999999991</v>
      </c>
      <c r="F22" s="61" t="str">
        <f>F16</f>
        <v>(B)</v>
      </c>
      <c r="G22" s="52">
        <f t="shared" si="0"/>
        <v>38161</v>
      </c>
      <c r="H22" s="57"/>
      <c r="I22" s="52"/>
      <c r="J22" s="52"/>
      <c r="K22" s="52"/>
    </row>
    <row r="23" spans="1:11" x14ac:dyDescent="0.25">
      <c r="A23" s="52"/>
      <c r="B23" s="52"/>
      <c r="C23" s="52" t="s">
        <v>8</v>
      </c>
      <c r="D23" s="52">
        <v>14808</v>
      </c>
      <c r="E23" s="52"/>
      <c r="F23" s="61"/>
      <c r="G23" s="52">
        <f t="shared" si="0"/>
        <v>14808</v>
      </c>
      <c r="H23" s="57"/>
      <c r="I23" s="52"/>
      <c r="J23" s="52"/>
      <c r="K23" s="52"/>
    </row>
    <row r="24" spans="1:11" x14ac:dyDescent="0.25">
      <c r="A24" s="52"/>
      <c r="B24" s="52"/>
      <c r="C24" s="52" t="s">
        <v>10</v>
      </c>
      <c r="D24" s="52">
        <v>14555</v>
      </c>
      <c r="E24" s="52"/>
      <c r="F24" s="61"/>
      <c r="G24" s="52">
        <f t="shared" si="0"/>
        <v>14555</v>
      </c>
      <c r="H24" s="59"/>
      <c r="I24" s="52"/>
      <c r="J24" s="52"/>
      <c r="K24" s="52"/>
    </row>
    <row r="25" spans="1:11" x14ac:dyDescent="0.25">
      <c r="A25" s="52"/>
      <c r="B25" s="52"/>
      <c r="C25" s="52" t="s">
        <v>32</v>
      </c>
      <c r="D25" s="52">
        <v>12123</v>
      </c>
      <c r="E25" s="52"/>
      <c r="F25" s="61"/>
      <c r="G25" s="52">
        <f t="shared" si="0"/>
        <v>12123</v>
      </c>
      <c r="H25" s="59"/>
      <c r="I25" s="52"/>
      <c r="J25" s="52"/>
      <c r="K25" s="52"/>
    </row>
    <row r="26" spans="1:11" x14ac:dyDescent="0.25">
      <c r="A26" s="52"/>
      <c r="B26" s="52"/>
      <c r="C26" s="52" t="s">
        <v>55</v>
      </c>
      <c r="D26" s="52">
        <v>2942</v>
      </c>
      <c r="E26" s="52"/>
      <c r="F26" s="61"/>
      <c r="G26" s="52">
        <f t="shared" si="0"/>
        <v>2942</v>
      </c>
      <c r="H26" s="59"/>
      <c r="I26" s="52"/>
      <c r="J26" s="52"/>
      <c r="K26" s="52"/>
    </row>
    <row r="27" spans="1:11" x14ac:dyDescent="0.25">
      <c r="A27" s="52"/>
      <c r="B27" s="52"/>
      <c r="C27" s="52" t="s">
        <v>56</v>
      </c>
      <c r="D27" s="52">
        <v>1267</v>
      </c>
      <c r="E27" s="52"/>
      <c r="F27" s="56"/>
      <c r="G27" s="52">
        <f t="shared" si="0"/>
        <v>1267</v>
      </c>
      <c r="H27" s="59"/>
      <c r="I27" s="52"/>
      <c r="J27" s="52"/>
      <c r="K27" s="52"/>
    </row>
    <row r="28" spans="1:11" ht="17.25" x14ac:dyDescent="0.25">
      <c r="A28" s="52"/>
      <c r="B28" s="52"/>
      <c r="C28" s="52" t="s">
        <v>9</v>
      </c>
      <c r="D28" s="76">
        <v>31192</v>
      </c>
      <c r="E28" s="75"/>
      <c r="F28" s="61"/>
      <c r="G28" s="76">
        <f t="shared" si="0"/>
        <v>31192</v>
      </c>
      <c r="H28" s="59"/>
      <c r="I28" s="52"/>
      <c r="J28" s="52"/>
      <c r="K28" s="52"/>
    </row>
    <row r="29" spans="1:11" x14ac:dyDescent="0.25">
      <c r="A29" s="52"/>
      <c r="B29" s="52" t="s">
        <v>33</v>
      </c>
      <c r="C29" s="52"/>
      <c r="D29" s="52">
        <f>SUM(D16:D28)</f>
        <v>909795</v>
      </c>
      <c r="E29" s="52"/>
      <c r="F29" s="56"/>
      <c r="G29" s="52">
        <f>SUM(G16:G28)</f>
        <v>888132.09487748239</v>
      </c>
      <c r="H29" s="59"/>
      <c r="I29" s="52"/>
      <c r="J29" s="52"/>
      <c r="K29" s="52"/>
    </row>
    <row r="30" spans="1:11" ht="4.3499999999999996" customHeight="1" x14ac:dyDescent="0.25">
      <c r="A30" s="52"/>
      <c r="B30" s="52"/>
      <c r="C30" s="52"/>
      <c r="D30" s="52"/>
      <c r="E30" s="52"/>
      <c r="F30" s="56"/>
      <c r="G30" s="52"/>
      <c r="H30" s="59"/>
      <c r="I30" s="52"/>
      <c r="J30" s="52"/>
      <c r="K30" s="52"/>
    </row>
    <row r="31" spans="1:11" x14ac:dyDescent="0.25">
      <c r="A31" s="52"/>
      <c r="B31" s="52" t="s">
        <v>19</v>
      </c>
      <c r="C31" s="52"/>
      <c r="D31" s="52">
        <v>73097</v>
      </c>
      <c r="E31" s="52">
        <f>Depreciation!F50</f>
        <v>3565.3433650793595</v>
      </c>
      <c r="F31" s="56" t="s">
        <v>192</v>
      </c>
      <c r="G31" s="52">
        <f>D31+E31</f>
        <v>76662.34336507936</v>
      </c>
      <c r="H31" s="59"/>
      <c r="I31" s="52"/>
      <c r="J31" s="52"/>
    </row>
    <row r="32" spans="1:11" ht="17.25" x14ac:dyDescent="0.25">
      <c r="A32" s="52"/>
      <c r="B32" s="52" t="s">
        <v>1</v>
      </c>
      <c r="C32" s="52"/>
      <c r="D32" s="76">
        <v>21433</v>
      </c>
      <c r="E32" s="75"/>
      <c r="F32" s="77"/>
      <c r="G32" s="76">
        <f>D32+E32</f>
        <v>21433</v>
      </c>
      <c r="H32" s="59"/>
      <c r="I32" s="52"/>
      <c r="J32" s="52"/>
    </row>
    <row r="33" spans="1:11" ht="17.25" x14ac:dyDescent="0.25">
      <c r="A33" s="60" t="s">
        <v>0</v>
      </c>
      <c r="B33" s="52"/>
      <c r="C33" s="52"/>
      <c r="D33" s="76">
        <f>SUM(D29:D32)</f>
        <v>1004325</v>
      </c>
      <c r="E33" s="75"/>
      <c r="F33" s="77"/>
      <c r="G33" s="76">
        <f>SUM(G29:G32)</f>
        <v>986227.43824256177</v>
      </c>
      <c r="H33" s="59"/>
      <c r="I33" s="52"/>
      <c r="J33" s="52"/>
      <c r="K33" s="52"/>
    </row>
    <row r="34" spans="1:11" ht="4.3499999999999996" customHeight="1" x14ac:dyDescent="0.25">
      <c r="A34" s="60"/>
      <c r="B34" s="52"/>
      <c r="C34" s="52"/>
      <c r="D34" s="78"/>
      <c r="E34" s="52"/>
      <c r="F34" s="56"/>
      <c r="G34" s="52"/>
      <c r="H34" s="52"/>
      <c r="I34" s="52"/>
      <c r="J34" s="52"/>
      <c r="K34" s="52"/>
    </row>
    <row r="35" spans="1:11" x14ac:dyDescent="0.25">
      <c r="A35" s="60" t="s">
        <v>34</v>
      </c>
      <c r="B35" s="52"/>
      <c r="C35" s="52"/>
      <c r="D35" s="52">
        <f>D12-D33</f>
        <v>-105030</v>
      </c>
      <c r="E35" s="52"/>
      <c r="F35" s="56"/>
      <c r="G35" s="52">
        <f>G12-G33</f>
        <v>-74050.821242561913</v>
      </c>
      <c r="H35" s="52"/>
      <c r="I35" s="52"/>
      <c r="K35" s="52"/>
    </row>
    <row r="36" spans="1:11" x14ac:dyDescent="0.25">
      <c r="A36" s="52"/>
      <c r="B36" s="52"/>
      <c r="C36" s="52"/>
      <c r="D36" s="52"/>
      <c r="E36" s="52"/>
      <c r="F36" s="56"/>
      <c r="G36" s="52"/>
      <c r="H36" s="52"/>
      <c r="I36" s="52"/>
      <c r="J36" s="52"/>
      <c r="K36" s="52"/>
    </row>
    <row r="37" spans="1:11" ht="18.75" x14ac:dyDescent="0.25">
      <c r="A37" s="245" t="s">
        <v>20</v>
      </c>
      <c r="B37" s="245"/>
      <c r="C37" s="245"/>
      <c r="D37" s="245"/>
      <c r="E37" s="245"/>
      <c r="F37" s="245"/>
      <c r="G37" s="245"/>
      <c r="H37" s="52"/>
      <c r="I37" s="64"/>
      <c r="J37" s="65"/>
      <c r="K37" s="52"/>
    </row>
    <row r="38" spans="1:11" x14ac:dyDescent="0.25">
      <c r="A38" s="60" t="s">
        <v>35</v>
      </c>
      <c r="B38" s="52"/>
      <c r="C38" s="52"/>
      <c r="D38" s="66"/>
      <c r="E38" s="52"/>
      <c r="F38" s="61"/>
      <c r="G38" s="7">
        <f>G33</f>
        <v>986227.43824256177</v>
      </c>
      <c r="H38" s="52"/>
      <c r="J38" s="52"/>
      <c r="K38" s="52"/>
    </row>
    <row r="39" spans="1:11" x14ac:dyDescent="0.25">
      <c r="A39" s="52" t="s">
        <v>214</v>
      </c>
      <c r="B39" s="52"/>
      <c r="C39" s="52"/>
      <c r="D39" s="66"/>
      <c r="E39" s="52"/>
      <c r="F39" s="61"/>
      <c r="G39" s="38">
        <v>0.88</v>
      </c>
      <c r="H39" s="52"/>
      <c r="J39" s="52"/>
      <c r="K39" s="52"/>
    </row>
    <row r="40" spans="1:11" x14ac:dyDescent="0.25">
      <c r="A40" s="60" t="s">
        <v>59</v>
      </c>
      <c r="B40" s="52"/>
      <c r="C40" s="52"/>
      <c r="D40" s="66"/>
      <c r="E40" s="52"/>
      <c r="F40" s="61"/>
      <c r="G40" s="7">
        <f>G38/G39</f>
        <v>1120712.998002911</v>
      </c>
      <c r="H40" s="52"/>
      <c r="J40" s="52"/>
      <c r="K40" s="52"/>
    </row>
    <row r="41" spans="1:11" x14ac:dyDescent="0.25">
      <c r="A41" s="52" t="s">
        <v>21</v>
      </c>
      <c r="B41" s="52"/>
      <c r="C41" s="52" t="s">
        <v>22</v>
      </c>
      <c r="D41" s="66"/>
      <c r="E41" s="52"/>
      <c r="F41" s="61"/>
      <c r="G41" s="7">
        <f>SUM(G9:G11)</f>
        <v>33319</v>
      </c>
      <c r="H41" s="52"/>
      <c r="J41" s="52"/>
      <c r="K41" s="52"/>
    </row>
    <row r="42" spans="1:11" x14ac:dyDescent="0.25">
      <c r="A42" s="52"/>
      <c r="B42" s="52"/>
      <c r="C42" s="52" t="s">
        <v>156</v>
      </c>
      <c r="D42" s="66"/>
      <c r="E42" s="52"/>
      <c r="F42" s="61"/>
      <c r="G42" s="7">
        <f>G7</f>
        <v>3274</v>
      </c>
      <c r="H42" s="52"/>
      <c r="J42" s="52"/>
      <c r="K42" s="52"/>
    </row>
    <row r="43" spans="1:11" x14ac:dyDescent="0.25">
      <c r="A43" s="52"/>
      <c r="B43" s="52"/>
      <c r="C43" s="52" t="s">
        <v>160</v>
      </c>
      <c r="D43" s="66"/>
      <c r="E43" s="52"/>
      <c r="F43" s="61" t="s">
        <v>193</v>
      </c>
      <c r="G43" s="7">
        <v>0</v>
      </c>
      <c r="H43" s="52"/>
      <c r="J43" s="52"/>
      <c r="K43" s="52"/>
    </row>
    <row r="44" spans="1:11" x14ac:dyDescent="0.25">
      <c r="A44" s="52"/>
      <c r="B44" s="52"/>
      <c r="C44" s="52" t="s">
        <v>12</v>
      </c>
      <c r="D44" s="66"/>
      <c r="E44" s="52"/>
      <c r="F44" s="61"/>
      <c r="G44" s="30">
        <v>4258</v>
      </c>
      <c r="H44" s="52"/>
      <c r="I44" s="30"/>
      <c r="J44" s="52"/>
      <c r="K44" s="52"/>
    </row>
    <row r="45" spans="1:11" x14ac:dyDescent="0.25">
      <c r="A45" s="60" t="s">
        <v>57</v>
      </c>
      <c r="B45" s="52"/>
      <c r="C45" s="52"/>
      <c r="D45" s="66"/>
      <c r="E45" s="52"/>
      <c r="F45" s="61"/>
      <c r="G45" s="7">
        <f>G40-G41-G42-G44-G43</f>
        <v>1079861.998002911</v>
      </c>
      <c r="H45" s="52"/>
      <c r="J45" s="52"/>
      <c r="K45" s="52"/>
    </row>
    <row r="46" spans="1:11" ht="17.25" x14ac:dyDescent="0.4">
      <c r="A46" s="52" t="s">
        <v>21</v>
      </c>
      <c r="B46" s="52"/>
      <c r="C46" s="52" t="s">
        <v>58</v>
      </c>
      <c r="D46" s="66"/>
      <c r="E46" s="52"/>
      <c r="F46" s="61"/>
      <c r="G46" s="25">
        <f>G6</f>
        <v>875583.61699999985</v>
      </c>
      <c r="H46" s="52"/>
      <c r="I46" s="30"/>
      <c r="J46" s="52"/>
      <c r="K46" s="52"/>
    </row>
    <row r="47" spans="1:11" x14ac:dyDescent="0.25">
      <c r="A47" s="60" t="s">
        <v>60</v>
      </c>
      <c r="B47" s="52"/>
      <c r="C47" s="52"/>
      <c r="D47" s="66"/>
      <c r="E47" s="52"/>
      <c r="F47" s="61"/>
      <c r="G47" s="52">
        <f>G45-G46</f>
        <v>204278.38100291113</v>
      </c>
      <c r="H47" s="52"/>
      <c r="I47" s="52"/>
      <c r="J47" s="52"/>
      <c r="K47" s="52"/>
    </row>
    <row r="48" spans="1:11" ht="4.3499999999999996" customHeight="1" x14ac:dyDescent="0.25">
      <c r="A48" s="52"/>
      <c r="B48" s="52"/>
      <c r="C48" s="52"/>
      <c r="D48" s="66"/>
      <c r="E48" s="52"/>
      <c r="F48" s="61"/>
      <c r="G48" s="52"/>
      <c r="H48" s="52"/>
      <c r="I48" s="52"/>
      <c r="J48" s="52"/>
      <c r="K48" s="52"/>
    </row>
    <row r="49" spans="1:11" x14ac:dyDescent="0.25">
      <c r="A49" s="60" t="s">
        <v>61</v>
      </c>
      <c r="B49" s="52"/>
      <c r="C49" s="52"/>
      <c r="D49" s="66"/>
      <c r="E49" s="52"/>
      <c r="F49" s="61"/>
      <c r="G49" s="68">
        <f>IF(G47&lt;0,0,G47/G46)</f>
        <v>0.23330539429555266</v>
      </c>
      <c r="H49" s="52"/>
      <c r="I49" s="52"/>
      <c r="J49" s="52"/>
      <c r="K49" s="52"/>
    </row>
    <row r="52" spans="1:11" x14ac:dyDescent="0.25">
      <c r="A52" s="60"/>
      <c r="B52" s="52"/>
      <c r="C52" s="52"/>
      <c r="D52" s="66"/>
      <c r="E52" s="52"/>
      <c r="F52" s="61"/>
      <c r="G52" s="52"/>
    </row>
    <row r="53" spans="1:11" x14ac:dyDescent="0.25">
      <c r="A53" s="52"/>
      <c r="B53" s="52"/>
      <c r="C53" s="52"/>
      <c r="D53" s="66"/>
      <c r="E53" s="52"/>
      <c r="F53" s="61"/>
      <c r="G53" s="52"/>
    </row>
    <row r="54" spans="1:11" x14ac:dyDescent="0.25">
      <c r="A54" s="60"/>
      <c r="B54" s="52"/>
      <c r="C54" s="52"/>
      <c r="D54" s="66"/>
      <c r="E54" s="52"/>
      <c r="F54" s="61"/>
      <c r="G54" s="52"/>
    </row>
  </sheetData>
  <mergeCells count="2">
    <mergeCell ref="A37:G37"/>
    <mergeCell ref="A1:G1"/>
  </mergeCells>
  <printOptions horizontalCentered="1"/>
  <pageMargins left="0.45" right="0.25" top="0.5" bottom="0.5" header="0.3" footer="0.3"/>
  <pageSetup orientation="portrait" horizontalDpi="4294967293" r:id="rId1"/>
  <rowBreaks count="2" manualBreakCount="2">
    <brk id="35" max="16383" man="1"/>
    <brk id="36" max="16383" man="1"/>
  </rowBreaks>
  <ignoredErrors>
    <ignoredError sqref="G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S155"/>
  <sheetViews>
    <sheetView showGridLines="0" workbookViewId="0">
      <selection activeCell="J155" sqref="A1:J155"/>
    </sheetView>
  </sheetViews>
  <sheetFormatPr defaultColWidth="8.88671875" defaultRowHeight="15" x14ac:dyDescent="0.25"/>
  <cols>
    <col min="1" max="1" width="8.44140625" style="1" customWidth="1"/>
    <col min="2" max="2" width="8.6640625" style="1" customWidth="1"/>
    <col min="3" max="3" width="8" style="1" customWidth="1"/>
    <col min="4" max="4" width="11.5546875" style="17" customWidth="1"/>
    <col min="5" max="5" width="9.77734375" style="1" customWidth="1"/>
    <col min="6" max="6" width="10.33203125" style="1" customWidth="1"/>
    <col min="7" max="7" width="9.5546875" style="1" bestFit="1" customWidth="1"/>
    <col min="8" max="9" width="9.77734375" style="1" customWidth="1"/>
    <col min="10" max="11" width="9.88671875" style="1" bestFit="1" customWidth="1"/>
    <col min="12" max="12" width="10.5546875" style="17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.75" x14ac:dyDescent="0.3">
      <c r="A1" s="196" t="s">
        <v>161</v>
      </c>
      <c r="B1" s="24"/>
      <c r="C1" s="24"/>
      <c r="D1" s="88"/>
      <c r="E1" s="24"/>
      <c r="F1" s="24"/>
      <c r="G1" s="24"/>
      <c r="H1" s="24"/>
      <c r="I1" s="24"/>
    </row>
    <row r="2" spans="1:17" ht="18.75" x14ac:dyDescent="0.25">
      <c r="A2" s="267" t="s">
        <v>154</v>
      </c>
      <c r="B2" s="267"/>
      <c r="C2" s="267"/>
      <c r="D2" s="267"/>
      <c r="E2" s="267"/>
      <c r="F2" s="267"/>
      <c r="G2" s="267"/>
      <c r="H2" s="267"/>
      <c r="I2" s="267"/>
    </row>
    <row r="3" spans="1:17" x14ac:dyDescent="0.25">
      <c r="M3" s="17"/>
      <c r="Q3" s="17"/>
    </row>
    <row r="4" spans="1:17" ht="17.25" x14ac:dyDescent="0.4">
      <c r="C4" s="197" t="s">
        <v>162</v>
      </c>
      <c r="M4" s="153"/>
      <c r="Q4" s="179"/>
    </row>
    <row r="5" spans="1:17" x14ac:dyDescent="0.25">
      <c r="C5" s="198"/>
      <c r="D5" s="22"/>
      <c r="E5" s="199" t="s">
        <v>163</v>
      </c>
      <c r="F5" s="199" t="s">
        <v>164</v>
      </c>
      <c r="G5" s="199" t="s">
        <v>165</v>
      </c>
      <c r="H5" s="20"/>
      <c r="J5" s="200"/>
      <c r="K5" s="17"/>
      <c r="L5" s="200"/>
      <c r="M5" s="17"/>
      <c r="Q5" s="2"/>
    </row>
    <row r="6" spans="1:17" x14ac:dyDescent="0.25">
      <c r="C6" s="1" t="s">
        <v>166</v>
      </c>
      <c r="E6" s="17">
        <f>C31</f>
        <v>18811</v>
      </c>
      <c r="F6" s="201">
        <f>D31</f>
        <v>67981700</v>
      </c>
      <c r="G6" s="29">
        <f>F40</f>
        <v>775867.91999999993</v>
      </c>
      <c r="H6" s="29"/>
      <c r="J6" s="200"/>
      <c r="K6" s="2"/>
    </row>
    <row r="7" spans="1:17" x14ac:dyDescent="0.25">
      <c r="C7" s="1" t="s">
        <v>167</v>
      </c>
      <c r="E7" s="17">
        <f>C50</f>
        <v>216</v>
      </c>
      <c r="F7" s="201">
        <f>D50</f>
        <v>1584800</v>
      </c>
      <c r="G7" s="7">
        <f>F59</f>
        <v>17258.195</v>
      </c>
      <c r="H7" s="29"/>
      <c r="J7" s="200"/>
      <c r="K7" s="2"/>
    </row>
    <row r="8" spans="1:17" x14ac:dyDescent="0.25">
      <c r="B8" s="1" t="s">
        <v>72</v>
      </c>
      <c r="C8" s="1" t="s">
        <v>168</v>
      </c>
      <c r="E8" s="17">
        <f>C74</f>
        <v>24</v>
      </c>
      <c r="F8" s="201">
        <f>D74</f>
        <v>1548700</v>
      </c>
      <c r="G8" s="17">
        <f>F74</f>
        <v>13163.282000000001</v>
      </c>
      <c r="H8" s="17"/>
      <c r="J8" s="200"/>
      <c r="K8" s="17"/>
    </row>
    <row r="9" spans="1:17" x14ac:dyDescent="0.25">
      <c r="C9" s="1" t="s">
        <v>169</v>
      </c>
      <c r="E9" s="23">
        <f>C82</f>
        <v>109</v>
      </c>
      <c r="F9" s="156">
        <f>D82</f>
        <v>5527600</v>
      </c>
      <c r="G9" s="23">
        <f>F88</f>
        <v>52013.205999999998</v>
      </c>
      <c r="H9" s="17"/>
      <c r="J9" s="200"/>
      <c r="K9" s="17"/>
    </row>
    <row r="10" spans="1:17" x14ac:dyDescent="0.25">
      <c r="C10" s="1" t="s">
        <v>170</v>
      </c>
      <c r="E10" s="23">
        <f>C95</f>
        <v>2</v>
      </c>
      <c r="F10" s="156">
        <f>D95</f>
        <v>115700</v>
      </c>
      <c r="G10" s="23">
        <f>F101</f>
        <v>934.86</v>
      </c>
      <c r="H10" s="17"/>
      <c r="J10" s="200"/>
      <c r="K10" s="17"/>
    </row>
    <row r="11" spans="1:17" x14ac:dyDescent="0.25">
      <c r="B11" s="1" t="s">
        <v>72</v>
      </c>
      <c r="C11" s="1" t="s">
        <v>185</v>
      </c>
      <c r="E11" s="17">
        <v>24</v>
      </c>
      <c r="F11" s="23">
        <v>2630900</v>
      </c>
      <c r="G11" s="17">
        <f>F115</f>
        <v>21759.512000000002</v>
      </c>
      <c r="H11" s="17"/>
      <c r="J11" s="200"/>
      <c r="K11" s="17"/>
    </row>
    <row r="12" spans="1:17" x14ac:dyDescent="0.25">
      <c r="C12" s="1" t="s">
        <v>186</v>
      </c>
      <c r="E12" s="23">
        <v>48</v>
      </c>
      <c r="F12" s="156">
        <v>175600</v>
      </c>
      <c r="G12" s="23">
        <f>F135</f>
        <v>2640.3309999999992</v>
      </c>
      <c r="H12" s="17"/>
      <c r="J12" s="200"/>
      <c r="K12" s="17"/>
    </row>
    <row r="13" spans="1:17" x14ac:dyDescent="0.25">
      <c r="C13" s="1" t="s">
        <v>187</v>
      </c>
      <c r="E13" s="22">
        <v>12</v>
      </c>
      <c r="F13" s="202">
        <v>113700</v>
      </c>
      <c r="G13" s="22">
        <f>F155</f>
        <v>1181.3109999999999</v>
      </c>
      <c r="H13" s="17"/>
      <c r="J13" s="200"/>
      <c r="K13" s="17"/>
    </row>
    <row r="14" spans="1:17" x14ac:dyDescent="0.25">
      <c r="C14" s="1" t="s">
        <v>171</v>
      </c>
      <c r="E14" s="2">
        <v>19321</v>
      </c>
      <c r="F14" s="23">
        <v>81954600</v>
      </c>
      <c r="G14" s="152">
        <f>SUM(G6:G13)</f>
        <v>884818.61699999985</v>
      </c>
      <c r="H14" s="152"/>
      <c r="J14" s="200"/>
      <c r="K14" s="2"/>
      <c r="M14" s="203"/>
    </row>
    <row r="15" spans="1:17" x14ac:dyDescent="0.25">
      <c r="C15" s="1" t="s">
        <v>172</v>
      </c>
      <c r="E15" s="2"/>
      <c r="F15" s="23"/>
      <c r="G15" s="193">
        <f>-1213-4748</f>
        <v>-5961</v>
      </c>
      <c r="H15" s="152"/>
      <c r="J15" s="200"/>
      <c r="K15" s="2"/>
      <c r="M15" s="203"/>
    </row>
    <row r="16" spans="1:17" x14ac:dyDescent="0.25">
      <c r="C16" s="1" t="s">
        <v>173</v>
      </c>
      <c r="E16" s="2"/>
      <c r="F16" s="23"/>
      <c r="G16" s="152">
        <f>G14+G15</f>
        <v>878857.61699999985</v>
      </c>
      <c r="H16" s="152"/>
      <c r="J16" s="200"/>
      <c r="K16" s="2"/>
      <c r="M16" s="203"/>
    </row>
    <row r="17" spans="1:19" x14ac:dyDescent="0.25">
      <c r="C17" s="1" t="s">
        <v>174</v>
      </c>
      <c r="E17" s="2"/>
      <c r="F17" s="23"/>
      <c r="G17" s="193">
        <f>-(SAO!D6+SAO!D7)</f>
        <v>-865976</v>
      </c>
      <c r="H17" s="152"/>
      <c r="J17" s="200"/>
      <c r="K17" s="203"/>
    </row>
    <row r="18" spans="1:19" x14ac:dyDescent="0.25">
      <c r="C18" s="1" t="s">
        <v>175</v>
      </c>
      <c r="D18" s="204"/>
      <c r="F18" s="18"/>
      <c r="G18" s="153">
        <f>G16+G17</f>
        <v>12881.616999999853</v>
      </c>
      <c r="H18" s="205">
        <f>G18/G17</f>
        <v>-1.4875258667676533E-2</v>
      </c>
      <c r="I18" s="153"/>
      <c r="J18" s="200"/>
      <c r="O18" s="2"/>
    </row>
    <row r="19" spans="1:19" x14ac:dyDescent="0.25">
      <c r="D19" s="204"/>
      <c r="F19" s="18"/>
      <c r="G19" s="194"/>
      <c r="I19" s="153"/>
      <c r="J19" s="200"/>
    </row>
    <row r="20" spans="1:19" x14ac:dyDescent="0.25">
      <c r="D20" s="204"/>
      <c r="F20" s="18"/>
      <c r="G20" s="204"/>
      <c r="I20" s="153"/>
    </row>
    <row r="21" spans="1:19" x14ac:dyDescent="0.25">
      <c r="F21" s="206"/>
      <c r="G21" s="153"/>
    </row>
    <row r="22" spans="1:19" x14ac:dyDescent="0.25">
      <c r="F22" s="153"/>
      <c r="G22" s="153"/>
    </row>
    <row r="23" spans="1:19" ht="15.75" x14ac:dyDescent="0.25">
      <c r="A23" s="207" t="s">
        <v>176</v>
      </c>
      <c r="N23"/>
      <c r="O23"/>
      <c r="P23"/>
      <c r="Q23"/>
      <c r="R23"/>
      <c r="S23"/>
    </row>
    <row r="24" spans="1:19" ht="15.75" x14ac:dyDescent="0.25">
      <c r="E24" s="20" t="s">
        <v>47</v>
      </c>
      <c r="F24" s="20" t="s">
        <v>111</v>
      </c>
      <c r="G24" s="20" t="s">
        <v>111</v>
      </c>
      <c r="H24" s="20" t="s">
        <v>111</v>
      </c>
      <c r="I24" s="20" t="s">
        <v>48</v>
      </c>
      <c r="L24"/>
      <c r="M24"/>
      <c r="N24"/>
      <c r="O24"/>
      <c r="P24"/>
      <c r="Q24"/>
    </row>
    <row r="25" spans="1:19" ht="15.75" x14ac:dyDescent="0.25">
      <c r="B25" s="199" t="s">
        <v>49</v>
      </c>
      <c r="C25" s="208" t="s">
        <v>50</v>
      </c>
      <c r="D25" s="127" t="s">
        <v>51</v>
      </c>
      <c r="E25" s="208">
        <f>B26</f>
        <v>2000</v>
      </c>
      <c r="F25" s="208">
        <f>B27</f>
        <v>2000</v>
      </c>
      <c r="G25" s="208">
        <f>B28</f>
        <v>6000</v>
      </c>
      <c r="H25" s="208">
        <f>B29</f>
        <v>10000</v>
      </c>
      <c r="I25" s="208">
        <f>B30</f>
        <v>20000</v>
      </c>
      <c r="J25" s="199" t="s">
        <v>52</v>
      </c>
      <c r="L25"/>
      <c r="M25"/>
      <c r="N25"/>
      <c r="O25"/>
      <c r="P25"/>
      <c r="Q25"/>
    </row>
    <row r="26" spans="1:19" ht="15.75" x14ac:dyDescent="0.25">
      <c r="A26" s="21" t="s">
        <v>47</v>
      </c>
      <c r="B26" s="154">
        <v>2000</v>
      </c>
      <c r="C26" s="209">
        <v>5909</v>
      </c>
      <c r="D26" s="204">
        <v>6121100</v>
      </c>
      <c r="E26" s="204">
        <f>D26</f>
        <v>6121100</v>
      </c>
      <c r="F26" s="204">
        <v>0</v>
      </c>
      <c r="G26" s="204">
        <v>0</v>
      </c>
      <c r="H26" s="204">
        <v>0</v>
      </c>
      <c r="I26" s="204">
        <v>0</v>
      </c>
      <c r="J26" s="204">
        <f>SUM(E26:I26)</f>
        <v>6121100</v>
      </c>
      <c r="L26"/>
      <c r="M26"/>
      <c r="N26"/>
      <c r="O26"/>
      <c r="P26"/>
      <c r="Q26"/>
    </row>
    <row r="27" spans="1:19" ht="15.75" x14ac:dyDescent="0.25">
      <c r="A27" s="21" t="s">
        <v>111</v>
      </c>
      <c r="B27" s="154">
        <v>2000</v>
      </c>
      <c r="C27" s="209">
        <v>7002</v>
      </c>
      <c r="D27" s="204">
        <v>20990400</v>
      </c>
      <c r="E27" s="204">
        <f>C27*E$25</f>
        <v>14004000</v>
      </c>
      <c r="F27" s="204">
        <f>D27-E27</f>
        <v>6986400</v>
      </c>
      <c r="G27" s="204">
        <v>0</v>
      </c>
      <c r="H27" s="204">
        <v>0</v>
      </c>
      <c r="I27" s="204">
        <v>0</v>
      </c>
      <c r="J27" s="204">
        <f>SUM(E27:I27)</f>
        <v>20990400</v>
      </c>
      <c r="L27"/>
      <c r="M27"/>
      <c r="N27"/>
      <c r="O27"/>
      <c r="P27"/>
      <c r="Q27"/>
    </row>
    <row r="28" spans="1:19" ht="15.75" x14ac:dyDescent="0.25">
      <c r="A28" s="21" t="s">
        <v>111</v>
      </c>
      <c r="B28" s="154">
        <v>6000</v>
      </c>
      <c r="C28" s="209">
        <v>5244</v>
      </c>
      <c r="D28" s="204">
        <v>29871900</v>
      </c>
      <c r="E28" s="204">
        <f>C28*E$25</f>
        <v>10488000</v>
      </c>
      <c r="F28" s="204">
        <f>$C28*F$25</f>
        <v>10488000</v>
      </c>
      <c r="G28" s="204">
        <f>D28-(F28+E28)</f>
        <v>8895900</v>
      </c>
      <c r="H28" s="204">
        <v>0</v>
      </c>
      <c r="I28" s="204">
        <v>0</v>
      </c>
      <c r="J28" s="204">
        <f>SUM(E28:I28)</f>
        <v>29871900</v>
      </c>
      <c r="L28"/>
      <c r="M28"/>
      <c r="N28"/>
      <c r="O28"/>
      <c r="P28"/>
      <c r="Q28"/>
    </row>
    <row r="29" spans="1:19" ht="15.75" x14ac:dyDescent="0.25">
      <c r="A29" s="21" t="s">
        <v>111</v>
      </c>
      <c r="B29" s="154">
        <v>10000</v>
      </c>
      <c r="C29" s="209">
        <v>502</v>
      </c>
      <c r="D29" s="204">
        <v>6417000</v>
      </c>
      <c r="E29" s="204">
        <f t="shared" ref="E29" si="0">C29*E$25</f>
        <v>1004000</v>
      </c>
      <c r="F29" s="204">
        <f t="shared" ref="F29" si="1">$C29*F$25</f>
        <v>1004000</v>
      </c>
      <c r="G29" s="204">
        <f>C29*G25</f>
        <v>3012000</v>
      </c>
      <c r="H29" s="2">
        <f>D29-E29-F29-G29</f>
        <v>1397000</v>
      </c>
      <c r="I29" s="204">
        <v>0</v>
      </c>
      <c r="J29" s="204">
        <f>SUM(E29:I29)</f>
        <v>6417000</v>
      </c>
      <c r="L29"/>
      <c r="M29"/>
      <c r="N29"/>
      <c r="O29"/>
      <c r="P29"/>
      <c r="Q29"/>
    </row>
    <row r="30" spans="1:19" ht="15.75" x14ac:dyDescent="0.25">
      <c r="A30" s="21" t="s">
        <v>48</v>
      </c>
      <c r="B30" s="210">
        <v>20000</v>
      </c>
      <c r="C30" s="211">
        <v>154</v>
      </c>
      <c r="D30" s="212">
        <v>4581300</v>
      </c>
      <c r="E30" s="212">
        <f>C30*E$25</f>
        <v>308000</v>
      </c>
      <c r="F30" s="212">
        <f>$C30*F$25</f>
        <v>308000</v>
      </c>
      <c r="G30" s="212">
        <f>$C30*G$25</f>
        <v>924000</v>
      </c>
      <c r="H30" s="28">
        <f>C30*H25</f>
        <v>1540000</v>
      </c>
      <c r="I30" s="212">
        <f>D30-E30-F30-G30-H30</f>
        <v>1501300</v>
      </c>
      <c r="J30" s="212">
        <f>SUM(E30:I30)</f>
        <v>4581300</v>
      </c>
      <c r="L30"/>
      <c r="M30"/>
      <c r="N30"/>
      <c r="O30"/>
      <c r="P30"/>
      <c r="Q30"/>
    </row>
    <row r="31" spans="1:19" ht="15.75" x14ac:dyDescent="0.25">
      <c r="A31" s="21"/>
      <c r="B31" s="154" t="s">
        <v>52</v>
      </c>
      <c r="C31" s="23">
        <f t="shared" ref="C31:J31" si="2">SUM(C26:C30)</f>
        <v>18811</v>
      </c>
      <c r="D31" s="23">
        <f t="shared" si="2"/>
        <v>67981700</v>
      </c>
      <c r="E31" s="23">
        <f t="shared" si="2"/>
        <v>31925100</v>
      </c>
      <c r="F31" s="23">
        <f t="shared" si="2"/>
        <v>18786400</v>
      </c>
      <c r="G31" s="23">
        <f t="shared" si="2"/>
        <v>12831900</v>
      </c>
      <c r="H31" s="23">
        <f t="shared" si="2"/>
        <v>2937000</v>
      </c>
      <c r="I31" s="23">
        <f t="shared" si="2"/>
        <v>1501300</v>
      </c>
      <c r="J31" s="23">
        <f t="shared" si="2"/>
        <v>67981700</v>
      </c>
      <c r="K31" s="17"/>
      <c r="L31"/>
      <c r="M31"/>
      <c r="N31"/>
      <c r="O31"/>
      <c r="P31"/>
      <c r="Q31"/>
    </row>
    <row r="32" spans="1:19" ht="15.75" x14ac:dyDescent="0.25">
      <c r="A32" s="21"/>
      <c r="B32" s="154"/>
      <c r="E32" s="154"/>
      <c r="F32" s="154"/>
      <c r="G32" s="154"/>
      <c r="H32" s="154"/>
      <c r="I32" s="154"/>
      <c r="N32"/>
      <c r="O32"/>
      <c r="P32"/>
      <c r="Q32"/>
      <c r="R32"/>
      <c r="S32"/>
    </row>
    <row r="33" spans="1:19" ht="15.75" x14ac:dyDescent="0.25">
      <c r="A33" s="155" t="s">
        <v>177</v>
      </c>
      <c r="B33" s="155"/>
      <c r="E33" s="154"/>
      <c r="F33" s="154"/>
      <c r="G33" s="154"/>
      <c r="H33" s="154"/>
      <c r="I33" s="154"/>
      <c r="N33"/>
      <c r="O33"/>
      <c r="P33"/>
      <c r="Q33"/>
      <c r="R33"/>
      <c r="S33"/>
    </row>
    <row r="34" spans="1:19" ht="15.75" x14ac:dyDescent="0.25">
      <c r="A34" s="21"/>
      <c r="B34" s="199"/>
      <c r="C34" s="208" t="s">
        <v>50</v>
      </c>
      <c r="D34" s="127" t="s">
        <v>51</v>
      </c>
      <c r="E34" s="208" t="s">
        <v>53</v>
      </c>
      <c r="F34" s="208" t="s">
        <v>54</v>
      </c>
      <c r="G34" s="154"/>
      <c r="H34" s="154"/>
      <c r="I34" s="154"/>
      <c r="N34"/>
      <c r="O34"/>
      <c r="P34"/>
      <c r="Q34"/>
      <c r="R34"/>
      <c r="S34"/>
    </row>
    <row r="35" spans="1:19" ht="15.75" x14ac:dyDescent="0.25">
      <c r="A35" s="21" t="s">
        <v>47</v>
      </c>
      <c r="B35" s="154">
        <f>B26</f>
        <v>2000</v>
      </c>
      <c r="C35" s="17">
        <f>C31</f>
        <v>18811</v>
      </c>
      <c r="D35" s="204">
        <v>32017200</v>
      </c>
      <c r="E35" s="213">
        <v>23.15</v>
      </c>
      <c r="F35" s="29">
        <f>E35*C35</f>
        <v>435474.64999999997</v>
      </c>
      <c r="G35" s="154"/>
      <c r="N35"/>
      <c r="O35"/>
      <c r="P35"/>
      <c r="Q35"/>
      <c r="R35"/>
      <c r="S35"/>
    </row>
    <row r="36" spans="1:19" ht="15.75" x14ac:dyDescent="0.25">
      <c r="A36" s="21" t="s">
        <v>111</v>
      </c>
      <c r="B36" s="154">
        <f>B27</f>
        <v>2000</v>
      </c>
      <c r="D36" s="204">
        <v>18847100</v>
      </c>
      <c r="E36" s="213">
        <v>9.57</v>
      </c>
      <c r="F36" s="17">
        <f>E36*(D36/1000)</f>
        <v>180366.747</v>
      </c>
      <c r="G36" s="154"/>
      <c r="N36"/>
      <c r="O36"/>
      <c r="P36"/>
      <c r="Q36"/>
      <c r="R36"/>
      <c r="S36"/>
    </row>
    <row r="37" spans="1:19" ht="15.75" x14ac:dyDescent="0.25">
      <c r="A37" s="21" t="s">
        <v>111</v>
      </c>
      <c r="B37" s="154">
        <f>B28</f>
        <v>6000</v>
      </c>
      <c r="D37" s="204">
        <v>12850100</v>
      </c>
      <c r="E37" s="213">
        <v>9.07</v>
      </c>
      <c r="F37" s="17">
        <f>E37*(D37/1000)</f>
        <v>116550.40700000001</v>
      </c>
      <c r="G37" s="154"/>
      <c r="N37"/>
      <c r="O37"/>
      <c r="P37"/>
      <c r="Q37"/>
      <c r="R37"/>
      <c r="S37"/>
    </row>
    <row r="38" spans="1:19" ht="15.75" x14ac:dyDescent="0.25">
      <c r="A38" s="21" t="s">
        <v>111</v>
      </c>
      <c r="B38" s="154">
        <v>10000</v>
      </c>
      <c r="D38" s="204">
        <v>2997800</v>
      </c>
      <c r="E38" s="213">
        <v>8.58</v>
      </c>
      <c r="F38" s="17">
        <f t="shared" ref="F38" si="3">E38*(D38/1000)</f>
        <v>25721.124000000003</v>
      </c>
      <c r="G38" s="154"/>
      <c r="N38"/>
      <c r="O38"/>
      <c r="P38"/>
      <c r="Q38"/>
      <c r="R38"/>
      <c r="S38"/>
    </row>
    <row r="39" spans="1:19" x14ac:dyDescent="0.25">
      <c r="A39" s="21" t="s">
        <v>48</v>
      </c>
      <c r="B39" s="210">
        <f>B30</f>
        <v>20000</v>
      </c>
      <c r="C39" s="214"/>
      <c r="D39" s="212">
        <v>2197400</v>
      </c>
      <c r="E39" s="215">
        <v>8.08</v>
      </c>
      <c r="F39" s="22">
        <f>E39*(D39/1000)</f>
        <v>17754.992000000002</v>
      </c>
      <c r="G39" s="154"/>
      <c r="Q39" s="17">
        <f>Q32/12</f>
        <v>0</v>
      </c>
    </row>
    <row r="40" spans="1:19" x14ac:dyDescent="0.25">
      <c r="A40" s="21"/>
      <c r="B40" s="154" t="s">
        <v>52</v>
      </c>
      <c r="C40" s="17">
        <f>SUM(C35:C39)</f>
        <v>18811</v>
      </c>
      <c r="D40" s="23">
        <f>SUM(D35:D39)</f>
        <v>68909600</v>
      </c>
      <c r="F40" s="29">
        <f>SUM(F35:F39)</f>
        <v>775867.91999999993</v>
      </c>
      <c r="G40" s="29"/>
      <c r="H40" s="154"/>
      <c r="I40" s="216"/>
    </row>
    <row r="41" spans="1:19" x14ac:dyDescent="0.25">
      <c r="A41" s="21"/>
      <c r="B41" s="154"/>
      <c r="C41" s="17"/>
      <c r="D41" s="23"/>
      <c r="F41" s="29"/>
      <c r="G41" s="154"/>
      <c r="H41" s="154"/>
      <c r="I41" s="154"/>
    </row>
    <row r="42" spans="1:19" ht="15.75" x14ac:dyDescent="0.25">
      <c r="A42" s="207" t="s">
        <v>178</v>
      </c>
    </row>
    <row r="43" spans="1:19" x14ac:dyDescent="0.25">
      <c r="E43" s="20" t="s">
        <v>47</v>
      </c>
      <c r="F43" s="20" t="s">
        <v>111</v>
      </c>
      <c r="G43" s="20" t="s">
        <v>111</v>
      </c>
      <c r="H43" s="20"/>
      <c r="I43" s="20" t="s">
        <v>48</v>
      </c>
    </row>
    <row r="44" spans="1:19" x14ac:dyDescent="0.25">
      <c r="B44" s="199" t="s">
        <v>49</v>
      </c>
      <c r="C44" s="208" t="s">
        <v>50</v>
      </c>
      <c r="D44" s="127" t="s">
        <v>51</v>
      </c>
      <c r="E44" s="208">
        <f>B45</f>
        <v>4000</v>
      </c>
      <c r="F44" s="208">
        <f>B46</f>
        <v>6000</v>
      </c>
      <c r="G44" s="208">
        <f>B47</f>
        <v>10000</v>
      </c>
      <c r="H44" s="208"/>
      <c r="I44" s="208">
        <f>B49</f>
        <v>20000</v>
      </c>
      <c r="J44" s="199" t="s">
        <v>52</v>
      </c>
    </row>
    <row r="45" spans="1:19" x14ac:dyDescent="0.25">
      <c r="A45" s="21" t="s">
        <v>47</v>
      </c>
      <c r="B45" s="154">
        <v>4000</v>
      </c>
      <c r="C45" s="209">
        <v>95</v>
      </c>
      <c r="D45" s="204">
        <v>168300</v>
      </c>
      <c r="E45" s="204">
        <f>D45</f>
        <v>168300</v>
      </c>
      <c r="F45" s="204">
        <v>0</v>
      </c>
      <c r="G45" s="204">
        <v>0</v>
      </c>
      <c r="H45" s="204"/>
      <c r="I45" s="204">
        <v>0</v>
      </c>
      <c r="J45" s="204">
        <v>168300</v>
      </c>
    </row>
    <row r="46" spans="1:19" x14ac:dyDescent="0.25">
      <c r="A46" s="21" t="s">
        <v>111</v>
      </c>
      <c r="B46" s="154">
        <v>6000</v>
      </c>
      <c r="C46" s="209">
        <v>81</v>
      </c>
      <c r="D46" s="204">
        <v>550700</v>
      </c>
      <c r="E46" s="204">
        <v>280000</v>
      </c>
      <c r="F46" s="204">
        <f>D46-E46</f>
        <v>270700</v>
      </c>
      <c r="G46" s="204">
        <v>0</v>
      </c>
      <c r="H46" s="204"/>
      <c r="I46" s="204">
        <v>0</v>
      </c>
      <c r="J46" s="204">
        <f>SUM(E46:I46)</f>
        <v>550700</v>
      </c>
    </row>
    <row r="47" spans="1:19" x14ac:dyDescent="0.25">
      <c r="A47" s="21" t="s">
        <v>111</v>
      </c>
      <c r="B47" s="154">
        <v>10000</v>
      </c>
      <c r="C47" s="209">
        <v>26</v>
      </c>
      <c r="D47" s="204">
        <v>371300</v>
      </c>
      <c r="E47" s="204">
        <v>96000</v>
      </c>
      <c r="F47" s="204">
        <v>144000</v>
      </c>
      <c r="G47" s="204">
        <f>D47-(F47+E47)</f>
        <v>131300</v>
      </c>
      <c r="H47" s="204"/>
      <c r="I47" s="204">
        <v>0</v>
      </c>
      <c r="J47" s="204">
        <f>SUM(E47:I47)</f>
        <v>371300</v>
      </c>
    </row>
    <row r="48" spans="1:19" hidden="1" x14ac:dyDescent="0.25">
      <c r="A48" s="21" t="s">
        <v>111</v>
      </c>
      <c r="B48" s="154">
        <v>10000</v>
      </c>
      <c r="C48" s="209">
        <v>0</v>
      </c>
      <c r="D48" s="204">
        <v>0</v>
      </c>
      <c r="E48" s="204">
        <f t="shared" ref="E48" si="4">C48*E$25</f>
        <v>0</v>
      </c>
      <c r="F48" s="204">
        <f t="shared" ref="F48" si="5">$C48*F$25</f>
        <v>0</v>
      </c>
      <c r="G48" s="204">
        <f>C48*G44</f>
        <v>0</v>
      </c>
      <c r="H48" s="2"/>
      <c r="I48" s="204">
        <v>0</v>
      </c>
      <c r="J48" s="204">
        <f>SUM(E48:I48)</f>
        <v>0</v>
      </c>
    </row>
    <row r="49" spans="1:12" x14ac:dyDescent="0.25">
      <c r="A49" s="21" t="s">
        <v>48</v>
      </c>
      <c r="B49" s="210">
        <v>20000</v>
      </c>
      <c r="C49" s="211">
        <v>14</v>
      </c>
      <c r="D49" s="212">
        <v>494500</v>
      </c>
      <c r="E49" s="212">
        <v>56000</v>
      </c>
      <c r="F49" s="212">
        <v>84000</v>
      </c>
      <c r="G49" s="212">
        <v>140000</v>
      </c>
      <c r="H49" s="28"/>
      <c r="I49" s="212">
        <f>D49-E49-F49-G49-H49</f>
        <v>214500</v>
      </c>
      <c r="J49" s="212">
        <f>SUM(E49:I49)</f>
        <v>494500</v>
      </c>
    </row>
    <row r="50" spans="1:12" x14ac:dyDescent="0.25">
      <c r="A50" s="21"/>
      <c r="B50" s="154" t="s">
        <v>52</v>
      </c>
      <c r="C50" s="23">
        <f t="shared" ref="C50:J50" si="6">SUM(C45:C49)</f>
        <v>216</v>
      </c>
      <c r="D50" s="23">
        <f t="shared" si="6"/>
        <v>1584800</v>
      </c>
      <c r="E50" s="23">
        <f t="shared" si="6"/>
        <v>600300</v>
      </c>
      <c r="F50" s="23">
        <f t="shared" si="6"/>
        <v>498700</v>
      </c>
      <c r="G50" s="23">
        <f t="shared" si="6"/>
        <v>271300</v>
      </c>
      <c r="H50" s="23"/>
      <c r="I50" s="23">
        <f t="shared" si="6"/>
        <v>214500</v>
      </c>
      <c r="J50" s="23">
        <f t="shared" si="6"/>
        <v>1584800</v>
      </c>
    </row>
    <row r="51" spans="1:12" x14ac:dyDescent="0.25">
      <c r="A51" s="21"/>
      <c r="B51" s="154"/>
      <c r="E51" s="154"/>
      <c r="F51" s="154"/>
      <c r="G51" s="154"/>
      <c r="H51" s="154"/>
      <c r="I51" s="154"/>
    </row>
    <row r="52" spans="1:12" x14ac:dyDescent="0.25">
      <c r="A52" s="155" t="s">
        <v>177</v>
      </c>
      <c r="B52" s="155"/>
      <c r="E52" s="154"/>
      <c r="F52" s="154"/>
      <c r="G52" s="154"/>
      <c r="H52" s="154"/>
      <c r="I52" s="154"/>
    </row>
    <row r="53" spans="1:12" x14ac:dyDescent="0.25">
      <c r="A53" s="21"/>
      <c r="B53" s="199"/>
      <c r="C53" s="208" t="s">
        <v>50</v>
      </c>
      <c r="D53" s="127" t="s">
        <v>51</v>
      </c>
      <c r="E53" s="208" t="s">
        <v>53</v>
      </c>
      <c r="F53" s="208" t="s">
        <v>54</v>
      </c>
      <c r="G53" s="154"/>
      <c r="H53" s="154"/>
      <c r="I53" s="154"/>
    </row>
    <row r="54" spans="1:12" x14ac:dyDescent="0.25">
      <c r="A54" s="21" t="s">
        <v>47</v>
      </c>
      <c r="B54" s="154">
        <f>B45</f>
        <v>4000</v>
      </c>
      <c r="C54" s="17">
        <f>C50</f>
        <v>216</v>
      </c>
      <c r="D54" s="204">
        <v>652300</v>
      </c>
      <c r="E54" s="213">
        <v>42.28</v>
      </c>
      <c r="F54" s="29">
        <f>E54*C54</f>
        <v>9132.48</v>
      </c>
      <c r="G54" s="154"/>
    </row>
    <row r="55" spans="1:12" x14ac:dyDescent="0.25">
      <c r="A55" s="21" t="s">
        <v>111</v>
      </c>
      <c r="B55" s="154">
        <f>B46</f>
        <v>6000</v>
      </c>
      <c r="D55" s="204">
        <v>466700</v>
      </c>
      <c r="E55" s="213">
        <v>9.07</v>
      </c>
      <c r="F55" s="17">
        <f>E55*(D55/1000)</f>
        <v>4232.9690000000001</v>
      </c>
      <c r="G55" s="154"/>
    </row>
    <row r="56" spans="1:12" x14ac:dyDescent="0.25">
      <c r="A56" s="21" t="s">
        <v>111</v>
      </c>
      <c r="B56" s="154">
        <f>B47</f>
        <v>10000</v>
      </c>
      <c r="D56" s="204">
        <v>251700</v>
      </c>
      <c r="E56" s="213">
        <v>8.58</v>
      </c>
      <c r="F56" s="17">
        <f>E56*(D56/1000)</f>
        <v>2159.5859999999998</v>
      </c>
      <c r="G56" s="154"/>
    </row>
    <row r="57" spans="1:12" hidden="1" x14ac:dyDescent="0.25">
      <c r="A57" s="21" t="s">
        <v>111</v>
      </c>
      <c r="B57" s="154">
        <v>10000</v>
      </c>
      <c r="D57" s="204">
        <f>H50</f>
        <v>0</v>
      </c>
      <c r="E57" s="213"/>
      <c r="F57" s="17">
        <f t="shared" ref="F57" si="7">E57*(D57/1000)</f>
        <v>0</v>
      </c>
      <c r="G57" s="154"/>
    </row>
    <row r="58" spans="1:12" x14ac:dyDescent="0.25">
      <c r="A58" s="21" t="s">
        <v>48</v>
      </c>
      <c r="B58" s="210">
        <f>B49</f>
        <v>20000</v>
      </c>
      <c r="C58" s="214"/>
      <c r="D58" s="212">
        <v>214500</v>
      </c>
      <c r="E58" s="215">
        <v>8.08</v>
      </c>
      <c r="F58" s="22">
        <f>E58*(D58/1000)</f>
        <v>1733.16</v>
      </c>
      <c r="G58" s="154"/>
    </row>
    <row r="59" spans="1:12" x14ac:dyDescent="0.25">
      <c r="A59" s="21"/>
      <c r="B59" s="154" t="s">
        <v>52</v>
      </c>
      <c r="C59" s="17">
        <f>SUM(C54:C58)</f>
        <v>216</v>
      </c>
      <c r="D59" s="23">
        <f>SUM(D54:D58)</f>
        <v>1585200</v>
      </c>
      <c r="F59" s="29">
        <f>SUM(F54:F58)</f>
        <v>17258.195</v>
      </c>
      <c r="G59" s="29"/>
      <c r="H59" s="154"/>
      <c r="I59" s="216"/>
    </row>
    <row r="60" spans="1:12" x14ac:dyDescent="0.25">
      <c r="A60" s="21"/>
      <c r="B60" s="154"/>
      <c r="C60" s="17"/>
      <c r="D60" s="23"/>
      <c r="F60" s="29"/>
      <c r="G60" s="154"/>
      <c r="H60" s="154"/>
      <c r="I60" s="154"/>
    </row>
    <row r="61" spans="1:12" ht="15.75" x14ac:dyDescent="0.25">
      <c r="A61" s="207" t="s">
        <v>179</v>
      </c>
    </row>
    <row r="62" spans="1:12" x14ac:dyDescent="0.25">
      <c r="E62" s="20" t="s">
        <v>47</v>
      </c>
      <c r="F62" s="20" t="s">
        <v>111</v>
      </c>
      <c r="G62" s="20" t="s">
        <v>48</v>
      </c>
      <c r="L62" s="1"/>
    </row>
    <row r="63" spans="1:12" x14ac:dyDescent="0.25">
      <c r="B63" s="199" t="s">
        <v>49</v>
      </c>
      <c r="C63" s="208" t="s">
        <v>50</v>
      </c>
      <c r="D63" s="127" t="s">
        <v>51</v>
      </c>
      <c r="E63" s="208">
        <f>B64</f>
        <v>10000</v>
      </c>
      <c r="F63" s="208">
        <f>B65</f>
        <v>10000</v>
      </c>
      <c r="G63" s="208">
        <f>B66</f>
        <v>20000</v>
      </c>
      <c r="H63" s="199" t="s">
        <v>52</v>
      </c>
      <c r="L63" s="1"/>
    </row>
    <row r="64" spans="1:12" x14ac:dyDescent="0.25">
      <c r="A64" s="21" t="s">
        <v>47</v>
      </c>
      <c r="B64" s="154">
        <v>10000</v>
      </c>
      <c r="C64" s="209">
        <v>8</v>
      </c>
      <c r="D64" s="204">
        <v>56300</v>
      </c>
      <c r="E64" s="204">
        <f>D64</f>
        <v>56300</v>
      </c>
      <c r="F64" s="204">
        <v>0</v>
      </c>
      <c r="G64" s="204">
        <v>0</v>
      </c>
      <c r="H64" s="204">
        <f>SUM(E64:G64)</f>
        <v>56300</v>
      </c>
      <c r="L64" s="1"/>
    </row>
    <row r="65" spans="1:17" x14ac:dyDescent="0.25">
      <c r="A65" s="21" t="s">
        <v>111</v>
      </c>
      <c r="B65" s="154">
        <v>10000</v>
      </c>
      <c r="C65" s="209">
        <v>3</v>
      </c>
      <c r="D65" s="204">
        <v>52900</v>
      </c>
      <c r="E65" s="204">
        <f>C65*E63</f>
        <v>30000</v>
      </c>
      <c r="F65" s="204">
        <f>D65-E65</f>
        <v>22900</v>
      </c>
      <c r="G65" s="204">
        <v>0</v>
      </c>
      <c r="H65" s="204">
        <f>SUM(E65:G65)</f>
        <v>52900</v>
      </c>
      <c r="L65" s="1"/>
    </row>
    <row r="66" spans="1:17" x14ac:dyDescent="0.25">
      <c r="A66" s="21" t="s">
        <v>48</v>
      </c>
      <c r="B66" s="210">
        <v>20000</v>
      </c>
      <c r="C66" s="211">
        <v>13</v>
      </c>
      <c r="D66" s="212">
        <v>1439500</v>
      </c>
      <c r="E66" s="212">
        <f>$C66*E$63</f>
        <v>130000</v>
      </c>
      <c r="F66" s="212">
        <f>C66*F63</f>
        <v>130000</v>
      </c>
      <c r="G66" s="212">
        <f>D66-E66-F66</f>
        <v>1179500</v>
      </c>
      <c r="H66" s="212">
        <f>SUM(E66:G66)</f>
        <v>1439500</v>
      </c>
      <c r="L66" s="1"/>
    </row>
    <row r="67" spans="1:17" x14ac:dyDescent="0.25">
      <c r="A67" s="21"/>
      <c r="B67" s="154"/>
      <c r="C67" s="23">
        <f t="shared" ref="C67:H67" si="8">SUM(C64:C66)</f>
        <v>24</v>
      </c>
      <c r="D67" s="23">
        <f t="shared" si="8"/>
        <v>1548700</v>
      </c>
      <c r="E67" s="23">
        <f t="shared" si="8"/>
        <v>216300</v>
      </c>
      <c r="F67" s="23">
        <f t="shared" si="8"/>
        <v>152900</v>
      </c>
      <c r="G67" s="23">
        <f t="shared" si="8"/>
        <v>1179500</v>
      </c>
      <c r="H67" s="23">
        <f t="shared" si="8"/>
        <v>1548700</v>
      </c>
      <c r="I67" s="160"/>
      <c r="K67" s="17"/>
      <c r="L67" s="1"/>
    </row>
    <row r="68" spans="1:17" x14ac:dyDescent="0.25">
      <c r="A68" s="21"/>
      <c r="B68" s="154"/>
      <c r="E68" s="154"/>
      <c r="F68" s="154"/>
      <c r="G68" s="154"/>
      <c r="H68" s="154"/>
      <c r="I68" s="154"/>
    </row>
    <row r="69" spans="1:17" x14ac:dyDescent="0.25">
      <c r="A69" s="155" t="s">
        <v>177</v>
      </c>
      <c r="B69" s="155"/>
      <c r="E69" s="154"/>
      <c r="F69" s="154"/>
      <c r="G69" s="154"/>
      <c r="H69" s="154"/>
      <c r="I69" s="154"/>
    </row>
    <row r="70" spans="1:17" x14ac:dyDescent="0.25">
      <c r="A70" s="21"/>
      <c r="B70" s="199"/>
      <c r="C70" s="208" t="s">
        <v>50</v>
      </c>
      <c r="D70" s="127" t="s">
        <v>51</v>
      </c>
      <c r="E70" s="208" t="s">
        <v>53</v>
      </c>
      <c r="F70" s="208" t="s">
        <v>54</v>
      </c>
      <c r="G70" s="154"/>
      <c r="H70" s="154"/>
      <c r="I70" s="154"/>
    </row>
    <row r="71" spans="1:17" x14ac:dyDescent="0.25">
      <c r="A71" s="21" t="s">
        <v>47</v>
      </c>
      <c r="B71" s="154">
        <f>B64</f>
        <v>10000</v>
      </c>
      <c r="C71" s="17">
        <f>C67</f>
        <v>24</v>
      </c>
      <c r="D71" s="204">
        <f>E67</f>
        <v>216300</v>
      </c>
      <c r="E71" s="213">
        <v>96.71</v>
      </c>
      <c r="F71" s="29">
        <f>E71*C71</f>
        <v>2321.04</v>
      </c>
      <c r="G71" s="154"/>
    </row>
    <row r="72" spans="1:17" x14ac:dyDescent="0.25">
      <c r="A72" s="21" t="s">
        <v>111</v>
      </c>
      <c r="B72" s="154">
        <v>10000</v>
      </c>
      <c r="C72" s="17"/>
      <c r="D72" s="204">
        <f>F67</f>
        <v>152900</v>
      </c>
      <c r="E72" s="213">
        <v>8.58</v>
      </c>
      <c r="F72" s="23">
        <f t="shared" ref="F72" si="9">E72*(D72/1000)</f>
        <v>1311.8820000000001</v>
      </c>
      <c r="G72" s="154"/>
    </row>
    <row r="73" spans="1:17" x14ac:dyDescent="0.25">
      <c r="A73" s="21" t="s">
        <v>48</v>
      </c>
      <c r="B73" s="210">
        <f>B66</f>
        <v>20000</v>
      </c>
      <c r="C73" s="214"/>
      <c r="D73" s="212">
        <f>G67</f>
        <v>1179500</v>
      </c>
      <c r="E73" s="215">
        <v>8.08</v>
      </c>
      <c r="F73" s="22">
        <f>E73*(D73/1000)</f>
        <v>9530.36</v>
      </c>
      <c r="G73" s="154"/>
    </row>
    <row r="74" spans="1:17" x14ac:dyDescent="0.25">
      <c r="A74" s="21"/>
      <c r="B74" s="154" t="s">
        <v>52</v>
      </c>
      <c r="C74" s="17">
        <f>SUM(C71:C73)</f>
        <v>24</v>
      </c>
      <c r="D74" s="23">
        <f>SUM(D71:D73)</f>
        <v>1548700</v>
      </c>
      <c r="F74" s="29">
        <f>SUM(F71:F73)</f>
        <v>13163.282000000001</v>
      </c>
      <c r="G74" s="29"/>
      <c r="H74" s="154"/>
      <c r="I74" s="216"/>
    </row>
    <row r="75" spans="1:17" x14ac:dyDescent="0.25">
      <c r="A75" s="21"/>
      <c r="B75" s="154"/>
      <c r="C75" s="3"/>
      <c r="D75" s="23"/>
      <c r="F75" s="213"/>
      <c r="G75" s="154"/>
      <c r="H75" s="154"/>
      <c r="I75" s="154"/>
    </row>
    <row r="76" spans="1:17" x14ac:dyDescent="0.25">
      <c r="A76" s="21"/>
      <c r="B76" s="154"/>
      <c r="C76" s="3"/>
      <c r="D76" s="23"/>
      <c r="F76" s="213"/>
      <c r="G76" s="154"/>
      <c r="H76" s="154"/>
      <c r="I76" s="154"/>
    </row>
    <row r="77" spans="1:17" ht="15.75" x14ac:dyDescent="0.25">
      <c r="A77" s="207" t="s">
        <v>180</v>
      </c>
    </row>
    <row r="78" spans="1:17" x14ac:dyDescent="0.25">
      <c r="E78" s="20" t="s">
        <v>47</v>
      </c>
      <c r="F78" s="20" t="s">
        <v>48</v>
      </c>
      <c r="K78" s="17"/>
      <c r="L78" s="1"/>
    </row>
    <row r="79" spans="1:17" x14ac:dyDescent="0.25">
      <c r="B79" s="199" t="s">
        <v>49</v>
      </c>
      <c r="C79" s="208" t="s">
        <v>50</v>
      </c>
      <c r="D79" s="127" t="s">
        <v>51</v>
      </c>
      <c r="E79" s="208">
        <f>B80</f>
        <v>20000</v>
      </c>
      <c r="F79" s="208">
        <f>B81</f>
        <v>20000</v>
      </c>
      <c r="G79" s="199" t="s">
        <v>52</v>
      </c>
      <c r="L79" s="1"/>
      <c r="Q79" s="1" t="s">
        <v>145</v>
      </c>
    </row>
    <row r="80" spans="1:17" x14ac:dyDescent="0.25">
      <c r="A80" s="21" t="s">
        <v>47</v>
      </c>
      <c r="B80" s="154">
        <v>20000</v>
      </c>
      <c r="C80" s="209">
        <v>58</v>
      </c>
      <c r="D80" s="204">
        <v>532400</v>
      </c>
      <c r="E80" s="204">
        <f>D80</f>
        <v>532400</v>
      </c>
      <c r="F80" s="204">
        <v>0</v>
      </c>
      <c r="G80" s="204">
        <f>SUM(E80:F80)</f>
        <v>532400</v>
      </c>
      <c r="K80" s="217"/>
      <c r="L80" s="1"/>
    </row>
    <row r="81" spans="1:12" x14ac:dyDescent="0.25">
      <c r="A81" s="21" t="s">
        <v>48</v>
      </c>
      <c r="B81" s="210">
        <v>20000</v>
      </c>
      <c r="C81" s="211">
        <v>51</v>
      </c>
      <c r="D81" s="212">
        <v>4995200</v>
      </c>
      <c r="E81" s="212">
        <f>$C81*E$79</f>
        <v>1020000</v>
      </c>
      <c r="F81" s="212">
        <f>D81-E81</f>
        <v>3975200</v>
      </c>
      <c r="G81" s="212">
        <f>SUM(E81:F81)</f>
        <v>4995200</v>
      </c>
      <c r="H81" s="17"/>
      <c r="I81" s="17"/>
      <c r="K81" s="20"/>
      <c r="L81" s="1"/>
    </row>
    <row r="82" spans="1:12" x14ac:dyDescent="0.25">
      <c r="A82" s="21"/>
      <c r="B82" s="154"/>
      <c r="C82" s="17">
        <f>SUM(C80:C81)</f>
        <v>109</v>
      </c>
      <c r="D82" s="23">
        <f>SUM(D80:D81)</f>
        <v>5527600</v>
      </c>
      <c r="E82" s="23">
        <f>SUM(E80:E81)</f>
        <v>1552400</v>
      </c>
      <c r="F82" s="23">
        <f>SUM(F80:F81)</f>
        <v>3975200</v>
      </c>
      <c r="G82" s="23">
        <f>SUM(G80:G81)</f>
        <v>5527600</v>
      </c>
    </row>
    <row r="83" spans="1:12" x14ac:dyDescent="0.25">
      <c r="A83" s="21"/>
      <c r="B83" s="154"/>
      <c r="E83" s="154"/>
      <c r="F83" s="154"/>
      <c r="G83" s="154"/>
      <c r="H83" s="154"/>
      <c r="I83" s="154"/>
    </row>
    <row r="84" spans="1:12" x14ac:dyDescent="0.25">
      <c r="A84" s="155" t="s">
        <v>177</v>
      </c>
      <c r="B84" s="155"/>
      <c r="E84" s="154"/>
      <c r="F84" s="154"/>
      <c r="G84" s="154"/>
      <c r="H84" s="154"/>
      <c r="I84" s="154"/>
    </row>
    <row r="85" spans="1:12" x14ac:dyDescent="0.25">
      <c r="A85" s="21"/>
      <c r="B85" s="199"/>
      <c r="C85" s="208" t="s">
        <v>50</v>
      </c>
      <c r="D85" s="127" t="s">
        <v>51</v>
      </c>
      <c r="E85" s="208" t="s">
        <v>53</v>
      </c>
      <c r="F85" s="208" t="s">
        <v>54</v>
      </c>
      <c r="G85" s="154"/>
      <c r="H85" s="154"/>
      <c r="I85" s="154"/>
    </row>
    <row r="86" spans="1:12" x14ac:dyDescent="0.25">
      <c r="A86" s="21" t="s">
        <v>47</v>
      </c>
      <c r="B86" s="154">
        <f>B80</f>
        <v>20000</v>
      </c>
      <c r="C86" s="17">
        <v>109</v>
      </c>
      <c r="D86" s="204">
        <f>E82</f>
        <v>1552400</v>
      </c>
      <c r="E86" s="213">
        <v>182.51</v>
      </c>
      <c r="F86" s="29">
        <f>E86*C86</f>
        <v>19893.59</v>
      </c>
      <c r="G86" s="154"/>
      <c r="H86" s="154"/>
      <c r="I86" s="154"/>
    </row>
    <row r="87" spans="1:12" x14ac:dyDescent="0.25">
      <c r="A87" s="21" t="s">
        <v>48</v>
      </c>
      <c r="B87" s="210">
        <f>B81</f>
        <v>20000</v>
      </c>
      <c r="C87" s="22"/>
      <c r="D87" s="212">
        <v>3975200</v>
      </c>
      <c r="E87" s="215">
        <v>8.08</v>
      </c>
      <c r="F87" s="22">
        <f t="shared" ref="F87" si="10">E87*(D87/1000)</f>
        <v>32119.615999999998</v>
      </c>
      <c r="G87" s="154"/>
      <c r="H87" s="154"/>
      <c r="I87" s="154"/>
    </row>
    <row r="88" spans="1:12" x14ac:dyDescent="0.25">
      <c r="A88" s="21"/>
      <c r="B88" s="154" t="s">
        <v>52</v>
      </c>
      <c r="C88" s="17">
        <f>SUM(C86:C87)</f>
        <v>109</v>
      </c>
      <c r="D88" s="23">
        <f>SUM(D86:D87)</f>
        <v>5527600</v>
      </c>
      <c r="F88" s="29">
        <f>SUM(F86:F87)</f>
        <v>52013.205999999998</v>
      </c>
      <c r="G88" s="29"/>
      <c r="H88" s="154"/>
      <c r="I88" s="216"/>
    </row>
    <row r="89" spans="1:12" x14ac:dyDescent="0.25">
      <c r="A89" s="21"/>
      <c r="B89" s="154"/>
      <c r="C89" s="3"/>
      <c r="D89" s="23"/>
      <c r="F89" s="213"/>
      <c r="G89" s="154"/>
      <c r="H89" s="154"/>
      <c r="I89" s="154"/>
    </row>
    <row r="90" spans="1:12" ht="15.75" x14ac:dyDescent="0.25">
      <c r="A90" s="207" t="s">
        <v>181</v>
      </c>
      <c r="L90" s="23"/>
    </row>
    <row r="91" spans="1:12" x14ac:dyDescent="0.25">
      <c r="E91" s="20" t="s">
        <v>47</v>
      </c>
      <c r="F91" s="20" t="s">
        <v>48</v>
      </c>
      <c r="H91" s="20"/>
      <c r="I91" s="20"/>
      <c r="J91" s="20"/>
      <c r="L91" s="23"/>
    </row>
    <row r="92" spans="1:12" x14ac:dyDescent="0.25">
      <c r="B92" s="199" t="s">
        <v>49</v>
      </c>
      <c r="C92" s="208" t="s">
        <v>50</v>
      </c>
      <c r="D92" s="127" t="s">
        <v>51</v>
      </c>
      <c r="E92" s="208">
        <f>B93</f>
        <v>0</v>
      </c>
      <c r="F92" s="208">
        <f>B94</f>
        <v>0</v>
      </c>
      <c r="G92" s="199" t="s">
        <v>52</v>
      </c>
      <c r="H92" s="151"/>
      <c r="I92" s="151"/>
      <c r="J92" s="151"/>
      <c r="K92" s="20"/>
      <c r="L92" s="23"/>
    </row>
    <row r="93" spans="1:12" x14ac:dyDescent="0.25">
      <c r="A93" s="21" t="s">
        <v>47</v>
      </c>
      <c r="B93" s="154">
        <v>0</v>
      </c>
      <c r="C93" s="209">
        <v>2</v>
      </c>
      <c r="D93" s="204">
        <v>115700</v>
      </c>
      <c r="E93" s="204">
        <f>D93</f>
        <v>115700</v>
      </c>
      <c r="F93" s="204">
        <v>0</v>
      </c>
      <c r="G93" s="204">
        <f>SUM(E93:F93)</f>
        <v>115700</v>
      </c>
      <c r="H93" s="194"/>
      <c r="I93" s="194"/>
      <c r="J93" s="194"/>
      <c r="K93" s="194"/>
      <c r="L93" s="23"/>
    </row>
    <row r="94" spans="1:12" x14ac:dyDescent="0.25">
      <c r="A94" s="21" t="s">
        <v>48</v>
      </c>
      <c r="B94" s="210">
        <v>0</v>
      </c>
      <c r="C94" s="211">
        <v>0</v>
      </c>
      <c r="D94" s="212">
        <v>0</v>
      </c>
      <c r="E94" s="212">
        <f>$C94*E$79</f>
        <v>0</v>
      </c>
      <c r="F94" s="212">
        <f>D94-E94</f>
        <v>0</v>
      </c>
      <c r="G94" s="212">
        <f>SUM(E94:F94)</f>
        <v>0</v>
      </c>
      <c r="H94" s="194"/>
      <c r="I94" s="194"/>
      <c r="J94" s="194"/>
      <c r="K94" s="194"/>
      <c r="L94" s="23"/>
    </row>
    <row r="95" spans="1:12" x14ac:dyDescent="0.25">
      <c r="A95" s="21"/>
      <c r="B95" s="154"/>
      <c r="C95" s="17">
        <f>SUM(C93:C94)</f>
        <v>2</v>
      </c>
      <c r="D95" s="23">
        <f>SUM(D93:D94)</f>
        <v>115700</v>
      </c>
      <c r="E95" s="23">
        <f>SUM(E93:E94)</f>
        <v>115700</v>
      </c>
      <c r="F95" s="23">
        <f>SUM(F93:F94)</f>
        <v>0</v>
      </c>
      <c r="G95" s="23">
        <f>SUM(G93:G94)</f>
        <v>115700</v>
      </c>
      <c r="H95" s="194"/>
      <c r="I95" s="194"/>
      <c r="J95" s="194"/>
      <c r="K95" s="194"/>
      <c r="L95" s="23"/>
    </row>
    <row r="96" spans="1:12" x14ac:dyDescent="0.25">
      <c r="A96" s="21"/>
      <c r="B96" s="154"/>
      <c r="E96" s="154"/>
      <c r="F96" s="154"/>
      <c r="G96" s="154"/>
      <c r="H96" s="2"/>
      <c r="I96" s="194"/>
      <c r="J96" s="194"/>
      <c r="K96" s="194"/>
      <c r="L96" s="23"/>
    </row>
    <row r="97" spans="1:17" x14ac:dyDescent="0.25">
      <c r="A97" s="155" t="s">
        <v>177</v>
      </c>
      <c r="B97" s="155"/>
      <c r="E97" s="154"/>
      <c r="F97" s="154"/>
      <c r="G97" s="154"/>
      <c r="H97" s="2"/>
      <c r="I97" s="2"/>
      <c r="J97" s="194"/>
      <c r="K97" s="194"/>
      <c r="L97" s="23"/>
    </row>
    <row r="98" spans="1:17" x14ac:dyDescent="0.25">
      <c r="A98" s="21"/>
      <c r="B98" s="199"/>
      <c r="C98" s="208" t="s">
        <v>50</v>
      </c>
      <c r="D98" s="127" t="s">
        <v>51</v>
      </c>
      <c r="E98" s="208" t="s">
        <v>53</v>
      </c>
      <c r="F98" s="208" t="s">
        <v>54</v>
      </c>
      <c r="G98" s="154"/>
      <c r="H98" s="2"/>
      <c r="I98" s="2"/>
      <c r="J98" s="194"/>
      <c r="K98" s="194"/>
      <c r="L98" s="23"/>
    </row>
    <row r="99" spans="1:17" x14ac:dyDescent="0.25">
      <c r="A99" s="21" t="s">
        <v>47</v>
      </c>
      <c r="B99" s="154">
        <f>B93</f>
        <v>0</v>
      </c>
      <c r="C99" s="17">
        <f>C95</f>
        <v>2</v>
      </c>
      <c r="D99" s="204">
        <f>E95</f>
        <v>115700</v>
      </c>
      <c r="E99" s="213">
        <v>0</v>
      </c>
      <c r="F99" s="29">
        <v>934.86</v>
      </c>
      <c r="G99" s="154"/>
      <c r="H99" s="23"/>
      <c r="I99" s="23"/>
      <c r="J99" s="23"/>
      <c r="K99" s="23"/>
      <c r="L99" s="23"/>
    </row>
    <row r="100" spans="1:17" x14ac:dyDescent="0.25">
      <c r="A100" s="21" t="s">
        <v>48</v>
      </c>
      <c r="B100" s="210">
        <f>B94</f>
        <v>0</v>
      </c>
      <c r="C100" s="22"/>
      <c r="D100" s="212">
        <f>F95</f>
        <v>0</v>
      </c>
      <c r="E100" s="215">
        <v>0</v>
      </c>
      <c r="F100" s="22">
        <f t="shared" ref="F100" si="11">E100*(D100/1000)</f>
        <v>0</v>
      </c>
      <c r="G100" s="154"/>
      <c r="H100" s="154"/>
      <c r="I100" s="154"/>
      <c r="L100" s="23"/>
    </row>
    <row r="101" spans="1:17" x14ac:dyDescent="0.25">
      <c r="A101" s="21"/>
      <c r="B101" s="154" t="s">
        <v>52</v>
      </c>
      <c r="C101" s="17">
        <f>SUM(C99:C100)</f>
        <v>2</v>
      </c>
      <c r="D101" s="23">
        <f>SUM(D99:D100)</f>
        <v>115700</v>
      </c>
      <c r="F101" s="29">
        <f>SUM(F99:F100)</f>
        <v>934.86</v>
      </c>
      <c r="G101" s="29"/>
      <c r="H101" s="154"/>
      <c r="I101" s="154"/>
      <c r="L101" s="23"/>
    </row>
    <row r="102" spans="1:17" x14ac:dyDescent="0.25">
      <c r="A102" s="21"/>
      <c r="B102" s="154"/>
      <c r="C102" s="17"/>
      <c r="D102" s="23"/>
      <c r="F102" s="29"/>
      <c r="G102" s="29"/>
      <c r="H102" s="154"/>
      <c r="I102" s="154"/>
      <c r="L102" s="23"/>
    </row>
    <row r="103" spans="1:17" x14ac:dyDescent="0.25">
      <c r="A103" s="21"/>
      <c r="B103" s="20"/>
      <c r="C103" s="151"/>
      <c r="D103" s="70"/>
      <c r="E103" s="151"/>
      <c r="F103" s="151"/>
      <c r="G103" s="154"/>
      <c r="H103" s="154"/>
      <c r="I103" s="154"/>
      <c r="L103" s="23"/>
    </row>
    <row r="104" spans="1:17" ht="15.75" x14ac:dyDescent="0.25">
      <c r="A104" s="207" t="s">
        <v>183</v>
      </c>
    </row>
    <row r="105" spans="1:17" x14ac:dyDescent="0.25">
      <c r="E105" s="20" t="s">
        <v>47</v>
      </c>
      <c r="F105" s="20" t="s">
        <v>48</v>
      </c>
      <c r="K105" s="17"/>
      <c r="L105" s="1"/>
    </row>
    <row r="106" spans="1:17" x14ac:dyDescent="0.25">
      <c r="B106" s="199" t="s">
        <v>49</v>
      </c>
      <c r="C106" s="208" t="s">
        <v>50</v>
      </c>
      <c r="D106" s="127" t="s">
        <v>51</v>
      </c>
      <c r="E106" s="208">
        <f>B107</f>
        <v>50000</v>
      </c>
      <c r="F106" s="208">
        <f>B108</f>
        <v>50000</v>
      </c>
      <c r="G106" s="199" t="s">
        <v>52</v>
      </c>
      <c r="L106" s="1"/>
      <c r="Q106" s="1" t="s">
        <v>145</v>
      </c>
    </row>
    <row r="107" spans="1:17" x14ac:dyDescent="0.25">
      <c r="A107" s="21" t="s">
        <v>47</v>
      </c>
      <c r="B107" s="154">
        <v>50000</v>
      </c>
      <c r="C107" s="209">
        <v>0</v>
      </c>
      <c r="D107" s="204">
        <v>0</v>
      </c>
      <c r="E107" s="204">
        <f>D107</f>
        <v>0</v>
      </c>
      <c r="F107" s="204">
        <v>0</v>
      </c>
      <c r="G107" s="204">
        <f>SUM(E107:F107)</f>
        <v>0</v>
      </c>
      <c r="K107" s="217"/>
      <c r="L107" s="1"/>
    </row>
    <row r="108" spans="1:17" x14ac:dyDescent="0.25">
      <c r="A108" s="21" t="s">
        <v>48</v>
      </c>
      <c r="B108" s="210">
        <v>50000</v>
      </c>
      <c r="C108" s="211">
        <v>24</v>
      </c>
      <c r="D108" s="212">
        <v>2630900</v>
      </c>
      <c r="E108" s="212">
        <v>1200000</v>
      </c>
      <c r="F108" s="212">
        <f>D108-E108</f>
        <v>1430900</v>
      </c>
      <c r="G108" s="212">
        <f>SUM(E108:F108)</f>
        <v>2630900</v>
      </c>
      <c r="H108" s="17"/>
      <c r="I108" s="17"/>
      <c r="K108" s="20"/>
      <c r="L108" s="1"/>
    </row>
    <row r="109" spans="1:17" x14ac:dyDescent="0.25">
      <c r="A109" s="21"/>
      <c r="B109" s="154"/>
      <c r="C109" s="17">
        <f>SUM(C107:C108)</f>
        <v>24</v>
      </c>
      <c r="D109" s="23">
        <f>SUM(D107:D108)</f>
        <v>2630900</v>
      </c>
      <c r="E109" s="23">
        <f>SUM(E107:E108)</f>
        <v>1200000</v>
      </c>
      <c r="F109" s="23">
        <f>SUM(F107:F108)</f>
        <v>1430900</v>
      </c>
      <c r="G109" s="23">
        <f>SUM(G107:G108)</f>
        <v>2630900</v>
      </c>
    </row>
    <row r="110" spans="1:17" x14ac:dyDescent="0.25">
      <c r="A110" s="21"/>
      <c r="B110" s="154"/>
      <c r="E110" s="154"/>
      <c r="F110" s="154"/>
      <c r="G110" s="154"/>
      <c r="H110" s="154"/>
      <c r="I110" s="154"/>
    </row>
    <row r="111" spans="1:17" x14ac:dyDescent="0.25">
      <c r="A111" s="155" t="s">
        <v>177</v>
      </c>
      <c r="B111" s="155"/>
      <c r="E111" s="154"/>
      <c r="F111" s="154"/>
      <c r="G111" s="154"/>
      <c r="H111" s="154"/>
      <c r="I111" s="154"/>
    </row>
    <row r="112" spans="1:17" x14ac:dyDescent="0.25">
      <c r="A112" s="21"/>
      <c r="B112" s="199"/>
      <c r="C112" s="208" t="s">
        <v>50</v>
      </c>
      <c r="D112" s="127" t="s">
        <v>51</v>
      </c>
      <c r="E112" s="208" t="s">
        <v>53</v>
      </c>
      <c r="F112" s="208" t="s">
        <v>54</v>
      </c>
      <c r="G112" s="154"/>
      <c r="H112" s="154"/>
      <c r="I112" s="154"/>
    </row>
    <row r="113" spans="1:12" x14ac:dyDescent="0.25">
      <c r="A113" s="21" t="s">
        <v>47</v>
      </c>
      <c r="B113" s="154">
        <f>B107</f>
        <v>50000</v>
      </c>
      <c r="C113" s="17">
        <v>24</v>
      </c>
      <c r="D113" s="204">
        <f>E109</f>
        <v>1200000</v>
      </c>
      <c r="E113" s="213">
        <v>424.91</v>
      </c>
      <c r="F113" s="29">
        <f>E113*C113</f>
        <v>10197.84</v>
      </c>
      <c r="G113" s="154"/>
      <c r="H113" s="154"/>
      <c r="I113" s="154"/>
    </row>
    <row r="114" spans="1:12" x14ac:dyDescent="0.25">
      <c r="A114" s="21" t="s">
        <v>48</v>
      </c>
      <c r="B114" s="210">
        <f>B108</f>
        <v>50000</v>
      </c>
      <c r="C114" s="22"/>
      <c r="D114" s="212">
        <v>1430900</v>
      </c>
      <c r="E114" s="215">
        <v>8.08</v>
      </c>
      <c r="F114" s="22">
        <f t="shared" ref="F114" si="12">E114*(D114/1000)</f>
        <v>11561.672</v>
      </c>
      <c r="G114" s="154"/>
      <c r="H114" s="154"/>
      <c r="I114" s="154"/>
    </row>
    <row r="115" spans="1:12" x14ac:dyDescent="0.25">
      <c r="A115" s="21"/>
      <c r="B115" s="154" t="s">
        <v>52</v>
      </c>
      <c r="C115" s="17">
        <f>SUM(C113:C114)</f>
        <v>24</v>
      </c>
      <c r="D115" s="23">
        <f>SUM(D113:D114)</f>
        <v>2630900</v>
      </c>
      <c r="F115" s="29">
        <f>SUM(F113:F114)</f>
        <v>21759.512000000002</v>
      </c>
      <c r="G115" s="29"/>
      <c r="H115" s="154"/>
      <c r="I115" s="216"/>
    </row>
    <row r="116" spans="1:12" x14ac:dyDescent="0.25">
      <c r="A116" s="21"/>
      <c r="B116" s="154"/>
      <c r="C116" s="194"/>
      <c r="D116" s="194"/>
      <c r="E116" s="194"/>
      <c r="F116" s="194"/>
      <c r="G116" s="194"/>
      <c r="H116" s="194"/>
      <c r="I116" s="194"/>
      <c r="L116" s="23"/>
    </row>
    <row r="117" spans="1:12" x14ac:dyDescent="0.25">
      <c r="A117" s="21"/>
      <c r="B117" s="154"/>
      <c r="C117" s="194"/>
      <c r="D117" s="194"/>
      <c r="E117" s="194"/>
      <c r="F117" s="194"/>
      <c r="G117" s="194"/>
      <c r="H117" s="194"/>
      <c r="I117" s="194"/>
      <c r="L117" s="23"/>
    </row>
    <row r="118" spans="1:12" ht="15.75" x14ac:dyDescent="0.25">
      <c r="A118" s="207" t="s">
        <v>184</v>
      </c>
    </row>
    <row r="119" spans="1:12" x14ac:dyDescent="0.25">
      <c r="E119" s="20" t="s">
        <v>47</v>
      </c>
      <c r="F119" s="20" t="s">
        <v>111</v>
      </c>
      <c r="G119" s="20" t="s">
        <v>111</v>
      </c>
      <c r="H119" s="20"/>
      <c r="I119" s="20" t="s">
        <v>48</v>
      </c>
    </row>
    <row r="120" spans="1:12" x14ac:dyDescent="0.25">
      <c r="B120" s="199" t="s">
        <v>49</v>
      </c>
      <c r="C120" s="208" t="s">
        <v>50</v>
      </c>
      <c r="D120" s="127" t="s">
        <v>51</v>
      </c>
      <c r="E120" s="208">
        <f>B121</f>
        <v>4000</v>
      </c>
      <c r="F120" s="208">
        <f>B122</f>
        <v>6000</v>
      </c>
      <c r="G120" s="208">
        <f>B123</f>
        <v>10000</v>
      </c>
      <c r="H120" s="208"/>
      <c r="I120" s="208">
        <f>B125</f>
        <v>20000</v>
      </c>
      <c r="J120" s="199" t="s">
        <v>52</v>
      </c>
    </row>
    <row r="121" spans="1:12" x14ac:dyDescent="0.25">
      <c r="A121" s="21" t="s">
        <v>47</v>
      </c>
      <c r="B121" s="154">
        <v>4000</v>
      </c>
      <c r="C121" s="209">
        <v>30</v>
      </c>
      <c r="D121" s="204">
        <v>57500</v>
      </c>
      <c r="E121" s="204">
        <f>D121</f>
        <v>57500</v>
      </c>
      <c r="F121" s="204">
        <v>0</v>
      </c>
      <c r="G121" s="204">
        <v>0</v>
      </c>
      <c r="H121" s="204"/>
      <c r="I121" s="204">
        <v>0</v>
      </c>
      <c r="J121" s="204">
        <v>57500</v>
      </c>
    </row>
    <row r="122" spans="1:12" x14ac:dyDescent="0.25">
      <c r="A122" s="21" t="s">
        <v>111</v>
      </c>
      <c r="B122" s="154">
        <v>6000</v>
      </c>
      <c r="C122" s="209">
        <v>17</v>
      </c>
      <c r="D122" s="204">
        <v>107700</v>
      </c>
      <c r="E122" s="204">
        <v>68000</v>
      </c>
      <c r="F122" s="204">
        <f>D122-E122</f>
        <v>39700</v>
      </c>
      <c r="G122" s="204">
        <v>0</v>
      </c>
      <c r="H122" s="204"/>
      <c r="I122" s="204">
        <v>0</v>
      </c>
      <c r="J122" s="204">
        <v>107700</v>
      </c>
    </row>
    <row r="123" spans="1:12" x14ac:dyDescent="0.25">
      <c r="A123" s="21" t="s">
        <v>111</v>
      </c>
      <c r="B123" s="154">
        <v>10000</v>
      </c>
      <c r="C123" s="209">
        <v>1</v>
      </c>
      <c r="D123" s="204">
        <v>10400</v>
      </c>
      <c r="E123" s="204">
        <v>4000</v>
      </c>
      <c r="F123" s="204">
        <v>6000</v>
      </c>
      <c r="G123" s="204">
        <f>D123-(F123+E123)</f>
        <v>400</v>
      </c>
      <c r="H123" s="204"/>
      <c r="I123" s="204">
        <v>0</v>
      </c>
      <c r="J123" s="204">
        <v>10400</v>
      </c>
    </row>
    <row r="124" spans="1:12" hidden="1" x14ac:dyDescent="0.25">
      <c r="A124" s="21" t="s">
        <v>111</v>
      </c>
      <c r="B124" s="154">
        <v>10000</v>
      </c>
      <c r="C124" s="209">
        <v>0</v>
      </c>
      <c r="D124" s="204">
        <v>0</v>
      </c>
      <c r="E124" s="204">
        <f t="shared" ref="E124" si="13">C124*E$25</f>
        <v>0</v>
      </c>
      <c r="F124" s="204">
        <f t="shared" ref="F124" si="14">$C124*F$25</f>
        <v>0</v>
      </c>
      <c r="G124" s="204">
        <f>C124*G120</f>
        <v>0</v>
      </c>
      <c r="H124" s="2"/>
      <c r="I124" s="204">
        <v>0</v>
      </c>
      <c r="J124" s="204">
        <f>SUM(E124:I124)</f>
        <v>0</v>
      </c>
    </row>
    <row r="125" spans="1:12" x14ac:dyDescent="0.25">
      <c r="A125" s="21" t="s">
        <v>48</v>
      </c>
      <c r="B125" s="210">
        <v>20000</v>
      </c>
      <c r="C125" s="211">
        <v>0</v>
      </c>
      <c r="D125" s="212">
        <v>0</v>
      </c>
      <c r="E125" s="212">
        <v>0</v>
      </c>
      <c r="F125" s="212">
        <v>0</v>
      </c>
      <c r="G125" s="212">
        <v>0</v>
      </c>
      <c r="H125" s="28"/>
      <c r="I125" s="212">
        <f>D125-E125-F125-G125-H125</f>
        <v>0</v>
      </c>
      <c r="J125" s="212">
        <f>SUM(E125:I125)</f>
        <v>0</v>
      </c>
    </row>
    <row r="126" spans="1:12" x14ac:dyDescent="0.25">
      <c r="A126" s="21"/>
      <c r="B126" s="154" t="s">
        <v>52</v>
      </c>
      <c r="C126" s="23">
        <f t="shared" ref="C126:G126" si="15">SUM(C121:C125)</f>
        <v>48</v>
      </c>
      <c r="D126" s="23">
        <f t="shared" si="15"/>
        <v>175600</v>
      </c>
      <c r="E126" s="23">
        <f t="shared" si="15"/>
        <v>129500</v>
      </c>
      <c r="F126" s="23">
        <f t="shared" si="15"/>
        <v>45700</v>
      </c>
      <c r="G126" s="23">
        <f t="shared" si="15"/>
        <v>400</v>
      </c>
      <c r="H126" s="23"/>
      <c r="I126" s="23">
        <f t="shared" ref="I126:J126" si="16">SUM(I121:I125)</f>
        <v>0</v>
      </c>
      <c r="J126" s="23">
        <f t="shared" si="16"/>
        <v>175600</v>
      </c>
    </row>
    <row r="127" spans="1:12" x14ac:dyDescent="0.25">
      <c r="A127" s="21"/>
      <c r="B127" s="154"/>
      <c r="E127" s="154"/>
      <c r="F127" s="154"/>
      <c r="G127" s="154"/>
      <c r="H127" s="154"/>
      <c r="I127" s="154"/>
    </row>
    <row r="128" spans="1:12" x14ac:dyDescent="0.25">
      <c r="A128" s="155" t="s">
        <v>177</v>
      </c>
      <c r="B128" s="155"/>
      <c r="E128" s="154"/>
      <c r="F128" s="154"/>
      <c r="G128" s="154"/>
      <c r="H128" s="154"/>
      <c r="I128" s="154"/>
    </row>
    <row r="129" spans="1:12" x14ac:dyDescent="0.25">
      <c r="A129" s="21"/>
      <c r="B129" s="199"/>
      <c r="C129" s="208" t="s">
        <v>50</v>
      </c>
      <c r="D129" s="127" t="s">
        <v>51</v>
      </c>
      <c r="E129" s="208" t="s">
        <v>53</v>
      </c>
      <c r="F129" s="208" t="s">
        <v>54</v>
      </c>
      <c r="G129" s="154"/>
      <c r="H129" s="154"/>
      <c r="I129" s="154"/>
    </row>
    <row r="130" spans="1:12" x14ac:dyDescent="0.25">
      <c r="A130" s="21" t="s">
        <v>47</v>
      </c>
      <c r="B130" s="154">
        <f>B121</f>
        <v>4000</v>
      </c>
      <c r="C130" s="17">
        <f>C126</f>
        <v>48</v>
      </c>
      <c r="D130" s="204">
        <v>129500</v>
      </c>
      <c r="E130" s="213">
        <v>46.3</v>
      </c>
      <c r="F130" s="29">
        <f>E130*C130</f>
        <v>2222.3999999999996</v>
      </c>
      <c r="G130" s="154"/>
    </row>
    <row r="131" spans="1:12" x14ac:dyDescent="0.25">
      <c r="A131" s="21" t="s">
        <v>111</v>
      </c>
      <c r="B131" s="154">
        <f>B122</f>
        <v>6000</v>
      </c>
      <c r="D131" s="204">
        <v>45700</v>
      </c>
      <c r="E131" s="213">
        <v>9.07</v>
      </c>
      <c r="F131" s="17">
        <f>E131*(D131/1000)</f>
        <v>414.49900000000002</v>
      </c>
      <c r="G131" s="154"/>
    </row>
    <row r="132" spans="1:12" x14ac:dyDescent="0.25">
      <c r="A132" s="21" t="s">
        <v>111</v>
      </c>
      <c r="B132" s="154">
        <f>B123</f>
        <v>10000</v>
      </c>
      <c r="D132" s="204">
        <v>400</v>
      </c>
      <c r="E132" s="213">
        <v>8.58</v>
      </c>
      <c r="F132" s="17">
        <f>E132*(D132/1000)</f>
        <v>3.4320000000000004</v>
      </c>
      <c r="G132" s="154"/>
    </row>
    <row r="133" spans="1:12" hidden="1" x14ac:dyDescent="0.25">
      <c r="A133" s="21" t="s">
        <v>111</v>
      </c>
      <c r="B133" s="154">
        <v>10000</v>
      </c>
      <c r="D133" s="204">
        <f>H126</f>
        <v>0</v>
      </c>
      <c r="E133" s="213"/>
      <c r="F133" s="17">
        <f t="shared" ref="F133" si="17">E133*(D133/1000)</f>
        <v>0</v>
      </c>
      <c r="G133" s="154"/>
    </row>
    <row r="134" spans="1:12" x14ac:dyDescent="0.25">
      <c r="A134" s="21" t="s">
        <v>48</v>
      </c>
      <c r="B134" s="210">
        <f>B125</f>
        <v>20000</v>
      </c>
      <c r="C134" s="214"/>
      <c r="D134" s="212">
        <v>0</v>
      </c>
      <c r="E134" s="215">
        <v>8.08</v>
      </c>
      <c r="F134" s="22">
        <f>E134*(D134/1000)</f>
        <v>0</v>
      </c>
      <c r="G134" s="154"/>
    </row>
    <row r="135" spans="1:12" x14ac:dyDescent="0.25">
      <c r="A135" s="21"/>
      <c r="B135" s="154" t="s">
        <v>52</v>
      </c>
      <c r="C135" s="17">
        <f>SUM(C130:C134)</f>
        <v>48</v>
      </c>
      <c r="D135" s="23">
        <f>SUM(D130:D134)</f>
        <v>175600</v>
      </c>
      <c r="F135" s="29">
        <f>SUM(F130:F134)</f>
        <v>2640.3309999999992</v>
      </c>
      <c r="G135" s="29"/>
      <c r="H135" s="154"/>
      <c r="I135" s="216"/>
    </row>
    <row r="136" spans="1:12" x14ac:dyDescent="0.25">
      <c r="A136" s="155"/>
      <c r="B136" s="155"/>
      <c r="D136" s="23"/>
      <c r="E136" s="154"/>
      <c r="F136" s="154"/>
      <c r="G136" s="154"/>
      <c r="H136" s="154"/>
      <c r="I136" s="154"/>
      <c r="L136" s="23"/>
    </row>
    <row r="137" spans="1:12" x14ac:dyDescent="0.25">
      <c r="A137" s="21"/>
      <c r="B137" s="20"/>
      <c r="C137" s="151"/>
      <c r="D137" s="70"/>
      <c r="E137" s="151"/>
      <c r="F137" s="151"/>
      <c r="G137" s="154"/>
      <c r="H137" s="154"/>
      <c r="I137" s="154"/>
      <c r="L137" s="23"/>
    </row>
    <row r="138" spans="1:12" ht="15.75" x14ac:dyDescent="0.25">
      <c r="A138" s="207" t="s">
        <v>184</v>
      </c>
    </row>
    <row r="139" spans="1:12" x14ac:dyDescent="0.25">
      <c r="E139" s="20" t="s">
        <v>47</v>
      </c>
      <c r="F139" s="20" t="s">
        <v>111</v>
      </c>
      <c r="G139" s="20" t="s">
        <v>111</v>
      </c>
      <c r="H139" s="20"/>
      <c r="I139" s="20" t="s">
        <v>48</v>
      </c>
    </row>
    <row r="140" spans="1:12" x14ac:dyDescent="0.25">
      <c r="B140" s="199" t="s">
        <v>49</v>
      </c>
      <c r="C140" s="208" t="s">
        <v>50</v>
      </c>
      <c r="D140" s="127" t="s">
        <v>51</v>
      </c>
      <c r="E140" s="208">
        <f>B141</f>
        <v>4000</v>
      </c>
      <c r="F140" s="208">
        <f>B142</f>
        <v>6000</v>
      </c>
      <c r="G140" s="208">
        <f>B143</f>
        <v>10000</v>
      </c>
      <c r="H140" s="208"/>
      <c r="I140" s="208">
        <f>B145</f>
        <v>20000</v>
      </c>
      <c r="J140" s="199" t="s">
        <v>52</v>
      </c>
    </row>
    <row r="141" spans="1:12" x14ac:dyDescent="0.25">
      <c r="A141" s="21" t="s">
        <v>47</v>
      </c>
      <c r="B141" s="154">
        <v>4000</v>
      </c>
      <c r="C141" s="209">
        <v>1</v>
      </c>
      <c r="D141" s="204">
        <v>0</v>
      </c>
      <c r="E141" s="204">
        <f>D141</f>
        <v>0</v>
      </c>
      <c r="F141" s="204">
        <v>0</v>
      </c>
      <c r="G141" s="204">
        <v>0</v>
      </c>
      <c r="H141" s="204"/>
      <c r="I141" s="204">
        <v>0</v>
      </c>
      <c r="J141" s="204">
        <v>0</v>
      </c>
    </row>
    <row r="142" spans="1:12" x14ac:dyDescent="0.25">
      <c r="A142" s="21" t="s">
        <v>111</v>
      </c>
      <c r="B142" s="154">
        <v>6000</v>
      </c>
      <c r="C142" s="209">
        <v>7</v>
      </c>
      <c r="D142" s="204">
        <v>60500</v>
      </c>
      <c r="E142" s="204">
        <v>28000</v>
      </c>
      <c r="F142" s="204">
        <f>D142-E142</f>
        <v>32500</v>
      </c>
      <c r="G142" s="204">
        <v>0</v>
      </c>
      <c r="H142" s="204"/>
      <c r="I142" s="204">
        <v>0</v>
      </c>
      <c r="J142" s="204">
        <v>60500</v>
      </c>
    </row>
    <row r="143" spans="1:12" x14ac:dyDescent="0.25">
      <c r="A143" s="21" t="s">
        <v>111</v>
      </c>
      <c r="B143" s="154">
        <v>10000</v>
      </c>
      <c r="C143" s="209">
        <v>4</v>
      </c>
      <c r="D143" s="204">
        <v>53200</v>
      </c>
      <c r="E143" s="204">
        <v>16000</v>
      </c>
      <c r="F143" s="204">
        <v>24000</v>
      </c>
      <c r="G143" s="204">
        <f>D143-(F143+E143)</f>
        <v>13200</v>
      </c>
      <c r="H143" s="204"/>
      <c r="I143" s="204">
        <v>0</v>
      </c>
      <c r="J143" s="204">
        <v>53200</v>
      </c>
    </row>
    <row r="144" spans="1:12" hidden="1" x14ac:dyDescent="0.25">
      <c r="A144" s="21" t="s">
        <v>111</v>
      </c>
      <c r="B144" s="154">
        <v>10000</v>
      </c>
      <c r="C144" s="209">
        <v>0</v>
      </c>
      <c r="D144" s="204">
        <v>0</v>
      </c>
      <c r="E144" s="204">
        <f t="shared" ref="E144" si="18">C144*E$25</f>
        <v>0</v>
      </c>
      <c r="F144" s="204">
        <f t="shared" ref="F144" si="19">$C144*F$25</f>
        <v>0</v>
      </c>
      <c r="G144" s="204">
        <f>C144*G140</f>
        <v>0</v>
      </c>
      <c r="H144" s="2"/>
      <c r="I144" s="204">
        <v>0</v>
      </c>
      <c r="J144" s="204">
        <f>SUM(E144:I144)</f>
        <v>0</v>
      </c>
    </row>
    <row r="145" spans="1:10" x14ac:dyDescent="0.25">
      <c r="A145" s="21" t="s">
        <v>48</v>
      </c>
      <c r="B145" s="210">
        <v>20000</v>
      </c>
      <c r="C145" s="211">
        <v>0</v>
      </c>
      <c r="D145" s="212">
        <v>0</v>
      </c>
      <c r="E145" s="212">
        <v>0</v>
      </c>
      <c r="F145" s="212">
        <v>0</v>
      </c>
      <c r="G145" s="212">
        <v>0</v>
      </c>
      <c r="H145" s="28"/>
      <c r="I145" s="212">
        <f>D145-E145-F145-G145-H145</f>
        <v>0</v>
      </c>
      <c r="J145" s="212">
        <f>SUM(E145:I145)</f>
        <v>0</v>
      </c>
    </row>
    <row r="146" spans="1:10" x14ac:dyDescent="0.25">
      <c r="A146" s="21"/>
      <c r="B146" s="154" t="s">
        <v>52</v>
      </c>
      <c r="C146" s="23">
        <f t="shared" ref="C146:G146" si="20">SUM(C141:C145)</f>
        <v>12</v>
      </c>
      <c r="D146" s="23">
        <f t="shared" si="20"/>
        <v>113700</v>
      </c>
      <c r="E146" s="23">
        <f t="shared" si="20"/>
        <v>44000</v>
      </c>
      <c r="F146" s="23">
        <f t="shared" si="20"/>
        <v>56500</v>
      </c>
      <c r="G146" s="23">
        <f t="shared" si="20"/>
        <v>13200</v>
      </c>
      <c r="H146" s="23"/>
      <c r="I146" s="23">
        <f t="shared" ref="I146:J146" si="21">SUM(I141:I145)</f>
        <v>0</v>
      </c>
      <c r="J146" s="23">
        <f t="shared" si="21"/>
        <v>113700</v>
      </c>
    </row>
    <row r="147" spans="1:10" x14ac:dyDescent="0.25">
      <c r="A147" s="21"/>
      <c r="B147" s="154"/>
      <c r="E147" s="154"/>
      <c r="F147" s="154"/>
      <c r="G147" s="154"/>
      <c r="H147" s="154"/>
      <c r="I147" s="154"/>
    </row>
    <row r="148" spans="1:10" x14ac:dyDescent="0.25">
      <c r="A148" s="155" t="s">
        <v>177</v>
      </c>
      <c r="B148" s="155"/>
      <c r="E148" s="154"/>
      <c r="F148" s="154"/>
      <c r="G148" s="154"/>
      <c r="H148" s="154"/>
      <c r="I148" s="154"/>
    </row>
    <row r="149" spans="1:10" x14ac:dyDescent="0.25">
      <c r="A149" s="21"/>
      <c r="B149" s="199"/>
      <c r="C149" s="208" t="s">
        <v>50</v>
      </c>
      <c r="D149" s="127" t="s">
        <v>51</v>
      </c>
      <c r="E149" s="208" t="s">
        <v>53</v>
      </c>
      <c r="F149" s="208" t="s">
        <v>54</v>
      </c>
      <c r="G149" s="154"/>
      <c r="H149" s="154"/>
      <c r="I149" s="154"/>
    </row>
    <row r="150" spans="1:10" x14ac:dyDescent="0.25">
      <c r="A150" s="21" t="s">
        <v>47</v>
      </c>
      <c r="B150" s="154">
        <f>B141</f>
        <v>4000</v>
      </c>
      <c r="C150" s="17">
        <f>C146</f>
        <v>12</v>
      </c>
      <c r="D150" s="204">
        <v>44000</v>
      </c>
      <c r="E150" s="213">
        <v>46.3</v>
      </c>
      <c r="F150" s="29">
        <f>E150*C150</f>
        <v>555.59999999999991</v>
      </c>
      <c r="G150" s="154"/>
    </row>
    <row r="151" spans="1:10" x14ac:dyDescent="0.25">
      <c r="A151" s="21" t="s">
        <v>111</v>
      </c>
      <c r="B151" s="154">
        <f>B142</f>
        <v>6000</v>
      </c>
      <c r="D151" s="204">
        <v>56500</v>
      </c>
      <c r="E151" s="213">
        <v>9.07</v>
      </c>
      <c r="F151" s="17">
        <f>E151*(D151/1000)</f>
        <v>512.45500000000004</v>
      </c>
      <c r="G151" s="154"/>
    </row>
    <row r="152" spans="1:10" x14ac:dyDescent="0.25">
      <c r="A152" s="21" t="s">
        <v>111</v>
      </c>
      <c r="B152" s="154">
        <f>B143</f>
        <v>10000</v>
      </c>
      <c r="D152" s="204">
        <v>13200</v>
      </c>
      <c r="E152" s="213">
        <v>8.58</v>
      </c>
      <c r="F152" s="17">
        <f>E152*(D152/1000)</f>
        <v>113.256</v>
      </c>
      <c r="G152" s="154"/>
    </row>
    <row r="153" spans="1:10" hidden="1" x14ac:dyDescent="0.25">
      <c r="A153" s="21" t="s">
        <v>111</v>
      </c>
      <c r="B153" s="154">
        <v>10000</v>
      </c>
      <c r="D153" s="204">
        <f>H146</f>
        <v>0</v>
      </c>
      <c r="E153" s="213"/>
      <c r="F153" s="17">
        <f t="shared" ref="F153" si="22">E153*(D153/1000)</f>
        <v>0</v>
      </c>
      <c r="G153" s="154"/>
    </row>
    <row r="154" spans="1:10" x14ac:dyDescent="0.25">
      <c r="A154" s="21" t="s">
        <v>48</v>
      </c>
      <c r="B154" s="210">
        <f>B145</f>
        <v>20000</v>
      </c>
      <c r="C154" s="214"/>
      <c r="D154" s="212">
        <v>0</v>
      </c>
      <c r="E154" s="215">
        <v>8.08</v>
      </c>
      <c r="F154" s="22">
        <f>E154*(D154/1000)</f>
        <v>0</v>
      </c>
      <c r="G154" s="154"/>
    </row>
    <row r="155" spans="1:10" x14ac:dyDescent="0.25">
      <c r="A155" s="21"/>
      <c r="B155" s="154" t="s">
        <v>52</v>
      </c>
      <c r="C155" s="17">
        <f>SUM(C150:C154)</f>
        <v>12</v>
      </c>
      <c r="D155" s="23">
        <f>SUM(D150:D154)</f>
        <v>113700</v>
      </c>
      <c r="F155" s="29">
        <f>SUM(F150:F154)</f>
        <v>1181.3109999999999</v>
      </c>
      <c r="G155" s="29"/>
      <c r="H155" s="154"/>
      <c r="I155" s="216"/>
    </row>
  </sheetData>
  <mergeCells count="1">
    <mergeCell ref="A2:I2"/>
  </mergeCells>
  <pageMargins left="0.7" right="0.7" top="0.75" bottom="0.75" header="0.3" footer="0.3"/>
  <pageSetup scale="97" fitToHeight="0" orientation="landscape" horizontalDpi="4294967293" r:id="rId1"/>
  <ignoredErrors>
    <ignoredError sqref="G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S155"/>
  <sheetViews>
    <sheetView showGridLines="0" topLeftCell="A15" workbookViewId="0">
      <selection sqref="A1:L155"/>
    </sheetView>
  </sheetViews>
  <sheetFormatPr defaultColWidth="8.88671875" defaultRowHeight="15" x14ac:dyDescent="0.25"/>
  <cols>
    <col min="1" max="1" width="8.44140625" style="1" customWidth="1"/>
    <col min="2" max="2" width="8.6640625" style="1" customWidth="1"/>
    <col min="3" max="3" width="8" style="1" customWidth="1"/>
    <col min="4" max="4" width="11.5546875" style="17" customWidth="1"/>
    <col min="5" max="5" width="9.77734375" style="1" customWidth="1"/>
    <col min="6" max="6" width="10.33203125" style="1" customWidth="1"/>
    <col min="7" max="7" width="9.5546875" style="1" bestFit="1" customWidth="1"/>
    <col min="8" max="9" width="9.77734375" style="1" customWidth="1"/>
    <col min="10" max="10" width="9.88671875" style="1" bestFit="1" customWidth="1"/>
    <col min="11" max="11" width="7.109375" style="1" customWidth="1"/>
    <col min="12" max="12" width="10.5546875" style="17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.75" x14ac:dyDescent="0.3">
      <c r="A1" s="196" t="s">
        <v>182</v>
      </c>
      <c r="B1" s="24"/>
      <c r="C1" s="24"/>
      <c r="D1" s="88"/>
      <c r="E1" s="24"/>
      <c r="F1" s="24"/>
      <c r="G1" s="24"/>
      <c r="H1" s="24"/>
      <c r="I1" s="24"/>
    </row>
    <row r="2" spans="1:17" ht="18.75" x14ac:dyDescent="0.25">
      <c r="A2" s="267" t="s">
        <v>154</v>
      </c>
      <c r="B2" s="267"/>
      <c r="C2" s="267"/>
      <c r="D2" s="267"/>
      <c r="E2" s="267"/>
      <c r="F2" s="267"/>
      <c r="G2" s="267"/>
      <c r="H2" s="267"/>
      <c r="I2" s="267"/>
    </row>
    <row r="3" spans="1:17" x14ac:dyDescent="0.25">
      <c r="M3" s="17"/>
      <c r="Q3" s="17"/>
    </row>
    <row r="4" spans="1:17" ht="17.25" x14ac:dyDescent="0.4">
      <c r="C4" s="197" t="s">
        <v>162</v>
      </c>
      <c r="J4" s="1" t="s">
        <v>194</v>
      </c>
      <c r="L4" s="220">
        <f>SAO!G49</f>
        <v>0.23330539429555266</v>
      </c>
      <c r="M4" s="153"/>
      <c r="Q4" s="179"/>
    </row>
    <row r="5" spans="1:17" x14ac:dyDescent="0.25">
      <c r="C5" s="198"/>
      <c r="D5" s="22"/>
      <c r="E5" s="199" t="s">
        <v>163</v>
      </c>
      <c r="F5" s="199" t="s">
        <v>164</v>
      </c>
      <c r="G5" s="199" t="s">
        <v>165</v>
      </c>
      <c r="H5" s="20"/>
      <c r="J5" s="200"/>
      <c r="K5" s="17"/>
      <c r="L5" s="200"/>
      <c r="M5" s="17"/>
      <c r="Q5" s="2"/>
    </row>
    <row r="6" spans="1:17" x14ac:dyDescent="0.25">
      <c r="C6" s="1" t="s">
        <v>166</v>
      </c>
      <c r="E6" s="17">
        <f>C31</f>
        <v>18811</v>
      </c>
      <c r="F6" s="201">
        <f>D31</f>
        <v>67981700</v>
      </c>
      <c r="G6" s="29">
        <f>F40</f>
        <v>956882.09099687031</v>
      </c>
      <c r="H6" s="29"/>
      <c r="J6" s="200"/>
      <c r="K6" s="2"/>
    </row>
    <row r="7" spans="1:17" x14ac:dyDescent="0.25">
      <c r="C7" s="1" t="s">
        <v>167</v>
      </c>
      <c r="E7" s="17">
        <f>C50</f>
        <v>216</v>
      </c>
      <c r="F7" s="201">
        <f>D50</f>
        <v>1584800</v>
      </c>
      <c r="G7" s="7">
        <f>F59</f>
        <v>21284.624989304539</v>
      </c>
      <c r="H7" s="29"/>
      <c r="J7" s="200"/>
      <c r="K7" s="2"/>
    </row>
    <row r="8" spans="1:17" x14ac:dyDescent="0.25">
      <c r="B8" s="1" t="s">
        <v>72</v>
      </c>
      <c r="C8" s="1" t="s">
        <v>168</v>
      </c>
      <c r="E8" s="17">
        <f>C74</f>
        <v>24</v>
      </c>
      <c r="F8" s="201">
        <f>D74</f>
        <v>1548700</v>
      </c>
      <c r="G8" s="17">
        <f>F74</f>
        <v>16234.346697233552</v>
      </c>
      <c r="H8" s="17"/>
      <c r="J8" s="200"/>
      <c r="K8" s="17"/>
    </row>
    <row r="9" spans="1:17" x14ac:dyDescent="0.25">
      <c r="C9" s="1" t="s">
        <v>169</v>
      </c>
      <c r="E9" s="23">
        <f>C82</f>
        <v>109</v>
      </c>
      <c r="F9" s="156">
        <f>D82</f>
        <v>5527600</v>
      </c>
      <c r="G9" s="23">
        <f>F88</f>
        <v>64148.167534405802</v>
      </c>
      <c r="H9" s="17"/>
      <c r="J9" s="200"/>
      <c r="K9" s="17"/>
    </row>
    <row r="10" spans="1:17" x14ac:dyDescent="0.25">
      <c r="C10" s="1" t="s">
        <v>170</v>
      </c>
      <c r="E10" s="23">
        <f>C95</f>
        <v>2</v>
      </c>
      <c r="F10" s="156">
        <f>D95</f>
        <v>115700</v>
      </c>
      <c r="G10" s="23">
        <f>F101</f>
        <v>934.86</v>
      </c>
      <c r="H10" s="17"/>
      <c r="J10" s="200"/>
      <c r="K10" s="17"/>
    </row>
    <row r="11" spans="1:17" x14ac:dyDescent="0.25">
      <c r="B11" s="1" t="s">
        <v>72</v>
      </c>
      <c r="C11" s="1" t="s">
        <v>185</v>
      </c>
      <c r="E11" s="17">
        <v>24</v>
      </c>
      <c r="F11" s="23">
        <v>2630900</v>
      </c>
      <c r="G11" s="17">
        <f>F115</f>
        <v>26836.123526838815</v>
      </c>
      <c r="H11" s="17"/>
      <c r="J11" s="200"/>
      <c r="K11" s="17"/>
    </row>
    <row r="12" spans="1:17" x14ac:dyDescent="0.25">
      <c r="C12" s="1" t="s">
        <v>186</v>
      </c>
      <c r="E12" s="23">
        <v>48</v>
      </c>
      <c r="F12" s="156">
        <v>175600</v>
      </c>
      <c r="G12" s="23">
        <f>F135</f>
        <v>3256.3344650257709</v>
      </c>
      <c r="H12" s="17"/>
      <c r="J12" s="200"/>
      <c r="K12" s="17"/>
    </row>
    <row r="13" spans="1:17" x14ac:dyDescent="0.25">
      <c r="C13" s="1" t="s">
        <v>187</v>
      </c>
      <c r="E13" s="22">
        <v>12</v>
      </c>
      <c r="F13" s="202">
        <v>113700</v>
      </c>
      <c r="G13" s="22">
        <f>F155</f>
        <v>1456.9172286406738</v>
      </c>
      <c r="H13" s="17"/>
      <c r="J13" s="200"/>
      <c r="K13" s="17"/>
    </row>
    <row r="14" spans="1:17" x14ac:dyDescent="0.25">
      <c r="C14" s="1" t="s">
        <v>171</v>
      </c>
      <c r="E14" s="2">
        <v>19321</v>
      </c>
      <c r="F14" s="23">
        <v>81954600</v>
      </c>
      <c r="G14" s="152">
        <f>SUM(G6:G13)</f>
        <v>1091033.4654383196</v>
      </c>
      <c r="H14" s="152"/>
      <c r="J14" s="200"/>
      <c r="K14" s="2"/>
      <c r="M14" s="203"/>
    </row>
    <row r="15" spans="1:17" x14ac:dyDescent="0.25">
      <c r="C15" s="1" t="s">
        <v>172</v>
      </c>
      <c r="E15" s="2"/>
      <c r="F15" s="23"/>
      <c r="G15" s="193">
        <f>-1213-4748</f>
        <v>-5961</v>
      </c>
      <c r="H15" s="152"/>
      <c r="J15" s="200"/>
      <c r="K15" s="2"/>
      <c r="M15" s="203"/>
    </row>
    <row r="16" spans="1:17" x14ac:dyDescent="0.25">
      <c r="C16" s="1" t="s">
        <v>173</v>
      </c>
      <c r="E16" s="2"/>
      <c r="F16" s="23"/>
      <c r="G16" s="152">
        <f>G14+G15</f>
        <v>1085072.4654383196</v>
      </c>
      <c r="H16" s="152"/>
      <c r="J16" s="200"/>
      <c r="K16" s="2"/>
      <c r="M16" s="203"/>
    </row>
    <row r="17" spans="1:19" x14ac:dyDescent="0.25">
      <c r="C17" s="1" t="s">
        <v>195</v>
      </c>
      <c r="E17" s="2"/>
      <c r="F17" s="23"/>
      <c r="G17" s="193">
        <f>-SAO!G45</f>
        <v>-1079861.998002911</v>
      </c>
      <c r="H17" s="152"/>
      <c r="J17" s="200"/>
      <c r="K17" s="203"/>
    </row>
    <row r="18" spans="1:19" x14ac:dyDescent="0.25">
      <c r="C18" s="1" t="s">
        <v>63</v>
      </c>
      <c r="D18" s="204"/>
      <c r="F18" s="18"/>
      <c r="G18" s="153">
        <f>G16+G17</f>
        <v>5210.4674354086164</v>
      </c>
      <c r="H18" s="205">
        <f>G18/G17</f>
        <v>-4.8251234371103138E-3</v>
      </c>
      <c r="I18" s="153"/>
      <c r="J18" s="200"/>
      <c r="O18" s="2"/>
    </row>
    <row r="19" spans="1:19" x14ac:dyDescent="0.25">
      <c r="D19" s="204"/>
      <c r="F19" s="18"/>
      <c r="G19" s="194"/>
      <c r="I19" s="153"/>
      <c r="J19" s="200"/>
    </row>
    <row r="20" spans="1:19" x14ac:dyDescent="0.25">
      <c r="D20" s="204"/>
      <c r="F20" s="18"/>
      <c r="G20" s="204"/>
      <c r="I20" s="153"/>
    </row>
    <row r="21" spans="1:19" x14ac:dyDescent="0.25">
      <c r="F21" s="206"/>
      <c r="G21" s="153"/>
    </row>
    <row r="22" spans="1:19" x14ac:dyDescent="0.25">
      <c r="F22" s="153"/>
      <c r="G22" s="153"/>
    </row>
    <row r="23" spans="1:19" ht="15.75" x14ac:dyDescent="0.25">
      <c r="A23" s="207" t="s">
        <v>176</v>
      </c>
      <c r="N23"/>
      <c r="O23"/>
      <c r="P23"/>
      <c r="Q23"/>
      <c r="R23"/>
      <c r="S23"/>
    </row>
    <row r="24" spans="1:19" ht="15.75" x14ac:dyDescent="0.25">
      <c r="E24" s="20" t="s">
        <v>47</v>
      </c>
      <c r="F24" s="20" t="s">
        <v>111</v>
      </c>
      <c r="G24" s="20" t="s">
        <v>111</v>
      </c>
      <c r="H24" s="20" t="s">
        <v>111</v>
      </c>
      <c r="I24" s="20" t="s">
        <v>48</v>
      </c>
      <c r="L24"/>
      <c r="M24"/>
      <c r="N24"/>
      <c r="O24"/>
      <c r="P24"/>
      <c r="Q24"/>
    </row>
    <row r="25" spans="1:19" ht="15.75" x14ac:dyDescent="0.25">
      <c r="B25" s="199" t="s">
        <v>49</v>
      </c>
      <c r="C25" s="208" t="s">
        <v>50</v>
      </c>
      <c r="D25" s="127" t="s">
        <v>51</v>
      </c>
      <c r="E25" s="208">
        <f>B26</f>
        <v>2000</v>
      </c>
      <c r="F25" s="208">
        <f>B27</f>
        <v>2000</v>
      </c>
      <c r="G25" s="208">
        <f>B28</f>
        <v>6000</v>
      </c>
      <c r="H25" s="208">
        <f>B29</f>
        <v>10000</v>
      </c>
      <c r="I25" s="208">
        <f>B30</f>
        <v>20000</v>
      </c>
      <c r="J25" s="199" t="s">
        <v>52</v>
      </c>
      <c r="L25"/>
      <c r="M25"/>
      <c r="N25"/>
      <c r="O25"/>
      <c r="P25"/>
      <c r="Q25"/>
    </row>
    <row r="26" spans="1:19" ht="15.75" x14ac:dyDescent="0.25">
      <c r="A26" s="21" t="s">
        <v>47</v>
      </c>
      <c r="B26" s="154">
        <v>2000</v>
      </c>
      <c r="C26" s="209">
        <v>5909</v>
      </c>
      <c r="D26" s="204">
        <v>6121100</v>
      </c>
      <c r="E26" s="204">
        <f>D26</f>
        <v>6121100</v>
      </c>
      <c r="F26" s="204">
        <v>0</v>
      </c>
      <c r="G26" s="204">
        <v>0</v>
      </c>
      <c r="H26" s="204">
        <v>0</v>
      </c>
      <c r="I26" s="204">
        <v>0</v>
      </c>
      <c r="J26" s="204">
        <f>SUM(E26:I26)</f>
        <v>6121100</v>
      </c>
      <c r="L26"/>
      <c r="M26"/>
      <c r="N26"/>
      <c r="O26"/>
      <c r="P26"/>
      <c r="Q26"/>
    </row>
    <row r="27" spans="1:19" ht="15.75" x14ac:dyDescent="0.25">
      <c r="A27" s="21" t="s">
        <v>111</v>
      </c>
      <c r="B27" s="154">
        <v>2000</v>
      </c>
      <c r="C27" s="209">
        <v>7002</v>
      </c>
      <c r="D27" s="204">
        <v>20990400</v>
      </c>
      <c r="E27" s="204">
        <f>C27*E$25</f>
        <v>14004000</v>
      </c>
      <c r="F27" s="204">
        <f>D27-E27</f>
        <v>6986400</v>
      </c>
      <c r="G27" s="204">
        <v>0</v>
      </c>
      <c r="H27" s="204">
        <v>0</v>
      </c>
      <c r="I27" s="204">
        <v>0</v>
      </c>
      <c r="J27" s="204">
        <f>SUM(E27:I27)</f>
        <v>20990400</v>
      </c>
      <c r="L27"/>
      <c r="M27"/>
      <c r="N27"/>
      <c r="O27"/>
      <c r="P27"/>
      <c r="Q27"/>
    </row>
    <row r="28" spans="1:19" ht="15.75" x14ac:dyDescent="0.25">
      <c r="A28" s="21" t="s">
        <v>111</v>
      </c>
      <c r="B28" s="154">
        <v>6000</v>
      </c>
      <c r="C28" s="209">
        <v>5244</v>
      </c>
      <c r="D28" s="204">
        <v>29871900</v>
      </c>
      <c r="E28" s="204">
        <f>C28*E$25</f>
        <v>10488000</v>
      </c>
      <c r="F28" s="204">
        <f>$C28*F$25</f>
        <v>10488000</v>
      </c>
      <c r="G28" s="204">
        <f>D28-(F28+E28)</f>
        <v>8895900</v>
      </c>
      <c r="H28" s="204">
        <v>0</v>
      </c>
      <c r="I28" s="204">
        <v>0</v>
      </c>
      <c r="J28" s="204">
        <f>SUM(E28:I28)</f>
        <v>29871900</v>
      </c>
      <c r="L28"/>
      <c r="M28"/>
      <c r="N28"/>
      <c r="O28"/>
      <c r="P28"/>
      <c r="Q28"/>
    </row>
    <row r="29" spans="1:19" ht="15.75" x14ac:dyDescent="0.25">
      <c r="A29" s="21" t="s">
        <v>111</v>
      </c>
      <c r="B29" s="154">
        <v>10000</v>
      </c>
      <c r="C29" s="209">
        <v>502</v>
      </c>
      <c r="D29" s="204">
        <v>6417000</v>
      </c>
      <c r="E29" s="204">
        <f t="shared" ref="E29" si="0">C29*E$25</f>
        <v>1004000</v>
      </c>
      <c r="F29" s="204">
        <f t="shared" ref="F29" si="1">$C29*F$25</f>
        <v>1004000</v>
      </c>
      <c r="G29" s="204">
        <f>C29*G25</f>
        <v>3012000</v>
      </c>
      <c r="H29" s="2">
        <f>D29-E29-F29-G29</f>
        <v>1397000</v>
      </c>
      <c r="I29" s="204">
        <v>0</v>
      </c>
      <c r="J29" s="204">
        <f>SUM(E29:I29)</f>
        <v>6417000</v>
      </c>
      <c r="L29"/>
      <c r="M29"/>
      <c r="N29"/>
      <c r="O29"/>
      <c r="P29"/>
      <c r="Q29"/>
    </row>
    <row r="30" spans="1:19" ht="15.75" x14ac:dyDescent="0.25">
      <c r="A30" s="21" t="s">
        <v>48</v>
      </c>
      <c r="B30" s="210">
        <v>20000</v>
      </c>
      <c r="C30" s="211">
        <v>154</v>
      </c>
      <c r="D30" s="212">
        <v>4581300</v>
      </c>
      <c r="E30" s="212">
        <f>C30*E$25</f>
        <v>308000</v>
      </c>
      <c r="F30" s="212">
        <f>$C30*F$25</f>
        <v>308000</v>
      </c>
      <c r="G30" s="212">
        <f>$C30*G$25</f>
        <v>924000</v>
      </c>
      <c r="H30" s="28">
        <f>C30*H25</f>
        <v>1540000</v>
      </c>
      <c r="I30" s="212">
        <f>D30-E30-F30-G30-H30</f>
        <v>1501300</v>
      </c>
      <c r="J30" s="212">
        <f>SUM(E30:I30)</f>
        <v>4581300</v>
      </c>
      <c r="L30"/>
      <c r="M30"/>
      <c r="N30"/>
      <c r="O30"/>
      <c r="P30"/>
      <c r="Q30"/>
    </row>
    <row r="31" spans="1:19" ht="15.75" x14ac:dyDescent="0.25">
      <c r="A31" s="21"/>
      <c r="B31" s="154" t="s">
        <v>52</v>
      </c>
      <c r="C31" s="23">
        <f t="shared" ref="C31:J31" si="2">SUM(C26:C30)</f>
        <v>18811</v>
      </c>
      <c r="D31" s="23">
        <f t="shared" si="2"/>
        <v>67981700</v>
      </c>
      <c r="E31" s="23">
        <f t="shared" si="2"/>
        <v>31925100</v>
      </c>
      <c r="F31" s="23">
        <f t="shared" si="2"/>
        <v>18786400</v>
      </c>
      <c r="G31" s="23">
        <f t="shared" si="2"/>
        <v>12831900</v>
      </c>
      <c r="H31" s="23">
        <f t="shared" si="2"/>
        <v>2937000</v>
      </c>
      <c r="I31" s="23">
        <f t="shared" si="2"/>
        <v>1501300</v>
      </c>
      <c r="J31" s="23">
        <f t="shared" si="2"/>
        <v>67981700</v>
      </c>
      <c r="K31" s="17"/>
      <c r="L31"/>
      <c r="M31"/>
      <c r="N31"/>
      <c r="O31"/>
      <c r="P31"/>
      <c r="Q31"/>
    </row>
    <row r="32" spans="1:19" ht="15.75" x14ac:dyDescent="0.25">
      <c r="A32" s="21"/>
      <c r="B32" s="154"/>
      <c r="E32" s="154"/>
      <c r="F32" s="154"/>
      <c r="G32" s="154"/>
      <c r="H32" s="154"/>
      <c r="I32" s="154"/>
      <c r="N32"/>
      <c r="O32"/>
      <c r="P32"/>
      <c r="Q32"/>
      <c r="R32"/>
      <c r="S32"/>
    </row>
    <row r="33" spans="1:19" ht="15.75" x14ac:dyDescent="0.25">
      <c r="A33" s="155" t="s">
        <v>177</v>
      </c>
      <c r="B33" s="155"/>
      <c r="E33" s="154"/>
      <c r="F33" s="154"/>
      <c r="G33" s="154"/>
      <c r="H33" s="154"/>
      <c r="I33" s="154"/>
      <c r="N33"/>
      <c r="O33"/>
      <c r="P33"/>
      <c r="Q33"/>
      <c r="R33"/>
      <c r="S33"/>
    </row>
    <row r="34" spans="1:19" ht="15.75" x14ac:dyDescent="0.25">
      <c r="A34" s="21"/>
      <c r="B34" s="199"/>
      <c r="C34" s="208" t="s">
        <v>50</v>
      </c>
      <c r="D34" s="127" t="s">
        <v>51</v>
      </c>
      <c r="E34" s="208" t="s">
        <v>53</v>
      </c>
      <c r="F34" s="208" t="s">
        <v>54</v>
      </c>
      <c r="G34" s="154"/>
      <c r="H34" s="154"/>
      <c r="I34" s="154"/>
      <c r="N34"/>
      <c r="O34"/>
      <c r="P34"/>
      <c r="Q34"/>
      <c r="R34"/>
      <c r="S34"/>
    </row>
    <row r="35" spans="1:19" ht="15.75" x14ac:dyDescent="0.25">
      <c r="A35" s="21" t="s">
        <v>47</v>
      </c>
      <c r="B35" s="154">
        <f>B26</f>
        <v>2000</v>
      </c>
      <c r="C35" s="17">
        <f>C31</f>
        <v>18811</v>
      </c>
      <c r="D35" s="204">
        <v>32017200</v>
      </c>
      <c r="E35" s="213">
        <f>ExBA!E35*(1+PrBA!$L$4)</f>
        <v>28.551019877942043</v>
      </c>
      <c r="F35" s="29">
        <f>E35*C35</f>
        <v>537073.23492396774</v>
      </c>
      <c r="G35" s="154"/>
      <c r="N35"/>
      <c r="O35"/>
      <c r="P35"/>
      <c r="Q35"/>
      <c r="R35"/>
      <c r="S35"/>
    </row>
    <row r="36" spans="1:19" ht="15.75" x14ac:dyDescent="0.25">
      <c r="A36" s="21" t="s">
        <v>111</v>
      </c>
      <c r="B36" s="154">
        <f>B27</f>
        <v>2000</v>
      </c>
      <c r="D36" s="204">
        <v>18847100</v>
      </c>
      <c r="E36" s="213">
        <f>ExBA!E36*(1+PrBA!$L$4)</f>
        <v>11.80273262340844</v>
      </c>
      <c r="F36" s="17">
        <f>E36*(D36/1000)</f>
        <v>222447.28202664119</v>
      </c>
      <c r="G36" s="154"/>
      <c r="N36"/>
      <c r="O36"/>
      <c r="P36"/>
      <c r="Q36"/>
      <c r="R36"/>
      <c r="S36"/>
    </row>
    <row r="37" spans="1:19" ht="15.75" x14ac:dyDescent="0.25">
      <c r="A37" s="21" t="s">
        <v>111</v>
      </c>
      <c r="B37" s="154">
        <f>B28</f>
        <v>6000</v>
      </c>
      <c r="D37" s="204">
        <v>12850100</v>
      </c>
      <c r="E37" s="213">
        <f>ExBA!E37*(1+PrBA!$L$4)</f>
        <v>11.186079926260664</v>
      </c>
      <c r="F37" s="17">
        <f>E37*(D37/1000)</f>
        <v>143742.24566044216</v>
      </c>
      <c r="G37" s="154"/>
      <c r="N37"/>
      <c r="O37"/>
      <c r="P37"/>
      <c r="Q37"/>
      <c r="R37"/>
      <c r="S37"/>
    </row>
    <row r="38" spans="1:19" ht="15.75" x14ac:dyDescent="0.25">
      <c r="A38" s="21" t="s">
        <v>111</v>
      </c>
      <c r="B38" s="154">
        <v>10000</v>
      </c>
      <c r="D38" s="204">
        <v>2997800</v>
      </c>
      <c r="E38" s="213">
        <f>ExBA!E38*(1+PrBA!$L$4)</f>
        <v>10.581760283055843</v>
      </c>
      <c r="F38" s="17">
        <f t="shared" ref="F38" si="3">E38*(D38/1000)</f>
        <v>31722.000976544809</v>
      </c>
      <c r="G38" s="154"/>
      <c r="N38"/>
      <c r="O38"/>
      <c r="P38"/>
      <c r="Q38"/>
      <c r="R38"/>
      <c r="S38"/>
    </row>
    <row r="39" spans="1:19" x14ac:dyDescent="0.25">
      <c r="A39" s="21" t="s">
        <v>48</v>
      </c>
      <c r="B39" s="210">
        <f>B30</f>
        <v>20000</v>
      </c>
      <c r="C39" s="214"/>
      <c r="D39" s="212">
        <v>2197400</v>
      </c>
      <c r="E39" s="215">
        <f>ExBA!E39*(1+PrBA!$L$4)</f>
        <v>9.9651075859080667</v>
      </c>
      <c r="F39" s="22">
        <f>E39*(D39/1000)</f>
        <v>21897.327409274385</v>
      </c>
      <c r="G39" s="154"/>
      <c r="Q39" s="17">
        <f>Q32/12</f>
        <v>0</v>
      </c>
    </row>
    <row r="40" spans="1:19" x14ac:dyDescent="0.25">
      <c r="A40" s="21"/>
      <c r="B40" s="154" t="s">
        <v>52</v>
      </c>
      <c r="C40" s="17">
        <f>SUM(C35:C39)</f>
        <v>18811</v>
      </c>
      <c r="D40" s="23">
        <f>SUM(D35:D39)</f>
        <v>68909600</v>
      </c>
      <c r="F40" s="29">
        <f>SUM(F35:F39)</f>
        <v>956882.09099687031</v>
      </c>
      <c r="G40" s="29"/>
      <c r="H40" s="154"/>
      <c r="I40" s="216"/>
    </row>
    <row r="41" spans="1:19" x14ac:dyDescent="0.25">
      <c r="A41" s="21"/>
      <c r="B41" s="154"/>
      <c r="C41" s="17"/>
      <c r="D41" s="23"/>
      <c r="F41" s="29"/>
      <c r="G41" s="154"/>
      <c r="H41" s="154"/>
      <c r="I41" s="154"/>
    </row>
    <row r="42" spans="1:19" ht="15.75" x14ac:dyDescent="0.25">
      <c r="A42" s="207" t="s">
        <v>178</v>
      </c>
    </row>
    <row r="43" spans="1:19" x14ac:dyDescent="0.25">
      <c r="E43" s="20" t="s">
        <v>47</v>
      </c>
      <c r="F43" s="20" t="s">
        <v>111</v>
      </c>
      <c r="G43" s="20" t="s">
        <v>111</v>
      </c>
      <c r="H43" s="20"/>
      <c r="I43" s="20" t="s">
        <v>48</v>
      </c>
    </row>
    <row r="44" spans="1:19" x14ac:dyDescent="0.25">
      <c r="B44" s="199" t="s">
        <v>49</v>
      </c>
      <c r="C44" s="208" t="s">
        <v>50</v>
      </c>
      <c r="D44" s="127" t="s">
        <v>51</v>
      </c>
      <c r="E44" s="208">
        <f>B45</f>
        <v>4000</v>
      </c>
      <c r="F44" s="208">
        <f>B46</f>
        <v>6000</v>
      </c>
      <c r="G44" s="208">
        <f>B47</f>
        <v>10000</v>
      </c>
      <c r="H44" s="208"/>
      <c r="I44" s="208">
        <f>B49</f>
        <v>20000</v>
      </c>
      <c r="J44" s="199" t="s">
        <v>52</v>
      </c>
    </row>
    <row r="45" spans="1:19" x14ac:dyDescent="0.25">
      <c r="A45" s="21" t="s">
        <v>47</v>
      </c>
      <c r="B45" s="154">
        <v>4000</v>
      </c>
      <c r="C45" s="209">
        <v>95</v>
      </c>
      <c r="D45" s="204">
        <v>168300</v>
      </c>
      <c r="E45" s="204">
        <f>D45</f>
        <v>168300</v>
      </c>
      <c r="F45" s="204">
        <v>0</v>
      </c>
      <c r="G45" s="204">
        <v>0</v>
      </c>
      <c r="H45" s="204"/>
      <c r="I45" s="204">
        <v>0</v>
      </c>
      <c r="J45" s="204">
        <v>168300</v>
      </c>
    </row>
    <row r="46" spans="1:19" x14ac:dyDescent="0.25">
      <c r="A46" s="21" t="s">
        <v>111</v>
      </c>
      <c r="B46" s="154">
        <v>6000</v>
      </c>
      <c r="C46" s="209">
        <v>81</v>
      </c>
      <c r="D46" s="204">
        <v>550700</v>
      </c>
      <c r="E46" s="204">
        <v>280000</v>
      </c>
      <c r="F46" s="204">
        <f>D46-E46</f>
        <v>270700</v>
      </c>
      <c r="G46" s="204">
        <v>0</v>
      </c>
      <c r="H46" s="204"/>
      <c r="I46" s="204">
        <v>0</v>
      </c>
      <c r="J46" s="204">
        <f>SUM(E46:I46)</f>
        <v>550700</v>
      </c>
    </row>
    <row r="47" spans="1:19" x14ac:dyDescent="0.25">
      <c r="A47" s="21" t="s">
        <v>111</v>
      </c>
      <c r="B47" s="154">
        <v>10000</v>
      </c>
      <c r="C47" s="209">
        <v>26</v>
      </c>
      <c r="D47" s="204">
        <v>371300</v>
      </c>
      <c r="E47" s="204">
        <v>96000</v>
      </c>
      <c r="F47" s="204">
        <v>144000</v>
      </c>
      <c r="G47" s="204">
        <f>D47-(F47+E47)</f>
        <v>131300</v>
      </c>
      <c r="H47" s="204"/>
      <c r="I47" s="204">
        <v>0</v>
      </c>
      <c r="J47" s="204">
        <f>SUM(E47:I47)</f>
        <v>371300</v>
      </c>
    </row>
    <row r="48" spans="1:19" hidden="1" x14ac:dyDescent="0.25">
      <c r="A48" s="21" t="s">
        <v>111</v>
      </c>
      <c r="B48" s="154">
        <v>10000</v>
      </c>
      <c r="C48" s="209">
        <v>0</v>
      </c>
      <c r="D48" s="204">
        <v>0</v>
      </c>
      <c r="E48" s="204">
        <f t="shared" ref="E48" si="4">C48*E$25</f>
        <v>0</v>
      </c>
      <c r="F48" s="204">
        <f t="shared" ref="F48" si="5">$C48*F$25</f>
        <v>0</v>
      </c>
      <c r="G48" s="204">
        <f>C48*G44</f>
        <v>0</v>
      </c>
      <c r="H48" s="2"/>
      <c r="I48" s="204">
        <v>0</v>
      </c>
      <c r="J48" s="204">
        <f>SUM(E48:I48)</f>
        <v>0</v>
      </c>
    </row>
    <row r="49" spans="1:12" x14ac:dyDescent="0.25">
      <c r="A49" s="21" t="s">
        <v>48</v>
      </c>
      <c r="B49" s="210">
        <v>20000</v>
      </c>
      <c r="C49" s="211">
        <v>14</v>
      </c>
      <c r="D49" s="212">
        <v>494500</v>
      </c>
      <c r="E49" s="212">
        <v>56000</v>
      </c>
      <c r="F49" s="212">
        <v>84000</v>
      </c>
      <c r="G49" s="212">
        <v>140000</v>
      </c>
      <c r="H49" s="28"/>
      <c r="I49" s="212">
        <f>D49-E49-F49-G49-H49</f>
        <v>214500</v>
      </c>
      <c r="J49" s="212">
        <f>SUM(E49:I49)</f>
        <v>494500</v>
      </c>
    </row>
    <row r="50" spans="1:12" x14ac:dyDescent="0.25">
      <c r="A50" s="21"/>
      <c r="B50" s="154" t="s">
        <v>52</v>
      </c>
      <c r="C50" s="23">
        <f t="shared" ref="C50:J50" si="6">SUM(C45:C49)</f>
        <v>216</v>
      </c>
      <c r="D50" s="23">
        <f t="shared" si="6"/>
        <v>1584800</v>
      </c>
      <c r="E50" s="23">
        <f t="shared" si="6"/>
        <v>600300</v>
      </c>
      <c r="F50" s="23">
        <f t="shared" si="6"/>
        <v>498700</v>
      </c>
      <c r="G50" s="23">
        <f t="shared" si="6"/>
        <v>271300</v>
      </c>
      <c r="H50" s="23"/>
      <c r="I50" s="23">
        <f t="shared" si="6"/>
        <v>214500</v>
      </c>
      <c r="J50" s="23">
        <f t="shared" si="6"/>
        <v>1584800</v>
      </c>
    </row>
    <row r="51" spans="1:12" x14ac:dyDescent="0.25">
      <c r="A51" s="21"/>
      <c r="B51" s="154"/>
      <c r="E51" s="154"/>
      <c r="F51" s="154"/>
      <c r="G51" s="154"/>
      <c r="H51" s="154"/>
      <c r="I51" s="154"/>
    </row>
    <row r="52" spans="1:12" x14ac:dyDescent="0.25">
      <c r="A52" s="155" t="s">
        <v>177</v>
      </c>
      <c r="B52" s="155"/>
      <c r="E52" s="154"/>
      <c r="F52" s="154"/>
      <c r="G52" s="154"/>
      <c r="H52" s="154"/>
      <c r="I52" s="154"/>
    </row>
    <row r="53" spans="1:12" x14ac:dyDescent="0.25">
      <c r="A53" s="21"/>
      <c r="B53" s="199"/>
      <c r="C53" s="208" t="s">
        <v>50</v>
      </c>
      <c r="D53" s="127" t="s">
        <v>51</v>
      </c>
      <c r="E53" s="208" t="s">
        <v>53</v>
      </c>
      <c r="F53" s="208" t="s">
        <v>54</v>
      </c>
      <c r="G53" s="154"/>
      <c r="H53" s="154"/>
      <c r="I53" s="154"/>
    </row>
    <row r="54" spans="1:12" x14ac:dyDescent="0.25">
      <c r="A54" s="21" t="s">
        <v>47</v>
      </c>
      <c r="B54" s="154">
        <f>B45</f>
        <v>4000</v>
      </c>
      <c r="C54" s="17">
        <f>C50</f>
        <v>216</v>
      </c>
      <c r="D54" s="204">
        <v>652300</v>
      </c>
      <c r="E54" s="213">
        <f>ExBA!E54*(1+PrBA!$L$4)</f>
        <v>52.14415207081597</v>
      </c>
      <c r="F54" s="29">
        <f>E54*C54</f>
        <v>11263.136847296249</v>
      </c>
      <c r="G54" s="154"/>
    </row>
    <row r="55" spans="1:12" x14ac:dyDescent="0.25">
      <c r="A55" s="21" t="s">
        <v>111</v>
      </c>
      <c r="B55" s="154">
        <f>B46</f>
        <v>6000</v>
      </c>
      <c r="D55" s="204">
        <v>466700</v>
      </c>
      <c r="E55" s="213">
        <f>ExBA!E55*(1+PrBA!$L$4)</f>
        <v>11.186079926260664</v>
      </c>
      <c r="F55" s="17">
        <f>E55*(D55/1000)</f>
        <v>5220.543501585852</v>
      </c>
      <c r="G55" s="154"/>
    </row>
    <row r="56" spans="1:12" x14ac:dyDescent="0.25">
      <c r="A56" s="21" t="s">
        <v>111</v>
      </c>
      <c r="B56" s="154">
        <f>B47</f>
        <v>10000</v>
      </c>
      <c r="D56" s="204">
        <v>251700</v>
      </c>
      <c r="E56" s="213">
        <f>ExBA!E56*(1+PrBA!$L$4)</f>
        <v>10.581760283055843</v>
      </c>
      <c r="F56" s="17">
        <f>E56*(D56/1000)</f>
        <v>2663.4290632451557</v>
      </c>
      <c r="G56" s="154"/>
    </row>
    <row r="57" spans="1:12" hidden="1" x14ac:dyDescent="0.25">
      <c r="A57" s="21" t="s">
        <v>111</v>
      </c>
      <c r="B57" s="154">
        <v>10000</v>
      </c>
      <c r="D57" s="204">
        <f>H50</f>
        <v>0</v>
      </c>
      <c r="E57" s="213">
        <f>ExBA!E57*(1+PrBA!$L$4)</f>
        <v>0</v>
      </c>
      <c r="F57" s="17">
        <f t="shared" ref="F57" si="7">E57*(D57/1000)</f>
        <v>0</v>
      </c>
      <c r="G57" s="154"/>
    </row>
    <row r="58" spans="1:12" x14ac:dyDescent="0.25">
      <c r="A58" s="21" t="s">
        <v>48</v>
      </c>
      <c r="B58" s="210">
        <f>B49</f>
        <v>20000</v>
      </c>
      <c r="C58" s="214"/>
      <c r="D58" s="212">
        <v>214500</v>
      </c>
      <c r="E58" s="215">
        <f>ExBA!E58*(1+PrBA!$L$4)</f>
        <v>9.9651075859080667</v>
      </c>
      <c r="F58" s="22">
        <f>E58*(D58/1000)</f>
        <v>2137.5155771772802</v>
      </c>
      <c r="G58" s="154"/>
    </row>
    <row r="59" spans="1:12" x14ac:dyDescent="0.25">
      <c r="A59" s="21"/>
      <c r="B59" s="154" t="s">
        <v>52</v>
      </c>
      <c r="C59" s="17">
        <f>SUM(C54:C58)</f>
        <v>216</v>
      </c>
      <c r="D59" s="23">
        <f>SUM(D54:D58)</f>
        <v>1585200</v>
      </c>
      <c r="F59" s="29">
        <f>SUM(F54:F58)</f>
        <v>21284.624989304539</v>
      </c>
      <c r="G59" s="29"/>
      <c r="H59" s="154"/>
      <c r="I59" s="216"/>
    </row>
    <row r="60" spans="1:12" x14ac:dyDescent="0.25">
      <c r="A60" s="21"/>
      <c r="B60" s="154"/>
      <c r="C60" s="17"/>
      <c r="D60" s="23"/>
      <c r="F60" s="29"/>
      <c r="G60" s="154"/>
      <c r="H60" s="154"/>
      <c r="I60" s="154"/>
    </row>
    <row r="61" spans="1:12" ht="15.75" x14ac:dyDescent="0.25">
      <c r="A61" s="207" t="s">
        <v>179</v>
      </c>
    </row>
    <row r="62" spans="1:12" x14ac:dyDescent="0.25">
      <c r="E62" s="20" t="s">
        <v>47</v>
      </c>
      <c r="F62" s="20" t="s">
        <v>111</v>
      </c>
      <c r="G62" s="20" t="s">
        <v>48</v>
      </c>
      <c r="L62" s="1"/>
    </row>
    <row r="63" spans="1:12" x14ac:dyDescent="0.25">
      <c r="B63" s="199" t="s">
        <v>49</v>
      </c>
      <c r="C63" s="208" t="s">
        <v>50</v>
      </c>
      <c r="D63" s="127" t="s">
        <v>51</v>
      </c>
      <c r="E63" s="208">
        <f>B64</f>
        <v>10000</v>
      </c>
      <c r="F63" s="208">
        <f>B65</f>
        <v>10000</v>
      </c>
      <c r="G63" s="208">
        <f>B66</f>
        <v>20000</v>
      </c>
      <c r="H63" s="199" t="s">
        <v>52</v>
      </c>
      <c r="L63" s="1"/>
    </row>
    <row r="64" spans="1:12" x14ac:dyDescent="0.25">
      <c r="A64" s="21" t="s">
        <v>47</v>
      </c>
      <c r="B64" s="154">
        <v>10000</v>
      </c>
      <c r="C64" s="209">
        <v>8</v>
      </c>
      <c r="D64" s="204">
        <v>56300</v>
      </c>
      <c r="E64" s="204">
        <f>D64</f>
        <v>56300</v>
      </c>
      <c r="F64" s="204">
        <v>0</v>
      </c>
      <c r="G64" s="204">
        <v>0</v>
      </c>
      <c r="H64" s="204">
        <f>SUM(E64:G64)</f>
        <v>56300</v>
      </c>
      <c r="L64" s="1"/>
    </row>
    <row r="65" spans="1:17" x14ac:dyDescent="0.25">
      <c r="A65" s="21" t="s">
        <v>111</v>
      </c>
      <c r="B65" s="154">
        <v>10000</v>
      </c>
      <c r="C65" s="209">
        <v>3</v>
      </c>
      <c r="D65" s="204">
        <v>52900</v>
      </c>
      <c r="E65" s="204">
        <f>C65*E63</f>
        <v>30000</v>
      </c>
      <c r="F65" s="204">
        <f>D65-E65</f>
        <v>22900</v>
      </c>
      <c r="G65" s="204">
        <v>0</v>
      </c>
      <c r="H65" s="204">
        <f>SUM(E65:G65)</f>
        <v>52900</v>
      </c>
      <c r="L65" s="1"/>
    </row>
    <row r="66" spans="1:17" x14ac:dyDescent="0.25">
      <c r="A66" s="21" t="s">
        <v>48</v>
      </c>
      <c r="B66" s="210">
        <v>20000</v>
      </c>
      <c r="C66" s="211">
        <v>13</v>
      </c>
      <c r="D66" s="212">
        <v>1439500</v>
      </c>
      <c r="E66" s="212">
        <f>$C66*E$63</f>
        <v>130000</v>
      </c>
      <c r="F66" s="212">
        <f>C66*F63</f>
        <v>130000</v>
      </c>
      <c r="G66" s="212">
        <f>D66-E66-F66</f>
        <v>1179500</v>
      </c>
      <c r="H66" s="212">
        <f>SUM(E66:G66)</f>
        <v>1439500</v>
      </c>
      <c r="L66" s="1"/>
    </row>
    <row r="67" spans="1:17" x14ac:dyDescent="0.25">
      <c r="A67" s="21"/>
      <c r="B67" s="154"/>
      <c r="C67" s="23">
        <f t="shared" ref="C67:H67" si="8">SUM(C64:C66)</f>
        <v>24</v>
      </c>
      <c r="D67" s="23">
        <f t="shared" si="8"/>
        <v>1548700</v>
      </c>
      <c r="E67" s="23">
        <f t="shared" si="8"/>
        <v>216300</v>
      </c>
      <c r="F67" s="23">
        <f t="shared" si="8"/>
        <v>152900</v>
      </c>
      <c r="G67" s="23">
        <f t="shared" si="8"/>
        <v>1179500</v>
      </c>
      <c r="H67" s="23">
        <f t="shared" si="8"/>
        <v>1548700</v>
      </c>
      <c r="I67" s="160"/>
      <c r="K67" s="17"/>
      <c r="L67" s="1"/>
    </row>
    <row r="68" spans="1:17" x14ac:dyDescent="0.25">
      <c r="A68" s="21"/>
      <c r="B68" s="154"/>
      <c r="E68" s="154"/>
      <c r="F68" s="154"/>
      <c r="G68" s="154"/>
      <c r="H68" s="154"/>
      <c r="I68" s="154"/>
    </row>
    <row r="69" spans="1:17" x14ac:dyDescent="0.25">
      <c r="A69" s="155" t="s">
        <v>177</v>
      </c>
      <c r="B69" s="155"/>
      <c r="E69" s="154"/>
      <c r="F69" s="154"/>
      <c r="G69" s="154"/>
      <c r="H69" s="154"/>
      <c r="I69" s="154"/>
    </row>
    <row r="70" spans="1:17" x14ac:dyDescent="0.25">
      <c r="A70" s="21"/>
      <c r="B70" s="199"/>
      <c r="C70" s="208" t="s">
        <v>50</v>
      </c>
      <c r="D70" s="127" t="s">
        <v>51</v>
      </c>
      <c r="E70" s="208" t="s">
        <v>53</v>
      </c>
      <c r="F70" s="208" t="s">
        <v>54</v>
      </c>
      <c r="G70" s="154"/>
      <c r="H70" s="154"/>
      <c r="I70" s="154"/>
    </row>
    <row r="71" spans="1:17" x14ac:dyDescent="0.25">
      <c r="A71" s="21" t="s">
        <v>47</v>
      </c>
      <c r="B71" s="154">
        <f>B64</f>
        <v>10000</v>
      </c>
      <c r="C71" s="17">
        <f>C67</f>
        <v>24</v>
      </c>
      <c r="D71" s="204">
        <f>E67</f>
        <v>216300</v>
      </c>
      <c r="E71" s="213">
        <f>ExBA!E71*(1+PrBA!$L$4)</f>
        <v>119.27296468232289</v>
      </c>
      <c r="F71" s="29">
        <f>E71*C71</f>
        <v>2862.5511523757496</v>
      </c>
      <c r="G71" s="154"/>
    </row>
    <row r="72" spans="1:17" x14ac:dyDescent="0.25">
      <c r="A72" s="21" t="s">
        <v>111</v>
      </c>
      <c r="B72" s="154">
        <v>10000</v>
      </c>
      <c r="C72" s="17"/>
      <c r="D72" s="204">
        <f>F67</f>
        <v>152900</v>
      </c>
      <c r="E72" s="213">
        <f>ExBA!E72*(1+PrBA!$L$4)</f>
        <v>10.581760283055843</v>
      </c>
      <c r="F72" s="23">
        <f t="shared" ref="F72" si="9">E72*(D72/1000)</f>
        <v>1617.9511472792385</v>
      </c>
      <c r="G72" s="154"/>
    </row>
    <row r="73" spans="1:17" x14ac:dyDescent="0.25">
      <c r="A73" s="21" t="s">
        <v>48</v>
      </c>
      <c r="B73" s="210">
        <f>B66</f>
        <v>20000</v>
      </c>
      <c r="C73" s="214"/>
      <c r="D73" s="212">
        <f>G67</f>
        <v>1179500</v>
      </c>
      <c r="E73" s="215">
        <f>ExBA!E73*(1+PrBA!$L$4)</f>
        <v>9.9651075859080667</v>
      </c>
      <c r="F73" s="22">
        <f>E73*(D73/1000)</f>
        <v>11753.844397578565</v>
      </c>
      <c r="G73" s="154"/>
    </row>
    <row r="74" spans="1:17" x14ac:dyDescent="0.25">
      <c r="A74" s="21"/>
      <c r="B74" s="154" t="s">
        <v>52</v>
      </c>
      <c r="C74" s="17">
        <f>SUM(C71:C73)</f>
        <v>24</v>
      </c>
      <c r="D74" s="23">
        <f>SUM(D71:D73)</f>
        <v>1548700</v>
      </c>
      <c r="F74" s="29">
        <f>SUM(F71:F73)</f>
        <v>16234.346697233552</v>
      </c>
      <c r="G74" s="29"/>
      <c r="H74" s="154"/>
      <c r="I74" s="216"/>
    </row>
    <row r="75" spans="1:17" x14ac:dyDescent="0.25">
      <c r="A75" s="21"/>
      <c r="B75" s="154"/>
      <c r="C75" s="3"/>
      <c r="D75" s="23"/>
      <c r="F75" s="213"/>
      <c r="G75" s="154"/>
      <c r="H75" s="154"/>
      <c r="I75" s="154"/>
    </row>
    <row r="76" spans="1:17" x14ac:dyDescent="0.25">
      <c r="A76" s="21"/>
      <c r="B76" s="154"/>
      <c r="C76" s="3"/>
      <c r="D76" s="23"/>
      <c r="F76" s="213"/>
      <c r="G76" s="154"/>
      <c r="H76" s="154"/>
      <c r="I76" s="154"/>
    </row>
    <row r="77" spans="1:17" ht="15.75" x14ac:dyDescent="0.25">
      <c r="A77" s="207" t="s">
        <v>180</v>
      </c>
    </row>
    <row r="78" spans="1:17" x14ac:dyDescent="0.25">
      <c r="E78" s="20" t="s">
        <v>47</v>
      </c>
      <c r="F78" s="20" t="s">
        <v>48</v>
      </c>
      <c r="K78" s="17"/>
      <c r="L78" s="1"/>
    </row>
    <row r="79" spans="1:17" x14ac:dyDescent="0.25">
      <c r="B79" s="199" t="s">
        <v>49</v>
      </c>
      <c r="C79" s="208" t="s">
        <v>50</v>
      </c>
      <c r="D79" s="127" t="s">
        <v>51</v>
      </c>
      <c r="E79" s="208">
        <f>B80</f>
        <v>20000</v>
      </c>
      <c r="F79" s="208">
        <f>B81</f>
        <v>20000</v>
      </c>
      <c r="G79" s="199" t="s">
        <v>52</v>
      </c>
      <c r="L79" s="1"/>
      <c r="Q79" s="1" t="s">
        <v>145</v>
      </c>
    </row>
    <row r="80" spans="1:17" x14ac:dyDescent="0.25">
      <c r="A80" s="21" t="s">
        <v>47</v>
      </c>
      <c r="B80" s="154">
        <v>20000</v>
      </c>
      <c r="C80" s="209">
        <v>58</v>
      </c>
      <c r="D80" s="204">
        <v>532400</v>
      </c>
      <c r="E80" s="204">
        <f>D80</f>
        <v>532400</v>
      </c>
      <c r="F80" s="204">
        <v>0</v>
      </c>
      <c r="G80" s="204">
        <f>SUM(E80:F80)</f>
        <v>532400</v>
      </c>
      <c r="K80" s="217"/>
      <c r="L80" s="1"/>
    </row>
    <row r="81" spans="1:12" x14ac:dyDescent="0.25">
      <c r="A81" s="21" t="s">
        <v>48</v>
      </c>
      <c r="B81" s="210">
        <v>20000</v>
      </c>
      <c r="C81" s="211">
        <v>51</v>
      </c>
      <c r="D81" s="212">
        <v>4995200</v>
      </c>
      <c r="E81" s="212">
        <f>$C81*E$79</f>
        <v>1020000</v>
      </c>
      <c r="F81" s="212">
        <f>D81-E81</f>
        <v>3975200</v>
      </c>
      <c r="G81" s="212">
        <f>SUM(E81:F81)</f>
        <v>4995200</v>
      </c>
      <c r="H81" s="17"/>
      <c r="I81" s="17"/>
      <c r="K81" s="20"/>
      <c r="L81" s="1"/>
    </row>
    <row r="82" spans="1:12" x14ac:dyDescent="0.25">
      <c r="A82" s="21"/>
      <c r="B82" s="154"/>
      <c r="C82" s="17">
        <f>SUM(C80:C81)</f>
        <v>109</v>
      </c>
      <c r="D82" s="23">
        <f>SUM(D80:D81)</f>
        <v>5527600</v>
      </c>
      <c r="E82" s="23">
        <f>SUM(E80:E81)</f>
        <v>1552400</v>
      </c>
      <c r="F82" s="23">
        <f>SUM(F80:F81)</f>
        <v>3975200</v>
      </c>
      <c r="G82" s="23">
        <f>SUM(G80:G81)</f>
        <v>5527600</v>
      </c>
    </row>
    <row r="83" spans="1:12" x14ac:dyDescent="0.25">
      <c r="A83" s="21"/>
      <c r="B83" s="154"/>
      <c r="E83" s="154"/>
      <c r="F83" s="154"/>
      <c r="G83" s="154"/>
      <c r="H83" s="154"/>
      <c r="I83" s="154"/>
    </row>
    <row r="84" spans="1:12" x14ac:dyDescent="0.25">
      <c r="A84" s="155" t="s">
        <v>177</v>
      </c>
      <c r="B84" s="155"/>
      <c r="E84" s="154"/>
      <c r="F84" s="154"/>
      <c r="G84" s="154"/>
      <c r="H84" s="154"/>
      <c r="I84" s="154"/>
    </row>
    <row r="85" spans="1:12" x14ac:dyDescent="0.25">
      <c r="A85" s="21"/>
      <c r="B85" s="199"/>
      <c r="C85" s="208" t="s">
        <v>50</v>
      </c>
      <c r="D85" s="127" t="s">
        <v>51</v>
      </c>
      <c r="E85" s="208" t="s">
        <v>53</v>
      </c>
      <c r="F85" s="208" t="s">
        <v>54</v>
      </c>
      <c r="G85" s="154"/>
      <c r="H85" s="154"/>
      <c r="I85" s="154"/>
    </row>
    <row r="86" spans="1:12" x14ac:dyDescent="0.25">
      <c r="A86" s="21" t="s">
        <v>47</v>
      </c>
      <c r="B86" s="154">
        <f>B80</f>
        <v>20000</v>
      </c>
      <c r="C86" s="17">
        <v>109</v>
      </c>
      <c r="D86" s="204">
        <f>E82</f>
        <v>1552400</v>
      </c>
      <c r="E86" s="213">
        <f>ExBA!E86*(1+PrBA!$L$4)</f>
        <v>225.09056751288131</v>
      </c>
      <c r="F86" s="29">
        <f>E86*C86</f>
        <v>24534.871858904062</v>
      </c>
      <c r="G86" s="154"/>
      <c r="H86" s="154"/>
      <c r="I86" s="154"/>
    </row>
    <row r="87" spans="1:12" x14ac:dyDescent="0.25">
      <c r="A87" s="21" t="s">
        <v>48</v>
      </c>
      <c r="B87" s="210">
        <f>B81</f>
        <v>20000</v>
      </c>
      <c r="C87" s="22"/>
      <c r="D87" s="212">
        <v>3975200</v>
      </c>
      <c r="E87" s="215">
        <f>ExBA!E87*(1+PrBA!$L$4)</f>
        <v>9.9651075859080667</v>
      </c>
      <c r="F87" s="22">
        <f t="shared" ref="F87" si="10">E87*(D87/1000)</f>
        <v>39613.295675501744</v>
      </c>
      <c r="G87" s="154"/>
      <c r="H87" s="154"/>
      <c r="I87" s="154"/>
    </row>
    <row r="88" spans="1:12" x14ac:dyDescent="0.25">
      <c r="A88" s="21"/>
      <c r="B88" s="154" t="s">
        <v>52</v>
      </c>
      <c r="C88" s="17">
        <f>SUM(C86:C87)</f>
        <v>109</v>
      </c>
      <c r="D88" s="23">
        <f>SUM(D86:D87)</f>
        <v>5527600</v>
      </c>
      <c r="F88" s="29">
        <f>SUM(F86:F87)</f>
        <v>64148.167534405802</v>
      </c>
      <c r="G88" s="29"/>
      <c r="H88" s="154"/>
      <c r="I88" s="216"/>
    </row>
    <row r="89" spans="1:12" x14ac:dyDescent="0.25">
      <c r="A89" s="21"/>
      <c r="B89" s="154"/>
      <c r="C89" s="3"/>
      <c r="D89" s="23"/>
      <c r="F89" s="213"/>
      <c r="G89" s="154"/>
      <c r="H89" s="154"/>
      <c r="I89" s="154"/>
    </row>
    <row r="90" spans="1:12" ht="15.75" x14ac:dyDescent="0.25">
      <c r="A90" s="207" t="s">
        <v>181</v>
      </c>
      <c r="L90" s="23"/>
    </row>
    <row r="91" spans="1:12" x14ac:dyDescent="0.25">
      <c r="E91" s="20" t="s">
        <v>47</v>
      </c>
      <c r="F91" s="20" t="s">
        <v>48</v>
      </c>
      <c r="H91" s="20"/>
      <c r="I91" s="20"/>
      <c r="J91" s="20"/>
      <c r="L91" s="23"/>
    </row>
    <row r="92" spans="1:12" x14ac:dyDescent="0.25">
      <c r="B92" s="199" t="s">
        <v>49</v>
      </c>
      <c r="C92" s="208" t="s">
        <v>50</v>
      </c>
      <c r="D92" s="127" t="s">
        <v>51</v>
      </c>
      <c r="E92" s="208">
        <f>B93</f>
        <v>0</v>
      </c>
      <c r="F92" s="208">
        <f>B94</f>
        <v>0</v>
      </c>
      <c r="G92" s="199" t="s">
        <v>52</v>
      </c>
      <c r="H92" s="151"/>
      <c r="I92" s="151"/>
      <c r="J92" s="151"/>
      <c r="K92" s="20"/>
      <c r="L92" s="23"/>
    </row>
    <row r="93" spans="1:12" x14ac:dyDescent="0.25">
      <c r="A93" s="21" t="s">
        <v>47</v>
      </c>
      <c r="B93" s="154">
        <v>0</v>
      </c>
      <c r="C93" s="209">
        <v>2</v>
      </c>
      <c r="D93" s="204">
        <v>115700</v>
      </c>
      <c r="E93" s="204">
        <f>D93</f>
        <v>115700</v>
      </c>
      <c r="F93" s="204">
        <v>0</v>
      </c>
      <c r="G93" s="204">
        <f>SUM(E93:F93)</f>
        <v>115700</v>
      </c>
      <c r="H93" s="194"/>
      <c r="I93" s="194"/>
      <c r="J93" s="194"/>
      <c r="K93" s="194"/>
      <c r="L93" s="23"/>
    </row>
    <row r="94" spans="1:12" x14ac:dyDescent="0.25">
      <c r="A94" s="21" t="s">
        <v>48</v>
      </c>
      <c r="B94" s="210">
        <v>0</v>
      </c>
      <c r="C94" s="211">
        <v>0</v>
      </c>
      <c r="D94" s="212">
        <v>0</v>
      </c>
      <c r="E94" s="212">
        <f>$C94*E$79</f>
        <v>0</v>
      </c>
      <c r="F94" s="212">
        <f>D94-E94</f>
        <v>0</v>
      </c>
      <c r="G94" s="212">
        <f>SUM(E94:F94)</f>
        <v>0</v>
      </c>
      <c r="H94" s="194"/>
      <c r="I94" s="194"/>
      <c r="J94" s="194"/>
      <c r="K94" s="194"/>
      <c r="L94" s="23"/>
    </row>
    <row r="95" spans="1:12" x14ac:dyDescent="0.25">
      <c r="A95" s="21"/>
      <c r="B95" s="154"/>
      <c r="C95" s="17">
        <f>SUM(C93:C94)</f>
        <v>2</v>
      </c>
      <c r="D95" s="23">
        <f>SUM(D93:D94)</f>
        <v>115700</v>
      </c>
      <c r="E95" s="23">
        <f>SUM(E93:E94)</f>
        <v>115700</v>
      </c>
      <c r="F95" s="23">
        <f>SUM(F93:F94)</f>
        <v>0</v>
      </c>
      <c r="G95" s="23">
        <f>SUM(G93:G94)</f>
        <v>115700</v>
      </c>
      <c r="H95" s="194"/>
      <c r="I95" s="194"/>
      <c r="J95" s="194"/>
      <c r="K95" s="194"/>
      <c r="L95" s="23"/>
    </row>
    <row r="96" spans="1:12" x14ac:dyDescent="0.25">
      <c r="A96" s="21"/>
      <c r="B96" s="154"/>
      <c r="E96" s="154"/>
      <c r="F96" s="154"/>
      <c r="G96" s="154"/>
      <c r="H96" s="2"/>
      <c r="I96" s="194"/>
      <c r="J96" s="194"/>
      <c r="K96" s="194"/>
      <c r="L96" s="23"/>
    </row>
    <row r="97" spans="1:17" x14ac:dyDescent="0.25">
      <c r="A97" s="155" t="s">
        <v>177</v>
      </c>
      <c r="B97" s="155"/>
      <c r="E97" s="154"/>
      <c r="F97" s="154"/>
      <c r="G97" s="154"/>
      <c r="H97" s="2"/>
      <c r="I97" s="2"/>
      <c r="J97" s="194"/>
      <c r="K97" s="194"/>
      <c r="L97" s="23"/>
    </row>
    <row r="98" spans="1:17" x14ac:dyDescent="0.25">
      <c r="A98" s="21"/>
      <c r="B98" s="199"/>
      <c r="C98" s="208" t="s">
        <v>50</v>
      </c>
      <c r="D98" s="127" t="s">
        <v>51</v>
      </c>
      <c r="E98" s="208" t="s">
        <v>53</v>
      </c>
      <c r="F98" s="208" t="s">
        <v>54</v>
      </c>
      <c r="G98" s="154"/>
      <c r="H98" s="2"/>
      <c r="I98" s="2"/>
      <c r="J98" s="194"/>
      <c r="K98" s="194"/>
      <c r="L98" s="23"/>
    </row>
    <row r="99" spans="1:17" x14ac:dyDescent="0.25">
      <c r="A99" s="21" t="s">
        <v>47</v>
      </c>
      <c r="B99" s="154">
        <f>B93</f>
        <v>0</v>
      </c>
      <c r="C99" s="17">
        <f>C95</f>
        <v>2</v>
      </c>
      <c r="D99" s="204">
        <f>E95</f>
        <v>115700</v>
      </c>
      <c r="E99" s="213">
        <v>0</v>
      </c>
      <c r="F99" s="29">
        <v>934.86</v>
      </c>
      <c r="G99" s="154"/>
      <c r="H99" s="23"/>
      <c r="I99" s="23"/>
      <c r="J99" s="23"/>
      <c r="K99" s="23"/>
      <c r="L99" s="23"/>
    </row>
    <row r="100" spans="1:17" x14ac:dyDescent="0.25">
      <c r="A100" s="21" t="s">
        <v>48</v>
      </c>
      <c r="B100" s="210">
        <f>B94</f>
        <v>0</v>
      </c>
      <c r="C100" s="22"/>
      <c r="D100" s="212">
        <f>F95</f>
        <v>0</v>
      </c>
      <c r="E100" s="215">
        <v>0</v>
      </c>
      <c r="F100" s="22">
        <f t="shared" ref="F100" si="11">E100*(D100/1000)</f>
        <v>0</v>
      </c>
      <c r="G100" s="154"/>
      <c r="H100" s="154"/>
      <c r="I100" s="154"/>
      <c r="L100" s="23"/>
    </row>
    <row r="101" spans="1:17" x14ac:dyDescent="0.25">
      <c r="A101" s="21"/>
      <c r="B101" s="154" t="s">
        <v>52</v>
      </c>
      <c r="C101" s="17">
        <f>SUM(C99:C100)</f>
        <v>2</v>
      </c>
      <c r="D101" s="23">
        <f>SUM(D99:D100)</f>
        <v>115700</v>
      </c>
      <c r="F101" s="29">
        <f>SUM(F99:F100)</f>
        <v>934.86</v>
      </c>
      <c r="G101" s="29"/>
      <c r="H101" s="154"/>
      <c r="I101" s="154"/>
      <c r="L101" s="23"/>
    </row>
    <row r="102" spans="1:17" x14ac:dyDescent="0.25">
      <c r="A102" s="21"/>
      <c r="B102" s="154"/>
      <c r="C102" s="17"/>
      <c r="D102" s="23"/>
      <c r="F102" s="29"/>
      <c r="G102" s="29"/>
      <c r="H102" s="154"/>
      <c r="I102" s="154"/>
      <c r="L102" s="23"/>
    </row>
    <row r="103" spans="1:17" x14ac:dyDescent="0.25">
      <c r="A103" s="21"/>
      <c r="B103" s="20"/>
      <c r="C103" s="151"/>
      <c r="D103" s="70"/>
      <c r="E103" s="151"/>
      <c r="F103" s="151"/>
      <c r="G103" s="154"/>
      <c r="H103" s="154"/>
      <c r="I103" s="154"/>
      <c r="L103" s="23"/>
    </row>
    <row r="104" spans="1:17" ht="15.75" x14ac:dyDescent="0.25">
      <c r="A104" s="207" t="s">
        <v>183</v>
      </c>
    </row>
    <row r="105" spans="1:17" x14ac:dyDescent="0.25">
      <c r="E105" s="20" t="s">
        <v>47</v>
      </c>
      <c r="F105" s="20" t="s">
        <v>48</v>
      </c>
      <c r="K105" s="17"/>
      <c r="L105" s="1"/>
    </row>
    <row r="106" spans="1:17" x14ac:dyDescent="0.25">
      <c r="B106" s="199" t="s">
        <v>49</v>
      </c>
      <c r="C106" s="208" t="s">
        <v>50</v>
      </c>
      <c r="D106" s="127" t="s">
        <v>51</v>
      </c>
      <c r="E106" s="208">
        <f>B107</f>
        <v>50000</v>
      </c>
      <c r="F106" s="208">
        <f>B108</f>
        <v>50000</v>
      </c>
      <c r="G106" s="199" t="s">
        <v>52</v>
      </c>
      <c r="L106" s="1"/>
      <c r="Q106" s="1" t="s">
        <v>145</v>
      </c>
    </row>
    <row r="107" spans="1:17" x14ac:dyDescent="0.25">
      <c r="A107" s="21" t="s">
        <v>47</v>
      </c>
      <c r="B107" s="154">
        <v>50000</v>
      </c>
      <c r="C107" s="209">
        <v>0</v>
      </c>
      <c r="D107" s="204">
        <v>0</v>
      </c>
      <c r="E107" s="204">
        <f>D107</f>
        <v>0</v>
      </c>
      <c r="F107" s="204">
        <v>0</v>
      </c>
      <c r="G107" s="204">
        <f>SUM(E107:F107)</f>
        <v>0</v>
      </c>
      <c r="K107" s="217"/>
      <c r="L107" s="1"/>
    </row>
    <row r="108" spans="1:17" x14ac:dyDescent="0.25">
      <c r="A108" s="21" t="s">
        <v>48</v>
      </c>
      <c r="B108" s="210">
        <v>50000</v>
      </c>
      <c r="C108" s="211">
        <v>24</v>
      </c>
      <c r="D108" s="212">
        <v>2630900</v>
      </c>
      <c r="E108" s="212">
        <v>1200000</v>
      </c>
      <c r="F108" s="212">
        <f>D108-E108</f>
        <v>1430900</v>
      </c>
      <c r="G108" s="212">
        <f>SUM(E108:F108)</f>
        <v>2630900</v>
      </c>
      <c r="H108" s="17"/>
      <c r="I108" s="17"/>
      <c r="K108" s="20"/>
      <c r="L108" s="1"/>
    </row>
    <row r="109" spans="1:17" x14ac:dyDescent="0.25">
      <c r="A109" s="21"/>
      <c r="B109" s="154"/>
      <c r="C109" s="17">
        <f>SUM(C107:C108)</f>
        <v>24</v>
      </c>
      <c r="D109" s="23">
        <f>SUM(D107:D108)</f>
        <v>2630900</v>
      </c>
      <c r="E109" s="23">
        <f>SUM(E107:E108)</f>
        <v>1200000</v>
      </c>
      <c r="F109" s="23">
        <f>SUM(F107:F108)</f>
        <v>1430900</v>
      </c>
      <c r="G109" s="23">
        <f>SUM(G107:G108)</f>
        <v>2630900</v>
      </c>
    </row>
    <row r="110" spans="1:17" x14ac:dyDescent="0.25">
      <c r="A110" s="21"/>
      <c r="B110" s="154"/>
      <c r="E110" s="154"/>
      <c r="F110" s="154"/>
      <c r="G110" s="154"/>
      <c r="H110" s="154"/>
      <c r="I110" s="154"/>
    </row>
    <row r="111" spans="1:17" x14ac:dyDescent="0.25">
      <c r="A111" s="155" t="s">
        <v>177</v>
      </c>
      <c r="B111" s="155"/>
      <c r="E111" s="154"/>
      <c r="F111" s="154"/>
      <c r="G111" s="154"/>
      <c r="H111" s="154"/>
      <c r="I111" s="154"/>
    </row>
    <row r="112" spans="1:17" x14ac:dyDescent="0.25">
      <c r="A112" s="21"/>
      <c r="B112" s="199"/>
      <c r="C112" s="208" t="s">
        <v>50</v>
      </c>
      <c r="D112" s="127" t="s">
        <v>51</v>
      </c>
      <c r="E112" s="208" t="s">
        <v>53</v>
      </c>
      <c r="F112" s="208" t="s">
        <v>54</v>
      </c>
      <c r="G112" s="154"/>
      <c r="H112" s="154"/>
      <c r="I112" s="154"/>
    </row>
    <row r="113" spans="1:12" x14ac:dyDescent="0.25">
      <c r="A113" s="21" t="s">
        <v>47</v>
      </c>
      <c r="B113" s="154">
        <f>B107</f>
        <v>50000</v>
      </c>
      <c r="C113" s="17">
        <v>24</v>
      </c>
      <c r="D113" s="204">
        <f>E109</f>
        <v>1200000</v>
      </c>
      <c r="E113" s="213">
        <f>ExBA!E113*(1+PrBA!$L$4)</f>
        <v>524.04379509012335</v>
      </c>
      <c r="F113" s="29">
        <f>E113*C113</f>
        <v>12577.051082162961</v>
      </c>
      <c r="G113" s="154"/>
      <c r="H113" s="154"/>
      <c r="I113" s="154"/>
    </row>
    <row r="114" spans="1:12" x14ac:dyDescent="0.25">
      <c r="A114" s="21" t="s">
        <v>48</v>
      </c>
      <c r="B114" s="210">
        <f>B108</f>
        <v>50000</v>
      </c>
      <c r="C114" s="22"/>
      <c r="D114" s="212">
        <v>1430900</v>
      </c>
      <c r="E114" s="215">
        <f>ExBA!E114*(1+PrBA!$L$4)</f>
        <v>9.9651075859080667</v>
      </c>
      <c r="F114" s="22">
        <f t="shared" ref="F114" si="12">E114*(D114/1000)</f>
        <v>14259.072444675854</v>
      </c>
      <c r="G114" s="154"/>
      <c r="H114" s="154"/>
      <c r="I114" s="154"/>
    </row>
    <row r="115" spans="1:12" x14ac:dyDescent="0.25">
      <c r="A115" s="21"/>
      <c r="B115" s="154" t="s">
        <v>52</v>
      </c>
      <c r="C115" s="17">
        <f>SUM(C113:C114)</f>
        <v>24</v>
      </c>
      <c r="D115" s="23">
        <f>SUM(D113:D114)</f>
        <v>2630900</v>
      </c>
      <c r="F115" s="29">
        <f>SUM(F113:F114)</f>
        <v>26836.123526838815</v>
      </c>
      <c r="G115" s="29"/>
      <c r="H115" s="154"/>
      <c r="I115" s="216"/>
    </row>
    <row r="116" spans="1:12" x14ac:dyDescent="0.25">
      <c r="A116" s="21"/>
      <c r="B116" s="154"/>
      <c r="C116" s="194"/>
      <c r="D116" s="194"/>
      <c r="E116" s="194"/>
      <c r="F116" s="194"/>
      <c r="G116" s="194"/>
      <c r="H116" s="194"/>
      <c r="I116" s="194"/>
      <c r="L116" s="23"/>
    </row>
    <row r="117" spans="1:12" x14ac:dyDescent="0.25">
      <c r="A117" s="21"/>
      <c r="B117" s="154"/>
      <c r="C117" s="194"/>
      <c r="D117" s="194"/>
      <c r="E117" s="194"/>
      <c r="F117" s="194"/>
      <c r="G117" s="194"/>
      <c r="H117" s="194"/>
      <c r="I117" s="194"/>
      <c r="L117" s="23"/>
    </row>
    <row r="118" spans="1:12" ht="15.75" x14ac:dyDescent="0.25">
      <c r="A118" s="207" t="s">
        <v>184</v>
      </c>
    </row>
    <row r="119" spans="1:12" x14ac:dyDescent="0.25">
      <c r="E119" s="20" t="s">
        <v>47</v>
      </c>
      <c r="F119" s="20" t="s">
        <v>111</v>
      </c>
      <c r="G119" s="20" t="s">
        <v>111</v>
      </c>
      <c r="H119" s="20"/>
      <c r="I119" s="20" t="s">
        <v>48</v>
      </c>
    </row>
    <row r="120" spans="1:12" x14ac:dyDescent="0.25">
      <c r="B120" s="199" t="s">
        <v>49</v>
      </c>
      <c r="C120" s="208" t="s">
        <v>50</v>
      </c>
      <c r="D120" s="127" t="s">
        <v>51</v>
      </c>
      <c r="E120" s="208">
        <f>B121</f>
        <v>4000</v>
      </c>
      <c r="F120" s="208">
        <f>B122</f>
        <v>6000</v>
      </c>
      <c r="G120" s="208">
        <f>B123</f>
        <v>10000</v>
      </c>
      <c r="H120" s="208"/>
      <c r="I120" s="208">
        <f>B125</f>
        <v>20000</v>
      </c>
      <c r="J120" s="199" t="s">
        <v>52</v>
      </c>
    </row>
    <row r="121" spans="1:12" x14ac:dyDescent="0.25">
      <c r="A121" s="21" t="s">
        <v>47</v>
      </c>
      <c r="B121" s="154">
        <v>4000</v>
      </c>
      <c r="C121" s="209">
        <v>30</v>
      </c>
      <c r="D121" s="204">
        <v>57500</v>
      </c>
      <c r="E121" s="204">
        <f>D121</f>
        <v>57500</v>
      </c>
      <c r="F121" s="204">
        <v>0</v>
      </c>
      <c r="G121" s="204">
        <v>0</v>
      </c>
      <c r="H121" s="204"/>
      <c r="I121" s="204">
        <v>0</v>
      </c>
      <c r="J121" s="204">
        <v>57500</v>
      </c>
    </row>
    <row r="122" spans="1:12" x14ac:dyDescent="0.25">
      <c r="A122" s="21" t="s">
        <v>111</v>
      </c>
      <c r="B122" s="154">
        <v>6000</v>
      </c>
      <c r="C122" s="209">
        <v>17</v>
      </c>
      <c r="D122" s="204">
        <v>107700</v>
      </c>
      <c r="E122" s="204">
        <v>68000</v>
      </c>
      <c r="F122" s="204">
        <f>D122-E122</f>
        <v>39700</v>
      </c>
      <c r="G122" s="204">
        <v>0</v>
      </c>
      <c r="H122" s="204"/>
      <c r="I122" s="204">
        <v>0</v>
      </c>
      <c r="J122" s="204">
        <v>107700</v>
      </c>
    </row>
    <row r="123" spans="1:12" x14ac:dyDescent="0.25">
      <c r="A123" s="21" t="s">
        <v>111</v>
      </c>
      <c r="B123" s="154">
        <v>10000</v>
      </c>
      <c r="C123" s="209">
        <v>1</v>
      </c>
      <c r="D123" s="204">
        <v>10400</v>
      </c>
      <c r="E123" s="204">
        <v>4000</v>
      </c>
      <c r="F123" s="204">
        <v>6000</v>
      </c>
      <c r="G123" s="204">
        <f>D123-(F123+E123)</f>
        <v>400</v>
      </c>
      <c r="H123" s="204"/>
      <c r="I123" s="204">
        <v>0</v>
      </c>
      <c r="J123" s="204">
        <v>10400</v>
      </c>
    </row>
    <row r="124" spans="1:12" hidden="1" x14ac:dyDescent="0.25">
      <c r="A124" s="21" t="s">
        <v>111</v>
      </c>
      <c r="B124" s="154">
        <v>10000</v>
      </c>
      <c r="C124" s="209">
        <v>0</v>
      </c>
      <c r="D124" s="204">
        <v>0</v>
      </c>
      <c r="E124" s="204">
        <f t="shared" ref="E124" si="13">C124*E$25</f>
        <v>0</v>
      </c>
      <c r="F124" s="204">
        <f t="shared" ref="F124" si="14">$C124*F$25</f>
        <v>0</v>
      </c>
      <c r="G124" s="204">
        <f>C124*G120</f>
        <v>0</v>
      </c>
      <c r="H124" s="2"/>
      <c r="I124" s="204">
        <v>0</v>
      </c>
      <c r="J124" s="204">
        <f>SUM(E124:I124)</f>
        <v>0</v>
      </c>
    </row>
    <row r="125" spans="1:12" x14ac:dyDescent="0.25">
      <c r="A125" s="21" t="s">
        <v>48</v>
      </c>
      <c r="B125" s="210">
        <v>20000</v>
      </c>
      <c r="C125" s="211">
        <v>0</v>
      </c>
      <c r="D125" s="212">
        <v>0</v>
      </c>
      <c r="E125" s="212">
        <v>0</v>
      </c>
      <c r="F125" s="212">
        <v>0</v>
      </c>
      <c r="G125" s="212">
        <v>0</v>
      </c>
      <c r="H125" s="28"/>
      <c r="I125" s="212">
        <f>D125-E125-F125-G125-H125</f>
        <v>0</v>
      </c>
      <c r="J125" s="212">
        <f>SUM(E125:I125)</f>
        <v>0</v>
      </c>
    </row>
    <row r="126" spans="1:12" x14ac:dyDescent="0.25">
      <c r="A126" s="21"/>
      <c r="B126" s="154" t="s">
        <v>52</v>
      </c>
      <c r="C126" s="23">
        <f t="shared" ref="C126:G126" si="15">SUM(C121:C125)</f>
        <v>48</v>
      </c>
      <c r="D126" s="23">
        <f t="shared" si="15"/>
        <v>175600</v>
      </c>
      <c r="E126" s="23">
        <f t="shared" si="15"/>
        <v>129500</v>
      </c>
      <c r="F126" s="23">
        <f t="shared" si="15"/>
        <v>45700</v>
      </c>
      <c r="G126" s="23">
        <f t="shared" si="15"/>
        <v>400</v>
      </c>
      <c r="H126" s="23"/>
      <c r="I126" s="23">
        <f t="shared" ref="I126:J126" si="16">SUM(I121:I125)</f>
        <v>0</v>
      </c>
      <c r="J126" s="23">
        <f t="shared" si="16"/>
        <v>175600</v>
      </c>
    </row>
    <row r="127" spans="1:12" x14ac:dyDescent="0.25">
      <c r="A127" s="21"/>
      <c r="B127" s="154"/>
      <c r="E127" s="154"/>
      <c r="F127" s="154"/>
      <c r="G127" s="154"/>
      <c r="H127" s="154"/>
      <c r="I127" s="154"/>
    </row>
    <row r="128" spans="1:12" x14ac:dyDescent="0.25">
      <c r="A128" s="155" t="s">
        <v>177</v>
      </c>
      <c r="B128" s="155"/>
      <c r="E128" s="154"/>
      <c r="F128" s="154"/>
      <c r="G128" s="154"/>
      <c r="H128" s="154"/>
      <c r="I128" s="154"/>
    </row>
    <row r="129" spans="1:12" x14ac:dyDescent="0.25">
      <c r="A129" s="21"/>
      <c r="B129" s="199"/>
      <c r="C129" s="208" t="s">
        <v>50</v>
      </c>
      <c r="D129" s="127" t="s">
        <v>51</v>
      </c>
      <c r="E129" s="208" t="s">
        <v>53</v>
      </c>
      <c r="F129" s="208" t="s">
        <v>54</v>
      </c>
      <c r="G129" s="154"/>
      <c r="H129" s="154"/>
      <c r="I129" s="154"/>
    </row>
    <row r="130" spans="1:12" x14ac:dyDescent="0.25">
      <c r="A130" s="21" t="s">
        <v>47</v>
      </c>
      <c r="B130" s="154">
        <f>B121</f>
        <v>4000</v>
      </c>
      <c r="C130" s="17">
        <f>C126</f>
        <v>48</v>
      </c>
      <c r="D130" s="204">
        <v>129500</v>
      </c>
      <c r="E130" s="213">
        <f>E35*2</f>
        <v>57.102039755884086</v>
      </c>
      <c r="F130" s="29">
        <f>E130*C130</f>
        <v>2740.8979082824362</v>
      </c>
      <c r="G130" s="154"/>
    </row>
    <row r="131" spans="1:12" x14ac:dyDescent="0.25">
      <c r="A131" s="21" t="s">
        <v>111</v>
      </c>
      <c r="B131" s="154">
        <f>B122</f>
        <v>6000</v>
      </c>
      <c r="D131" s="204">
        <v>45700</v>
      </c>
      <c r="E131" s="213">
        <f>E37</f>
        <v>11.186079926260664</v>
      </c>
      <c r="F131" s="17">
        <f>E131*(D131/1000)</f>
        <v>511.20385263011235</v>
      </c>
      <c r="G131" s="154"/>
    </row>
    <row r="132" spans="1:12" x14ac:dyDescent="0.25">
      <c r="A132" s="21" t="s">
        <v>111</v>
      </c>
      <c r="B132" s="154">
        <f>B123</f>
        <v>10000</v>
      </c>
      <c r="D132" s="204">
        <v>400</v>
      </c>
      <c r="E132" s="213">
        <f>E38</f>
        <v>10.581760283055843</v>
      </c>
      <c r="F132" s="17">
        <f>E132*(D132/1000)</f>
        <v>4.2327041132223373</v>
      </c>
      <c r="G132" s="154"/>
    </row>
    <row r="133" spans="1:12" hidden="1" x14ac:dyDescent="0.25">
      <c r="A133" s="21" t="s">
        <v>111</v>
      </c>
      <c r="B133" s="154">
        <v>10000</v>
      </c>
      <c r="D133" s="204">
        <f>H126</f>
        <v>0</v>
      </c>
      <c r="E133" s="213"/>
      <c r="F133" s="17">
        <f t="shared" ref="F133" si="17">E133*(D133/1000)</f>
        <v>0</v>
      </c>
      <c r="G133" s="154"/>
    </row>
    <row r="134" spans="1:12" x14ac:dyDescent="0.25">
      <c r="A134" s="21" t="s">
        <v>48</v>
      </c>
      <c r="B134" s="210">
        <f>B125</f>
        <v>20000</v>
      </c>
      <c r="C134" s="214"/>
      <c r="D134" s="212">
        <v>0</v>
      </c>
      <c r="E134" s="215">
        <f>E39</f>
        <v>9.9651075859080667</v>
      </c>
      <c r="F134" s="22">
        <f>E134*(D134/1000)</f>
        <v>0</v>
      </c>
      <c r="G134" s="154"/>
    </row>
    <row r="135" spans="1:12" x14ac:dyDescent="0.25">
      <c r="A135" s="21"/>
      <c r="B135" s="154" t="s">
        <v>52</v>
      </c>
      <c r="C135" s="17">
        <f>SUM(C130:C134)</f>
        <v>48</v>
      </c>
      <c r="D135" s="23">
        <f>SUM(D130:D134)</f>
        <v>175600</v>
      </c>
      <c r="F135" s="29">
        <f>SUM(F130:F134)</f>
        <v>3256.3344650257709</v>
      </c>
      <c r="G135" s="29"/>
      <c r="H135" s="154"/>
      <c r="I135" s="216"/>
    </row>
    <row r="136" spans="1:12" x14ac:dyDescent="0.25">
      <c r="A136" s="155"/>
      <c r="B136" s="155"/>
      <c r="D136" s="23"/>
      <c r="E136" s="154"/>
      <c r="F136" s="154"/>
      <c r="G136" s="154"/>
      <c r="H136" s="154"/>
      <c r="I136" s="154"/>
      <c r="L136" s="23"/>
    </row>
    <row r="137" spans="1:12" x14ac:dyDescent="0.25">
      <c r="A137" s="21"/>
      <c r="B137" s="20"/>
      <c r="C137" s="151"/>
      <c r="D137" s="70"/>
      <c r="E137" s="151"/>
      <c r="F137" s="151"/>
      <c r="G137" s="154"/>
      <c r="H137" s="154"/>
      <c r="I137" s="154"/>
      <c r="L137" s="23"/>
    </row>
    <row r="138" spans="1:12" ht="15.75" x14ac:dyDescent="0.25">
      <c r="A138" s="207" t="s">
        <v>184</v>
      </c>
    </row>
    <row r="139" spans="1:12" x14ac:dyDescent="0.25">
      <c r="E139" s="20" t="s">
        <v>47</v>
      </c>
      <c r="F139" s="20" t="s">
        <v>111</v>
      </c>
      <c r="G139" s="20" t="s">
        <v>111</v>
      </c>
      <c r="H139" s="20"/>
      <c r="I139" s="20" t="s">
        <v>48</v>
      </c>
    </row>
    <row r="140" spans="1:12" x14ac:dyDescent="0.25">
      <c r="B140" s="199" t="s">
        <v>49</v>
      </c>
      <c r="C140" s="208" t="s">
        <v>50</v>
      </c>
      <c r="D140" s="127" t="s">
        <v>51</v>
      </c>
      <c r="E140" s="208">
        <f>B141</f>
        <v>4000</v>
      </c>
      <c r="F140" s="208">
        <f>B142</f>
        <v>6000</v>
      </c>
      <c r="G140" s="208">
        <f>B143</f>
        <v>10000</v>
      </c>
      <c r="H140" s="208"/>
      <c r="I140" s="208">
        <f>B145</f>
        <v>20000</v>
      </c>
      <c r="J140" s="199" t="s">
        <v>52</v>
      </c>
    </row>
    <row r="141" spans="1:12" x14ac:dyDescent="0.25">
      <c r="A141" s="21" t="s">
        <v>47</v>
      </c>
      <c r="B141" s="154">
        <v>4000</v>
      </c>
      <c r="C141" s="209">
        <v>1</v>
      </c>
      <c r="D141" s="204">
        <v>0</v>
      </c>
      <c r="E141" s="204">
        <f>D141</f>
        <v>0</v>
      </c>
      <c r="F141" s="204">
        <v>0</v>
      </c>
      <c r="G141" s="204">
        <v>0</v>
      </c>
      <c r="H141" s="204"/>
      <c r="I141" s="204">
        <v>0</v>
      </c>
      <c r="J141" s="204">
        <v>0</v>
      </c>
    </row>
    <row r="142" spans="1:12" x14ac:dyDescent="0.25">
      <c r="A142" s="21" t="s">
        <v>111</v>
      </c>
      <c r="B142" s="154">
        <v>6000</v>
      </c>
      <c r="C142" s="209">
        <v>7</v>
      </c>
      <c r="D142" s="204">
        <v>60500</v>
      </c>
      <c r="E142" s="204">
        <v>28000</v>
      </c>
      <c r="F142" s="204">
        <f>D142-E142</f>
        <v>32500</v>
      </c>
      <c r="G142" s="204">
        <v>0</v>
      </c>
      <c r="H142" s="204"/>
      <c r="I142" s="204">
        <v>0</v>
      </c>
      <c r="J142" s="204">
        <v>60500</v>
      </c>
    </row>
    <row r="143" spans="1:12" x14ac:dyDescent="0.25">
      <c r="A143" s="21" t="s">
        <v>111</v>
      </c>
      <c r="B143" s="154">
        <v>10000</v>
      </c>
      <c r="C143" s="209">
        <v>4</v>
      </c>
      <c r="D143" s="204">
        <v>53200</v>
      </c>
      <c r="E143" s="204">
        <v>16000</v>
      </c>
      <c r="F143" s="204">
        <v>24000</v>
      </c>
      <c r="G143" s="204">
        <f>D143-(F143+E143)</f>
        <v>13200</v>
      </c>
      <c r="H143" s="204"/>
      <c r="I143" s="204">
        <v>0</v>
      </c>
      <c r="J143" s="204">
        <v>53200</v>
      </c>
    </row>
    <row r="144" spans="1:12" hidden="1" x14ac:dyDescent="0.25">
      <c r="A144" s="21" t="s">
        <v>111</v>
      </c>
      <c r="B144" s="154">
        <v>10000</v>
      </c>
      <c r="C144" s="209">
        <v>0</v>
      </c>
      <c r="D144" s="204">
        <v>0</v>
      </c>
      <c r="E144" s="204">
        <f t="shared" ref="E144" si="18">C144*E$25</f>
        <v>0</v>
      </c>
      <c r="F144" s="204">
        <f t="shared" ref="F144" si="19">$C144*F$25</f>
        <v>0</v>
      </c>
      <c r="G144" s="204">
        <f>C144*G140</f>
        <v>0</v>
      </c>
      <c r="H144" s="2"/>
      <c r="I144" s="204">
        <v>0</v>
      </c>
      <c r="J144" s="204">
        <f>SUM(E144:I144)</f>
        <v>0</v>
      </c>
    </row>
    <row r="145" spans="1:10" x14ac:dyDescent="0.25">
      <c r="A145" s="21" t="s">
        <v>48</v>
      </c>
      <c r="B145" s="210">
        <v>20000</v>
      </c>
      <c r="C145" s="211">
        <v>0</v>
      </c>
      <c r="D145" s="212">
        <v>0</v>
      </c>
      <c r="E145" s="212">
        <v>0</v>
      </c>
      <c r="F145" s="212">
        <v>0</v>
      </c>
      <c r="G145" s="212">
        <v>0</v>
      </c>
      <c r="H145" s="28"/>
      <c r="I145" s="212">
        <f>D145-E145-F145-G145-H145</f>
        <v>0</v>
      </c>
      <c r="J145" s="212">
        <f>SUM(E145:I145)</f>
        <v>0</v>
      </c>
    </row>
    <row r="146" spans="1:10" x14ac:dyDescent="0.25">
      <c r="A146" s="21"/>
      <c r="B146" s="154" t="s">
        <v>52</v>
      </c>
      <c r="C146" s="23">
        <f t="shared" ref="C146:G146" si="20">SUM(C141:C145)</f>
        <v>12</v>
      </c>
      <c r="D146" s="23">
        <f t="shared" si="20"/>
        <v>113700</v>
      </c>
      <c r="E146" s="23">
        <f t="shared" si="20"/>
        <v>44000</v>
      </c>
      <c r="F146" s="23">
        <f t="shared" si="20"/>
        <v>56500</v>
      </c>
      <c r="G146" s="23">
        <f t="shared" si="20"/>
        <v>13200</v>
      </c>
      <c r="H146" s="23"/>
      <c r="I146" s="23">
        <f t="shared" ref="I146:J146" si="21">SUM(I141:I145)</f>
        <v>0</v>
      </c>
      <c r="J146" s="23">
        <f t="shared" si="21"/>
        <v>113700</v>
      </c>
    </row>
    <row r="147" spans="1:10" x14ac:dyDescent="0.25">
      <c r="A147" s="21"/>
      <c r="B147" s="154"/>
      <c r="E147" s="154"/>
      <c r="F147" s="154"/>
      <c r="G147" s="154"/>
      <c r="H147" s="154"/>
      <c r="I147" s="154"/>
    </row>
    <row r="148" spans="1:10" x14ac:dyDescent="0.25">
      <c r="A148" s="155" t="s">
        <v>177</v>
      </c>
      <c r="B148" s="155"/>
      <c r="E148" s="154"/>
      <c r="F148" s="154"/>
      <c r="G148" s="154"/>
      <c r="H148" s="154"/>
      <c r="I148" s="154"/>
    </row>
    <row r="149" spans="1:10" x14ac:dyDescent="0.25">
      <c r="A149" s="21"/>
      <c r="B149" s="199"/>
      <c r="C149" s="208" t="s">
        <v>50</v>
      </c>
      <c r="D149" s="127" t="s">
        <v>51</v>
      </c>
      <c r="E149" s="208" t="s">
        <v>53</v>
      </c>
      <c r="F149" s="208" t="s">
        <v>54</v>
      </c>
      <c r="G149" s="154"/>
      <c r="H149" s="154"/>
      <c r="I149" s="154"/>
    </row>
    <row r="150" spans="1:10" x14ac:dyDescent="0.25">
      <c r="A150" s="21" t="s">
        <v>47</v>
      </c>
      <c r="B150" s="154">
        <f>B141</f>
        <v>4000</v>
      </c>
      <c r="C150" s="17">
        <f>C146</f>
        <v>12</v>
      </c>
      <c r="D150" s="204">
        <v>44000</v>
      </c>
      <c r="E150" s="213">
        <f>E130</f>
        <v>57.102039755884086</v>
      </c>
      <c r="F150" s="29">
        <f>E150*C150</f>
        <v>685.22447707060905</v>
      </c>
      <c r="G150" s="154"/>
    </row>
    <row r="151" spans="1:10" x14ac:dyDescent="0.25">
      <c r="A151" s="21" t="s">
        <v>111</v>
      </c>
      <c r="B151" s="154">
        <f>B142</f>
        <v>6000</v>
      </c>
      <c r="D151" s="204">
        <v>56500</v>
      </c>
      <c r="E151" s="213">
        <f>E131</f>
        <v>11.186079926260664</v>
      </c>
      <c r="F151" s="17">
        <f>E151*(D151/1000)</f>
        <v>632.01351583372752</v>
      </c>
      <c r="G151" s="154"/>
    </row>
    <row r="152" spans="1:10" x14ac:dyDescent="0.25">
      <c r="A152" s="21" t="s">
        <v>111</v>
      </c>
      <c r="B152" s="154">
        <f>B143</f>
        <v>10000</v>
      </c>
      <c r="D152" s="204">
        <v>13200</v>
      </c>
      <c r="E152" s="213">
        <f>E132</f>
        <v>10.581760283055843</v>
      </c>
      <c r="F152" s="17">
        <f>E152*(D152/1000)</f>
        <v>139.67923573633712</v>
      </c>
      <c r="G152" s="154"/>
    </row>
    <row r="153" spans="1:10" hidden="1" x14ac:dyDescent="0.25">
      <c r="A153" s="21" t="s">
        <v>111</v>
      </c>
      <c r="B153" s="154">
        <v>10000</v>
      </c>
      <c r="D153" s="204">
        <f>H146</f>
        <v>0</v>
      </c>
      <c r="E153" s="213"/>
      <c r="F153" s="17">
        <f t="shared" ref="F153" si="22">E153*(D153/1000)</f>
        <v>0</v>
      </c>
      <c r="G153" s="154"/>
    </row>
    <row r="154" spans="1:10" x14ac:dyDescent="0.25">
      <c r="A154" s="21" t="s">
        <v>48</v>
      </c>
      <c r="B154" s="210">
        <f>B145</f>
        <v>20000</v>
      </c>
      <c r="C154" s="214"/>
      <c r="D154" s="212">
        <v>0</v>
      </c>
      <c r="E154" s="215">
        <f>E134</f>
        <v>9.9651075859080667</v>
      </c>
      <c r="F154" s="22">
        <f>E154*(D154/1000)</f>
        <v>0</v>
      </c>
      <c r="G154" s="154"/>
    </row>
    <row r="155" spans="1:10" x14ac:dyDescent="0.25">
      <c r="A155" s="21"/>
      <c r="B155" s="154" t="s">
        <v>52</v>
      </c>
      <c r="C155" s="17">
        <f>SUM(C150:C154)</f>
        <v>12</v>
      </c>
      <c r="D155" s="23">
        <f>SUM(D150:D154)</f>
        <v>113700</v>
      </c>
      <c r="F155" s="29">
        <f>SUM(F150:F154)</f>
        <v>1456.9172286406738</v>
      </c>
      <c r="G155" s="29"/>
      <c r="H155" s="154"/>
      <c r="I155" s="216"/>
    </row>
  </sheetData>
  <mergeCells count="1">
    <mergeCell ref="A2:I2"/>
  </mergeCells>
  <pageMargins left="0.7" right="0.7" top="0.75" bottom="0.75" header="0.3" footer="0.3"/>
  <pageSetup fitToHeight="0" orientation="landscape" horizontalDpi="4294967293" r:id="rId1"/>
  <ignoredErrors>
    <ignoredError sqref="G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2B0C-238A-41E8-BB5D-C4FF7855A2CA}">
  <dimension ref="A1:I116"/>
  <sheetViews>
    <sheetView topLeftCell="A15" workbookViewId="0">
      <selection activeCell="G68" sqref="G68"/>
    </sheetView>
  </sheetViews>
  <sheetFormatPr defaultColWidth="8.77734375" defaultRowHeight="15" x14ac:dyDescent="0.25"/>
  <cols>
    <col min="1" max="1" width="3.6640625" style="7" customWidth="1"/>
    <col min="2" max="2" width="2.6640625" style="7" customWidth="1"/>
    <col min="3" max="3" width="29.44140625" style="7" customWidth="1"/>
    <col min="4" max="5" width="11.33203125" style="7" customWidth="1"/>
    <col min="6" max="6" width="36.33203125" style="7" bestFit="1" customWidth="1"/>
    <col min="7" max="7" width="10.88671875" style="7" customWidth="1"/>
    <col min="8" max="16384" width="8.77734375" style="7"/>
  </cols>
  <sheetData>
    <row r="1" spans="1:9" ht="17.25" x14ac:dyDescent="0.25">
      <c r="A1" s="52"/>
      <c r="B1" s="52"/>
      <c r="C1" s="52"/>
      <c r="D1" s="54" t="s">
        <v>220</v>
      </c>
      <c r="E1" s="52"/>
      <c r="F1" s="67" t="s">
        <v>221</v>
      </c>
    </row>
    <row r="2" spans="1:9" x14ac:dyDescent="0.25">
      <c r="A2" s="55" t="s">
        <v>14</v>
      </c>
      <c r="B2" s="52"/>
      <c r="C2" s="52"/>
      <c r="D2" s="52"/>
      <c r="E2" s="52"/>
      <c r="F2" s="52"/>
    </row>
    <row r="3" spans="1:9" x14ac:dyDescent="0.25">
      <c r="A3" s="52"/>
      <c r="B3" s="52" t="s">
        <v>38</v>
      </c>
      <c r="C3" s="52"/>
      <c r="D3" s="52">
        <v>862702</v>
      </c>
      <c r="E3" s="52"/>
      <c r="F3" s="268" t="s">
        <v>223</v>
      </c>
      <c r="G3" s="7">
        <v>777009.07</v>
      </c>
    </row>
    <row r="4" spans="1:9" x14ac:dyDescent="0.25">
      <c r="A4" s="52"/>
      <c r="B4" s="52"/>
      <c r="C4" s="52"/>
      <c r="D4" s="52"/>
      <c r="E4" s="52"/>
      <c r="F4" s="268" t="s">
        <v>224</v>
      </c>
      <c r="G4" s="7">
        <v>81543</v>
      </c>
      <c r="H4" s="7">
        <f>SUM(G3:G4)</f>
        <v>858552.07</v>
      </c>
      <c r="I4" s="7">
        <f>D3-H4</f>
        <v>4149.9300000000512</v>
      </c>
    </row>
    <row r="5" spans="1:9" x14ac:dyDescent="0.25">
      <c r="A5" s="52"/>
      <c r="B5" s="52"/>
      <c r="C5" s="52"/>
      <c r="D5" s="52"/>
      <c r="E5" s="52"/>
      <c r="F5" s="52"/>
    </row>
    <row r="6" spans="1:9" x14ac:dyDescent="0.25">
      <c r="A6" s="52"/>
      <c r="B6" s="52"/>
      <c r="C6" s="52"/>
      <c r="D6" s="52"/>
      <c r="E6" s="52"/>
      <c r="F6" s="52"/>
    </row>
    <row r="7" spans="1:9" x14ac:dyDescent="0.25">
      <c r="A7" s="52"/>
      <c r="B7" s="52" t="s">
        <v>156</v>
      </c>
      <c r="C7" s="52"/>
      <c r="D7" s="52">
        <v>3274</v>
      </c>
      <c r="E7" s="52"/>
      <c r="F7" s="268" t="s">
        <v>225</v>
      </c>
      <c r="G7" s="7">
        <v>3202</v>
      </c>
    </row>
    <row r="8" spans="1:9" x14ac:dyDescent="0.25">
      <c r="A8" s="52"/>
      <c r="B8" s="52" t="s">
        <v>15</v>
      </c>
      <c r="C8" s="52"/>
      <c r="D8" s="52"/>
      <c r="E8" s="52"/>
      <c r="F8" s="52"/>
    </row>
    <row r="9" spans="1:9" x14ac:dyDescent="0.25">
      <c r="A9" s="52"/>
      <c r="B9" s="52"/>
      <c r="C9" s="52" t="s">
        <v>37</v>
      </c>
      <c r="D9" s="52">
        <v>14297</v>
      </c>
      <c r="E9" s="52"/>
      <c r="F9" s="268" t="s">
        <v>226</v>
      </c>
      <c r="G9" s="7">
        <v>14297</v>
      </c>
    </row>
    <row r="10" spans="1:9" x14ac:dyDescent="0.25">
      <c r="A10" s="52"/>
      <c r="B10" s="52"/>
      <c r="C10" s="52"/>
      <c r="D10" s="52"/>
      <c r="E10" s="52"/>
      <c r="F10" s="268"/>
    </row>
    <row r="11" spans="1:9" x14ac:dyDescent="0.25">
      <c r="A11" s="52"/>
      <c r="C11" s="52" t="s">
        <v>16</v>
      </c>
      <c r="D11" s="52">
        <v>16622</v>
      </c>
      <c r="E11" s="52"/>
      <c r="F11" s="268" t="s">
        <v>227</v>
      </c>
      <c r="G11" s="7">
        <v>1531</v>
      </c>
    </row>
    <row r="12" spans="1:9" x14ac:dyDescent="0.25">
      <c r="A12" s="52"/>
      <c r="C12" s="52"/>
      <c r="D12" s="52"/>
      <c r="E12" s="52"/>
      <c r="F12" s="268" t="s">
        <v>258</v>
      </c>
      <c r="G12" s="7">
        <v>8362</v>
      </c>
    </row>
    <row r="13" spans="1:9" x14ac:dyDescent="0.25">
      <c r="A13" s="52"/>
      <c r="C13" s="52"/>
      <c r="D13" s="52"/>
      <c r="E13" s="52"/>
      <c r="F13" s="268" t="s">
        <v>259</v>
      </c>
      <c r="G13" s="7">
        <v>2525</v>
      </c>
    </row>
    <row r="14" spans="1:9" x14ac:dyDescent="0.25">
      <c r="A14" s="52"/>
      <c r="C14" s="52"/>
      <c r="D14" s="52"/>
      <c r="E14" s="52"/>
      <c r="F14" s="268" t="s">
        <v>260</v>
      </c>
      <c r="G14" s="7">
        <v>3740</v>
      </c>
    </row>
    <row r="15" spans="1:9" x14ac:dyDescent="0.25">
      <c r="A15" s="52"/>
      <c r="C15" s="52"/>
      <c r="D15" s="52"/>
      <c r="E15" s="52"/>
      <c r="F15" s="268" t="s">
        <v>261</v>
      </c>
      <c r="G15" s="7">
        <v>245</v>
      </c>
    </row>
    <row r="16" spans="1:9" x14ac:dyDescent="0.25">
      <c r="A16" s="52"/>
      <c r="C16" s="52"/>
      <c r="D16" s="52"/>
      <c r="E16" s="52"/>
      <c r="F16" s="268" t="s">
        <v>222</v>
      </c>
      <c r="G16" s="7">
        <v>120</v>
      </c>
      <c r="H16" s="7">
        <f>SUM(G11:G16)</f>
        <v>16523</v>
      </c>
    </row>
    <row r="17" spans="1:8" ht="17.25" x14ac:dyDescent="0.25">
      <c r="A17" s="52"/>
      <c r="C17" s="52" t="s">
        <v>157</v>
      </c>
      <c r="D17" s="76">
        <v>2400</v>
      </c>
      <c r="E17" s="52"/>
      <c r="F17" s="268" t="s">
        <v>262</v>
      </c>
      <c r="G17" s="7">
        <v>2400</v>
      </c>
    </row>
    <row r="18" spans="1:8" x14ac:dyDescent="0.25">
      <c r="A18" s="60" t="s">
        <v>17</v>
      </c>
      <c r="B18" s="52"/>
      <c r="C18" s="52"/>
      <c r="D18" s="52">
        <f>SUM(D3:D17)</f>
        <v>899295</v>
      </c>
      <c r="E18" s="52"/>
      <c r="F18" s="52"/>
    </row>
    <row r="19" spans="1:8" x14ac:dyDescent="0.25">
      <c r="A19" s="52"/>
      <c r="B19" s="52"/>
      <c r="C19" s="52"/>
      <c r="D19" s="52"/>
      <c r="E19" s="52"/>
      <c r="F19" s="52"/>
    </row>
    <row r="20" spans="1:8" x14ac:dyDescent="0.25">
      <c r="A20" s="55" t="s">
        <v>18</v>
      </c>
      <c r="B20" s="52"/>
      <c r="C20" s="52"/>
      <c r="D20" s="52"/>
      <c r="E20" s="52"/>
      <c r="F20" s="52"/>
    </row>
    <row r="21" spans="1:8" x14ac:dyDescent="0.25">
      <c r="A21" s="52"/>
      <c r="B21" s="52" t="s">
        <v>31</v>
      </c>
      <c r="C21" s="52"/>
      <c r="D21" s="52"/>
      <c r="E21" s="52"/>
      <c r="F21" s="52"/>
    </row>
    <row r="22" spans="1:8" x14ac:dyDescent="0.25">
      <c r="A22" s="52"/>
      <c r="B22" s="52"/>
      <c r="C22" s="52" t="s">
        <v>2</v>
      </c>
      <c r="D22" s="52">
        <v>251567</v>
      </c>
      <c r="E22" s="52"/>
      <c r="F22" s="268" t="s">
        <v>229</v>
      </c>
      <c r="G22" s="7">
        <v>251567</v>
      </c>
    </row>
    <row r="23" spans="1:8" x14ac:dyDescent="0.25">
      <c r="A23" s="52"/>
      <c r="B23" s="52"/>
      <c r="C23" s="52" t="s">
        <v>3</v>
      </c>
      <c r="D23" s="52">
        <v>10800</v>
      </c>
      <c r="F23" s="268" t="s">
        <v>230</v>
      </c>
      <c r="G23" s="7">
        <v>10800</v>
      </c>
    </row>
    <row r="24" spans="1:8" x14ac:dyDescent="0.25">
      <c r="A24" s="52"/>
      <c r="B24" s="52"/>
      <c r="C24" s="52"/>
      <c r="D24" s="52"/>
      <c r="F24" s="268"/>
    </row>
    <row r="25" spans="1:8" x14ac:dyDescent="0.25">
      <c r="A25" s="52"/>
      <c r="B25" s="52"/>
      <c r="C25" s="52" t="s">
        <v>4</v>
      </c>
      <c r="D25" s="52">
        <v>47347</v>
      </c>
      <c r="E25" s="52"/>
      <c r="F25" s="268" t="s">
        <v>254</v>
      </c>
      <c r="G25" s="7">
        <v>39547</v>
      </c>
    </row>
    <row r="26" spans="1:8" x14ac:dyDescent="0.25">
      <c r="A26" s="52"/>
      <c r="B26" s="52"/>
      <c r="C26" s="52"/>
      <c r="D26" s="52"/>
      <c r="E26" s="52"/>
      <c r="F26" s="268" t="s">
        <v>231</v>
      </c>
      <c r="G26" s="7">
        <v>6517</v>
      </c>
    </row>
    <row r="27" spans="1:8" x14ac:dyDescent="0.25">
      <c r="A27" s="52"/>
      <c r="B27" s="52"/>
      <c r="C27" s="52"/>
      <c r="D27" s="52"/>
      <c r="E27" s="52"/>
      <c r="F27" s="268" t="s">
        <v>245</v>
      </c>
      <c r="G27" s="7">
        <v>1283</v>
      </c>
      <c r="H27" s="7">
        <f>SUM(G25:G27)</f>
        <v>47347</v>
      </c>
    </row>
    <row r="28" spans="1:8" x14ac:dyDescent="0.25">
      <c r="A28" s="52"/>
      <c r="B28" s="52"/>
      <c r="C28" s="52"/>
      <c r="D28" s="52"/>
      <c r="E28" s="52"/>
      <c r="F28" s="268"/>
    </row>
    <row r="29" spans="1:8" x14ac:dyDescent="0.25">
      <c r="A29" s="52"/>
      <c r="B29" s="52"/>
      <c r="C29" s="52" t="s">
        <v>5</v>
      </c>
      <c r="D29" s="52">
        <v>459978</v>
      </c>
      <c r="F29" s="268" t="s">
        <v>234</v>
      </c>
      <c r="G29" s="7">
        <v>459978</v>
      </c>
    </row>
    <row r="30" spans="1:8" x14ac:dyDescent="0.25">
      <c r="A30" s="52"/>
      <c r="B30" s="52"/>
      <c r="C30" s="52" t="s">
        <v>6</v>
      </c>
      <c r="D30" s="52">
        <v>17355</v>
      </c>
      <c r="E30" s="52"/>
      <c r="F30" s="268" t="s">
        <v>235</v>
      </c>
      <c r="G30" s="7">
        <v>17355</v>
      </c>
    </row>
    <row r="31" spans="1:8" x14ac:dyDescent="0.25">
      <c r="A31" s="52"/>
      <c r="B31" s="52"/>
      <c r="C31" s="52" t="s">
        <v>71</v>
      </c>
      <c r="D31" s="52"/>
      <c r="E31" s="52"/>
      <c r="F31" s="52"/>
    </row>
    <row r="32" spans="1:8" x14ac:dyDescent="0.25">
      <c r="A32" s="52"/>
      <c r="B32" s="52"/>
      <c r="C32" s="52" t="s">
        <v>7</v>
      </c>
      <c r="D32" s="52">
        <v>45861</v>
      </c>
      <c r="E32" s="52"/>
      <c r="F32" s="268" t="s">
        <v>236</v>
      </c>
      <c r="G32" s="7">
        <v>16953</v>
      </c>
    </row>
    <row r="33" spans="1:9" x14ac:dyDescent="0.25">
      <c r="A33" s="52"/>
      <c r="B33" s="52"/>
      <c r="C33" s="52"/>
      <c r="D33" s="52"/>
      <c r="E33" s="52"/>
      <c r="F33" s="268" t="s">
        <v>237</v>
      </c>
      <c r="G33" s="7">
        <v>4786</v>
      </c>
    </row>
    <row r="34" spans="1:9" x14ac:dyDescent="0.25">
      <c r="A34" s="52"/>
      <c r="B34" s="52"/>
      <c r="C34" s="52"/>
      <c r="D34" s="52"/>
      <c r="E34" s="52"/>
      <c r="F34" s="268" t="s">
        <v>238</v>
      </c>
      <c r="G34" s="7">
        <v>2673</v>
      </c>
    </row>
    <row r="35" spans="1:9" x14ac:dyDescent="0.25">
      <c r="A35" s="52"/>
      <c r="B35" s="52"/>
      <c r="C35" s="52"/>
      <c r="D35" s="52"/>
      <c r="E35" s="52"/>
      <c r="F35" s="268" t="s">
        <v>239</v>
      </c>
      <c r="G35" s="7">
        <v>352</v>
      </c>
    </row>
    <row r="36" spans="1:9" x14ac:dyDescent="0.25">
      <c r="A36" s="52"/>
      <c r="B36" s="52"/>
      <c r="C36" s="52"/>
      <c r="D36" s="52"/>
      <c r="E36" s="52"/>
      <c r="F36" s="268" t="s">
        <v>240</v>
      </c>
      <c r="G36" s="7">
        <v>11472</v>
      </c>
    </row>
    <row r="37" spans="1:9" x14ac:dyDescent="0.25">
      <c r="A37" s="52"/>
      <c r="B37" s="52"/>
      <c r="C37" s="52"/>
      <c r="D37" s="52"/>
      <c r="E37" s="52"/>
      <c r="F37" s="268" t="s">
        <v>244</v>
      </c>
      <c r="G37" s="7">
        <v>9670</v>
      </c>
      <c r="H37" s="7">
        <f>SUM(G32:G37)</f>
        <v>45906</v>
      </c>
      <c r="I37" s="7">
        <f>H37-D32</f>
        <v>45</v>
      </c>
    </row>
    <row r="38" spans="1:9" x14ac:dyDescent="0.25">
      <c r="A38" s="52"/>
      <c r="B38" s="52"/>
      <c r="C38" s="52"/>
      <c r="D38" s="52"/>
      <c r="E38" s="52"/>
      <c r="F38" s="268"/>
    </row>
    <row r="39" spans="1:9" x14ac:dyDescent="0.25">
      <c r="A39" s="52"/>
      <c r="B39" s="52"/>
      <c r="C39" s="52" t="s">
        <v>8</v>
      </c>
      <c r="D39" s="52">
        <v>14808</v>
      </c>
      <c r="E39" s="52"/>
      <c r="F39" s="268" t="s">
        <v>247</v>
      </c>
      <c r="G39" s="7">
        <v>1150</v>
      </c>
    </row>
    <row r="40" spans="1:9" x14ac:dyDescent="0.25">
      <c r="A40" s="52"/>
      <c r="B40" s="52"/>
      <c r="C40" s="52"/>
      <c r="D40" s="52"/>
      <c r="E40" s="52"/>
      <c r="F40" s="268" t="s">
        <v>248</v>
      </c>
      <c r="G40" s="7">
        <v>8700</v>
      </c>
    </row>
    <row r="41" spans="1:9" x14ac:dyDescent="0.25">
      <c r="A41" s="52"/>
      <c r="B41" s="52"/>
      <c r="C41" s="52"/>
      <c r="D41" s="52"/>
      <c r="E41" s="52"/>
      <c r="F41" s="268" t="s">
        <v>249</v>
      </c>
      <c r="G41" s="7">
        <v>500</v>
      </c>
    </row>
    <row r="42" spans="1:9" x14ac:dyDescent="0.25">
      <c r="A42" s="52"/>
      <c r="B42" s="52"/>
      <c r="C42" s="52"/>
      <c r="D42" s="52"/>
      <c r="E42" s="52"/>
      <c r="F42" s="268" t="s">
        <v>250</v>
      </c>
      <c r="G42" s="7">
        <v>4458</v>
      </c>
      <c r="H42" s="7">
        <f>SUM(G39:G42)</f>
        <v>14808</v>
      </c>
    </row>
    <row r="43" spans="1:9" x14ac:dyDescent="0.25">
      <c r="A43" s="52"/>
      <c r="B43" s="52"/>
      <c r="C43" s="52"/>
      <c r="D43" s="52"/>
      <c r="E43" s="52"/>
    </row>
    <row r="44" spans="1:9" x14ac:dyDescent="0.25">
      <c r="A44" s="52"/>
      <c r="B44" s="52"/>
      <c r="C44" s="52" t="s">
        <v>10</v>
      </c>
      <c r="D44" s="52">
        <v>14555</v>
      </c>
      <c r="E44" s="52"/>
      <c r="F44" s="268" t="s">
        <v>251</v>
      </c>
      <c r="G44" s="7">
        <v>2382</v>
      </c>
    </row>
    <row r="45" spans="1:9" x14ac:dyDescent="0.25">
      <c r="A45" s="52"/>
      <c r="B45" s="52"/>
      <c r="C45" s="52"/>
      <c r="D45" s="52"/>
      <c r="E45" s="52"/>
      <c r="F45" s="268" t="s">
        <v>252</v>
      </c>
      <c r="G45" s="7">
        <v>12173</v>
      </c>
      <c r="H45" s="7">
        <f>SUM(G44:G45)</f>
        <v>14555</v>
      </c>
    </row>
    <row r="46" spans="1:9" x14ac:dyDescent="0.25">
      <c r="A46" s="52"/>
      <c r="B46" s="52"/>
      <c r="C46" s="52"/>
      <c r="D46" s="52"/>
      <c r="E46" s="52"/>
      <c r="F46" s="52"/>
    </row>
    <row r="47" spans="1:9" x14ac:dyDescent="0.25">
      <c r="A47" s="52"/>
      <c r="B47" s="52"/>
      <c r="C47" s="52" t="s">
        <v>32</v>
      </c>
      <c r="D47" s="52">
        <v>12123</v>
      </c>
      <c r="E47" s="52"/>
      <c r="F47" s="268" t="s">
        <v>255</v>
      </c>
      <c r="G47" s="7">
        <v>12123</v>
      </c>
    </row>
    <row r="48" spans="1:9" x14ac:dyDescent="0.25">
      <c r="A48" s="52"/>
      <c r="B48" s="52"/>
      <c r="C48" s="52" t="s">
        <v>55</v>
      </c>
      <c r="D48" s="52">
        <v>2942</v>
      </c>
      <c r="E48" s="52"/>
      <c r="F48" s="268" t="s">
        <v>253</v>
      </c>
      <c r="G48" s="7">
        <v>2942</v>
      </c>
    </row>
    <row r="49" spans="1:9" x14ac:dyDescent="0.25">
      <c r="A49" s="52"/>
      <c r="B49" s="52"/>
      <c r="C49" s="52" t="s">
        <v>56</v>
      </c>
      <c r="D49" s="52">
        <v>1267</v>
      </c>
      <c r="E49" s="52"/>
      <c r="F49" s="52"/>
    </row>
    <row r="50" spans="1:9" ht="17.25" x14ac:dyDescent="0.25">
      <c r="A50" s="52"/>
      <c r="B50" s="52"/>
      <c r="C50" s="52" t="s">
        <v>9</v>
      </c>
      <c r="D50" s="76">
        <v>31192</v>
      </c>
      <c r="E50" s="52"/>
      <c r="F50" s="268" t="s">
        <v>241</v>
      </c>
      <c r="G50" s="7">
        <v>2518</v>
      </c>
    </row>
    <row r="51" spans="1:9" ht="17.25" x14ac:dyDescent="0.25">
      <c r="A51" s="52"/>
      <c r="B51" s="52"/>
      <c r="C51" s="52"/>
      <c r="D51" s="76"/>
      <c r="E51" s="52"/>
      <c r="F51" s="268" t="s">
        <v>242</v>
      </c>
      <c r="G51" s="7">
        <v>6138</v>
      </c>
    </row>
    <row r="52" spans="1:9" ht="17.25" x14ac:dyDescent="0.25">
      <c r="A52" s="52"/>
      <c r="B52" s="52"/>
      <c r="C52" s="52"/>
      <c r="D52" s="76"/>
      <c r="E52" s="52"/>
      <c r="F52" s="268" t="s">
        <v>243</v>
      </c>
      <c r="G52" s="7">
        <v>4599</v>
      </c>
    </row>
    <row r="53" spans="1:9" ht="17.25" x14ac:dyDescent="0.25">
      <c r="A53" s="52"/>
      <c r="B53" s="52"/>
      <c r="C53" s="52"/>
      <c r="D53" s="76"/>
      <c r="E53" s="52"/>
      <c r="F53" s="268" t="s">
        <v>246</v>
      </c>
      <c r="G53" s="7">
        <v>11426</v>
      </c>
    </row>
    <row r="54" spans="1:9" ht="17.25" x14ac:dyDescent="0.25">
      <c r="A54" s="52"/>
      <c r="B54" s="52"/>
      <c r="C54" s="52"/>
      <c r="D54" s="76"/>
      <c r="E54" s="52"/>
      <c r="F54" s="268" t="s">
        <v>257</v>
      </c>
      <c r="G54" s="7">
        <v>1942</v>
      </c>
    </row>
    <row r="55" spans="1:9" ht="14.25" customHeight="1" x14ac:dyDescent="0.25">
      <c r="A55" s="52"/>
      <c r="B55" s="52" t="s">
        <v>33</v>
      </c>
      <c r="C55" s="52"/>
      <c r="D55" s="52">
        <f>SUM(D22:D50)</f>
        <v>909795</v>
      </c>
      <c r="E55" s="52"/>
      <c r="F55" s="268" t="s">
        <v>233</v>
      </c>
      <c r="G55" s="7">
        <v>120</v>
      </c>
      <c r="H55" s="7">
        <f>SUM(G50:G55)</f>
        <v>26743</v>
      </c>
      <c r="I55" s="7">
        <f>H55-D50</f>
        <v>-4449</v>
      </c>
    </row>
    <row r="56" spans="1:9" ht="4.3499999999999996" customHeight="1" x14ac:dyDescent="0.25">
      <c r="A56" s="52"/>
      <c r="B56" s="52"/>
      <c r="C56" s="52"/>
      <c r="D56" s="52"/>
      <c r="E56" s="52"/>
      <c r="F56" s="52"/>
    </row>
    <row r="57" spans="1:9" ht="4.3499999999999996" customHeight="1" x14ac:dyDescent="0.25">
      <c r="A57" s="52"/>
      <c r="B57" s="52"/>
      <c r="C57" s="52"/>
      <c r="D57" s="52"/>
      <c r="E57" s="52"/>
      <c r="F57" s="52"/>
    </row>
    <row r="58" spans="1:9" ht="4.3499999999999996" customHeight="1" x14ac:dyDescent="0.25">
      <c r="A58" s="52"/>
      <c r="B58" s="52"/>
      <c r="C58" s="52"/>
      <c r="D58" s="52"/>
      <c r="E58" s="52"/>
      <c r="F58" s="52"/>
    </row>
    <row r="59" spans="1:9" ht="4.3499999999999996" customHeight="1" x14ac:dyDescent="0.25">
      <c r="A59" s="52"/>
      <c r="B59" s="52"/>
      <c r="C59" s="52"/>
      <c r="D59" s="52"/>
      <c r="E59" s="52"/>
      <c r="F59" s="52"/>
    </row>
    <row r="60" spans="1:9" ht="4.3499999999999996" customHeight="1" x14ac:dyDescent="0.25">
      <c r="A60" s="52"/>
      <c r="B60" s="52"/>
      <c r="C60" s="52"/>
      <c r="D60" s="52"/>
      <c r="E60" s="52"/>
      <c r="F60" s="52"/>
    </row>
    <row r="61" spans="1:9" x14ac:dyDescent="0.25">
      <c r="A61" s="52"/>
      <c r="B61" s="52" t="s">
        <v>19</v>
      </c>
      <c r="C61" s="52"/>
      <c r="D61" s="52">
        <v>73097</v>
      </c>
      <c r="E61" s="52"/>
      <c r="F61" s="268" t="s">
        <v>228</v>
      </c>
      <c r="G61" s="7">
        <v>73087</v>
      </c>
    </row>
    <row r="62" spans="1:9" x14ac:dyDescent="0.25">
      <c r="A62" s="52"/>
      <c r="B62" s="52"/>
      <c r="C62" s="52"/>
      <c r="D62" s="52"/>
      <c r="E62" s="52"/>
      <c r="F62" s="268"/>
    </row>
    <row r="63" spans="1:9" ht="17.25" x14ac:dyDescent="0.25">
      <c r="A63" s="52"/>
      <c r="B63" s="52" t="s">
        <v>1</v>
      </c>
      <c r="C63" s="52"/>
      <c r="D63" s="76">
        <v>21433</v>
      </c>
      <c r="E63" s="52"/>
      <c r="F63" s="268" t="s">
        <v>232</v>
      </c>
      <c r="G63" s="7">
        <v>19479</v>
      </c>
    </row>
    <row r="64" spans="1:9" ht="17.25" x14ac:dyDescent="0.25">
      <c r="A64" s="60" t="s">
        <v>0</v>
      </c>
      <c r="B64" s="52"/>
      <c r="C64" s="52"/>
      <c r="D64" s="76">
        <f>SUM(D55:D63)</f>
        <v>1004325</v>
      </c>
      <c r="E64" s="52"/>
      <c r="F64" s="268" t="s">
        <v>256</v>
      </c>
      <c r="G64" s="7">
        <v>1954</v>
      </c>
      <c r="H64" s="7">
        <f>SUM(G63:G64)</f>
        <v>21433</v>
      </c>
    </row>
    <row r="65" spans="1:9" ht="4.3499999999999996" customHeight="1" x14ac:dyDescent="0.25">
      <c r="A65" s="60"/>
      <c r="B65" s="52"/>
      <c r="C65" s="52"/>
      <c r="D65" s="78"/>
      <c r="E65" s="52"/>
      <c r="F65" s="52"/>
    </row>
    <row r="66" spans="1:9" x14ac:dyDescent="0.25">
      <c r="A66" s="60" t="s">
        <v>34</v>
      </c>
      <c r="B66" s="52"/>
      <c r="C66" s="52"/>
      <c r="D66" s="52">
        <f>D18-D64</f>
        <v>-105030</v>
      </c>
      <c r="F66" s="52"/>
    </row>
    <row r="67" spans="1:9" x14ac:dyDescent="0.25">
      <c r="A67" s="52"/>
      <c r="B67" s="52"/>
      <c r="C67" s="52"/>
      <c r="D67" s="52"/>
      <c r="E67" s="52"/>
      <c r="F67" s="268"/>
      <c r="G67" s="185" t="s">
        <v>263</v>
      </c>
      <c r="I67" s="7">
        <f>SUM(I1:I65)</f>
        <v>-254.06999999994878</v>
      </c>
    </row>
    <row r="69" spans="1:9" x14ac:dyDescent="0.25">
      <c r="A69" s="60"/>
      <c r="B69" s="52"/>
      <c r="C69" s="52"/>
      <c r="D69" s="66"/>
    </row>
    <row r="70" spans="1:9" x14ac:dyDescent="0.25">
      <c r="A70" s="52"/>
      <c r="B70" s="52"/>
      <c r="C70" s="52"/>
      <c r="D70" s="66"/>
      <c r="F70" s="268"/>
    </row>
    <row r="71" spans="1:9" x14ac:dyDescent="0.25">
      <c r="A71" s="60"/>
      <c r="B71" s="52"/>
      <c r="C71" s="52"/>
      <c r="D71" s="66"/>
    </row>
    <row r="79" spans="1:9" x14ac:dyDescent="0.25">
      <c r="F79" s="269"/>
    </row>
    <row r="80" spans="1:9" x14ac:dyDescent="0.25">
      <c r="F80" s="270"/>
    </row>
    <row r="81" spans="6:6" x14ac:dyDescent="0.25">
      <c r="F81" s="268"/>
    </row>
    <row r="83" spans="6:6" x14ac:dyDescent="0.25">
      <c r="F83" s="268"/>
    </row>
    <row r="84" spans="6:6" x14ac:dyDescent="0.25">
      <c r="F84" s="268"/>
    </row>
    <row r="85" spans="6:6" x14ac:dyDescent="0.25">
      <c r="F85" s="268"/>
    </row>
    <row r="86" spans="6:6" x14ac:dyDescent="0.25">
      <c r="F86" s="268"/>
    </row>
    <row r="87" spans="6:6" x14ac:dyDescent="0.25">
      <c r="F87" s="268"/>
    </row>
    <row r="111" spans="6:6" x14ac:dyDescent="0.25">
      <c r="F111" s="268"/>
    </row>
    <row r="114" spans="6:6" x14ac:dyDescent="0.25">
      <c r="F114" s="268"/>
    </row>
    <row r="116" spans="6:6" x14ac:dyDescent="0.25">
      <c r="F116" s="2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21"/>
  <sheetViews>
    <sheetView showGridLines="0" workbookViewId="0">
      <selection activeCell="B2" sqref="B2:N21"/>
    </sheetView>
  </sheetViews>
  <sheetFormatPr defaultRowHeight="15" x14ac:dyDescent="0.2"/>
  <cols>
    <col min="1" max="1" width="1.77734375" customWidth="1"/>
    <col min="2" max="2" width="17.77734375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7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2:16" ht="15.75" x14ac:dyDescent="0.2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17"/>
      <c r="P2" s="17"/>
    </row>
    <row r="3" spans="2:16" ht="18.75" x14ac:dyDescent="0.3">
      <c r="B3" s="82" t="s">
        <v>73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3"/>
      <c r="O3" s="17"/>
      <c r="P3" s="17"/>
    </row>
    <row r="4" spans="2:16" ht="18.75" x14ac:dyDescent="0.3">
      <c r="B4" s="84" t="s">
        <v>74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73"/>
      <c r="O4" s="17"/>
      <c r="P4" s="17"/>
    </row>
    <row r="5" spans="2:16" ht="15.75" x14ac:dyDescent="0.25">
      <c r="B5" s="86" t="s">
        <v>154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73"/>
      <c r="O5" s="17"/>
      <c r="P5" s="17"/>
    </row>
    <row r="6" spans="2:16" ht="15.75" x14ac:dyDescent="0.25">
      <c r="B6" s="87" t="s">
        <v>75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73"/>
      <c r="O6" s="17"/>
      <c r="P6" s="17"/>
    </row>
    <row r="7" spans="2:16" ht="15.75" x14ac:dyDescent="0.25">
      <c r="B7" s="89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73"/>
      <c r="O7" s="17"/>
      <c r="P7" s="17"/>
    </row>
    <row r="8" spans="2:16" ht="15.75" x14ac:dyDescent="0.25">
      <c r="B8" s="90"/>
      <c r="C8" s="91"/>
      <c r="D8" s="92"/>
      <c r="E8" s="91"/>
      <c r="F8" s="93"/>
      <c r="G8" s="91"/>
      <c r="H8" s="93"/>
      <c r="I8" s="91"/>
      <c r="J8" s="93"/>
      <c r="K8" s="91"/>
      <c r="L8" s="93"/>
      <c r="M8" s="92"/>
      <c r="N8" s="81"/>
      <c r="O8" s="17"/>
      <c r="P8" s="17"/>
    </row>
    <row r="9" spans="2:16" ht="17.25" x14ac:dyDescent="0.25">
      <c r="B9" s="94"/>
      <c r="C9" s="246" t="s">
        <v>76</v>
      </c>
      <c r="D9" s="247"/>
      <c r="E9" s="246" t="s">
        <v>77</v>
      </c>
      <c r="F9" s="247"/>
      <c r="G9" s="246" t="s">
        <v>78</v>
      </c>
      <c r="H9" s="247"/>
      <c r="I9" s="246" t="s">
        <v>158</v>
      </c>
      <c r="J9" s="247"/>
      <c r="K9" s="246" t="s">
        <v>159</v>
      </c>
      <c r="L9" s="247"/>
      <c r="M9" s="17"/>
      <c r="N9" s="73"/>
      <c r="O9" s="17"/>
      <c r="P9" s="17"/>
    </row>
    <row r="10" spans="2:16" ht="17.25" x14ac:dyDescent="0.25">
      <c r="B10" s="94"/>
      <c r="C10" s="95"/>
      <c r="D10" s="96" t="s">
        <v>79</v>
      </c>
      <c r="E10" s="97"/>
      <c r="F10" s="96" t="s">
        <v>79</v>
      </c>
      <c r="G10" s="97"/>
      <c r="H10" s="96" t="s">
        <v>79</v>
      </c>
      <c r="I10" s="97"/>
      <c r="J10" s="96" t="s">
        <v>79</v>
      </c>
      <c r="K10" s="97"/>
      <c r="L10" s="96" t="s">
        <v>79</v>
      </c>
      <c r="M10" s="17"/>
      <c r="N10" s="73"/>
      <c r="O10" s="17"/>
      <c r="P10" s="17"/>
    </row>
    <row r="11" spans="2:16" ht="17.25" x14ac:dyDescent="0.25">
      <c r="B11" s="94"/>
      <c r="C11" s="95" t="s">
        <v>80</v>
      </c>
      <c r="D11" s="98" t="s">
        <v>81</v>
      </c>
      <c r="E11" s="95" t="s">
        <v>80</v>
      </c>
      <c r="F11" s="98" t="s">
        <v>81</v>
      </c>
      <c r="G11" s="95" t="s">
        <v>80</v>
      </c>
      <c r="H11" s="98" t="s">
        <v>81</v>
      </c>
      <c r="I11" s="95" t="s">
        <v>80</v>
      </c>
      <c r="J11" s="98" t="s">
        <v>81</v>
      </c>
      <c r="K11" s="95" t="s">
        <v>80</v>
      </c>
      <c r="L11" s="98" t="s">
        <v>81</v>
      </c>
      <c r="M11" s="99" t="s">
        <v>68</v>
      </c>
      <c r="N11" s="73"/>
      <c r="O11" s="17"/>
      <c r="P11" s="17"/>
    </row>
    <row r="12" spans="2:16" ht="15.75" x14ac:dyDescent="0.25">
      <c r="B12" s="100"/>
      <c r="C12" s="7"/>
      <c r="D12" s="7"/>
      <c r="E12" s="101"/>
      <c r="F12" s="103"/>
      <c r="G12" s="101"/>
      <c r="H12" s="103"/>
      <c r="I12" s="101"/>
      <c r="J12" s="103"/>
      <c r="K12" s="188"/>
      <c r="L12" s="189"/>
      <c r="M12" s="104">
        <f t="shared" ref="M12:M13" si="0">SUM(C12:L12)</f>
        <v>0</v>
      </c>
      <c r="N12" s="73"/>
      <c r="O12" s="17"/>
      <c r="P12" s="17"/>
    </row>
    <row r="13" spans="2:16" ht="15.75" x14ac:dyDescent="0.25">
      <c r="B13" s="100" t="s">
        <v>155</v>
      </c>
      <c r="C13" s="101">
        <v>4616</v>
      </c>
      <c r="D13" s="102">
        <v>1087</v>
      </c>
      <c r="E13" s="101">
        <v>4708</v>
      </c>
      <c r="F13" s="70">
        <v>985</v>
      </c>
      <c r="G13" s="101">
        <v>4806</v>
      </c>
      <c r="H13" s="70">
        <v>881</v>
      </c>
      <c r="I13" s="101">
        <v>4900</v>
      </c>
      <c r="J13" s="70">
        <v>775</v>
      </c>
      <c r="K13" s="188">
        <v>4998</v>
      </c>
      <c r="L13" s="189">
        <v>666</v>
      </c>
      <c r="M13" s="104">
        <f t="shared" si="0"/>
        <v>28422</v>
      </c>
      <c r="N13" s="73"/>
      <c r="O13" s="17"/>
      <c r="P13" s="17"/>
    </row>
    <row r="14" spans="2:16" ht="15.75" x14ac:dyDescent="0.25">
      <c r="B14" s="105"/>
      <c r="C14" s="106"/>
      <c r="D14" s="107"/>
      <c r="E14" s="106"/>
      <c r="F14" s="107"/>
      <c r="G14" s="106"/>
      <c r="H14" s="107"/>
      <c r="I14" s="106"/>
      <c r="J14" s="107"/>
      <c r="K14" s="106"/>
      <c r="L14" s="108"/>
      <c r="M14" s="104"/>
      <c r="N14" s="73"/>
      <c r="O14" s="17"/>
      <c r="P14" s="17"/>
    </row>
    <row r="15" spans="2:16" ht="15.75" x14ac:dyDescent="0.25">
      <c r="B15" s="74" t="s">
        <v>68</v>
      </c>
      <c r="C15" s="109">
        <f>SUM(C13:C14)</f>
        <v>4616</v>
      </c>
      <c r="D15" s="110">
        <f>SUM(D13:D14)</f>
        <v>1087</v>
      </c>
      <c r="E15" s="109">
        <f t="shared" ref="E15:L15" si="1">SUM(E12:E14)</f>
        <v>4708</v>
      </c>
      <c r="F15" s="111">
        <f t="shared" si="1"/>
        <v>985</v>
      </c>
      <c r="G15" s="109">
        <f t="shared" si="1"/>
        <v>4806</v>
      </c>
      <c r="H15" s="111">
        <f t="shared" si="1"/>
        <v>881</v>
      </c>
      <c r="I15" s="109">
        <f t="shared" si="1"/>
        <v>4900</v>
      </c>
      <c r="J15" s="111">
        <f t="shared" si="1"/>
        <v>775</v>
      </c>
      <c r="K15" s="109">
        <f t="shared" si="1"/>
        <v>4998</v>
      </c>
      <c r="L15" s="111">
        <f t="shared" si="1"/>
        <v>666</v>
      </c>
      <c r="M15" s="112">
        <f>SUM(M12:M14)</f>
        <v>28422</v>
      </c>
      <c r="N15" s="73"/>
      <c r="O15" s="17"/>
      <c r="P15" s="17">
        <f>SUM(C15:L15)</f>
        <v>28422</v>
      </c>
    </row>
    <row r="16" spans="2:16" ht="15.75" x14ac:dyDescent="0.25">
      <c r="B16" s="113"/>
      <c r="C16" s="114"/>
      <c r="D16" s="115"/>
      <c r="E16" s="114"/>
      <c r="F16" s="116"/>
      <c r="G16" s="114"/>
      <c r="H16" s="116"/>
      <c r="I16" s="114"/>
      <c r="J16" s="117"/>
      <c r="K16" s="114"/>
      <c r="L16" s="116"/>
      <c r="M16" s="115"/>
      <c r="N16" s="69"/>
      <c r="O16" s="17"/>
      <c r="P16" s="17"/>
    </row>
    <row r="17" spans="2:16" ht="15.75" x14ac:dyDescent="0.25">
      <c r="B17" s="118"/>
      <c r="C17" s="119"/>
      <c r="D17" s="119"/>
      <c r="E17" s="119"/>
      <c r="F17" s="119"/>
      <c r="G17" s="119"/>
      <c r="H17" s="119"/>
      <c r="I17" s="119"/>
      <c r="J17" s="120"/>
      <c r="K17" s="120"/>
      <c r="L17" s="120"/>
      <c r="M17" s="119"/>
      <c r="N17" s="73"/>
      <c r="O17" s="17"/>
      <c r="P17" s="17"/>
    </row>
    <row r="18" spans="2:16" ht="15.75" x14ac:dyDescent="0.25">
      <c r="B18" s="121"/>
      <c r="C18" s="122"/>
      <c r="D18" s="123"/>
      <c r="E18" s="122"/>
      <c r="F18" s="122"/>
      <c r="G18" s="122"/>
      <c r="H18" s="122"/>
      <c r="I18" s="123" t="s">
        <v>82</v>
      </c>
      <c r="J18" s="17"/>
      <c r="K18" s="124"/>
      <c r="L18" s="125"/>
      <c r="M18" s="122">
        <f>M15/5</f>
        <v>5684.4</v>
      </c>
      <c r="N18" s="73"/>
      <c r="O18" s="17"/>
      <c r="P18" s="17"/>
    </row>
    <row r="19" spans="2:16" ht="15.75" x14ac:dyDescent="0.25">
      <c r="B19" s="19"/>
      <c r="C19" s="123"/>
      <c r="D19" s="17"/>
      <c r="E19" s="123"/>
      <c r="F19" s="123"/>
      <c r="G19" s="123"/>
      <c r="H19" s="123"/>
      <c r="I19" s="123"/>
      <c r="J19" s="17"/>
      <c r="K19" s="23"/>
      <c r="L19" s="124"/>
      <c r="M19" s="29"/>
      <c r="N19" s="73"/>
      <c r="O19" s="17"/>
      <c r="P19" s="17"/>
    </row>
    <row r="20" spans="2:16" ht="15.75" x14ac:dyDescent="0.25">
      <c r="B20" s="121"/>
      <c r="C20" s="123"/>
      <c r="D20" s="123"/>
      <c r="E20" s="123"/>
      <c r="F20" s="123"/>
      <c r="G20" s="123"/>
      <c r="H20" s="123"/>
      <c r="I20" s="123" t="s">
        <v>83</v>
      </c>
      <c r="J20" s="17"/>
      <c r="K20" s="124"/>
      <c r="L20" s="123"/>
      <c r="M20" s="122">
        <f>M18*0.2</f>
        <v>1136.8799999999999</v>
      </c>
      <c r="N20" s="73"/>
      <c r="O20" s="17"/>
      <c r="P20" s="17">
        <f>M20+M18</f>
        <v>6821.28</v>
      </c>
    </row>
    <row r="21" spans="2:16" ht="15.75" x14ac:dyDescent="0.25">
      <c r="B21" s="126"/>
      <c r="C21" s="127"/>
      <c r="D21" s="127"/>
      <c r="E21" s="127"/>
      <c r="F21" s="127" t="s">
        <v>145</v>
      </c>
      <c r="G21" s="127"/>
      <c r="H21" s="127"/>
      <c r="I21" s="127"/>
      <c r="J21" s="127"/>
      <c r="K21" s="127"/>
      <c r="L21" s="127"/>
      <c r="M21" s="127"/>
      <c r="N21" s="69"/>
      <c r="O21" s="17"/>
      <c r="P21" s="17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2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0"/>
  <sheetViews>
    <sheetView showGridLines="0" topLeftCell="A21" workbookViewId="0">
      <selection activeCell="B2" sqref="B2:L46"/>
    </sheetView>
  </sheetViews>
  <sheetFormatPr defaultRowHeight="15.75" x14ac:dyDescent="0.25"/>
  <cols>
    <col min="1" max="1" width="2" customWidth="1"/>
    <col min="2" max="2" width="1.88671875" customWidth="1"/>
    <col min="3" max="3" width="1.77734375" customWidth="1"/>
    <col min="4" max="4" width="27.44140625" style="1" customWidth="1"/>
    <col min="5" max="5" width="8.33203125" style="1" customWidth="1"/>
    <col min="6" max="6" width="10.6640625" style="168" customWidth="1"/>
    <col min="7" max="7" width="6.109375" style="1" customWidth="1"/>
    <col min="8" max="8" width="9.33203125" style="164" customWidth="1"/>
    <col min="9" max="9" width="6.109375" customWidth="1"/>
    <col min="10" max="10" width="9.33203125" style="164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25">
      <c r="A1" s="1"/>
      <c r="B1" s="1"/>
      <c r="C1" s="3"/>
      <c r="D1" s="3"/>
      <c r="E1" s="3"/>
      <c r="G1" s="138"/>
      <c r="H1" s="18"/>
      <c r="I1" s="138"/>
      <c r="J1" s="18"/>
      <c r="K1" s="3"/>
      <c r="L1" s="3"/>
      <c r="M1" s="3"/>
    </row>
    <row r="2" spans="1:13" x14ac:dyDescent="0.25">
      <c r="A2" s="1"/>
      <c r="B2" s="128"/>
      <c r="C2" s="130"/>
      <c r="D2" s="130"/>
      <c r="E2" s="130"/>
      <c r="F2" s="169"/>
      <c r="G2" s="139"/>
      <c r="H2" s="161"/>
      <c r="I2" s="139"/>
      <c r="J2" s="161"/>
      <c r="K2" s="130"/>
      <c r="L2" s="146"/>
      <c r="M2" s="149"/>
    </row>
    <row r="3" spans="1:13" ht="18.75" x14ac:dyDescent="0.3">
      <c r="A3" s="1"/>
      <c r="B3" s="49"/>
      <c r="C3" s="248" t="s">
        <v>25</v>
      </c>
      <c r="D3" s="248"/>
      <c r="E3" s="248"/>
      <c r="F3" s="248"/>
      <c r="G3" s="248"/>
      <c r="H3" s="248"/>
      <c r="I3" s="248"/>
      <c r="J3" s="248"/>
      <c r="K3" s="248"/>
      <c r="L3" s="147"/>
      <c r="M3" s="149"/>
    </row>
    <row r="4" spans="1:13" ht="18.75" x14ac:dyDescent="0.3">
      <c r="A4" s="1"/>
      <c r="B4" s="49"/>
      <c r="C4" s="249" t="s">
        <v>39</v>
      </c>
      <c r="D4" s="249"/>
      <c r="E4" s="249"/>
      <c r="F4" s="249"/>
      <c r="G4" s="249"/>
      <c r="H4" s="249"/>
      <c r="I4" s="249"/>
      <c r="J4" s="249"/>
      <c r="K4" s="249"/>
      <c r="L4" s="147"/>
      <c r="M4" s="149"/>
    </row>
    <row r="5" spans="1:13" x14ac:dyDescent="0.25">
      <c r="A5" s="1"/>
      <c r="B5" s="49"/>
      <c r="C5" s="250" t="s">
        <v>154</v>
      </c>
      <c r="D5" s="250"/>
      <c r="E5" s="250"/>
      <c r="F5" s="250"/>
      <c r="G5" s="250"/>
      <c r="H5" s="250"/>
      <c r="I5" s="250"/>
      <c r="J5" s="250"/>
      <c r="K5" s="250"/>
      <c r="L5" s="147"/>
      <c r="M5" s="149"/>
    </row>
    <row r="6" spans="1:13" x14ac:dyDescent="0.25">
      <c r="A6" s="1"/>
      <c r="B6" s="49"/>
      <c r="C6" s="3"/>
      <c r="D6" s="3"/>
      <c r="E6" s="3"/>
      <c r="G6" s="140"/>
      <c r="H6" s="18"/>
      <c r="I6" s="140"/>
      <c r="J6" s="18"/>
      <c r="K6" s="132" t="s">
        <v>40</v>
      </c>
      <c r="L6" s="147"/>
      <c r="M6" s="149"/>
    </row>
    <row r="7" spans="1:13" x14ac:dyDescent="0.25">
      <c r="A7" s="1"/>
      <c r="B7" s="49"/>
      <c r="C7" s="131"/>
      <c r="D7" s="131"/>
      <c r="E7" s="131" t="s">
        <v>41</v>
      </c>
      <c r="F7" s="170" t="s">
        <v>42</v>
      </c>
      <c r="G7" s="251" t="s">
        <v>109</v>
      </c>
      <c r="H7" s="251"/>
      <c r="I7" s="251" t="s">
        <v>30</v>
      </c>
      <c r="J7" s="251"/>
      <c r="K7" s="132" t="s">
        <v>43</v>
      </c>
      <c r="L7" s="147"/>
      <c r="M7" s="149"/>
    </row>
    <row r="8" spans="1:13" ht="18" x14ac:dyDescent="0.4">
      <c r="A8" s="1"/>
      <c r="B8" s="49"/>
      <c r="C8" s="132"/>
      <c r="D8" s="136" t="s">
        <v>89</v>
      </c>
      <c r="E8" s="132" t="s">
        <v>44</v>
      </c>
      <c r="F8" s="171" t="s">
        <v>108</v>
      </c>
      <c r="G8" s="26" t="s">
        <v>45</v>
      </c>
      <c r="H8" s="132" t="s">
        <v>46</v>
      </c>
      <c r="I8" s="26" t="s">
        <v>45</v>
      </c>
      <c r="J8" s="132" t="s">
        <v>46</v>
      </c>
      <c r="K8" s="132" t="s">
        <v>36</v>
      </c>
      <c r="L8" s="147"/>
      <c r="M8" s="149"/>
    </row>
    <row r="9" spans="1:13" x14ac:dyDescent="0.25">
      <c r="A9" s="1"/>
      <c r="B9" s="49"/>
      <c r="C9" s="133" t="s">
        <v>84</v>
      </c>
      <c r="D9" s="3"/>
      <c r="E9" s="137"/>
      <c r="G9" s="140"/>
      <c r="H9" s="163"/>
      <c r="I9" s="140"/>
      <c r="J9" s="163"/>
      <c r="K9" s="2"/>
      <c r="L9" s="147"/>
      <c r="M9" s="149"/>
    </row>
    <row r="10" spans="1:13" x14ac:dyDescent="0.25">
      <c r="A10" s="1"/>
      <c r="B10" s="49"/>
      <c r="C10" s="133"/>
      <c r="D10" s="3" t="s">
        <v>90</v>
      </c>
      <c r="E10" s="137" t="s">
        <v>110</v>
      </c>
      <c r="F10" s="181">
        <f>89751-19700</f>
        <v>70051</v>
      </c>
      <c r="G10" s="70" t="s">
        <v>110</v>
      </c>
      <c r="H10" s="156">
        <v>2198.2199999999998</v>
      </c>
      <c r="I10" s="140">
        <v>37.5</v>
      </c>
      <c r="J10" s="156">
        <f>F10/I10</f>
        <v>1868.0266666666666</v>
      </c>
      <c r="K10" s="23">
        <f>J10-H10</f>
        <v>-330.19333333333316</v>
      </c>
      <c r="L10" s="147"/>
      <c r="M10" s="149"/>
    </row>
    <row r="11" spans="1:13" x14ac:dyDescent="0.25">
      <c r="A11" s="1"/>
      <c r="B11" s="49"/>
      <c r="C11" s="133"/>
      <c r="D11" s="3" t="s">
        <v>91</v>
      </c>
      <c r="E11" s="137" t="s">
        <v>110</v>
      </c>
      <c r="F11" s="173">
        <f>9394+5400</f>
        <v>14794</v>
      </c>
      <c r="G11" s="70" t="s">
        <v>110</v>
      </c>
      <c r="H11" s="156">
        <f>771+1342</f>
        <v>2113</v>
      </c>
      <c r="I11" s="140">
        <v>10</v>
      </c>
      <c r="J11" s="156">
        <f>F11/I11</f>
        <v>1479.4</v>
      </c>
      <c r="K11" s="23">
        <f>J11-H11</f>
        <v>-633.59999999999991</v>
      </c>
      <c r="L11" s="147"/>
      <c r="M11" s="149"/>
    </row>
    <row r="12" spans="1:13" x14ac:dyDescent="0.25">
      <c r="A12" s="1"/>
      <c r="B12" s="49"/>
      <c r="C12" s="3"/>
      <c r="D12" s="3" t="s">
        <v>92</v>
      </c>
      <c r="E12" s="137"/>
      <c r="F12" s="173"/>
      <c r="G12" s="70"/>
      <c r="H12" s="156"/>
      <c r="I12" s="140">
        <v>22.5</v>
      </c>
      <c r="J12" s="156">
        <f>F12/I12</f>
        <v>0</v>
      </c>
      <c r="K12" s="23">
        <f>J12-H12</f>
        <v>0</v>
      </c>
      <c r="L12" s="147"/>
      <c r="M12" s="149"/>
    </row>
    <row r="13" spans="1:13" x14ac:dyDescent="0.25">
      <c r="A13" s="1"/>
      <c r="B13" s="49"/>
      <c r="C13" s="3"/>
      <c r="D13" s="3" t="s">
        <v>93</v>
      </c>
      <c r="E13" s="137" t="s">
        <v>110</v>
      </c>
      <c r="F13" s="173">
        <f>845+2300+369</f>
        <v>3514</v>
      </c>
      <c r="G13" s="70" t="s">
        <v>110</v>
      </c>
      <c r="H13" s="156">
        <v>502</v>
      </c>
      <c r="I13" s="140">
        <v>12.5</v>
      </c>
      <c r="J13" s="156">
        <f t="shared" ref="J13:J14" si="0">F13/I13</f>
        <v>281.12</v>
      </c>
      <c r="K13" s="23">
        <f t="shared" ref="K13:K14" si="1">J13-H13</f>
        <v>-220.88</v>
      </c>
      <c r="L13" s="147"/>
      <c r="M13" s="149"/>
    </row>
    <row r="14" spans="1:13" x14ac:dyDescent="0.25">
      <c r="A14" s="1"/>
      <c r="B14" s="49"/>
      <c r="C14" s="3"/>
      <c r="D14" s="3" t="s">
        <v>94</v>
      </c>
      <c r="E14" s="137"/>
      <c r="F14" s="173"/>
      <c r="G14" s="70"/>
      <c r="H14" s="156"/>
      <c r="I14" s="140">
        <v>17.5</v>
      </c>
      <c r="J14" s="156">
        <f t="shared" si="0"/>
        <v>0</v>
      </c>
      <c r="K14" s="23">
        <f t="shared" si="1"/>
        <v>0</v>
      </c>
      <c r="L14" s="147"/>
      <c r="M14" s="149"/>
    </row>
    <row r="15" spans="1:13" x14ac:dyDescent="0.25">
      <c r="A15" s="1"/>
      <c r="B15" s="49"/>
      <c r="C15" s="3"/>
      <c r="D15" s="3"/>
      <c r="E15" s="137"/>
      <c r="F15" s="173"/>
      <c r="G15" s="70"/>
      <c r="H15" s="156"/>
      <c r="I15" s="140"/>
      <c r="J15" s="156"/>
      <c r="K15" s="23"/>
      <c r="L15" s="147"/>
      <c r="M15" s="149"/>
    </row>
    <row r="16" spans="1:13" x14ac:dyDescent="0.25">
      <c r="A16" s="1"/>
      <c r="B16" s="49"/>
      <c r="C16" s="133" t="s">
        <v>139</v>
      </c>
      <c r="D16" s="3"/>
      <c r="E16" s="137"/>
      <c r="F16" s="173"/>
      <c r="G16" s="70"/>
      <c r="H16" s="156"/>
      <c r="I16" s="140"/>
      <c r="J16" s="156"/>
      <c r="K16" s="23"/>
      <c r="L16" s="147"/>
      <c r="M16" s="149"/>
    </row>
    <row r="17" spans="1:13" x14ac:dyDescent="0.25">
      <c r="A17" s="1"/>
      <c r="B17" s="49"/>
      <c r="C17" s="3"/>
      <c r="D17" s="3" t="s">
        <v>140</v>
      </c>
      <c r="E17" s="137"/>
      <c r="F17" s="173"/>
      <c r="G17" s="70"/>
      <c r="H17" s="156"/>
      <c r="I17" s="140">
        <v>62.5</v>
      </c>
      <c r="J17" s="156">
        <f t="shared" ref="J17:J18" si="2">F17/I17</f>
        <v>0</v>
      </c>
      <c r="K17" s="23">
        <f t="shared" ref="K17:K18" si="3">J17-H17</f>
        <v>0</v>
      </c>
      <c r="L17" s="147"/>
      <c r="M17" s="149"/>
    </row>
    <row r="18" spans="1:13" x14ac:dyDescent="0.25">
      <c r="A18" s="1"/>
      <c r="B18" s="49"/>
      <c r="C18" s="3"/>
      <c r="D18" s="3" t="s">
        <v>141</v>
      </c>
      <c r="E18" s="137"/>
      <c r="F18" s="173"/>
      <c r="G18" s="70"/>
      <c r="H18" s="156"/>
      <c r="I18" s="140">
        <v>62.5</v>
      </c>
      <c r="J18" s="156">
        <f t="shared" si="2"/>
        <v>0</v>
      </c>
      <c r="K18" s="23">
        <f t="shared" si="3"/>
        <v>0</v>
      </c>
      <c r="L18" s="147"/>
      <c r="M18" s="149"/>
    </row>
    <row r="19" spans="1:13" x14ac:dyDescent="0.25">
      <c r="A19" s="1"/>
      <c r="B19" s="49"/>
      <c r="C19" s="132"/>
      <c r="D19" s="132"/>
      <c r="E19" s="132"/>
      <c r="F19" s="172"/>
      <c r="G19" s="26"/>
      <c r="H19" s="162"/>
      <c r="I19" s="26"/>
      <c r="J19" s="162"/>
      <c r="K19" s="132"/>
      <c r="L19" s="147"/>
      <c r="M19" s="149"/>
    </row>
    <row r="20" spans="1:13" x14ac:dyDescent="0.25">
      <c r="A20" s="1"/>
      <c r="B20" s="49"/>
      <c r="C20" s="133" t="s">
        <v>85</v>
      </c>
      <c r="D20" s="3"/>
      <c r="E20" s="137"/>
      <c r="G20" s="141"/>
      <c r="H20" s="163"/>
      <c r="I20" s="141"/>
      <c r="J20" s="163"/>
      <c r="K20" s="2"/>
      <c r="L20" s="147"/>
      <c r="M20" s="149"/>
    </row>
    <row r="21" spans="1:13" x14ac:dyDescent="0.25">
      <c r="A21" s="1"/>
      <c r="B21" s="49"/>
      <c r="C21" s="133"/>
      <c r="D21" s="3" t="s">
        <v>90</v>
      </c>
      <c r="E21" s="137"/>
      <c r="F21" s="173"/>
      <c r="G21" s="70"/>
      <c r="H21" s="156"/>
      <c r="I21" s="140">
        <v>37.5</v>
      </c>
      <c r="J21" s="156">
        <f>F21/I21</f>
        <v>0</v>
      </c>
      <c r="K21" s="23">
        <f>J21-H21</f>
        <v>0</v>
      </c>
      <c r="L21" s="147"/>
      <c r="M21" s="149"/>
    </row>
    <row r="22" spans="1:13" x14ac:dyDescent="0.25">
      <c r="A22" s="1"/>
      <c r="B22" s="49"/>
      <c r="C22" s="3"/>
      <c r="D22" s="3" t="s">
        <v>95</v>
      </c>
      <c r="E22" s="137"/>
      <c r="G22" s="141"/>
      <c r="H22" s="156"/>
      <c r="I22" s="140">
        <v>10</v>
      </c>
      <c r="J22" s="163">
        <f>F22/I22</f>
        <v>0</v>
      </c>
      <c r="K22" s="23">
        <f>J22-H22</f>
        <v>0</v>
      </c>
      <c r="L22" s="147"/>
      <c r="M22" s="149"/>
    </row>
    <row r="23" spans="1:13" x14ac:dyDescent="0.25">
      <c r="A23" s="1"/>
      <c r="B23" s="49"/>
      <c r="C23" s="3"/>
      <c r="D23" s="3" t="s">
        <v>96</v>
      </c>
      <c r="E23" s="137"/>
      <c r="F23" s="168">
        <v>6901</v>
      </c>
      <c r="G23" s="141">
        <v>40</v>
      </c>
      <c r="H23" s="156">
        <v>173</v>
      </c>
      <c r="I23" s="140">
        <v>20</v>
      </c>
      <c r="J23" s="163">
        <f>F23/I23</f>
        <v>345.05</v>
      </c>
      <c r="K23" s="23">
        <f>J23-H23</f>
        <v>172.05</v>
      </c>
      <c r="L23" s="147"/>
      <c r="M23" s="149"/>
    </row>
    <row r="24" spans="1:13" x14ac:dyDescent="0.25">
      <c r="A24" s="1"/>
      <c r="B24" s="49"/>
      <c r="C24" s="132"/>
      <c r="D24" s="132"/>
      <c r="E24" s="132"/>
      <c r="G24" s="141"/>
      <c r="H24" s="163"/>
      <c r="I24" s="141"/>
      <c r="J24" s="163"/>
      <c r="K24" s="2"/>
      <c r="L24" s="147"/>
      <c r="M24" s="149"/>
    </row>
    <row r="25" spans="1:13" x14ac:dyDescent="0.25">
      <c r="A25" s="1"/>
      <c r="B25" s="49"/>
      <c r="C25" s="133" t="s">
        <v>86</v>
      </c>
      <c r="D25" s="3"/>
      <c r="E25" s="137"/>
      <c r="G25" s="140"/>
      <c r="H25" s="163"/>
      <c r="I25" s="140"/>
      <c r="J25" s="163"/>
      <c r="K25" s="2"/>
      <c r="L25" s="147"/>
      <c r="M25" s="149"/>
    </row>
    <row r="26" spans="1:13" x14ac:dyDescent="0.25">
      <c r="A26" s="1"/>
      <c r="B26" s="49"/>
      <c r="C26" s="133"/>
      <c r="D26" s="3" t="s">
        <v>97</v>
      </c>
      <c r="E26" s="137" t="s">
        <v>110</v>
      </c>
      <c r="F26" s="173">
        <v>9128</v>
      </c>
      <c r="G26" s="70">
        <v>40</v>
      </c>
      <c r="H26" s="156">
        <v>229</v>
      </c>
      <c r="I26" s="140">
        <v>50</v>
      </c>
      <c r="J26" s="156">
        <f>H26</f>
        <v>229</v>
      </c>
      <c r="K26" s="23">
        <f>J26-H26</f>
        <v>0</v>
      </c>
      <c r="L26" s="147"/>
      <c r="M26" s="149"/>
    </row>
    <row r="27" spans="1:13" x14ac:dyDescent="0.25">
      <c r="A27" s="1"/>
      <c r="B27" s="49"/>
      <c r="C27" s="133"/>
      <c r="D27" s="3" t="s">
        <v>98</v>
      </c>
      <c r="E27" s="137" t="s">
        <v>110</v>
      </c>
      <c r="F27" s="181">
        <f>2593496-1310972</f>
        <v>1282524</v>
      </c>
      <c r="G27" s="70">
        <v>40</v>
      </c>
      <c r="H27" s="156">
        <v>32063</v>
      </c>
      <c r="I27" s="140">
        <v>62.5</v>
      </c>
      <c r="J27" s="156">
        <f t="shared" ref="J27:J34" si="4">F27/I27</f>
        <v>20520.383999999998</v>
      </c>
      <c r="K27" s="23">
        <f t="shared" ref="K27:K34" si="5">J27-H27</f>
        <v>-11542.616000000002</v>
      </c>
      <c r="L27" s="147"/>
      <c r="M27" s="149"/>
    </row>
    <row r="28" spans="1:13" x14ac:dyDescent="0.25">
      <c r="A28" s="1"/>
      <c r="B28" s="49"/>
      <c r="C28" s="133"/>
      <c r="D28" s="3" t="s">
        <v>99</v>
      </c>
      <c r="E28" s="137" t="s">
        <v>110</v>
      </c>
      <c r="F28" s="181">
        <f>4123+5607+6127</f>
        <v>15857</v>
      </c>
      <c r="G28" s="70">
        <v>10</v>
      </c>
      <c r="H28" s="156">
        <f>412+561+613</f>
        <v>1586</v>
      </c>
      <c r="I28" s="140">
        <v>45</v>
      </c>
      <c r="J28" s="156">
        <f t="shared" si="4"/>
        <v>352.37777777777779</v>
      </c>
      <c r="K28" s="23">
        <f t="shared" si="5"/>
        <v>-1233.6222222222223</v>
      </c>
      <c r="L28" s="147"/>
      <c r="M28" s="149"/>
    </row>
    <row r="29" spans="1:13" x14ac:dyDescent="0.25">
      <c r="A29" s="1"/>
      <c r="B29" s="49"/>
      <c r="C29" s="133"/>
      <c r="D29" s="3" t="s">
        <v>100</v>
      </c>
      <c r="E29" s="137"/>
      <c r="F29" s="173"/>
      <c r="G29" s="70"/>
      <c r="H29" s="156"/>
      <c r="I29" s="140">
        <v>15</v>
      </c>
      <c r="J29" s="156">
        <f t="shared" si="4"/>
        <v>0</v>
      </c>
      <c r="K29" s="23">
        <f t="shared" si="5"/>
        <v>0</v>
      </c>
      <c r="L29" s="147"/>
      <c r="M29" s="149"/>
    </row>
    <row r="30" spans="1:13" x14ac:dyDescent="0.25">
      <c r="A30" s="1"/>
      <c r="B30" s="49"/>
      <c r="C30" s="133"/>
      <c r="D30" s="3" t="s">
        <v>101</v>
      </c>
      <c r="E30" s="137" t="s">
        <v>110</v>
      </c>
      <c r="F30" s="173">
        <f>109540-1784-3000-17877-23241-27235</f>
        <v>36403</v>
      </c>
      <c r="G30" s="70">
        <v>10</v>
      </c>
      <c r="H30" s="156">
        <v>3640</v>
      </c>
      <c r="I30" s="140">
        <v>20</v>
      </c>
      <c r="J30" s="156">
        <f t="shared" si="4"/>
        <v>1820.15</v>
      </c>
      <c r="K30" s="23">
        <f t="shared" si="5"/>
        <v>-1819.85</v>
      </c>
      <c r="L30" s="147"/>
      <c r="M30" s="149"/>
    </row>
    <row r="31" spans="1:13" x14ac:dyDescent="0.25">
      <c r="A31" s="1"/>
      <c r="B31" s="49"/>
      <c r="C31" s="133"/>
      <c r="D31" s="3" t="s">
        <v>102</v>
      </c>
      <c r="E31" s="137"/>
      <c r="F31" s="173"/>
      <c r="G31" s="70"/>
      <c r="H31" s="156"/>
      <c r="I31" s="140">
        <v>37.5</v>
      </c>
      <c r="J31" s="156">
        <f t="shared" si="4"/>
        <v>0</v>
      </c>
      <c r="K31" s="23">
        <f t="shared" si="5"/>
        <v>0</v>
      </c>
      <c r="L31" s="147"/>
      <c r="M31" s="149"/>
    </row>
    <row r="32" spans="1:13" x14ac:dyDescent="0.25">
      <c r="A32" s="1"/>
      <c r="B32" s="49"/>
      <c r="C32" s="133"/>
      <c r="D32" s="3" t="s">
        <v>103</v>
      </c>
      <c r="E32" s="137"/>
      <c r="F32" s="173"/>
      <c r="G32" s="70"/>
      <c r="H32" s="156"/>
      <c r="I32" s="140">
        <v>40</v>
      </c>
      <c r="J32" s="156">
        <f t="shared" si="4"/>
        <v>0</v>
      </c>
      <c r="K32" s="23">
        <f t="shared" si="5"/>
        <v>0</v>
      </c>
      <c r="L32" s="147"/>
      <c r="M32" s="149"/>
    </row>
    <row r="33" spans="1:14" x14ac:dyDescent="0.25">
      <c r="A33" s="1"/>
      <c r="B33" s="49"/>
      <c r="C33" s="133"/>
      <c r="D33" s="3" t="s">
        <v>104</v>
      </c>
      <c r="E33" s="137" t="s">
        <v>110</v>
      </c>
      <c r="F33" s="181">
        <f>1066+138746+4484</f>
        <v>144296</v>
      </c>
      <c r="G33" s="70">
        <v>40</v>
      </c>
      <c r="H33" s="156">
        <f>27+3469+112</f>
        <v>3608</v>
      </c>
      <c r="I33" s="140">
        <v>45</v>
      </c>
      <c r="J33" s="156">
        <f t="shared" si="4"/>
        <v>3206.5777777777776</v>
      </c>
      <c r="K33" s="23">
        <f t="shared" si="5"/>
        <v>-401.42222222222244</v>
      </c>
      <c r="L33" s="147"/>
      <c r="M33" s="149"/>
    </row>
    <row r="34" spans="1:14" x14ac:dyDescent="0.25">
      <c r="A34" s="1"/>
      <c r="B34" s="49"/>
      <c r="C34" s="133"/>
      <c r="D34" s="3" t="s">
        <v>105</v>
      </c>
      <c r="E34" s="137" t="s">
        <v>110</v>
      </c>
      <c r="F34" s="173">
        <f>42750+39600+49964+175288+118462+52366+83106+78100</f>
        <v>639636</v>
      </c>
      <c r="G34" s="70">
        <v>30</v>
      </c>
      <c r="H34" s="156">
        <f>1425+1320+1665+5843+3949+1746+2770+2603</f>
        <v>21321</v>
      </c>
      <c r="I34" s="140">
        <v>15</v>
      </c>
      <c r="J34" s="156">
        <f t="shared" si="4"/>
        <v>42642.400000000001</v>
      </c>
      <c r="K34" s="23">
        <f t="shared" si="5"/>
        <v>21321.4</v>
      </c>
      <c r="L34" s="147"/>
      <c r="M34" s="149"/>
      <c r="N34" s="195">
        <f>H34+H33</f>
        <v>24929</v>
      </c>
    </row>
    <row r="35" spans="1:14" x14ac:dyDescent="0.25">
      <c r="A35" s="1"/>
      <c r="B35" s="49"/>
      <c r="C35" s="133"/>
      <c r="E35" s="137"/>
      <c r="G35" s="141"/>
      <c r="H35" s="163"/>
      <c r="I35" s="141"/>
      <c r="J35" s="163"/>
      <c r="K35" s="23"/>
      <c r="L35" s="147"/>
      <c r="M35" s="149"/>
      <c r="N35">
        <v>25119</v>
      </c>
    </row>
    <row r="36" spans="1:14" x14ac:dyDescent="0.25">
      <c r="A36" s="1"/>
      <c r="B36" s="49"/>
      <c r="C36" s="133" t="s">
        <v>87</v>
      </c>
      <c r="E36" s="137"/>
      <c r="G36" s="140"/>
      <c r="H36" s="163"/>
      <c r="I36" s="145"/>
      <c r="J36" s="163"/>
      <c r="K36" s="2"/>
      <c r="L36" s="147"/>
      <c r="M36" s="149"/>
    </row>
    <row r="37" spans="1:14" x14ac:dyDescent="0.25">
      <c r="A37" s="1"/>
      <c r="B37" s="49"/>
      <c r="C37" s="3"/>
      <c r="D37" s="1" t="s">
        <v>106</v>
      </c>
      <c r="E37" s="137">
        <v>43616</v>
      </c>
      <c r="F37" s="168">
        <v>27425</v>
      </c>
      <c r="G37" s="140">
        <v>5</v>
      </c>
      <c r="H37" s="163">
        <v>5485</v>
      </c>
      <c r="I37" s="145">
        <v>7</v>
      </c>
      <c r="J37" s="163">
        <f>F37/I37</f>
        <v>3917.8571428571427</v>
      </c>
      <c r="K37" s="2">
        <f>J37-H37</f>
        <v>-1567.1428571428573</v>
      </c>
      <c r="L37" s="147"/>
      <c r="M37" s="149"/>
      <c r="N37" s="195">
        <f>N34-N35</f>
        <v>-190</v>
      </c>
    </row>
    <row r="38" spans="1:14" x14ac:dyDescent="0.25">
      <c r="A38" s="1"/>
      <c r="B38" s="49"/>
      <c r="C38" s="132"/>
      <c r="D38" s="132"/>
      <c r="E38" s="132"/>
      <c r="G38" s="141"/>
      <c r="H38" s="163"/>
      <c r="I38" s="141"/>
      <c r="J38" s="163"/>
      <c r="K38" s="2"/>
      <c r="L38" s="147"/>
      <c r="M38" s="149"/>
    </row>
    <row r="39" spans="1:14" x14ac:dyDescent="0.25">
      <c r="A39" s="1"/>
      <c r="B39" s="49"/>
      <c r="C39" s="133" t="s">
        <v>88</v>
      </c>
      <c r="D39" s="3"/>
      <c r="E39" s="137"/>
      <c r="G39" s="142"/>
      <c r="H39" s="163"/>
      <c r="I39" s="140"/>
      <c r="J39" s="163"/>
      <c r="K39" s="2"/>
      <c r="L39" s="147"/>
      <c r="M39" s="149"/>
    </row>
    <row r="40" spans="1:14" x14ac:dyDescent="0.25">
      <c r="A40" s="1"/>
      <c r="B40" s="49"/>
      <c r="C40" s="133"/>
      <c r="D40" s="1" t="s">
        <v>137</v>
      </c>
      <c r="E40" s="137"/>
      <c r="G40" s="140"/>
      <c r="H40" s="163"/>
      <c r="I40" s="145">
        <v>62.5</v>
      </c>
      <c r="J40" s="163">
        <f>F40/I40</f>
        <v>0</v>
      </c>
      <c r="K40" s="2">
        <f>J40-H40</f>
        <v>0</v>
      </c>
      <c r="L40" s="147"/>
      <c r="M40" s="149"/>
    </row>
    <row r="41" spans="1:14" x14ac:dyDescent="0.25">
      <c r="A41" s="1"/>
      <c r="B41" s="49"/>
      <c r="C41" s="133"/>
      <c r="D41" s="1" t="s">
        <v>138</v>
      </c>
      <c r="E41" s="137"/>
      <c r="G41" s="140"/>
      <c r="H41" s="163"/>
      <c r="I41" s="145">
        <v>27.5</v>
      </c>
      <c r="J41" s="163">
        <f>F41/I41</f>
        <v>0</v>
      </c>
      <c r="K41" s="2">
        <f>J41-H41</f>
        <v>0</v>
      </c>
      <c r="L41" s="147"/>
      <c r="M41" s="149"/>
    </row>
    <row r="42" spans="1:14" x14ac:dyDescent="0.25">
      <c r="A42" s="1"/>
      <c r="B42" s="49"/>
      <c r="C42" s="3"/>
      <c r="D42" s="3"/>
      <c r="E42" s="3"/>
      <c r="G42" s="2"/>
      <c r="H42" s="156"/>
      <c r="I42" s="2"/>
      <c r="J42" s="167"/>
      <c r="K42" s="2"/>
      <c r="L42" s="147"/>
      <c r="M42" s="149"/>
    </row>
    <row r="43" spans="1:14" x14ac:dyDescent="0.25">
      <c r="A43" s="1"/>
      <c r="B43" s="49"/>
      <c r="C43" s="134" t="s">
        <v>68</v>
      </c>
      <c r="F43" s="165">
        <f>SUM(F10:F42)</f>
        <v>2250529</v>
      </c>
      <c r="G43" s="143"/>
      <c r="H43" s="165">
        <f>SUM(H10:H42)</f>
        <v>72918.22</v>
      </c>
      <c r="I43" s="144"/>
      <c r="J43" s="165">
        <f>SUM(J10:J42)</f>
        <v>76662.34336507936</v>
      </c>
      <c r="K43" s="144">
        <f>SUM(K10:K42)</f>
        <v>3744.1233650793633</v>
      </c>
      <c r="L43" s="147"/>
      <c r="M43" s="149"/>
      <c r="N43" s="20"/>
    </row>
    <row r="44" spans="1:14" x14ac:dyDescent="0.25">
      <c r="A44" s="1"/>
      <c r="B44" s="129"/>
      <c r="C44" s="135"/>
      <c r="D44" s="135"/>
      <c r="E44" s="135"/>
      <c r="F44" s="174"/>
      <c r="G44" s="135"/>
      <c r="H44" s="166"/>
      <c r="I44" s="135"/>
      <c r="J44" s="166"/>
      <c r="K44" s="135"/>
      <c r="L44" s="148"/>
      <c r="M44" s="150"/>
    </row>
    <row r="45" spans="1:14" x14ac:dyDescent="0.25">
      <c r="A45" s="1"/>
      <c r="B45" s="1"/>
      <c r="C45" s="3"/>
      <c r="D45" s="3"/>
      <c r="E45" s="3"/>
      <c r="G45" s="3"/>
      <c r="H45" s="167"/>
      <c r="I45" s="3"/>
      <c r="J45" s="167"/>
      <c r="K45" s="3"/>
      <c r="L45" s="3"/>
      <c r="M45" s="3"/>
    </row>
    <row r="46" spans="1:14" x14ac:dyDescent="0.25">
      <c r="D46" s="3" t="s">
        <v>107</v>
      </c>
    </row>
    <row r="48" spans="1:14" x14ac:dyDescent="0.25">
      <c r="D48" s="1" t="s">
        <v>142</v>
      </c>
      <c r="F48" s="168">
        <f>J43</f>
        <v>76662.34336507936</v>
      </c>
    </row>
    <row r="49" spans="4:7" ht="18" x14ac:dyDescent="0.4">
      <c r="D49" s="1" t="s">
        <v>143</v>
      </c>
      <c r="F49" s="175">
        <f>SAO!D31</f>
        <v>73097</v>
      </c>
    </row>
    <row r="50" spans="4:7" x14ac:dyDescent="0.25">
      <c r="D50" s="1" t="s">
        <v>144</v>
      </c>
      <c r="F50" s="168">
        <f>F48-F49</f>
        <v>3565.3433650793595</v>
      </c>
      <c r="G50" s="20"/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C4" sqref="C4"/>
    </sheetView>
  </sheetViews>
  <sheetFormatPr defaultRowHeight="15" x14ac:dyDescent="0.2"/>
  <sheetData>
    <row r="1" spans="1:4" ht="15.75" x14ac:dyDescent="0.25">
      <c r="A1" s="1" t="s">
        <v>133</v>
      </c>
      <c r="B1" s="1"/>
      <c r="C1" s="1"/>
      <c r="D1" s="1"/>
    </row>
    <row r="2" spans="1:4" ht="15.75" x14ac:dyDescent="0.25">
      <c r="A2" s="1"/>
      <c r="B2" s="1"/>
      <c r="C2" s="1"/>
      <c r="D2" s="1"/>
    </row>
    <row r="3" spans="1:4" ht="15.75" x14ac:dyDescent="0.25">
      <c r="A3" s="1" t="s">
        <v>136</v>
      </c>
      <c r="B3" s="1"/>
      <c r="C3" s="158">
        <v>11000</v>
      </c>
      <c r="D3" s="1"/>
    </row>
    <row r="4" spans="1:4" ht="15.75" x14ac:dyDescent="0.25">
      <c r="A4" s="1"/>
      <c r="B4" s="1"/>
      <c r="C4" s="1"/>
      <c r="D4" s="1"/>
    </row>
    <row r="5" spans="1:4" ht="15.75" x14ac:dyDescent="0.25">
      <c r="A5" s="1" t="s">
        <v>134</v>
      </c>
      <c r="B5" s="159">
        <v>0.3</v>
      </c>
      <c r="C5" s="158">
        <f>B5*C3</f>
        <v>3300</v>
      </c>
      <c r="D5" s="1" t="s">
        <v>132</v>
      </c>
    </row>
    <row r="6" spans="1:4" ht="15.75" x14ac:dyDescent="0.25">
      <c r="A6" s="1" t="s">
        <v>135</v>
      </c>
      <c r="B6" s="159">
        <v>0.7</v>
      </c>
      <c r="C6" s="158">
        <f>B6*C3</f>
        <v>7699.9999999999991</v>
      </c>
      <c r="D6" s="1" t="s">
        <v>132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I36"/>
  <sheetViews>
    <sheetView showGridLines="0" workbookViewId="0">
      <selection activeCell="C36" sqref="C36"/>
    </sheetView>
  </sheetViews>
  <sheetFormatPr defaultColWidth="8.88671875" defaultRowHeight="15" x14ac:dyDescent="0.25"/>
  <cols>
    <col min="1" max="1" width="22" style="1" customWidth="1"/>
    <col min="2" max="2" width="9.88671875" style="7" bestFit="1" customWidth="1"/>
    <col min="3" max="3" width="9.6640625" style="7" bestFit="1" customWidth="1"/>
    <col min="4" max="4" width="10.44140625" style="1" bestFit="1" customWidth="1"/>
    <col min="5" max="16384" width="8.88671875" style="1"/>
  </cols>
  <sheetData>
    <row r="1" spans="1:3" x14ac:dyDescent="0.25">
      <c r="A1" s="182" t="s">
        <v>151</v>
      </c>
    </row>
    <row r="2" spans="1:3" x14ac:dyDescent="0.25">
      <c r="A2" s="1" t="s">
        <v>117</v>
      </c>
      <c r="C2" s="7">
        <v>0</v>
      </c>
    </row>
    <row r="3" spans="1:3" x14ac:dyDescent="0.25">
      <c r="A3" s="1" t="s">
        <v>118</v>
      </c>
      <c r="C3" s="5">
        <v>100761</v>
      </c>
    </row>
    <row r="4" spans="1:3" x14ac:dyDescent="0.25">
      <c r="A4" s="1" t="s">
        <v>119</v>
      </c>
      <c r="C4" s="7">
        <f>C2+C3</f>
        <v>100761</v>
      </c>
    </row>
    <row r="6" spans="1:3" x14ac:dyDescent="0.25">
      <c r="A6" s="1" t="s">
        <v>112</v>
      </c>
      <c r="C6" s="7">
        <v>81781</v>
      </c>
    </row>
    <row r="8" spans="1:3" x14ac:dyDescent="0.25">
      <c r="A8" s="1" t="s">
        <v>113</v>
      </c>
    </row>
    <row r="9" spans="1:3" x14ac:dyDescent="0.25">
      <c r="A9" s="1" t="s">
        <v>122</v>
      </c>
      <c r="B9" s="7">
        <v>0</v>
      </c>
    </row>
    <row r="10" spans="1:3" x14ac:dyDescent="0.25">
      <c r="A10" s="1" t="s">
        <v>123</v>
      </c>
      <c r="B10" s="7">
        <v>1597</v>
      </c>
    </row>
    <row r="11" spans="1:3" x14ac:dyDescent="0.25">
      <c r="A11" s="1" t="s">
        <v>124</v>
      </c>
      <c r="B11" s="7">
        <v>18</v>
      </c>
    </row>
    <row r="12" spans="1:3" x14ac:dyDescent="0.25">
      <c r="A12" s="1" t="s">
        <v>125</v>
      </c>
      <c r="B12" s="7">
        <v>0</v>
      </c>
    </row>
    <row r="13" spans="1:3" x14ac:dyDescent="0.25">
      <c r="A13" s="1" t="s">
        <v>120</v>
      </c>
      <c r="C13" s="7">
        <f>SUM(B9:B12)</f>
        <v>1615</v>
      </c>
    </row>
    <row r="15" spans="1:3" x14ac:dyDescent="0.25">
      <c r="A15" s="1" t="s">
        <v>121</v>
      </c>
    </row>
    <row r="16" spans="1:3" x14ac:dyDescent="0.25">
      <c r="A16" s="1" t="s">
        <v>126</v>
      </c>
      <c r="B16" s="7">
        <v>510</v>
      </c>
    </row>
    <row r="17" spans="1:9" x14ac:dyDescent="0.25">
      <c r="A17" s="1" t="s">
        <v>127</v>
      </c>
      <c r="B17" s="7">
        <v>0</v>
      </c>
    </row>
    <row r="18" spans="1:9" x14ac:dyDescent="0.25">
      <c r="A18" s="1" t="s">
        <v>128</v>
      </c>
      <c r="B18" s="7">
        <v>16809</v>
      </c>
    </row>
    <row r="19" spans="1:9" x14ac:dyDescent="0.25">
      <c r="A19" s="1" t="s">
        <v>188</v>
      </c>
      <c r="B19" s="7">
        <v>46</v>
      </c>
    </row>
    <row r="20" spans="1:9" x14ac:dyDescent="0.25">
      <c r="A20" s="1" t="s">
        <v>129</v>
      </c>
    </row>
    <row r="21" spans="1:9" x14ac:dyDescent="0.25">
      <c r="A21" s="1" t="s">
        <v>130</v>
      </c>
      <c r="C21" s="5">
        <f>SUM(B16:B20)</f>
        <v>17365</v>
      </c>
    </row>
    <row r="22" spans="1:9" x14ac:dyDescent="0.25">
      <c r="A22" s="1" t="s">
        <v>131</v>
      </c>
      <c r="C22" s="7">
        <f>C6+C13+C21</f>
        <v>100761</v>
      </c>
    </row>
    <row r="24" spans="1:9" x14ac:dyDescent="0.25">
      <c r="D24" s="46">
        <f>C21/C4</f>
        <v>0.17233850398467662</v>
      </c>
      <c r="E24" s="1" t="s">
        <v>114</v>
      </c>
    </row>
    <row r="25" spans="1:9" x14ac:dyDescent="0.25">
      <c r="D25" s="184">
        <v>0.15</v>
      </c>
      <c r="E25" s="1" t="s">
        <v>115</v>
      </c>
    </row>
    <row r="26" spans="1:9" x14ac:dyDescent="0.25">
      <c r="D26" s="46">
        <f>D24-D25</f>
        <v>2.2338503984676628E-2</v>
      </c>
      <c r="E26" s="1" t="s">
        <v>116</v>
      </c>
      <c r="G26" s="20"/>
    </row>
    <row r="27" spans="1:9" x14ac:dyDescent="0.25">
      <c r="D27" s="46"/>
      <c r="G27" s="20"/>
    </row>
    <row r="28" spans="1:9" x14ac:dyDescent="0.25">
      <c r="D28" s="46"/>
      <c r="G28" s="20"/>
    </row>
    <row r="29" spans="1:9" x14ac:dyDescent="0.25">
      <c r="A29" s="182"/>
      <c r="B29" s="185"/>
      <c r="C29" s="185"/>
      <c r="D29" s="183"/>
      <c r="E29" s="182"/>
      <c r="G29" s="20"/>
    </row>
    <row r="30" spans="1:9" s="182" customFormat="1" x14ac:dyDescent="0.25">
      <c r="A30" s="182" t="s">
        <v>153</v>
      </c>
      <c r="B30" s="185"/>
      <c r="C30" s="185"/>
      <c r="I30" s="190"/>
    </row>
    <row r="31" spans="1:9" x14ac:dyDescent="0.25">
      <c r="A31" s="1" t="s">
        <v>152</v>
      </c>
      <c r="B31" s="218">
        <f>SAO!D19</f>
        <v>459978</v>
      </c>
      <c r="C31" s="177">
        <f>D26</f>
        <v>2.2338503984676628E-2</v>
      </c>
      <c r="D31" s="191">
        <f t="shared" ref="D31:D33" si="0">B31*C31</f>
        <v>10275.220385863586</v>
      </c>
      <c r="E31" s="182" t="s">
        <v>148</v>
      </c>
      <c r="F31" s="182"/>
      <c r="G31" s="182"/>
      <c r="H31" s="182"/>
      <c r="I31" s="190"/>
    </row>
    <row r="32" spans="1:9" x14ac:dyDescent="0.25">
      <c r="A32" s="1" t="str">
        <f>SAO!C20</f>
        <v>Purchased Power</v>
      </c>
      <c r="B32" s="7">
        <f>SAO!D20</f>
        <v>17355</v>
      </c>
      <c r="C32" s="177">
        <f>D26</f>
        <v>2.2338503984676628E-2</v>
      </c>
      <c r="D32" s="185">
        <f t="shared" si="0"/>
        <v>387.68473665406287</v>
      </c>
      <c r="E32" s="182" t="s">
        <v>149</v>
      </c>
      <c r="F32" s="182"/>
      <c r="G32" s="182"/>
      <c r="H32" s="182"/>
      <c r="I32" s="190"/>
    </row>
    <row r="33" spans="1:9" ht="17.25" x14ac:dyDescent="0.4">
      <c r="A33" s="1" t="str">
        <f>SAO!C21</f>
        <v>Chemicals</v>
      </c>
      <c r="B33" s="7">
        <f>SAO!D21</f>
        <v>0</v>
      </c>
      <c r="C33" s="178">
        <f>D26</f>
        <v>2.2338503984676628E-2</v>
      </c>
      <c r="D33" s="219">
        <f t="shared" si="0"/>
        <v>0</v>
      </c>
      <c r="E33" s="182" t="s">
        <v>150</v>
      </c>
      <c r="F33" s="182"/>
      <c r="G33" s="182"/>
      <c r="H33" s="182"/>
      <c r="I33" s="190"/>
    </row>
    <row r="34" spans="1:9" x14ac:dyDescent="0.25">
      <c r="A34" s="182" t="s">
        <v>146</v>
      </c>
      <c r="B34" s="185"/>
      <c r="C34" s="186"/>
      <c r="D34" s="187">
        <f>SUM(D31:D33)</f>
        <v>10662.905122517648</v>
      </c>
    </row>
    <row r="35" spans="1:9" x14ac:dyDescent="0.25">
      <c r="A35" s="182"/>
      <c r="B35" s="185"/>
      <c r="C35" s="186"/>
      <c r="D35" s="187"/>
    </row>
    <row r="36" spans="1:9" x14ac:dyDescent="0.25">
      <c r="C36" s="176"/>
      <c r="D36" s="180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43"/>
  <sheetViews>
    <sheetView showGridLines="0" workbookViewId="0">
      <selection activeCell="B2" sqref="B2:O37"/>
    </sheetView>
  </sheetViews>
  <sheetFormatPr defaultColWidth="8.88671875" defaultRowHeight="15.75" outlineLevelRow="1" x14ac:dyDescent="0.25"/>
  <cols>
    <col min="1" max="1" width="2.109375" style="221" customWidth="1"/>
    <col min="2" max="2" width="1.109375" style="221" customWidth="1"/>
    <col min="3" max="3" width="4.77734375" style="221" customWidth="1"/>
    <col min="4" max="4" width="6.77734375" style="221" customWidth="1"/>
    <col min="5" max="5" width="6.33203125" style="221" customWidth="1"/>
    <col min="6" max="6" width="7.33203125" style="221" customWidth="1"/>
    <col min="7" max="7" width="13.33203125" style="221" customWidth="1"/>
    <col min="8" max="8" width="1.21875" style="221" customWidth="1"/>
    <col min="9" max="9" width="4.77734375" style="221" customWidth="1"/>
    <col min="10" max="10" width="7" style="221" customWidth="1"/>
    <col min="11" max="11" width="6.33203125" style="221" customWidth="1"/>
    <col min="12" max="12" width="7.33203125" style="221" customWidth="1"/>
    <col min="13" max="13" width="13.33203125" style="221" customWidth="1"/>
    <col min="14" max="14" width="8.5546875" style="221" bestFit="1" customWidth="1"/>
    <col min="15" max="15" width="6.5546875" style="221" bestFit="1" customWidth="1"/>
    <col min="16" max="16" width="2.6640625" style="221" customWidth="1"/>
    <col min="17" max="207" width="9.6640625" style="221" customWidth="1"/>
    <col min="208" max="16384" width="8.88671875" style="221"/>
  </cols>
  <sheetData>
    <row r="2" spans="2:18" ht="18" customHeight="1" x14ac:dyDescent="0.3">
      <c r="B2" s="257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9"/>
    </row>
    <row r="3" spans="2:18" ht="18" hidden="1" customHeight="1" x14ac:dyDescent="0.3">
      <c r="B3" s="49"/>
      <c r="C3" s="252" t="s">
        <v>196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1"/>
    </row>
    <row r="4" spans="2:18" ht="18.75" hidden="1" x14ac:dyDescent="0.3">
      <c r="B4" s="49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3"/>
      <c r="O4" s="254"/>
    </row>
    <row r="5" spans="2:18" ht="18" customHeight="1" x14ac:dyDescent="0.3">
      <c r="B5" s="49"/>
      <c r="C5" s="252" t="s">
        <v>197</v>
      </c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3"/>
      <c r="O5" s="254"/>
    </row>
    <row r="6" spans="2:18" ht="17.25" customHeight="1" x14ac:dyDescent="0.3">
      <c r="B6" s="49"/>
      <c r="C6" s="252" t="s">
        <v>154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3"/>
      <c r="O6" s="254"/>
      <c r="P6" s="32"/>
      <c r="Q6" s="32"/>
      <c r="R6" s="32"/>
    </row>
    <row r="7" spans="2:18" x14ac:dyDescent="0.25">
      <c r="B7" s="129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22"/>
    </row>
    <row r="8" spans="2:18" ht="6" customHeight="1" x14ac:dyDescent="0.25">
      <c r="B8" s="49"/>
      <c r="C8" s="1"/>
      <c r="D8" s="1"/>
      <c r="E8" s="1"/>
      <c r="F8" s="1"/>
      <c r="G8" s="223"/>
      <c r="H8" s="49"/>
      <c r="I8" s="1"/>
      <c r="J8" s="1"/>
      <c r="K8" s="1"/>
      <c r="L8" s="1"/>
      <c r="M8" s="223"/>
      <c r="N8" s="49"/>
      <c r="O8" s="223"/>
    </row>
    <row r="9" spans="2:18" ht="30.4" customHeight="1" x14ac:dyDescent="0.25">
      <c r="B9" s="49"/>
      <c r="C9" s="255" t="s">
        <v>198</v>
      </c>
      <c r="D9" s="255"/>
      <c r="E9" s="255"/>
      <c r="F9" s="255"/>
      <c r="G9" s="256"/>
      <c r="H9" s="1"/>
      <c r="I9" s="255" t="s">
        <v>199</v>
      </c>
      <c r="J9" s="255"/>
      <c r="K9" s="255"/>
      <c r="L9" s="255"/>
      <c r="M9" s="256"/>
      <c r="N9" s="225" t="s">
        <v>200</v>
      </c>
      <c r="O9" s="224" t="s">
        <v>201</v>
      </c>
    </row>
    <row r="10" spans="2:18" x14ac:dyDescent="0.25">
      <c r="B10" s="49"/>
      <c r="C10" s="1"/>
      <c r="D10" s="1"/>
      <c r="E10" s="1"/>
      <c r="F10" s="1"/>
      <c r="G10" s="223"/>
      <c r="H10" s="1"/>
      <c r="I10" s="1"/>
      <c r="J10" s="1"/>
      <c r="K10" s="1"/>
      <c r="L10" s="1"/>
      <c r="M10" s="223"/>
      <c r="N10" s="49"/>
      <c r="O10" s="223"/>
    </row>
    <row r="11" spans="2:18" x14ac:dyDescent="0.25">
      <c r="B11" s="49"/>
      <c r="C11" s="226" t="s">
        <v>202</v>
      </c>
      <c r="D11" s="1"/>
      <c r="E11" s="1"/>
      <c r="F11" s="1"/>
      <c r="G11" s="223"/>
      <c r="H11" s="1"/>
      <c r="I11" s="226" t="s">
        <v>202</v>
      </c>
      <c r="J11" s="1"/>
      <c r="K11" s="1"/>
      <c r="L11" s="1"/>
      <c r="M11" s="223"/>
      <c r="N11" s="49"/>
      <c r="O11" s="223"/>
    </row>
    <row r="12" spans="2:18" outlineLevel="1" x14ac:dyDescent="0.25">
      <c r="B12" s="49"/>
      <c r="C12" s="21" t="s">
        <v>203</v>
      </c>
      <c r="D12" s="227">
        <f>PrBA!B26</f>
        <v>2000</v>
      </c>
      <c r="E12" s="1" t="s">
        <v>204</v>
      </c>
      <c r="F12" s="228">
        <f>ExBA!E35</f>
        <v>23.15</v>
      </c>
      <c r="G12" s="223" t="s">
        <v>205</v>
      </c>
      <c r="H12" s="1"/>
      <c r="I12" s="21" t="s">
        <v>203</v>
      </c>
      <c r="J12" s="227">
        <f>D12</f>
        <v>2000</v>
      </c>
      <c r="K12" s="1" t="s">
        <v>204</v>
      </c>
      <c r="L12" s="228">
        <f>PrBA!E35</f>
        <v>28.551019877942043</v>
      </c>
      <c r="M12" s="223" t="s">
        <v>205</v>
      </c>
      <c r="N12" s="229">
        <f>L12-F12</f>
        <v>5.4010198779420442</v>
      </c>
      <c r="O12" s="230">
        <f>N12/F12</f>
        <v>0.23330539429555269</v>
      </c>
      <c r="R12" s="231"/>
    </row>
    <row r="13" spans="2:18" outlineLevel="1" x14ac:dyDescent="0.25">
      <c r="B13" s="49"/>
      <c r="C13" s="21" t="s">
        <v>206</v>
      </c>
      <c r="D13" s="227">
        <f>PrBA!B27</f>
        <v>2000</v>
      </c>
      <c r="E13" s="1" t="s">
        <v>204</v>
      </c>
      <c r="F13" s="228">
        <f>ExBA!E36</f>
        <v>9.57</v>
      </c>
      <c r="G13" s="223" t="s">
        <v>207</v>
      </c>
      <c r="H13" s="1"/>
      <c r="I13" s="21" t="s">
        <v>206</v>
      </c>
      <c r="J13" s="227">
        <f t="shared" ref="J13:J16" si="0">D13</f>
        <v>2000</v>
      </c>
      <c r="K13" s="1" t="s">
        <v>204</v>
      </c>
      <c r="L13" s="228">
        <f>PrBA!E36</f>
        <v>11.80273262340844</v>
      </c>
      <c r="M13" s="223" t="s">
        <v>207</v>
      </c>
      <c r="N13" s="229">
        <f t="shared" ref="N13:N16" si="1">L13-F13</f>
        <v>2.2327326234084399</v>
      </c>
      <c r="O13" s="230">
        <f t="shared" ref="O13:O16" si="2">N13/F13</f>
        <v>0.23330539429555275</v>
      </c>
      <c r="R13" s="232"/>
    </row>
    <row r="14" spans="2:18" outlineLevel="1" x14ac:dyDescent="0.25">
      <c r="B14" s="49"/>
      <c r="C14" s="21" t="s">
        <v>206</v>
      </c>
      <c r="D14" s="227">
        <f>PrBA!B28</f>
        <v>6000</v>
      </c>
      <c r="E14" s="1" t="s">
        <v>204</v>
      </c>
      <c r="F14" s="228">
        <f>ExBA!E37</f>
        <v>9.07</v>
      </c>
      <c r="G14" s="223" t="s">
        <v>207</v>
      </c>
      <c r="H14" s="1"/>
      <c r="I14" s="21" t="s">
        <v>206</v>
      </c>
      <c r="J14" s="227">
        <f t="shared" si="0"/>
        <v>6000</v>
      </c>
      <c r="K14" s="1" t="s">
        <v>204</v>
      </c>
      <c r="L14" s="228">
        <f>PrBA!E37</f>
        <v>11.186079926260664</v>
      </c>
      <c r="M14" s="223" t="s">
        <v>207</v>
      </c>
      <c r="N14" s="229">
        <f t="shared" si="1"/>
        <v>2.1160799262606638</v>
      </c>
      <c r="O14" s="230">
        <f t="shared" si="2"/>
        <v>0.23330539429555278</v>
      </c>
      <c r="R14" s="232"/>
    </row>
    <row r="15" spans="2:18" outlineLevel="1" x14ac:dyDescent="0.25">
      <c r="B15" s="49"/>
      <c r="C15" s="21" t="s">
        <v>206</v>
      </c>
      <c r="D15" s="227">
        <f>PrBA!B29</f>
        <v>10000</v>
      </c>
      <c r="E15" s="1" t="s">
        <v>204</v>
      </c>
      <c r="F15" s="228">
        <f>ExBA!E38</f>
        <v>8.58</v>
      </c>
      <c r="G15" s="223" t="s">
        <v>207</v>
      </c>
      <c r="H15" s="1"/>
      <c r="I15" s="21" t="s">
        <v>206</v>
      </c>
      <c r="J15" s="227">
        <f t="shared" si="0"/>
        <v>10000</v>
      </c>
      <c r="K15" s="1" t="s">
        <v>204</v>
      </c>
      <c r="L15" s="228">
        <f>PrBA!E38</f>
        <v>10.581760283055843</v>
      </c>
      <c r="M15" s="223" t="s">
        <v>207</v>
      </c>
      <c r="N15" s="229">
        <f>L15-F15</f>
        <v>2.0017602830558427</v>
      </c>
      <c r="O15" s="230">
        <f>N15/F15</f>
        <v>0.23330539429555278</v>
      </c>
      <c r="R15" s="232"/>
    </row>
    <row r="16" spans="2:18" ht="13.5" customHeight="1" outlineLevel="1" x14ac:dyDescent="0.25">
      <c r="B16" s="49"/>
      <c r="C16" s="21" t="s">
        <v>208</v>
      </c>
      <c r="D16" s="227">
        <f>PrBA!B30</f>
        <v>20000</v>
      </c>
      <c r="E16" s="1" t="s">
        <v>204</v>
      </c>
      <c r="F16" s="228">
        <f>ExBA!E39</f>
        <v>8.08</v>
      </c>
      <c r="G16" s="223" t="s">
        <v>207</v>
      </c>
      <c r="H16" s="1"/>
      <c r="I16" s="21" t="s">
        <v>208</v>
      </c>
      <c r="J16" s="227">
        <f t="shared" si="0"/>
        <v>20000</v>
      </c>
      <c r="K16" s="1" t="s">
        <v>204</v>
      </c>
      <c r="L16" s="228">
        <f>PrBA!E39</f>
        <v>9.9651075859080667</v>
      </c>
      <c r="M16" s="223" t="s">
        <v>207</v>
      </c>
      <c r="N16" s="229">
        <f t="shared" si="1"/>
        <v>1.8851075859080666</v>
      </c>
      <c r="O16" s="230">
        <f t="shared" si="2"/>
        <v>0.2333053942955528</v>
      </c>
      <c r="R16" s="232"/>
    </row>
    <row r="17" spans="2:18" ht="15" customHeight="1" outlineLevel="1" x14ac:dyDescent="0.25">
      <c r="B17" s="49"/>
      <c r="C17" s="227"/>
      <c r="D17" s="1"/>
      <c r="E17" s="1"/>
      <c r="F17" s="1"/>
      <c r="G17" s="223"/>
      <c r="H17" s="1"/>
      <c r="I17" s="227"/>
      <c r="J17" s="1"/>
      <c r="K17" s="1"/>
      <c r="L17" s="1"/>
      <c r="M17" s="223"/>
      <c r="N17" s="49"/>
      <c r="O17" s="223"/>
    </row>
    <row r="18" spans="2:18" ht="15" customHeight="1" outlineLevel="1" x14ac:dyDescent="0.25">
      <c r="B18" s="49"/>
      <c r="C18" s="226" t="s">
        <v>210</v>
      </c>
      <c r="D18" s="1"/>
      <c r="E18" s="1"/>
      <c r="F18" s="1"/>
      <c r="G18" s="223"/>
      <c r="H18" s="1"/>
      <c r="I18" s="226" t="s">
        <v>210</v>
      </c>
      <c r="J18" s="1"/>
      <c r="K18" s="1"/>
      <c r="L18" s="1"/>
      <c r="M18" s="223"/>
      <c r="N18" s="49"/>
      <c r="O18" s="223"/>
    </row>
    <row r="19" spans="2:18" ht="15" customHeight="1" outlineLevel="1" x14ac:dyDescent="0.25">
      <c r="B19" s="49"/>
      <c r="C19" s="21" t="s">
        <v>203</v>
      </c>
      <c r="D19" s="227">
        <f>ExBA!B45</f>
        <v>4000</v>
      </c>
      <c r="E19" s="1" t="s">
        <v>204</v>
      </c>
      <c r="F19" s="228">
        <f>ExBA!E54</f>
        <v>42.28</v>
      </c>
      <c r="G19" s="223" t="s">
        <v>205</v>
      </c>
      <c r="H19" s="1"/>
      <c r="I19" s="21" t="s">
        <v>203</v>
      </c>
      <c r="J19" s="227">
        <f>D19</f>
        <v>4000</v>
      </c>
      <c r="K19" s="1" t="s">
        <v>204</v>
      </c>
      <c r="L19" s="228">
        <f>PrBA!E54</f>
        <v>52.14415207081597</v>
      </c>
      <c r="M19" s="223" t="s">
        <v>205</v>
      </c>
      <c r="N19" s="229">
        <f>L19-F19</f>
        <v>9.8641520708159689</v>
      </c>
      <c r="O19" s="230">
        <f>N19/F19</f>
        <v>0.23330539429555272</v>
      </c>
    </row>
    <row r="20" spans="2:18" ht="15" customHeight="1" outlineLevel="1" x14ac:dyDescent="0.25">
      <c r="B20" s="49"/>
      <c r="C20" s="21" t="s">
        <v>206</v>
      </c>
      <c r="D20" s="227">
        <f>ExBA!B46</f>
        <v>6000</v>
      </c>
      <c r="E20" s="1" t="s">
        <v>204</v>
      </c>
      <c r="F20" s="228">
        <f>ExBA!E55</f>
        <v>9.07</v>
      </c>
      <c r="G20" s="223" t="s">
        <v>207</v>
      </c>
      <c r="H20" s="1"/>
      <c r="I20" s="21" t="s">
        <v>206</v>
      </c>
      <c r="J20" s="227">
        <f t="shared" ref="J20:J22" si="3">D20</f>
        <v>6000</v>
      </c>
      <c r="K20" s="1" t="s">
        <v>204</v>
      </c>
      <c r="L20" s="228">
        <f>PrBA!E55</f>
        <v>11.186079926260664</v>
      </c>
      <c r="M20" s="223" t="s">
        <v>207</v>
      </c>
      <c r="N20" s="229">
        <f t="shared" ref="N20:N22" si="4">L20-F20</f>
        <v>2.1160799262606638</v>
      </c>
      <c r="O20" s="230">
        <f t="shared" ref="O20:O22" si="5">N20/F20</f>
        <v>0.23330539429555278</v>
      </c>
    </row>
    <row r="21" spans="2:18" ht="15" customHeight="1" outlineLevel="1" x14ac:dyDescent="0.25">
      <c r="B21" s="49"/>
      <c r="C21" s="21" t="s">
        <v>206</v>
      </c>
      <c r="D21" s="227">
        <f>ExBA!B47</f>
        <v>10000</v>
      </c>
      <c r="E21" s="1" t="s">
        <v>204</v>
      </c>
      <c r="F21" s="228">
        <f>ExBA!E56</f>
        <v>8.58</v>
      </c>
      <c r="G21" s="223" t="s">
        <v>207</v>
      </c>
      <c r="H21" s="1"/>
      <c r="I21" s="21" t="s">
        <v>206</v>
      </c>
      <c r="J21" s="227">
        <f t="shared" si="3"/>
        <v>10000</v>
      </c>
      <c r="K21" s="1" t="s">
        <v>204</v>
      </c>
      <c r="L21" s="228">
        <f>PrBA!E56</f>
        <v>10.581760283055843</v>
      </c>
      <c r="M21" s="223" t="s">
        <v>207</v>
      </c>
      <c r="N21" s="229">
        <f t="shared" si="4"/>
        <v>2.0017602830558427</v>
      </c>
      <c r="O21" s="230">
        <f t="shared" si="5"/>
        <v>0.23330539429555278</v>
      </c>
    </row>
    <row r="22" spans="2:18" ht="15" customHeight="1" outlineLevel="1" x14ac:dyDescent="0.25">
      <c r="B22" s="49"/>
      <c r="C22" s="21" t="s">
        <v>208</v>
      </c>
      <c r="D22" s="227">
        <f>ExBA!B49</f>
        <v>20000</v>
      </c>
      <c r="E22" s="1" t="s">
        <v>204</v>
      </c>
      <c r="F22" s="228">
        <f>ExBA!E58</f>
        <v>8.08</v>
      </c>
      <c r="G22" s="223" t="s">
        <v>207</v>
      </c>
      <c r="H22" s="1"/>
      <c r="I22" s="21" t="s">
        <v>206</v>
      </c>
      <c r="J22" s="227">
        <f t="shared" si="3"/>
        <v>20000</v>
      </c>
      <c r="K22" s="1" t="s">
        <v>204</v>
      </c>
      <c r="L22" s="228">
        <f>PrBA!E58</f>
        <v>9.9651075859080667</v>
      </c>
      <c r="M22" s="223" t="s">
        <v>207</v>
      </c>
      <c r="N22" s="229">
        <f t="shared" si="4"/>
        <v>1.8851075859080666</v>
      </c>
      <c r="O22" s="230">
        <f t="shared" si="5"/>
        <v>0.2333053942955528</v>
      </c>
    </row>
    <row r="23" spans="2:18" ht="15" customHeight="1" outlineLevel="1" x14ac:dyDescent="0.25">
      <c r="B23" s="49"/>
      <c r="C23" s="227"/>
      <c r="D23" s="1"/>
      <c r="E23" s="1"/>
      <c r="F23" s="1"/>
      <c r="G23" s="223"/>
      <c r="H23" s="1"/>
      <c r="I23" s="227"/>
      <c r="J23" s="1"/>
      <c r="K23" s="1"/>
      <c r="L23" s="1"/>
      <c r="M23" s="223"/>
      <c r="N23" s="49"/>
      <c r="O23" s="223"/>
    </row>
    <row r="24" spans="2:18" ht="15" customHeight="1" outlineLevel="1" x14ac:dyDescent="0.25">
      <c r="B24" s="49"/>
      <c r="C24" s="226" t="s">
        <v>211</v>
      </c>
      <c r="D24" s="1"/>
      <c r="E24" s="1"/>
      <c r="F24" s="1"/>
      <c r="G24" s="223"/>
      <c r="H24" s="1"/>
      <c r="I24" s="226" t="str">
        <f>C24</f>
        <v>1 1/2" Meters</v>
      </c>
      <c r="J24" s="1"/>
      <c r="K24" s="1"/>
      <c r="L24" s="1"/>
      <c r="M24" s="223"/>
      <c r="N24" s="49"/>
      <c r="O24" s="223"/>
    </row>
    <row r="25" spans="2:18" x14ac:dyDescent="0.25">
      <c r="B25" s="49"/>
      <c r="C25" s="21" t="s">
        <v>203</v>
      </c>
      <c r="D25" s="227">
        <f>ExBA!B64</f>
        <v>10000</v>
      </c>
      <c r="E25" s="1" t="s">
        <v>204</v>
      </c>
      <c r="F25" s="228">
        <f>ExBA!E71</f>
        <v>96.71</v>
      </c>
      <c r="G25" s="223" t="s">
        <v>205</v>
      </c>
      <c r="H25" s="1"/>
      <c r="I25" s="21" t="s">
        <v>203</v>
      </c>
      <c r="J25" s="227">
        <f>D25</f>
        <v>10000</v>
      </c>
      <c r="K25" s="1" t="s">
        <v>204</v>
      </c>
      <c r="L25" s="228">
        <f>PrBA!E71</f>
        <v>119.27296468232289</v>
      </c>
      <c r="M25" s="223" t="s">
        <v>205</v>
      </c>
      <c r="N25" s="229">
        <f t="shared" ref="N25:N27" si="6">L25-F25</f>
        <v>22.5629646823229</v>
      </c>
      <c r="O25" s="230">
        <f t="shared" ref="O25:O27" si="7">N25/F25</f>
        <v>0.23330539429555269</v>
      </c>
      <c r="R25" s="232"/>
    </row>
    <row r="26" spans="2:18" x14ac:dyDescent="0.25">
      <c r="B26" s="49"/>
      <c r="C26" s="21" t="s">
        <v>206</v>
      </c>
      <c r="D26" s="227">
        <f>ExBA!B65</f>
        <v>10000</v>
      </c>
      <c r="E26" s="1" t="s">
        <v>204</v>
      </c>
      <c r="F26" s="228">
        <f>ExBA!E72</f>
        <v>8.58</v>
      </c>
      <c r="G26" s="223" t="s">
        <v>207</v>
      </c>
      <c r="H26" s="1"/>
      <c r="I26" s="21" t="s">
        <v>206</v>
      </c>
      <c r="J26" s="227">
        <f t="shared" ref="J26:J27" si="8">D26</f>
        <v>10000</v>
      </c>
      <c r="K26" s="1" t="s">
        <v>204</v>
      </c>
      <c r="L26" s="228">
        <f>PrBA!E72</f>
        <v>10.581760283055843</v>
      </c>
      <c r="M26" s="223" t="s">
        <v>207</v>
      </c>
      <c r="N26" s="229">
        <f t="shared" si="6"/>
        <v>2.0017602830558427</v>
      </c>
      <c r="O26" s="230">
        <f t="shared" si="7"/>
        <v>0.23330539429555278</v>
      </c>
      <c r="R26" s="232"/>
    </row>
    <row r="27" spans="2:18" x14ac:dyDescent="0.25">
      <c r="B27" s="49"/>
      <c r="C27" s="21" t="s">
        <v>208</v>
      </c>
      <c r="D27" s="227">
        <f>ExBA!B66</f>
        <v>20000</v>
      </c>
      <c r="E27" s="1" t="s">
        <v>204</v>
      </c>
      <c r="F27" s="228">
        <f>ExBA!E73</f>
        <v>8.08</v>
      </c>
      <c r="G27" s="223" t="s">
        <v>207</v>
      </c>
      <c r="H27" s="1"/>
      <c r="I27" s="21" t="s">
        <v>208</v>
      </c>
      <c r="J27" s="227">
        <f t="shared" si="8"/>
        <v>20000</v>
      </c>
      <c r="K27" s="1" t="s">
        <v>204</v>
      </c>
      <c r="L27" s="228">
        <f>PrBA!E73</f>
        <v>9.9651075859080667</v>
      </c>
      <c r="M27" s="223" t="s">
        <v>207</v>
      </c>
      <c r="N27" s="229">
        <f t="shared" si="6"/>
        <v>1.8851075859080666</v>
      </c>
      <c r="O27" s="230">
        <f t="shared" si="7"/>
        <v>0.2333053942955528</v>
      </c>
      <c r="R27" s="232"/>
    </row>
    <row r="28" spans="2:18" x14ac:dyDescent="0.25">
      <c r="B28" s="49"/>
      <c r="C28" s="227"/>
      <c r="D28" s="1"/>
      <c r="E28" s="1"/>
      <c r="F28" s="1"/>
      <c r="G28" s="223"/>
      <c r="H28" s="1"/>
      <c r="I28" s="227"/>
      <c r="J28" s="1"/>
      <c r="K28" s="1"/>
      <c r="L28" s="1"/>
      <c r="M28" s="223"/>
      <c r="N28" s="49"/>
      <c r="O28" s="223"/>
    </row>
    <row r="29" spans="2:18" x14ac:dyDescent="0.25">
      <c r="B29" s="49"/>
      <c r="C29" s="226" t="s">
        <v>209</v>
      </c>
      <c r="D29" s="1"/>
      <c r="E29" s="1"/>
      <c r="F29" s="1"/>
      <c r="G29" s="223"/>
      <c r="H29" s="1"/>
      <c r="I29" s="226" t="str">
        <f>C29</f>
        <v>2" Meters</v>
      </c>
      <c r="J29" s="1"/>
      <c r="K29" s="1"/>
      <c r="L29" s="1"/>
      <c r="M29" s="223"/>
      <c r="N29" s="49"/>
      <c r="O29" s="223"/>
    </row>
    <row r="30" spans="2:18" x14ac:dyDescent="0.25">
      <c r="B30" s="49"/>
      <c r="C30" s="21" t="s">
        <v>203</v>
      </c>
      <c r="D30" s="227">
        <f>ExBA!B86</f>
        <v>20000</v>
      </c>
      <c r="E30" s="1" t="s">
        <v>204</v>
      </c>
      <c r="F30" s="228">
        <f>ExBA!E86</f>
        <v>182.51</v>
      </c>
      <c r="G30" s="223" t="s">
        <v>205</v>
      </c>
      <c r="H30" s="1"/>
      <c r="I30" s="21" t="s">
        <v>203</v>
      </c>
      <c r="J30" s="227">
        <f>D30</f>
        <v>20000</v>
      </c>
      <c r="K30" s="1" t="s">
        <v>204</v>
      </c>
      <c r="L30" s="228">
        <f>PrBA!E86</f>
        <v>225.09056751288131</v>
      </c>
      <c r="M30" s="223" t="s">
        <v>205</v>
      </c>
      <c r="N30" s="229">
        <f t="shared" ref="N30:N31" si="9">L30-F30</f>
        <v>42.580567512881316</v>
      </c>
      <c r="O30" s="230">
        <f t="shared" ref="O30:O31" si="10">N30/F30</f>
        <v>0.23330539429555266</v>
      </c>
    </row>
    <row r="31" spans="2:18" x14ac:dyDescent="0.25">
      <c r="B31" s="49"/>
      <c r="C31" s="21" t="s">
        <v>208</v>
      </c>
      <c r="D31" s="227">
        <f>ExBA!B87</f>
        <v>20000</v>
      </c>
      <c r="E31" s="1" t="s">
        <v>204</v>
      </c>
      <c r="F31" s="228">
        <f>ExBA!E87</f>
        <v>8.08</v>
      </c>
      <c r="G31" s="223" t="s">
        <v>207</v>
      </c>
      <c r="H31" s="1"/>
      <c r="I31" s="21" t="s">
        <v>208</v>
      </c>
      <c r="J31" s="227">
        <f>D31</f>
        <v>20000</v>
      </c>
      <c r="K31" s="1" t="s">
        <v>204</v>
      </c>
      <c r="L31" s="228">
        <f>PrBA!E87</f>
        <v>9.9651075859080667</v>
      </c>
      <c r="M31" s="223" t="s">
        <v>207</v>
      </c>
      <c r="N31" s="229">
        <f t="shared" si="9"/>
        <v>1.8851075859080666</v>
      </c>
      <c r="O31" s="230">
        <f t="shared" si="10"/>
        <v>0.2333053942955528</v>
      </c>
    </row>
    <row r="32" spans="2:18" x14ac:dyDescent="0.25">
      <c r="B32" s="49"/>
      <c r="C32" s="227"/>
      <c r="D32" s="1"/>
      <c r="E32" s="1"/>
      <c r="F32" s="1"/>
      <c r="G32" s="223"/>
      <c r="H32" s="1"/>
      <c r="I32" s="227"/>
      <c r="J32" s="1"/>
      <c r="K32" s="1"/>
      <c r="L32" s="1"/>
      <c r="M32" s="223"/>
      <c r="N32" s="49"/>
      <c r="O32" s="223"/>
    </row>
    <row r="33" spans="2:21" x14ac:dyDescent="0.25">
      <c r="B33" s="49"/>
      <c r="C33" s="227"/>
      <c r="D33" s="1"/>
      <c r="E33" s="1"/>
      <c r="F33" s="1"/>
      <c r="G33" s="223"/>
      <c r="H33" s="1"/>
      <c r="I33" s="227"/>
      <c r="J33" s="1"/>
      <c r="K33" s="1"/>
      <c r="L33" s="1"/>
      <c r="M33" s="223"/>
      <c r="N33" s="49"/>
      <c r="O33" s="223"/>
    </row>
    <row r="34" spans="2:21" x14ac:dyDescent="0.25">
      <c r="B34" s="49"/>
      <c r="C34" s="226" t="s">
        <v>212</v>
      </c>
      <c r="D34" s="1"/>
      <c r="E34" s="1"/>
      <c r="F34" s="1"/>
      <c r="G34" s="223"/>
      <c r="H34" s="1"/>
      <c r="I34" s="226" t="str">
        <f>C34</f>
        <v>4" Meters</v>
      </c>
      <c r="J34" s="1"/>
      <c r="K34" s="1"/>
      <c r="L34" s="1"/>
      <c r="M34" s="223"/>
      <c r="N34" s="49"/>
      <c r="O34" s="223"/>
    </row>
    <row r="35" spans="2:21" x14ac:dyDescent="0.25">
      <c r="B35" s="49"/>
      <c r="C35" s="21" t="s">
        <v>203</v>
      </c>
      <c r="D35" s="227">
        <f>ExBA!B113</f>
        <v>50000</v>
      </c>
      <c r="E35" s="1" t="s">
        <v>204</v>
      </c>
      <c r="F35" s="228">
        <f>ExBA!E113</f>
        <v>424.91</v>
      </c>
      <c r="G35" s="223" t="s">
        <v>205</v>
      </c>
      <c r="H35" s="1"/>
      <c r="I35" s="21" t="s">
        <v>203</v>
      </c>
      <c r="J35" s="227">
        <f>D35</f>
        <v>50000</v>
      </c>
      <c r="K35" s="1" t="s">
        <v>204</v>
      </c>
      <c r="L35" s="228">
        <f>PrBA!E113</f>
        <v>524.04379509012335</v>
      </c>
      <c r="M35" s="223" t="s">
        <v>205</v>
      </c>
      <c r="N35" s="229">
        <f t="shared" ref="N35:N36" si="11">L35-F35</f>
        <v>99.133795090123328</v>
      </c>
      <c r="O35" s="230">
        <f t="shared" ref="O35:O36" si="12">N35/F35</f>
        <v>0.23330539429555275</v>
      </c>
      <c r="P35" s="231"/>
      <c r="R35" s="231"/>
    </row>
    <row r="36" spans="2:21" x14ac:dyDescent="0.25">
      <c r="B36" s="49"/>
      <c r="C36" s="21" t="s">
        <v>208</v>
      </c>
      <c r="D36" s="227">
        <f>ExBA!B114</f>
        <v>50000</v>
      </c>
      <c r="E36" s="1" t="s">
        <v>204</v>
      </c>
      <c r="F36" s="228">
        <f>ExBA!E114</f>
        <v>8.08</v>
      </c>
      <c r="G36" s="223" t="s">
        <v>207</v>
      </c>
      <c r="H36" s="1"/>
      <c r="I36" s="21" t="s">
        <v>208</v>
      </c>
      <c r="J36" s="227">
        <f>D36</f>
        <v>50000</v>
      </c>
      <c r="K36" s="1" t="s">
        <v>204</v>
      </c>
      <c r="L36" s="228">
        <f>PrBA!E114</f>
        <v>9.9651075859080667</v>
      </c>
      <c r="M36" s="223" t="s">
        <v>207</v>
      </c>
      <c r="N36" s="229">
        <f t="shared" si="11"/>
        <v>1.8851075859080666</v>
      </c>
      <c r="O36" s="230">
        <f t="shared" si="12"/>
        <v>0.2333053942955528</v>
      </c>
      <c r="R36" s="232"/>
    </row>
    <row r="37" spans="2:21" x14ac:dyDescent="0.25">
      <c r="B37" s="129"/>
      <c r="C37" s="233"/>
      <c r="D37" s="214"/>
      <c r="E37" s="214"/>
      <c r="F37" s="214"/>
      <c r="G37" s="222"/>
      <c r="H37" s="214"/>
      <c r="I37" s="214"/>
      <c r="J37" s="214"/>
      <c r="K37" s="214"/>
      <c r="L37" s="214"/>
      <c r="M37" s="222"/>
      <c r="N37" s="129"/>
      <c r="O37" s="222"/>
    </row>
    <row r="38" spans="2:21" x14ac:dyDescent="0.25">
      <c r="C38" s="234"/>
    </row>
    <row r="39" spans="2:21" x14ac:dyDescent="0.25">
      <c r="C39" s="234"/>
      <c r="Q39" s="1"/>
      <c r="R39" s="1"/>
      <c r="S39" s="235"/>
      <c r="T39" s="235"/>
      <c r="U39" s="235"/>
    </row>
    <row r="40" spans="2:21" x14ac:dyDescent="0.25">
      <c r="C40" s="234"/>
      <c r="Q40" s="236"/>
      <c r="R40" s="1"/>
      <c r="S40" s="160"/>
      <c r="T40" s="160"/>
      <c r="U40" s="237"/>
    </row>
    <row r="41" spans="2:21" x14ac:dyDescent="0.25">
      <c r="C41" s="234"/>
      <c r="Q41" s="236"/>
      <c r="R41" s="1"/>
      <c r="S41" s="238"/>
      <c r="T41" s="238"/>
      <c r="U41" s="237"/>
    </row>
    <row r="42" spans="2:21" x14ac:dyDescent="0.25">
      <c r="C42" s="234"/>
      <c r="Q42" s="236"/>
      <c r="R42" s="1"/>
      <c r="S42" s="238"/>
      <c r="T42" s="238"/>
      <c r="U42" s="237"/>
    </row>
    <row r="43" spans="2:21" x14ac:dyDescent="0.25">
      <c r="P43" s="234"/>
      <c r="Q43" s="236"/>
      <c r="R43" s="1"/>
      <c r="S43" s="238"/>
      <c r="T43" s="238"/>
      <c r="U43" s="237"/>
    </row>
  </sheetData>
  <mergeCells count="7">
    <mergeCell ref="C5:O5"/>
    <mergeCell ref="C6:O6"/>
    <mergeCell ref="C9:G9"/>
    <mergeCell ref="I9:M9"/>
    <mergeCell ref="B2:O2"/>
    <mergeCell ref="C3:O3"/>
    <mergeCell ref="C4:O4"/>
  </mergeCells>
  <printOptions horizontalCentered="1"/>
  <pageMargins left="0.55000000000000004" right="0.55000000000000004" top="1.6" bottom="0.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5193-1CE7-4A5C-A21E-88D5B6230AB5}">
  <sheetPr>
    <pageSetUpPr fitToPage="1"/>
  </sheetPr>
  <dimension ref="B1:K15"/>
  <sheetViews>
    <sheetView showGridLines="0" workbookViewId="0">
      <selection activeCell="B1" sqref="B1:I13"/>
    </sheetView>
  </sheetViews>
  <sheetFormatPr defaultColWidth="8.88671875" defaultRowHeight="15" x14ac:dyDescent="0.25"/>
  <cols>
    <col min="1" max="1" width="9" style="7" customWidth="1"/>
    <col min="2" max="2" width="1.77734375" style="7" customWidth="1"/>
    <col min="3" max="4" width="9.77734375" style="7" customWidth="1"/>
    <col min="5" max="5" width="12" style="7" customWidth="1"/>
    <col min="6" max="8" width="9.77734375" style="7" customWidth="1"/>
    <col min="9" max="9" width="1.77734375" style="7" customWidth="1"/>
    <col min="10" max="16384" width="8.88671875" style="7"/>
  </cols>
  <sheetData>
    <row r="1" spans="2:11" x14ac:dyDescent="0.25">
      <c r="B1" s="8"/>
      <c r="C1" s="9"/>
      <c r="D1" s="9"/>
      <c r="E1" s="9"/>
      <c r="F1" s="9"/>
      <c r="G1" s="9"/>
      <c r="H1" s="9"/>
      <c r="I1" s="10"/>
    </row>
    <row r="2" spans="2:11" ht="18.75" x14ac:dyDescent="0.3">
      <c r="B2" s="11"/>
      <c r="C2" s="262" t="s">
        <v>147</v>
      </c>
      <c r="D2" s="262"/>
      <c r="E2" s="262"/>
      <c r="F2" s="262"/>
      <c r="G2" s="262"/>
      <c r="H2" s="262"/>
      <c r="I2" s="263"/>
    </row>
    <row r="3" spans="2:11" ht="15.75" x14ac:dyDescent="0.25">
      <c r="B3" s="11"/>
      <c r="C3" s="250" t="s">
        <v>213</v>
      </c>
      <c r="D3" s="250"/>
      <c r="E3" s="250"/>
      <c r="F3" s="250"/>
      <c r="G3" s="250"/>
      <c r="H3" s="250"/>
      <c r="I3" s="264"/>
    </row>
    <row r="4" spans="2:11" x14ac:dyDescent="0.25">
      <c r="B4" s="13"/>
      <c r="C4" s="5"/>
      <c r="D4" s="5"/>
      <c r="E4" s="5"/>
      <c r="F4" s="5"/>
      <c r="G4" s="5"/>
      <c r="H4" s="5"/>
      <c r="I4" s="14"/>
    </row>
    <row r="5" spans="2:11" ht="6" customHeight="1" x14ac:dyDescent="0.25">
      <c r="B5" s="11"/>
      <c r="C5" s="6"/>
      <c r="D5" s="12"/>
      <c r="E5" s="33"/>
      <c r="F5" s="34"/>
      <c r="G5" s="34"/>
      <c r="H5" s="34"/>
      <c r="I5" s="35"/>
      <c r="J5" s="32"/>
      <c r="K5" s="32"/>
    </row>
    <row r="6" spans="2:11" ht="17.25" x14ac:dyDescent="0.4">
      <c r="B6" s="11"/>
      <c r="C6" s="15" t="s">
        <v>13</v>
      </c>
      <c r="D6" s="31" t="s">
        <v>62</v>
      </c>
      <c r="E6" s="36" t="s">
        <v>23</v>
      </c>
      <c r="F6" s="15" t="s">
        <v>11</v>
      </c>
      <c r="G6" s="15"/>
      <c r="H6" s="15"/>
      <c r="I6" s="31"/>
    </row>
    <row r="7" spans="2:11" ht="17.25" x14ac:dyDescent="0.4">
      <c r="B7" s="11"/>
      <c r="C7" s="15" t="s">
        <v>219</v>
      </c>
      <c r="D7" s="31" t="s">
        <v>66</v>
      </c>
      <c r="E7" s="36" t="s">
        <v>64</v>
      </c>
      <c r="F7" s="15" t="s">
        <v>64</v>
      </c>
      <c r="G7" s="15" t="s">
        <v>24</v>
      </c>
      <c r="H7" s="15" t="s">
        <v>65</v>
      </c>
      <c r="I7" s="31"/>
    </row>
    <row r="8" spans="2:11" x14ac:dyDescent="0.25">
      <c r="B8" s="11"/>
      <c r="C8" s="239">
        <v>4000</v>
      </c>
      <c r="D8" s="240" t="s">
        <v>67</v>
      </c>
      <c r="E8" s="241">
        <f>Rates!F12+Rates!F13+Rates!F13</f>
        <v>42.29</v>
      </c>
      <c r="F8" s="241">
        <f>Rates!L12+Rates!L13+Rates!L13</f>
        <v>52.156485124758923</v>
      </c>
      <c r="G8" s="242">
        <f t="shared" ref="G8:G12" si="0">F8-E8</f>
        <v>9.866485124758924</v>
      </c>
      <c r="H8" s="243">
        <f t="shared" ref="H8:H12" si="1">G8/E8</f>
        <v>0.23330539429555272</v>
      </c>
      <c r="I8" s="244"/>
    </row>
    <row r="9" spans="2:11" x14ac:dyDescent="0.25">
      <c r="B9" s="11"/>
      <c r="C9" s="6">
        <v>4000</v>
      </c>
      <c r="D9" s="37" t="s">
        <v>215</v>
      </c>
      <c r="E9" s="27">
        <f>Rates!F19</f>
        <v>42.28</v>
      </c>
      <c r="F9" s="27">
        <f>Rates!L19</f>
        <v>52.14415207081597</v>
      </c>
      <c r="G9" s="16">
        <f t="shared" si="0"/>
        <v>9.8641520708159689</v>
      </c>
      <c r="H9" s="71">
        <f t="shared" si="1"/>
        <v>0.23330539429555272</v>
      </c>
      <c r="I9" s="40"/>
    </row>
    <row r="10" spans="2:11" x14ac:dyDescent="0.25">
      <c r="B10" s="11"/>
      <c r="C10" s="6">
        <v>20000</v>
      </c>
      <c r="D10" s="37" t="s">
        <v>216</v>
      </c>
      <c r="E10" s="27">
        <f>Rates!F25+(Rates!F26*10)</f>
        <v>182.51</v>
      </c>
      <c r="F10" s="27">
        <f>Rates!L25+(Rates!L26*10)</f>
        <v>225.09056751288131</v>
      </c>
      <c r="G10" s="16">
        <f t="shared" si="0"/>
        <v>42.580567512881316</v>
      </c>
      <c r="H10" s="71">
        <f t="shared" si="1"/>
        <v>0.23330539429555266</v>
      </c>
      <c r="I10" s="40"/>
    </row>
    <row r="11" spans="2:11" x14ac:dyDescent="0.25">
      <c r="B11" s="11"/>
      <c r="C11" s="6">
        <v>20000</v>
      </c>
      <c r="D11" s="37" t="s">
        <v>217</v>
      </c>
      <c r="E11" s="27">
        <f>Rates!F30</f>
        <v>182.51</v>
      </c>
      <c r="F11" s="27">
        <f>Rates!L30</f>
        <v>225.09056751288131</v>
      </c>
      <c r="G11" s="16">
        <f t="shared" si="0"/>
        <v>42.580567512881316</v>
      </c>
      <c r="H11" s="71">
        <f t="shared" si="1"/>
        <v>0.23330539429555266</v>
      </c>
      <c r="I11" s="40"/>
    </row>
    <row r="12" spans="2:11" x14ac:dyDescent="0.25">
      <c r="B12" s="11"/>
      <c r="C12" s="6">
        <v>50000</v>
      </c>
      <c r="D12" s="37" t="s">
        <v>218</v>
      </c>
      <c r="E12" s="27">
        <f>Rates!F35</f>
        <v>424.91</v>
      </c>
      <c r="F12" s="27">
        <f>Rates!L35</f>
        <v>524.04379509012335</v>
      </c>
      <c r="G12" s="16">
        <f t="shared" si="0"/>
        <v>99.133795090123328</v>
      </c>
      <c r="H12" s="71">
        <f t="shared" si="1"/>
        <v>0.23330539429555275</v>
      </c>
      <c r="I12" s="40"/>
    </row>
    <row r="13" spans="2:11" ht="6" customHeight="1" x14ac:dyDescent="0.25">
      <c r="B13" s="13"/>
      <c r="C13" s="5"/>
      <c r="D13" s="4"/>
      <c r="E13" s="39"/>
      <c r="F13" s="38"/>
      <c r="G13" s="38"/>
      <c r="H13" s="5"/>
      <c r="I13" s="14"/>
    </row>
    <row r="15" spans="2:11" x14ac:dyDescent="0.25">
      <c r="D15" s="48"/>
    </row>
  </sheetData>
  <mergeCells count="2">
    <mergeCell ref="C2:I2"/>
    <mergeCell ref="C3:I3"/>
  </mergeCells>
  <printOptions horizontalCentered="1"/>
  <pageMargins left="0.7" right="0.7" top="1.1000000000000001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9"/>
  <sheetViews>
    <sheetView showGridLines="0" workbookViewId="0">
      <selection activeCell="B1" sqref="B1:I19"/>
    </sheetView>
  </sheetViews>
  <sheetFormatPr defaultColWidth="8.88671875" defaultRowHeight="15" x14ac:dyDescent="0.25"/>
  <cols>
    <col min="1" max="1" width="9" style="7" customWidth="1"/>
    <col min="2" max="2" width="1.77734375" style="7" customWidth="1"/>
    <col min="3" max="4" width="9.77734375" style="7" customWidth="1"/>
    <col min="5" max="5" width="12" style="7" customWidth="1"/>
    <col min="6" max="8" width="9.77734375" style="7" customWidth="1"/>
    <col min="9" max="9" width="1.77734375" style="7" customWidth="1"/>
    <col min="10" max="16384" width="8.88671875" style="7"/>
  </cols>
  <sheetData>
    <row r="1" spans="2:11" x14ac:dyDescent="0.25">
      <c r="B1" s="8"/>
      <c r="C1" s="9"/>
      <c r="D1" s="9"/>
      <c r="E1" s="9"/>
      <c r="F1" s="9"/>
      <c r="G1" s="9"/>
      <c r="H1" s="9"/>
      <c r="I1" s="10"/>
    </row>
    <row r="2" spans="2:11" ht="18.75" x14ac:dyDescent="0.3">
      <c r="B2" s="11"/>
      <c r="C2" s="265" t="s">
        <v>196</v>
      </c>
      <c r="D2" s="265"/>
      <c r="E2" s="265"/>
      <c r="F2" s="265"/>
      <c r="G2" s="265"/>
      <c r="H2" s="265"/>
      <c r="I2" s="266"/>
    </row>
    <row r="3" spans="2:11" ht="18.75" x14ac:dyDescent="0.3">
      <c r="B3" s="11"/>
      <c r="C3" s="262" t="s">
        <v>147</v>
      </c>
      <c r="D3" s="262"/>
      <c r="E3" s="262"/>
      <c r="F3" s="262"/>
      <c r="G3" s="262"/>
      <c r="H3" s="262"/>
      <c r="I3" s="263"/>
    </row>
    <row r="4" spans="2:11" ht="15.75" x14ac:dyDescent="0.25">
      <c r="B4" s="11"/>
      <c r="C4" s="250" t="s">
        <v>213</v>
      </c>
      <c r="D4" s="250"/>
      <c r="E4" s="250"/>
      <c r="F4" s="250"/>
      <c r="G4" s="250"/>
      <c r="H4" s="250"/>
      <c r="I4" s="264"/>
    </row>
    <row r="5" spans="2:11" x14ac:dyDescent="0.25">
      <c r="B5" s="13"/>
      <c r="C5" s="5"/>
      <c r="D5" s="5"/>
      <c r="E5" s="5"/>
      <c r="F5" s="5"/>
      <c r="G5" s="5"/>
      <c r="H5" s="5"/>
      <c r="I5" s="14"/>
    </row>
    <row r="6" spans="2:11" ht="6" customHeight="1" x14ac:dyDescent="0.25">
      <c r="B6" s="11"/>
      <c r="C6" s="6"/>
      <c r="D6" s="12"/>
      <c r="E6" s="33"/>
      <c r="F6" s="34"/>
      <c r="G6" s="34"/>
      <c r="H6" s="34"/>
      <c r="I6" s="35"/>
      <c r="J6" s="32"/>
      <c r="K6" s="32"/>
    </row>
    <row r="7" spans="2:11" ht="17.25" x14ac:dyDescent="0.4">
      <c r="B7" s="11"/>
      <c r="C7" s="15" t="s">
        <v>13</v>
      </c>
      <c r="D7" s="31" t="s">
        <v>62</v>
      </c>
      <c r="E7" s="36" t="s">
        <v>23</v>
      </c>
      <c r="F7" s="15" t="s">
        <v>11</v>
      </c>
      <c r="G7" s="15"/>
      <c r="H7" s="15"/>
      <c r="I7" s="31"/>
    </row>
    <row r="8" spans="2:11" ht="17.25" x14ac:dyDescent="0.4">
      <c r="B8" s="11"/>
      <c r="C8" s="15" t="s">
        <v>69</v>
      </c>
      <c r="D8" s="31" t="s">
        <v>66</v>
      </c>
      <c r="E8" s="36" t="s">
        <v>64</v>
      </c>
      <c r="F8" s="15" t="s">
        <v>64</v>
      </c>
      <c r="G8" s="15" t="s">
        <v>24</v>
      </c>
      <c r="H8" s="15" t="s">
        <v>65</v>
      </c>
      <c r="I8" s="31"/>
    </row>
    <row r="9" spans="2:11" x14ac:dyDescent="0.25">
      <c r="B9" s="11"/>
      <c r="C9" s="16">
        <v>0</v>
      </c>
      <c r="D9" s="37" t="s">
        <v>67</v>
      </c>
      <c r="E9" s="27">
        <f>Rates!F12</f>
        <v>23.15</v>
      </c>
      <c r="F9" s="16">
        <f>Rates!L12</f>
        <v>28.551019877942043</v>
      </c>
      <c r="G9" s="47">
        <f>F9-E9</f>
        <v>5.4010198779420442</v>
      </c>
      <c r="H9" s="71">
        <f>G9/E9</f>
        <v>0.23330539429555269</v>
      </c>
      <c r="I9" s="40"/>
    </row>
    <row r="10" spans="2:11" x14ac:dyDescent="0.25">
      <c r="B10" s="11"/>
      <c r="C10" s="6">
        <v>2000</v>
      </c>
      <c r="D10" s="37" t="s">
        <v>67</v>
      </c>
      <c r="E10" s="27">
        <f>Rates!F12</f>
        <v>23.15</v>
      </c>
      <c r="F10" s="27">
        <f>F9</f>
        <v>28.551019877942043</v>
      </c>
      <c r="G10" s="16">
        <f t="shared" ref="G10:G16" si="0">F10-E10</f>
        <v>5.4010198779420442</v>
      </c>
      <c r="H10" s="71">
        <f t="shared" ref="H10:H16" si="1">G10/E10</f>
        <v>0.23330539429555269</v>
      </c>
      <c r="I10" s="40"/>
    </row>
    <row r="11" spans="2:11" x14ac:dyDescent="0.25">
      <c r="B11" s="11"/>
      <c r="C11" s="41">
        <v>4000</v>
      </c>
      <c r="D11" s="42" t="s">
        <v>67</v>
      </c>
      <c r="E11" s="192">
        <f>Rates!F12+Rates!F13+Rates!F13</f>
        <v>42.29</v>
      </c>
      <c r="F11" s="192">
        <f>Rates!L12+Rates!L13+Rates!L13</f>
        <v>52.156485124758923</v>
      </c>
      <c r="G11" s="43">
        <f t="shared" si="0"/>
        <v>9.866485124758924</v>
      </c>
      <c r="H11" s="72">
        <f t="shared" si="1"/>
        <v>0.23330539429555272</v>
      </c>
      <c r="I11" s="44"/>
    </row>
    <row r="12" spans="2:11" x14ac:dyDescent="0.25">
      <c r="B12" s="11"/>
      <c r="C12" s="6">
        <v>6000</v>
      </c>
      <c r="D12" s="37" t="s">
        <v>67</v>
      </c>
      <c r="E12" s="27">
        <f>E11+Rates!F14+Rates!F14</f>
        <v>60.43</v>
      </c>
      <c r="F12" s="27">
        <f>F11+Rates!L14+Rates!L14</f>
        <v>74.528644977280251</v>
      </c>
      <c r="G12" s="16">
        <f t="shared" si="0"/>
        <v>14.098644977280252</v>
      </c>
      <c r="H12" s="71">
        <f t="shared" si="1"/>
        <v>0.23330539429555272</v>
      </c>
      <c r="I12" s="40"/>
    </row>
    <row r="13" spans="2:11" x14ac:dyDescent="0.25">
      <c r="B13" s="11"/>
      <c r="C13" s="6">
        <v>8000</v>
      </c>
      <c r="D13" s="37" t="s">
        <v>67</v>
      </c>
      <c r="E13" s="27">
        <f>E11+(Rates!F14*4)</f>
        <v>78.569999999999993</v>
      </c>
      <c r="F13" s="27">
        <f>F11+(Rates!L14*4)</f>
        <v>96.900804829801586</v>
      </c>
      <c r="G13" s="16">
        <f t="shared" si="0"/>
        <v>18.330804829801593</v>
      </c>
      <c r="H13" s="71">
        <f t="shared" si="1"/>
        <v>0.23330539429555294</v>
      </c>
      <c r="I13" s="40"/>
    </row>
    <row r="14" spans="2:11" x14ac:dyDescent="0.25">
      <c r="B14" s="11"/>
      <c r="C14" s="6">
        <v>10000</v>
      </c>
      <c r="D14" s="37" t="s">
        <v>67</v>
      </c>
      <c r="E14" s="27">
        <f>E11+(Rates!F14*6)</f>
        <v>96.710000000000008</v>
      </c>
      <c r="F14" s="27">
        <f>F11+(Rates!L14*6)</f>
        <v>119.27296468232291</v>
      </c>
      <c r="G14" s="16">
        <f t="shared" si="0"/>
        <v>22.5629646823229</v>
      </c>
      <c r="H14" s="71">
        <f t="shared" si="1"/>
        <v>0.23330539429555266</v>
      </c>
      <c r="I14" s="40"/>
    </row>
    <row r="15" spans="2:11" x14ac:dyDescent="0.25">
      <c r="B15" s="11"/>
      <c r="C15" s="6">
        <v>15000</v>
      </c>
      <c r="D15" s="37" t="s">
        <v>67</v>
      </c>
      <c r="E15" s="27">
        <f>E14+(Rates!F15*5)</f>
        <v>139.61000000000001</v>
      </c>
      <c r="F15" s="27">
        <f>F14+(Rates!L15*5)</f>
        <v>172.18176609760212</v>
      </c>
      <c r="G15" s="16">
        <f t="shared" si="0"/>
        <v>32.571766097602108</v>
      </c>
      <c r="H15" s="71">
        <f t="shared" si="1"/>
        <v>0.23330539429555264</v>
      </c>
      <c r="I15" s="40"/>
    </row>
    <row r="16" spans="2:11" x14ac:dyDescent="0.25">
      <c r="B16" s="11"/>
      <c r="C16" s="6">
        <v>20000</v>
      </c>
      <c r="D16" s="37" t="s">
        <v>67</v>
      </c>
      <c r="E16" s="27">
        <f>E14+(Rates!F15*10)</f>
        <v>182.51</v>
      </c>
      <c r="F16" s="27">
        <f>F14+(Rates!L15*10)</f>
        <v>225.09056751288134</v>
      </c>
      <c r="G16" s="16">
        <f t="shared" si="0"/>
        <v>42.580567512881345</v>
      </c>
      <c r="H16" s="71">
        <f t="shared" si="1"/>
        <v>0.23330539429555283</v>
      </c>
      <c r="I16" s="40"/>
    </row>
    <row r="17" spans="2:9" ht="6" customHeight="1" x14ac:dyDescent="0.25">
      <c r="B17" s="13"/>
      <c r="C17" s="5"/>
      <c r="D17" s="4"/>
      <c r="E17" s="39"/>
      <c r="F17" s="38"/>
      <c r="G17" s="38"/>
      <c r="H17" s="5"/>
      <c r="I17" s="14"/>
    </row>
    <row r="19" spans="2:9" x14ac:dyDescent="0.25">
      <c r="D19" s="48" t="s">
        <v>70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SAO</vt:lpstr>
      <vt:lpstr>AR to ATB</vt:lpstr>
      <vt:lpstr>Debt Service</vt:lpstr>
      <vt:lpstr>Depreciation</vt:lpstr>
      <vt:lpstr>Capital</vt:lpstr>
      <vt:lpstr>Purchased Water</vt:lpstr>
      <vt:lpstr>Rates</vt:lpstr>
      <vt:lpstr>Meter Size CN</vt:lpstr>
      <vt:lpstr>Bills</vt:lpstr>
      <vt:lpstr>ExBA</vt:lpstr>
      <vt:lpstr>PrBA</vt:lpstr>
      <vt:lpstr>Bills!Print_Area</vt:lpstr>
      <vt:lpstr>'Debt Service'!Print_Area</vt:lpstr>
      <vt:lpstr>Depreciation!Print_Area</vt:lpstr>
      <vt:lpstr>ExBA!Print_Area</vt:lpstr>
      <vt:lpstr>'Meter Size CN'!Print_Area</vt:lpstr>
      <vt:lpstr>PrBA!Print_Area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Ariel Miller</cp:lastModifiedBy>
  <cp:lastPrinted>2024-01-29T15:40:15Z</cp:lastPrinted>
  <dcterms:created xsi:type="dcterms:W3CDTF">2016-05-18T14:12:06Z</dcterms:created>
  <dcterms:modified xsi:type="dcterms:W3CDTF">2024-04-04T21:35:03Z</dcterms:modified>
</cp:coreProperties>
</file>