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etorgft12909696-my.sharepoint.com/personal/ariel_miller_clearwatercky_com/Documents/Nebo Water District/Response to RFI1/"/>
    </mc:Choice>
  </mc:AlternateContent>
  <xr:revisionPtr revIDLastSave="99" documentId="13_ncr:1_{DF960738-0D01-43DD-BEDB-34A303B34D85}" xr6:coauthVersionLast="47" xr6:coauthVersionMax="47" xr10:uidLastSave="{E7EFF9DA-F5AD-4C78-B8BD-AEBE40F416AC}"/>
  <bookViews>
    <workbookView xWindow="38280" yWindow="-120" windowWidth="29040" windowHeight="15720" xr2:uid="{6FCB21D9-A346-443C-925A-26CB6EA5D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8" i="1" l="1"/>
  <c r="X27" i="1"/>
  <c r="X31" i="1" s="1"/>
  <c r="X25" i="1"/>
  <c r="W28" i="1"/>
  <c r="W27" i="1"/>
  <c r="W26" i="1"/>
  <c r="W25" i="1"/>
  <c r="W31" i="1" s="1"/>
  <c r="V31" i="1"/>
  <c r="T31" i="1"/>
  <c r="V28" i="1"/>
  <c r="V27" i="1"/>
  <c r="V26" i="1"/>
  <c r="V25" i="1"/>
  <c r="T25" i="1"/>
  <c r="T26" i="1"/>
  <c r="T28" i="1"/>
  <c r="T27" i="1"/>
  <c r="X6" i="1"/>
  <c r="X9" i="1"/>
  <c r="X12" i="1" s="1"/>
  <c r="X8" i="1"/>
  <c r="W9" i="1"/>
  <c r="W8" i="1"/>
  <c r="W7" i="1"/>
  <c r="W12" i="1" s="1"/>
  <c r="W6" i="1"/>
  <c r="T6" i="1"/>
  <c r="V9" i="1"/>
  <c r="V8" i="1"/>
  <c r="V7" i="1"/>
  <c r="V6" i="1"/>
  <c r="V12" i="1" s="1"/>
  <c r="T12" i="1"/>
  <c r="T7" i="1"/>
  <c r="T8" i="1"/>
  <c r="T9" i="1"/>
  <c r="Q35" i="1"/>
  <c r="N35" i="1"/>
  <c r="J35" i="1"/>
  <c r="H35" i="1"/>
  <c r="G35" i="1"/>
  <c r="P34" i="1"/>
  <c r="P33" i="1"/>
  <c r="P35" i="1" s="1"/>
  <c r="Q16" i="1"/>
  <c r="N16" i="1"/>
  <c r="J16" i="1"/>
  <c r="H16" i="1"/>
  <c r="G16" i="1"/>
  <c r="P15" i="1"/>
  <c r="P14" i="1"/>
  <c r="P16" i="1" s="1"/>
  <c r="Q31" i="1"/>
  <c r="Q36" i="1" s="1"/>
  <c r="E31" i="1"/>
  <c r="F31" i="1"/>
  <c r="G31" i="1"/>
  <c r="D31" i="1"/>
  <c r="D12" i="1"/>
  <c r="E12" i="1"/>
  <c r="F12" i="1"/>
  <c r="G12" i="1"/>
  <c r="O12" i="1"/>
  <c r="Q12" i="1"/>
  <c r="Q17" i="1" s="1"/>
  <c r="R4" i="1"/>
  <c r="R5" i="1"/>
  <c r="R3" i="1"/>
  <c r="N27" i="1"/>
  <c r="L27" i="1"/>
  <c r="H27" i="1"/>
  <c r="N26" i="1"/>
  <c r="L26" i="1"/>
  <c r="J26" i="1"/>
  <c r="H26" i="1"/>
  <c r="R23" i="1"/>
  <c r="R24" i="1"/>
  <c r="R22" i="1"/>
  <c r="J27" i="1"/>
  <c r="J28" i="1"/>
  <c r="J29" i="1"/>
  <c r="J25" i="1"/>
  <c r="J31" i="1" s="1"/>
  <c r="M29" i="1"/>
  <c r="N29" i="1" s="1"/>
  <c r="H29" i="1"/>
  <c r="M28" i="1"/>
  <c r="N28" i="1" s="1"/>
  <c r="H28" i="1"/>
  <c r="M27" i="1"/>
  <c r="M26" i="1"/>
  <c r="M25" i="1"/>
  <c r="N25" i="1" s="1"/>
  <c r="H25" i="1"/>
  <c r="M10" i="1"/>
  <c r="N10" i="1" s="1"/>
  <c r="L10" i="1"/>
  <c r="L12" i="1" s="1"/>
  <c r="J10" i="1"/>
  <c r="H10" i="1"/>
  <c r="M9" i="1"/>
  <c r="N9" i="1" s="1"/>
  <c r="J9" i="1"/>
  <c r="H9" i="1"/>
  <c r="M8" i="1"/>
  <c r="N8" i="1" s="1"/>
  <c r="J8" i="1"/>
  <c r="H8" i="1"/>
  <c r="M7" i="1"/>
  <c r="N7" i="1" s="1"/>
  <c r="J7" i="1"/>
  <c r="H7" i="1"/>
  <c r="M6" i="1"/>
  <c r="N6" i="1" s="1"/>
  <c r="J6" i="1"/>
  <c r="H6" i="1"/>
  <c r="H31" i="1" l="1"/>
  <c r="N12" i="1"/>
  <c r="N31" i="1"/>
  <c r="O31" i="1" s="1"/>
  <c r="J12" i="1"/>
  <c r="H12" i="1"/>
  <c r="P27" i="1"/>
  <c r="R27" i="1" s="1"/>
  <c r="P29" i="1"/>
  <c r="R29" i="1" s="1"/>
  <c r="P25" i="1"/>
  <c r="P9" i="1"/>
  <c r="R9" i="1" s="1"/>
  <c r="P28" i="1"/>
  <c r="R28" i="1" s="1"/>
  <c r="P26" i="1"/>
  <c r="R26" i="1" s="1"/>
  <c r="P6" i="1"/>
  <c r="P8" i="1"/>
  <c r="R8" i="1" s="1"/>
  <c r="P7" i="1"/>
  <c r="R7" i="1" s="1"/>
  <c r="P10" i="1"/>
  <c r="R10" i="1" s="1"/>
  <c r="R25" i="1"/>
  <c r="R31" i="1" l="1"/>
  <c r="R6" i="1"/>
  <c r="R12" i="1" s="1"/>
  <c r="P12" i="1"/>
  <c r="P17" i="1" s="1"/>
  <c r="R17" i="1" s="1"/>
  <c r="P31" i="1"/>
  <c r="P36" i="1" s="1"/>
  <c r="R36" i="1" s="1"/>
</calcChain>
</file>

<file path=xl/sharedStrings.xml><?xml version="1.0" encoding="utf-8"?>
<sst xmlns="http://schemas.openxmlformats.org/spreadsheetml/2006/main" count="119" uniqueCount="50">
  <si>
    <t>Employee</t>
  </si>
  <si>
    <t>Job Title</t>
  </si>
  <si>
    <t>Total Wages Paid</t>
  </si>
  <si>
    <t>Total FICA Cost</t>
  </si>
  <si>
    <t>Date Hired</t>
  </si>
  <si>
    <t>Total Wages</t>
  </si>
  <si>
    <t>Nebo Water District 2022 Wage Report</t>
  </si>
  <si>
    <t>Position 1</t>
  </si>
  <si>
    <t>Position 2</t>
  </si>
  <si>
    <t>Position 3</t>
  </si>
  <si>
    <t>Position 4</t>
  </si>
  <si>
    <t>Position 5</t>
  </si>
  <si>
    <t>Position 6</t>
  </si>
  <si>
    <t>Position 7</t>
  </si>
  <si>
    <t>Position 8</t>
  </si>
  <si>
    <t>Commissioner/Chairman</t>
  </si>
  <si>
    <t>Commissioner/Treasurer</t>
  </si>
  <si>
    <t>Commissioner/Secretary</t>
  </si>
  <si>
    <t>Superintendent</t>
  </si>
  <si>
    <t>Water Distribution System Operator #1</t>
  </si>
  <si>
    <t>Water Distribution System Operator #2</t>
  </si>
  <si>
    <t>Office Clerk #1</t>
  </si>
  <si>
    <t>Office Clerk #2</t>
  </si>
  <si>
    <t>Nebo Water District 2023 Wage Report</t>
  </si>
  <si>
    <t>Monthly Salary</t>
  </si>
  <si>
    <t>Overtime          Pay Rate</t>
  </si>
  <si>
    <t>Regular            Pay Rate</t>
  </si>
  <si>
    <t>Total      Hours Worked</t>
  </si>
  <si>
    <t>Regular Hours Worked</t>
  </si>
  <si>
    <t>Overtime Hours Worked</t>
  </si>
  <si>
    <t>N/A</t>
  </si>
  <si>
    <t>Regular Wages</t>
  </si>
  <si>
    <t xml:space="preserve">Overtime Wages </t>
  </si>
  <si>
    <t>Overtime Wages</t>
  </si>
  <si>
    <t>Incentives</t>
  </si>
  <si>
    <t xml:space="preserve">Total Wages Each </t>
  </si>
  <si>
    <t>Raises During Year, if Any</t>
  </si>
  <si>
    <t>Regular Hours Under New Rate, if Any</t>
  </si>
  <si>
    <t>New Pay Rate Wages</t>
  </si>
  <si>
    <t>Overtime Hours Under New Rate</t>
  </si>
  <si>
    <t>Totals</t>
  </si>
  <si>
    <t>Adjustments</t>
  </si>
  <si>
    <t>Adjusted Totals</t>
  </si>
  <si>
    <t>Medical</t>
  </si>
  <si>
    <t>Dental</t>
  </si>
  <si>
    <t>Vision</t>
  </si>
  <si>
    <t>Type</t>
  </si>
  <si>
    <t>Family and Parent Plus</t>
  </si>
  <si>
    <t>BLS Employee Share</t>
  </si>
  <si>
    <t>Parent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</si>
</sst>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_);\(0.00\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Garamond"/>
      <family val="1"/>
    </font>
    <font>
      <sz val="8"/>
      <name val="Aptos Narrow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44" fontId="2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39" fontId="5" fillId="0" borderId="3" xfId="0" applyNumberFormat="1" applyFont="1" applyBorder="1" applyAlignment="1">
      <alignment horizontal="center"/>
    </xf>
    <xf numFmtId="44" fontId="5" fillId="0" borderId="3" xfId="0" applyNumberFormat="1" applyFont="1" applyBorder="1" applyAlignment="1">
      <alignment horizontal="center"/>
    </xf>
    <xf numFmtId="44" fontId="5" fillId="0" borderId="2" xfId="0" applyNumberFormat="1" applyFont="1" applyBorder="1" applyAlignment="1">
      <alignment horizontal="center"/>
    </xf>
    <xf numFmtId="44" fontId="5" fillId="0" borderId="9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4" fontId="5" fillId="0" borderId="10" xfId="0" applyNumberFormat="1" applyFont="1" applyBorder="1" applyAlignment="1">
      <alignment horizontal="center"/>
    </xf>
    <xf numFmtId="44" fontId="5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B2724-C797-4543-BEB0-A3D3249307FB}">
  <dimension ref="A1:Y37"/>
  <sheetViews>
    <sheetView tabSelected="1" topLeftCell="I1" workbookViewId="0">
      <selection activeCell="Y2" sqref="Y2:Y6"/>
    </sheetView>
  </sheetViews>
  <sheetFormatPr defaultColWidth="8.85546875" defaultRowHeight="15" x14ac:dyDescent="0.25"/>
  <cols>
    <col min="1" max="1" width="11.5703125" style="5" customWidth="1"/>
    <col min="2" max="2" width="31.7109375" style="5" customWidth="1"/>
    <col min="3" max="7" width="11.5703125" style="5" customWidth="1"/>
    <col min="8" max="8" width="13.42578125" style="5" customWidth="1"/>
    <col min="9" max="15" width="17.28515625" style="5" customWidth="1"/>
    <col min="16" max="16" width="14.85546875" style="5" customWidth="1"/>
    <col min="17" max="17" width="11.5703125" style="5" customWidth="1"/>
    <col min="18" max="18" width="15.42578125" style="5" customWidth="1"/>
    <col min="19" max="19" width="8.85546875" style="5"/>
    <col min="20" max="20" width="10.5703125" style="5" bestFit="1" customWidth="1"/>
    <col min="21" max="21" width="13.140625" style="5" customWidth="1"/>
    <col min="22" max="23" width="15" style="5" customWidth="1"/>
    <col min="24" max="24" width="9" style="5" bestFit="1" customWidth="1"/>
    <col min="25" max="25" width="13.85546875" style="5" customWidth="1"/>
    <col min="26" max="16384" width="8.85546875" style="5"/>
  </cols>
  <sheetData>
    <row r="1" spans="1:25" s="3" customFormat="1" ht="15.75" x14ac:dyDescent="0.25">
      <c r="A1" s="36" t="s">
        <v>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5" s="3" customFormat="1" ht="78.75" x14ac:dyDescent="0.25">
      <c r="A2" s="4" t="s">
        <v>0</v>
      </c>
      <c r="B2" s="4" t="s">
        <v>1</v>
      </c>
      <c r="C2" s="4" t="s">
        <v>4</v>
      </c>
      <c r="D2" s="4" t="s">
        <v>28</v>
      </c>
      <c r="E2" s="1" t="s">
        <v>37</v>
      </c>
      <c r="F2" s="1" t="s">
        <v>39</v>
      </c>
      <c r="G2" s="4" t="s">
        <v>29</v>
      </c>
      <c r="H2" s="4" t="s">
        <v>27</v>
      </c>
      <c r="I2" s="4" t="s">
        <v>26</v>
      </c>
      <c r="J2" s="4" t="s">
        <v>31</v>
      </c>
      <c r="K2" s="1" t="s">
        <v>36</v>
      </c>
      <c r="L2" s="1" t="s">
        <v>38</v>
      </c>
      <c r="M2" s="4" t="s">
        <v>25</v>
      </c>
      <c r="N2" s="4" t="s">
        <v>33</v>
      </c>
      <c r="O2" s="4" t="s">
        <v>34</v>
      </c>
      <c r="P2" s="4" t="s">
        <v>2</v>
      </c>
      <c r="Q2" s="4" t="s">
        <v>3</v>
      </c>
      <c r="R2" s="4" t="s">
        <v>5</v>
      </c>
      <c r="T2" s="3" t="s">
        <v>43</v>
      </c>
      <c r="U2" s="3" t="s">
        <v>46</v>
      </c>
      <c r="V2" s="4" t="s">
        <v>48</v>
      </c>
      <c r="W2" s="4" t="s">
        <v>45</v>
      </c>
      <c r="X2" s="3" t="s">
        <v>44</v>
      </c>
    </row>
    <row r="3" spans="1:25" x14ac:dyDescent="0.25">
      <c r="A3" s="5" t="s">
        <v>7</v>
      </c>
      <c r="B3" s="5" t="s">
        <v>15</v>
      </c>
      <c r="C3" s="6">
        <v>44075</v>
      </c>
      <c r="D3" s="7" t="s">
        <v>30</v>
      </c>
      <c r="E3" s="2">
        <v>0</v>
      </c>
      <c r="F3" s="2">
        <v>0</v>
      </c>
      <c r="G3" s="7">
        <v>0</v>
      </c>
      <c r="H3" s="5" t="s">
        <v>24</v>
      </c>
      <c r="I3" s="8">
        <v>300</v>
      </c>
      <c r="J3" s="8">
        <v>3600</v>
      </c>
      <c r="K3" s="13">
        <v>0</v>
      </c>
      <c r="L3" s="13"/>
      <c r="M3" s="9" t="s">
        <v>30</v>
      </c>
      <c r="N3" s="10" t="s">
        <v>30</v>
      </c>
      <c r="O3" s="10" t="s">
        <v>30</v>
      </c>
      <c r="P3" s="8">
        <v>3600</v>
      </c>
      <c r="Q3" s="11">
        <v>275.39999999999998</v>
      </c>
      <c r="R3" s="8">
        <f>SUM(P3:Q3)</f>
        <v>3875.4</v>
      </c>
      <c r="T3" s="5">
        <v>0</v>
      </c>
      <c r="V3" s="5">
        <v>0</v>
      </c>
      <c r="W3" s="5">
        <v>0</v>
      </c>
      <c r="X3" s="5">
        <v>0</v>
      </c>
    </row>
    <row r="4" spans="1:25" x14ac:dyDescent="0.25">
      <c r="A4" s="5" t="s">
        <v>8</v>
      </c>
      <c r="B4" s="5" t="s">
        <v>16</v>
      </c>
      <c r="C4" s="6">
        <v>34937</v>
      </c>
      <c r="D4" s="7" t="s">
        <v>30</v>
      </c>
      <c r="E4" s="2">
        <v>0</v>
      </c>
      <c r="F4" s="2">
        <v>0</v>
      </c>
      <c r="G4" s="7">
        <v>0</v>
      </c>
      <c r="H4" s="5" t="s">
        <v>24</v>
      </c>
      <c r="I4" s="8">
        <v>300</v>
      </c>
      <c r="J4" s="8">
        <v>3600</v>
      </c>
      <c r="K4" s="13">
        <v>0</v>
      </c>
      <c r="L4" s="13"/>
      <c r="M4" s="9" t="s">
        <v>30</v>
      </c>
      <c r="N4" s="10" t="s">
        <v>30</v>
      </c>
      <c r="O4" s="10" t="s">
        <v>30</v>
      </c>
      <c r="P4" s="8">
        <v>3600</v>
      </c>
      <c r="Q4" s="11">
        <v>275.39999999999998</v>
      </c>
      <c r="R4" s="8">
        <f t="shared" ref="R4:R10" si="0">SUM(P4:Q4)</f>
        <v>3875.4</v>
      </c>
      <c r="T4" s="5">
        <v>0</v>
      </c>
      <c r="V4" s="5">
        <v>0</v>
      </c>
      <c r="W4" s="5">
        <v>0</v>
      </c>
      <c r="X4" s="5">
        <v>0</v>
      </c>
    </row>
    <row r="5" spans="1:25" x14ac:dyDescent="0.25">
      <c r="A5" s="5" t="s">
        <v>9</v>
      </c>
      <c r="B5" s="5" t="s">
        <v>17</v>
      </c>
      <c r="C5" s="6">
        <v>44544</v>
      </c>
      <c r="D5" s="7" t="s">
        <v>30</v>
      </c>
      <c r="E5" s="2">
        <v>0</v>
      </c>
      <c r="F5" s="2">
        <v>0</v>
      </c>
      <c r="G5" s="7">
        <v>0</v>
      </c>
      <c r="H5" s="5" t="s">
        <v>24</v>
      </c>
      <c r="I5" s="8">
        <v>300</v>
      </c>
      <c r="J5" s="8">
        <v>3600</v>
      </c>
      <c r="K5" s="13">
        <v>0</v>
      </c>
      <c r="L5" s="13"/>
      <c r="M5" s="9" t="s">
        <v>30</v>
      </c>
      <c r="N5" s="10" t="s">
        <v>30</v>
      </c>
      <c r="O5" s="10" t="s">
        <v>30</v>
      </c>
      <c r="P5" s="8">
        <v>3600</v>
      </c>
      <c r="Q5" s="11">
        <v>275.39999999999998</v>
      </c>
      <c r="R5" s="8">
        <f t="shared" si="0"/>
        <v>3875.4</v>
      </c>
      <c r="T5" s="5">
        <v>0</v>
      </c>
      <c r="V5" s="5">
        <v>0</v>
      </c>
      <c r="W5" s="5">
        <v>0</v>
      </c>
      <c r="X5" s="5">
        <v>0</v>
      </c>
    </row>
    <row r="6" spans="1:25" ht="60" x14ac:dyDescent="0.25">
      <c r="A6" s="5" t="s">
        <v>10</v>
      </c>
      <c r="B6" s="5" t="s">
        <v>18</v>
      </c>
      <c r="C6" s="6">
        <v>38817</v>
      </c>
      <c r="D6" s="7">
        <v>2080</v>
      </c>
      <c r="E6" s="2">
        <v>0</v>
      </c>
      <c r="F6" s="2">
        <v>0</v>
      </c>
      <c r="G6" s="7">
        <v>44.75</v>
      </c>
      <c r="H6" s="12">
        <f>SUM(D6:G6)</f>
        <v>2124.75</v>
      </c>
      <c r="I6" s="8">
        <v>34</v>
      </c>
      <c r="J6" s="8">
        <f>SUM(D6*I6)</f>
        <v>70720</v>
      </c>
      <c r="K6" s="13">
        <v>0</v>
      </c>
      <c r="L6" s="13"/>
      <c r="M6" s="8">
        <f>SUM(I6*1.5)</f>
        <v>51</v>
      </c>
      <c r="N6" s="8">
        <f>SUM(G6*M6)</f>
        <v>2282.25</v>
      </c>
      <c r="O6" s="8">
        <v>800</v>
      </c>
      <c r="P6" s="8">
        <f>SUM(J6+N6+O6)</f>
        <v>73802.25</v>
      </c>
      <c r="Q6" s="11">
        <v>5645.86</v>
      </c>
      <c r="R6" s="8">
        <f t="shared" si="0"/>
        <v>79448.11</v>
      </c>
      <c r="T6" s="5">
        <f>1962.94+1962.94+1962.94+1962.94+1962.94+1176.4+1176.4+1176.4+1176.4+1176.4+1176.4+1176.4</f>
        <v>18049.5</v>
      </c>
      <c r="U6" s="37" t="s">
        <v>47</v>
      </c>
      <c r="V6" s="12">
        <f>T6*0.33</f>
        <v>5956.335</v>
      </c>
      <c r="W6" s="5">
        <f>(21.53*5)+(14.1*7)</f>
        <v>206.35000000000002</v>
      </c>
      <c r="X6" s="5">
        <f>40.24*12</f>
        <v>482.88</v>
      </c>
    </row>
    <row r="7" spans="1:25" x14ac:dyDescent="0.25">
      <c r="A7" s="5" t="s">
        <v>11</v>
      </c>
      <c r="B7" s="5" t="s">
        <v>19</v>
      </c>
      <c r="C7" s="6">
        <v>43047</v>
      </c>
      <c r="D7" s="7">
        <v>2120</v>
      </c>
      <c r="E7" s="2">
        <v>0</v>
      </c>
      <c r="F7" s="2">
        <v>0</v>
      </c>
      <c r="G7" s="7">
        <v>173.75</v>
      </c>
      <c r="H7" s="12">
        <f>SUM(D7:G7)</f>
        <v>2293.75</v>
      </c>
      <c r="I7" s="8">
        <v>21</v>
      </c>
      <c r="J7" s="8">
        <f>SUM(D7*I7)</f>
        <v>44520</v>
      </c>
      <c r="K7" s="13">
        <v>0</v>
      </c>
      <c r="L7" s="13"/>
      <c r="M7" s="8">
        <f>SUM(I7*1.5)</f>
        <v>31.5</v>
      </c>
      <c r="N7" s="8">
        <f>SUM(G7*M7)</f>
        <v>5473.125</v>
      </c>
      <c r="O7" s="8">
        <v>700</v>
      </c>
      <c r="P7" s="8">
        <f>SUM(J7+N7+O7)</f>
        <v>50693.125</v>
      </c>
      <c r="Q7" s="11">
        <v>3878.07</v>
      </c>
      <c r="R7" s="8">
        <f t="shared" si="0"/>
        <v>54571.195</v>
      </c>
      <c r="T7" s="5">
        <f>659.51+659.51+659.51+659.51+659.51+659.51</f>
        <v>3957.0600000000004</v>
      </c>
      <c r="U7" s="5" t="s">
        <v>0</v>
      </c>
      <c r="V7" s="12">
        <f>T7*0.22</f>
        <v>870.55320000000006</v>
      </c>
      <c r="W7" s="5">
        <f>7.43*7</f>
        <v>52.01</v>
      </c>
    </row>
    <row r="8" spans="1:25" x14ac:dyDescent="0.25">
      <c r="A8" s="5" t="s">
        <v>12</v>
      </c>
      <c r="B8" s="5" t="s">
        <v>20</v>
      </c>
      <c r="C8" s="6">
        <v>44105</v>
      </c>
      <c r="D8" s="7">
        <v>2120</v>
      </c>
      <c r="E8" s="2">
        <v>0</v>
      </c>
      <c r="F8" s="2">
        <v>0</v>
      </c>
      <c r="G8" s="7">
        <v>147.25</v>
      </c>
      <c r="H8" s="12">
        <f>SUM(D8:G8)</f>
        <v>2267.25</v>
      </c>
      <c r="I8" s="8">
        <v>18</v>
      </c>
      <c r="J8" s="8">
        <f>SUM(D8*I8)</f>
        <v>38160</v>
      </c>
      <c r="K8" s="13">
        <v>0</v>
      </c>
      <c r="L8" s="13"/>
      <c r="M8" s="8">
        <f>SUM(I8*1.5)</f>
        <v>27</v>
      </c>
      <c r="N8" s="8">
        <f>SUM(G8*M8)</f>
        <v>3975.75</v>
      </c>
      <c r="O8" s="8">
        <v>700</v>
      </c>
      <c r="P8" s="8">
        <f>SUM(J8+N8+O8)</f>
        <v>42835.75</v>
      </c>
      <c r="Q8" s="11">
        <v>3276.95</v>
      </c>
      <c r="R8" s="14">
        <f t="shared" si="0"/>
        <v>46112.7</v>
      </c>
      <c r="T8" s="5">
        <f>622.62+622.62+622.62+622.62+622.62+659.51+659.51+659.51+659.51+659.51+659.51+659.51</f>
        <v>7729.670000000001</v>
      </c>
      <c r="U8" s="5" t="s">
        <v>0</v>
      </c>
      <c r="V8" s="12">
        <f>T8*0.22</f>
        <v>1700.5274000000002</v>
      </c>
      <c r="W8" s="5">
        <f>7.43*12</f>
        <v>89.16</v>
      </c>
      <c r="X8" s="5">
        <f>20.9*12</f>
        <v>250.79999999999998</v>
      </c>
    </row>
    <row r="9" spans="1:25" x14ac:dyDescent="0.25">
      <c r="A9" s="5" t="s">
        <v>13</v>
      </c>
      <c r="B9" s="5" t="s">
        <v>21</v>
      </c>
      <c r="C9" s="6">
        <v>43342</v>
      </c>
      <c r="D9" s="7">
        <v>2160</v>
      </c>
      <c r="E9" s="2">
        <v>0</v>
      </c>
      <c r="F9" s="2">
        <v>0</v>
      </c>
      <c r="G9" s="7">
        <v>5.75</v>
      </c>
      <c r="H9" s="12">
        <f>SUM(D9:G9)</f>
        <v>2165.75</v>
      </c>
      <c r="I9" s="8">
        <v>19</v>
      </c>
      <c r="J9" s="8">
        <f>SUM(D9*I9)</f>
        <v>41040</v>
      </c>
      <c r="K9" s="13">
        <v>0</v>
      </c>
      <c r="L9" s="13"/>
      <c r="M9" s="8">
        <f>SUM(I9*1.5)</f>
        <v>28.5</v>
      </c>
      <c r="N9" s="8">
        <f>SUM(G9*M9)</f>
        <v>163.875</v>
      </c>
      <c r="O9" s="8">
        <v>700</v>
      </c>
      <c r="P9" s="8">
        <f>SUM(J9+N9+O9)</f>
        <v>41903.875</v>
      </c>
      <c r="Q9" s="11">
        <v>3205.64</v>
      </c>
      <c r="R9" s="14">
        <f t="shared" si="0"/>
        <v>45109.514999999999</v>
      </c>
      <c r="T9" s="5">
        <f>622.62+622.62+622.62+622.62+622.62+659.51+659.51+659.51+659.51+659.51+659.51+659.51</f>
        <v>7729.670000000001</v>
      </c>
      <c r="U9" s="5" t="s">
        <v>0</v>
      </c>
      <c r="V9" s="12">
        <f>T9*0.22</f>
        <v>1700.5274000000002</v>
      </c>
      <c r="W9" s="5">
        <f>7.43*12</f>
        <v>89.16</v>
      </c>
      <c r="X9" s="5">
        <f>20.9*12</f>
        <v>250.79999999999998</v>
      </c>
    </row>
    <row r="10" spans="1:25" x14ac:dyDescent="0.25">
      <c r="A10" s="5" t="s">
        <v>14</v>
      </c>
      <c r="B10" s="5" t="s">
        <v>22</v>
      </c>
      <c r="C10" s="6">
        <v>44509</v>
      </c>
      <c r="D10" s="7">
        <v>184</v>
      </c>
      <c r="E10" s="2">
        <v>1743</v>
      </c>
      <c r="F10" s="2">
        <v>1.75</v>
      </c>
      <c r="G10" s="7">
        <v>0</v>
      </c>
      <c r="H10" s="12">
        <f>SUM(D10:G10)</f>
        <v>1928.75</v>
      </c>
      <c r="I10" s="8">
        <v>14</v>
      </c>
      <c r="J10" s="8">
        <f>SUM(D10*I10)</f>
        <v>2576</v>
      </c>
      <c r="K10" s="13">
        <v>2</v>
      </c>
      <c r="L10" s="13">
        <f>SUM(I10+K10)*E10</f>
        <v>27888</v>
      </c>
      <c r="M10" s="8">
        <f>SUM(I10+K10)*1.5</f>
        <v>24</v>
      </c>
      <c r="N10" s="8">
        <f>SUM(F10*M10)</f>
        <v>42</v>
      </c>
      <c r="O10" s="8">
        <v>700</v>
      </c>
      <c r="P10" s="8">
        <f>SUM(J10+L10+N10+O10)</f>
        <v>31206</v>
      </c>
      <c r="Q10" s="11">
        <v>2387.1999999999998</v>
      </c>
      <c r="R10" s="14">
        <f t="shared" si="0"/>
        <v>33593.199999999997</v>
      </c>
    </row>
    <row r="11" spans="1:25" ht="15.75" thickBot="1" x14ac:dyDescent="0.3">
      <c r="C11" s="6"/>
      <c r="D11" s="7"/>
      <c r="E11" s="2"/>
      <c r="F11" s="2"/>
      <c r="G11" s="7"/>
      <c r="H11" s="12"/>
      <c r="I11" s="8"/>
      <c r="J11" s="8"/>
      <c r="K11" s="13"/>
      <c r="L11" s="13"/>
      <c r="M11" s="8"/>
      <c r="N11" s="8"/>
      <c r="O11" s="8"/>
      <c r="P11" s="19"/>
      <c r="Q11" s="11"/>
      <c r="R11" s="17"/>
    </row>
    <row r="12" spans="1:25" s="22" customFormat="1" ht="15.75" thickBot="1" x14ac:dyDescent="0.3">
      <c r="B12" s="22" t="s">
        <v>40</v>
      </c>
      <c r="C12" s="23"/>
      <c r="D12" s="24">
        <f t="shared" ref="D12:Q12" si="1">SUM(D3:D10)</f>
        <v>8664</v>
      </c>
      <c r="E12" s="24">
        <f t="shared" si="1"/>
        <v>1743</v>
      </c>
      <c r="F12" s="24">
        <f t="shared" si="1"/>
        <v>1.75</v>
      </c>
      <c r="G12" s="24">
        <f t="shared" si="1"/>
        <v>371.5</v>
      </c>
      <c r="H12" s="24">
        <f t="shared" si="1"/>
        <v>10780.25</v>
      </c>
      <c r="I12" s="25"/>
      <c r="J12" s="25">
        <f t="shared" si="1"/>
        <v>207816</v>
      </c>
      <c r="K12" s="25"/>
      <c r="L12" s="25">
        <f t="shared" si="1"/>
        <v>27888</v>
      </c>
      <c r="M12" s="25"/>
      <c r="N12" s="25">
        <f t="shared" si="1"/>
        <v>11937</v>
      </c>
      <c r="O12" s="25">
        <f t="shared" si="1"/>
        <v>3600</v>
      </c>
      <c r="P12" s="26">
        <f t="shared" si="1"/>
        <v>251241</v>
      </c>
      <c r="Q12" s="27">
        <f t="shared" si="1"/>
        <v>19219.919999999998</v>
      </c>
      <c r="R12" s="26">
        <f>SUM(R3:R10)</f>
        <v>270460.92000000004</v>
      </c>
      <c r="S12" s="28"/>
      <c r="T12" s="29">
        <f>SUM(T3:T10)</f>
        <v>37465.9</v>
      </c>
      <c r="U12" s="29"/>
      <c r="V12" s="29">
        <f>SUM(V3:V10)</f>
        <v>10227.943000000001</v>
      </c>
      <c r="W12" s="29">
        <f t="shared" ref="W12:Y12" si="2">SUM(W3:W10)</f>
        <v>436.67999999999995</v>
      </c>
      <c r="X12" s="29">
        <f t="shared" si="2"/>
        <v>984.4799999999999</v>
      </c>
      <c r="Y12" s="29"/>
    </row>
    <row r="13" spans="1:25" x14ac:dyDescent="0.25">
      <c r="C13" s="6"/>
      <c r="D13" s="6"/>
      <c r="E13" s="6"/>
      <c r="F13" s="6"/>
      <c r="G13" s="6"/>
      <c r="P13" s="20"/>
      <c r="R13" s="18"/>
    </row>
    <row r="14" spans="1:25" x14ac:dyDescent="0.25">
      <c r="B14" s="5" t="s">
        <v>41</v>
      </c>
      <c r="C14" s="6">
        <v>44565</v>
      </c>
      <c r="D14" s="6"/>
      <c r="E14" s="6"/>
      <c r="F14" s="6"/>
      <c r="G14" s="10">
        <v>-8</v>
      </c>
      <c r="H14" s="10">
        <v>-200</v>
      </c>
      <c r="J14" s="8">
        <v>-4342</v>
      </c>
      <c r="N14" s="8">
        <v>-171</v>
      </c>
      <c r="P14" s="10">
        <f>SUM(G14:O14)</f>
        <v>-4721</v>
      </c>
      <c r="Q14" s="8">
        <v>-345.25</v>
      </c>
    </row>
    <row r="15" spans="1:25" x14ac:dyDescent="0.25">
      <c r="C15" s="6">
        <v>44932</v>
      </c>
      <c r="D15" s="6"/>
      <c r="E15" s="6"/>
      <c r="F15" s="6"/>
      <c r="G15" s="10">
        <v>24</v>
      </c>
      <c r="H15" s="10">
        <v>200</v>
      </c>
      <c r="J15" s="8">
        <v>4320</v>
      </c>
      <c r="N15" s="8">
        <v>828</v>
      </c>
      <c r="P15" s="10">
        <f>SUM(G15:O15)</f>
        <v>5372</v>
      </c>
      <c r="Q15" s="8">
        <v>393.82</v>
      </c>
    </row>
    <row r="16" spans="1:25" ht="15.75" thickBot="1" x14ac:dyDescent="0.3">
      <c r="C16" s="6"/>
      <c r="D16" s="6"/>
      <c r="E16" s="6"/>
      <c r="F16" s="6"/>
      <c r="G16" s="10">
        <f>SUM(G14:G15)</f>
        <v>16</v>
      </c>
      <c r="H16" s="10">
        <f>SUM(H14:H15)</f>
        <v>0</v>
      </c>
      <c r="J16" s="11">
        <f>SUM(J14:J15)</f>
        <v>-22</v>
      </c>
      <c r="N16" s="11">
        <f>SUM(N14:N15)</f>
        <v>657</v>
      </c>
      <c r="P16" s="32">
        <f>SUM(P14:P15)</f>
        <v>651</v>
      </c>
      <c r="Q16" s="32">
        <f>SUM(Q14:Q15)</f>
        <v>48.569999999999993</v>
      </c>
      <c r="R16" s="10"/>
    </row>
    <row r="17" spans="1:24" s="22" customFormat="1" ht="15.75" thickBot="1" x14ac:dyDescent="0.3">
      <c r="B17" s="22" t="s">
        <v>42</v>
      </c>
      <c r="C17" s="23"/>
      <c r="D17" s="23"/>
      <c r="E17" s="23"/>
      <c r="F17" s="23"/>
      <c r="G17" s="23"/>
      <c r="O17" s="33"/>
      <c r="P17" s="31">
        <f>SUM(P12:P15)</f>
        <v>251892</v>
      </c>
      <c r="Q17" s="25">
        <f>SUM(Q12:Q15)</f>
        <v>19268.489999999998</v>
      </c>
      <c r="R17" s="26">
        <f>SUM(P17:Q17)</f>
        <v>271160.49</v>
      </c>
      <c r="S17" s="28"/>
    </row>
    <row r="18" spans="1:24" x14ac:dyDescent="0.25">
      <c r="C18" s="6"/>
      <c r="D18" s="6"/>
      <c r="E18" s="6"/>
      <c r="F18" s="6"/>
      <c r="G18" s="6"/>
      <c r="P18" s="16"/>
      <c r="Q18" s="16"/>
      <c r="R18" s="16"/>
    </row>
    <row r="19" spans="1:24" x14ac:dyDescent="0.25">
      <c r="C19" s="6"/>
      <c r="D19" s="6"/>
      <c r="E19" s="6"/>
      <c r="F19" s="6"/>
      <c r="G19" s="6"/>
    </row>
    <row r="20" spans="1:24" ht="15.75" x14ac:dyDescent="0.25">
      <c r="A20" s="36" t="s">
        <v>23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24" ht="78.75" x14ac:dyDescent="0.25">
      <c r="A21" s="4" t="s">
        <v>0</v>
      </c>
      <c r="B21" s="4" t="s">
        <v>1</v>
      </c>
      <c r="C21" s="4" t="s">
        <v>4</v>
      </c>
      <c r="D21" s="4" t="s">
        <v>28</v>
      </c>
      <c r="E21" s="1" t="s">
        <v>37</v>
      </c>
      <c r="F21" s="1" t="s">
        <v>39</v>
      </c>
      <c r="G21" s="4" t="s">
        <v>29</v>
      </c>
      <c r="H21" s="4" t="s">
        <v>27</v>
      </c>
      <c r="I21" s="4" t="s">
        <v>26</v>
      </c>
      <c r="J21" s="4" t="s">
        <v>31</v>
      </c>
      <c r="K21" s="1" t="s">
        <v>36</v>
      </c>
      <c r="L21" s="1" t="s">
        <v>38</v>
      </c>
      <c r="M21" s="4" t="s">
        <v>25</v>
      </c>
      <c r="N21" s="4" t="s">
        <v>32</v>
      </c>
      <c r="O21" s="4" t="s">
        <v>34</v>
      </c>
      <c r="P21" s="4" t="s">
        <v>2</v>
      </c>
      <c r="Q21" s="4" t="s">
        <v>3</v>
      </c>
      <c r="R21" s="4" t="s">
        <v>35</v>
      </c>
    </row>
    <row r="22" spans="1:24" x14ac:dyDescent="0.25">
      <c r="A22" s="5" t="s">
        <v>7</v>
      </c>
      <c r="B22" s="5" t="s">
        <v>15</v>
      </c>
      <c r="C22" s="6">
        <v>44075</v>
      </c>
      <c r="D22" s="7" t="s">
        <v>30</v>
      </c>
      <c r="E22" s="2">
        <v>0</v>
      </c>
      <c r="F22" s="2">
        <v>0</v>
      </c>
      <c r="G22" s="7">
        <v>0</v>
      </c>
      <c r="H22" s="5" t="s">
        <v>24</v>
      </c>
      <c r="I22" s="8">
        <v>500</v>
      </c>
      <c r="J22" s="8">
        <v>6000</v>
      </c>
      <c r="K22" s="13">
        <v>0</v>
      </c>
      <c r="L22" s="13"/>
      <c r="M22" s="9" t="s">
        <v>30</v>
      </c>
      <c r="N22" s="8" t="s">
        <v>30</v>
      </c>
      <c r="O22" s="8" t="s">
        <v>30</v>
      </c>
      <c r="P22" s="8">
        <v>6000</v>
      </c>
      <c r="Q22" s="8">
        <v>459</v>
      </c>
      <c r="R22" s="8">
        <f>SUM(P22:Q22)</f>
        <v>6459</v>
      </c>
    </row>
    <row r="23" spans="1:24" x14ac:dyDescent="0.25">
      <c r="A23" s="5" t="s">
        <v>8</v>
      </c>
      <c r="B23" s="5" t="s">
        <v>16</v>
      </c>
      <c r="C23" s="6">
        <v>34937</v>
      </c>
      <c r="D23" s="7" t="s">
        <v>30</v>
      </c>
      <c r="E23" s="2">
        <v>0</v>
      </c>
      <c r="F23" s="2">
        <v>0</v>
      </c>
      <c r="G23" s="7">
        <v>0</v>
      </c>
      <c r="H23" s="5" t="s">
        <v>24</v>
      </c>
      <c r="I23" s="8">
        <v>300</v>
      </c>
      <c r="J23" s="8">
        <v>3600</v>
      </c>
      <c r="K23" s="13">
        <v>0</v>
      </c>
      <c r="L23" s="13"/>
      <c r="M23" s="9" t="s">
        <v>30</v>
      </c>
      <c r="N23" s="8" t="s">
        <v>30</v>
      </c>
      <c r="O23" s="8" t="s">
        <v>30</v>
      </c>
      <c r="P23" s="8">
        <v>3600</v>
      </c>
      <c r="Q23" s="8">
        <v>275.39999999999998</v>
      </c>
      <c r="R23" s="8">
        <f t="shared" ref="R23:R29" si="3">SUM(P23:Q23)</f>
        <v>3875.4</v>
      </c>
    </row>
    <row r="24" spans="1:24" x14ac:dyDescent="0.25">
      <c r="A24" s="5" t="s">
        <v>9</v>
      </c>
      <c r="B24" s="5" t="s">
        <v>17</v>
      </c>
      <c r="C24" s="6">
        <v>44544</v>
      </c>
      <c r="D24" s="7" t="s">
        <v>30</v>
      </c>
      <c r="E24" s="2">
        <v>0</v>
      </c>
      <c r="F24" s="2">
        <v>0</v>
      </c>
      <c r="G24" s="7">
        <v>0</v>
      </c>
      <c r="H24" s="5" t="s">
        <v>24</v>
      </c>
      <c r="I24" s="8">
        <v>500</v>
      </c>
      <c r="J24" s="8">
        <v>6000</v>
      </c>
      <c r="K24" s="13">
        <v>0</v>
      </c>
      <c r="L24" s="13"/>
      <c r="M24" s="9" t="s">
        <v>30</v>
      </c>
      <c r="N24" s="8" t="s">
        <v>30</v>
      </c>
      <c r="O24" s="8" t="s">
        <v>30</v>
      </c>
      <c r="P24" s="8">
        <v>6000</v>
      </c>
      <c r="Q24" s="8">
        <v>459</v>
      </c>
      <c r="R24" s="8">
        <f t="shared" si="3"/>
        <v>6459</v>
      </c>
    </row>
    <row r="25" spans="1:24" x14ac:dyDescent="0.25">
      <c r="A25" s="5" t="s">
        <v>10</v>
      </c>
      <c r="B25" s="5" t="s">
        <v>18</v>
      </c>
      <c r="C25" s="6">
        <v>38817</v>
      </c>
      <c r="D25" s="7">
        <v>2088</v>
      </c>
      <c r="E25" s="2">
        <v>0</v>
      </c>
      <c r="F25" s="2">
        <v>0</v>
      </c>
      <c r="G25" s="7">
        <v>39.5</v>
      </c>
      <c r="H25" s="12">
        <f>SUM(D25+G25)</f>
        <v>2127.5</v>
      </c>
      <c r="I25" s="8">
        <v>34</v>
      </c>
      <c r="J25" s="8">
        <f>SUM(D25*I25)</f>
        <v>70992</v>
      </c>
      <c r="K25" s="13">
        <v>0</v>
      </c>
      <c r="L25" s="13"/>
      <c r="M25" s="8">
        <f>SUM(I25*1.5)</f>
        <v>51</v>
      </c>
      <c r="N25" s="8">
        <f>SUM(G25*M25)</f>
        <v>2014.5</v>
      </c>
      <c r="O25" s="8">
        <v>825</v>
      </c>
      <c r="P25" s="8">
        <f>SUM(J25+N25+O25)</f>
        <v>73831.5</v>
      </c>
      <c r="Q25" s="8">
        <v>5648.07</v>
      </c>
      <c r="R25" s="8">
        <f t="shared" si="3"/>
        <v>79479.570000000007</v>
      </c>
      <c r="T25" s="12">
        <f>(1176.4*5)+(1234.81*7)</f>
        <v>14525.67</v>
      </c>
      <c r="U25" s="5" t="s">
        <v>49</v>
      </c>
      <c r="V25" s="12">
        <f>T25*0.33</f>
        <v>4793.4711000000007</v>
      </c>
      <c r="W25" s="12">
        <f>14.1*12</f>
        <v>169.2</v>
      </c>
      <c r="X25" s="12">
        <f>40.24*12</f>
        <v>482.88</v>
      </c>
    </row>
    <row r="26" spans="1:24" x14ac:dyDescent="0.25">
      <c r="A26" s="5" t="s">
        <v>11</v>
      </c>
      <c r="B26" s="5" t="s">
        <v>19</v>
      </c>
      <c r="C26" s="6">
        <v>43047</v>
      </c>
      <c r="D26" s="7">
        <v>320</v>
      </c>
      <c r="E26" s="2">
        <v>1767</v>
      </c>
      <c r="F26" s="2">
        <v>129.75</v>
      </c>
      <c r="G26" s="7">
        <v>28.5</v>
      </c>
      <c r="H26" s="12">
        <f>SUM(D26:G26)</f>
        <v>2245.25</v>
      </c>
      <c r="I26" s="8">
        <v>21</v>
      </c>
      <c r="J26" s="8">
        <f>SUM(D26*I26)</f>
        <v>6720</v>
      </c>
      <c r="K26" s="13">
        <v>1</v>
      </c>
      <c r="L26" s="13">
        <f>SUM(I26+K26)*E26</f>
        <v>38874</v>
      </c>
      <c r="M26" s="8">
        <f>SUM(I26*1.5)</f>
        <v>31.5</v>
      </c>
      <c r="N26" s="8">
        <f>SUM(I26+K26)*1.5*F26+(I26*1.5)*G26</f>
        <v>5179.5</v>
      </c>
      <c r="O26" s="8">
        <v>825</v>
      </c>
      <c r="P26" s="8">
        <f>SUM(J26+L26+N26+O26)</f>
        <v>51598.5</v>
      </c>
      <c r="Q26" s="8">
        <v>3947.31</v>
      </c>
      <c r="R26" s="8">
        <f t="shared" si="3"/>
        <v>55545.81</v>
      </c>
      <c r="T26" s="12">
        <f>(659.51*5)+(692.08*7)</f>
        <v>8142.1100000000006</v>
      </c>
      <c r="U26" s="5" t="s">
        <v>0</v>
      </c>
      <c r="V26" s="12">
        <f>T26*0.22</f>
        <v>1791.2642000000001</v>
      </c>
      <c r="W26" s="12">
        <f>7.43*12</f>
        <v>89.16</v>
      </c>
      <c r="X26" s="12"/>
    </row>
    <row r="27" spans="1:24" x14ac:dyDescent="0.25">
      <c r="A27" s="5" t="s">
        <v>12</v>
      </c>
      <c r="B27" s="5" t="s">
        <v>20</v>
      </c>
      <c r="C27" s="6">
        <v>44105</v>
      </c>
      <c r="D27" s="7">
        <v>320</v>
      </c>
      <c r="E27" s="2">
        <v>1760</v>
      </c>
      <c r="F27" s="2">
        <v>120.25</v>
      </c>
      <c r="G27" s="7">
        <v>29</v>
      </c>
      <c r="H27" s="12">
        <f>SUM(D27:G27)</f>
        <v>2229.25</v>
      </c>
      <c r="I27" s="8">
        <v>18</v>
      </c>
      <c r="J27" s="8">
        <f t="shared" ref="J27:J29" si="4">SUM(D27*I27)</f>
        <v>5760</v>
      </c>
      <c r="K27" s="13">
        <v>1</v>
      </c>
      <c r="L27" s="13">
        <f>SUM(I27+K27)*E27</f>
        <v>33440</v>
      </c>
      <c r="M27" s="8">
        <f>SUM(I27*1.5)</f>
        <v>27</v>
      </c>
      <c r="N27" s="8">
        <f>SUM(I27+K27)*1.5*F27+(I27*1.5)*G27</f>
        <v>4210.125</v>
      </c>
      <c r="O27" s="8">
        <v>825</v>
      </c>
      <c r="P27" s="8">
        <f>SUM(J27+L27+N27+O27)</f>
        <v>44235.125</v>
      </c>
      <c r="Q27" s="8">
        <v>3383.97</v>
      </c>
      <c r="R27" s="8">
        <f t="shared" si="3"/>
        <v>47619.095000000001</v>
      </c>
      <c r="T27" s="12">
        <f>(659.51*5)+(692.08*7)</f>
        <v>8142.1100000000006</v>
      </c>
      <c r="U27" s="5" t="s">
        <v>0</v>
      </c>
      <c r="V27" s="12">
        <f>T27*0.22</f>
        <v>1791.2642000000001</v>
      </c>
      <c r="W27" s="12">
        <f>7.43*12</f>
        <v>89.16</v>
      </c>
      <c r="X27" s="12">
        <f>20.9*12</f>
        <v>250.79999999999998</v>
      </c>
    </row>
    <row r="28" spans="1:24" x14ac:dyDescent="0.25">
      <c r="A28" s="5" t="s">
        <v>13</v>
      </c>
      <c r="B28" s="5" t="s">
        <v>21</v>
      </c>
      <c r="C28" s="6">
        <v>43342</v>
      </c>
      <c r="D28" s="7">
        <v>2120</v>
      </c>
      <c r="E28" s="2">
        <v>0</v>
      </c>
      <c r="F28" s="2">
        <v>0</v>
      </c>
      <c r="G28" s="7">
        <v>2.25</v>
      </c>
      <c r="H28" s="12">
        <f>SUM(D28+G28)</f>
        <v>2122.25</v>
      </c>
      <c r="I28" s="8">
        <v>19</v>
      </c>
      <c r="J28" s="8">
        <f t="shared" si="4"/>
        <v>40280</v>
      </c>
      <c r="K28" s="13">
        <v>0</v>
      </c>
      <c r="L28" s="13"/>
      <c r="M28" s="8">
        <f>SUM(I28*1.5)</f>
        <v>28.5</v>
      </c>
      <c r="N28" s="8">
        <f>SUM(G28*M28)</f>
        <v>64.125</v>
      </c>
      <c r="O28" s="8">
        <v>825</v>
      </c>
      <c r="P28" s="8">
        <f>SUM(J28+N28+O28)</f>
        <v>41169.125</v>
      </c>
      <c r="Q28" s="8">
        <v>3149.43</v>
      </c>
      <c r="R28" s="8">
        <f t="shared" si="3"/>
        <v>44318.555</v>
      </c>
      <c r="T28" s="12">
        <f>(659.51*5)+(692.08*7)</f>
        <v>8142.1100000000006</v>
      </c>
      <c r="U28" s="5" t="s">
        <v>0</v>
      </c>
      <c r="V28" s="12">
        <f>T28*0.22</f>
        <v>1791.2642000000001</v>
      </c>
      <c r="W28" s="12">
        <f>7.43*12</f>
        <v>89.16</v>
      </c>
      <c r="X28" s="12">
        <f>20.9*12</f>
        <v>250.79999999999998</v>
      </c>
    </row>
    <row r="29" spans="1:24" x14ac:dyDescent="0.25">
      <c r="A29" s="5" t="s">
        <v>14</v>
      </c>
      <c r="B29" s="5" t="s">
        <v>22</v>
      </c>
      <c r="C29" s="6">
        <v>44509</v>
      </c>
      <c r="D29" s="7">
        <v>2007.75</v>
      </c>
      <c r="E29" s="2">
        <v>0</v>
      </c>
      <c r="F29" s="2">
        <v>0</v>
      </c>
      <c r="G29" s="7">
        <v>2.5</v>
      </c>
      <c r="H29" s="12">
        <f>SUM(D29+G29)</f>
        <v>2010.25</v>
      </c>
      <c r="I29" s="8">
        <v>16</v>
      </c>
      <c r="J29" s="8">
        <f t="shared" si="4"/>
        <v>32124</v>
      </c>
      <c r="K29" s="13">
        <v>0</v>
      </c>
      <c r="L29" s="13"/>
      <c r="M29" s="8">
        <f>SUM(I29*1.5)</f>
        <v>24</v>
      </c>
      <c r="N29" s="8">
        <f>SUM(G29*M29)</f>
        <v>60</v>
      </c>
      <c r="O29" s="8">
        <v>825</v>
      </c>
      <c r="P29" s="8">
        <f>SUM(J29+N29+O29)</f>
        <v>33009</v>
      </c>
      <c r="Q29" s="8">
        <v>2525.19</v>
      </c>
      <c r="R29" s="8">
        <f t="shared" si="3"/>
        <v>35534.19</v>
      </c>
      <c r="T29" s="12"/>
      <c r="V29" s="12"/>
      <c r="W29" s="12"/>
      <c r="X29" s="12"/>
    </row>
    <row r="30" spans="1:24" ht="15.75" thickBot="1" x14ac:dyDescent="0.3">
      <c r="I30" s="8"/>
      <c r="J30" s="8"/>
      <c r="K30" s="8"/>
      <c r="L30" s="8"/>
      <c r="M30" s="8"/>
      <c r="N30" s="8"/>
      <c r="O30" s="19"/>
      <c r="P30" s="19"/>
      <c r="Q30" s="8"/>
      <c r="R30" s="17"/>
      <c r="T30" s="12"/>
      <c r="V30" s="12"/>
      <c r="W30" s="12"/>
      <c r="X30" s="12"/>
    </row>
    <row r="31" spans="1:24" s="22" customFormat="1" ht="15.75" thickBot="1" x14ac:dyDescent="0.3">
      <c r="B31" s="22" t="s">
        <v>40</v>
      </c>
      <c r="D31" s="29">
        <f>SUM(D25:D29)</f>
        <v>6855.75</v>
      </c>
      <c r="E31" s="30">
        <f t="shared" ref="E31:H31" si="5">SUM(E25:E29)</f>
        <v>3527</v>
      </c>
      <c r="F31" s="30">
        <f t="shared" si="5"/>
        <v>250</v>
      </c>
      <c r="G31" s="30">
        <f t="shared" si="5"/>
        <v>101.75</v>
      </c>
      <c r="H31" s="29">
        <f t="shared" si="5"/>
        <v>10734.5</v>
      </c>
      <c r="I31" s="31"/>
      <c r="J31" s="31">
        <f>SUM(J22:J29)</f>
        <v>171476</v>
      </c>
      <c r="K31" s="31"/>
      <c r="L31" s="31"/>
      <c r="N31" s="25">
        <f>SUM(N22:N29)</f>
        <v>11528.25</v>
      </c>
      <c r="O31" s="31">
        <f>SUM(M31:N31)</f>
        <v>11528.25</v>
      </c>
      <c r="P31" s="34">
        <f>SUM(P22:P29)</f>
        <v>259443.25</v>
      </c>
      <c r="Q31" s="27">
        <f>SUM(Q22:Q29)</f>
        <v>19847.369999999995</v>
      </c>
      <c r="R31" s="26">
        <f>SUM(R22:R29)</f>
        <v>279290.62</v>
      </c>
      <c r="S31" s="28"/>
      <c r="T31" s="29">
        <f>SUM(T22:T29)</f>
        <v>38952</v>
      </c>
      <c r="V31" s="29">
        <f t="shared" ref="U31:X31" si="6">SUM(V22:V29)</f>
        <v>10167.2637</v>
      </c>
      <c r="W31" s="29">
        <f t="shared" si="6"/>
        <v>436.67999999999995</v>
      </c>
      <c r="X31" s="29">
        <f t="shared" si="6"/>
        <v>984.4799999999999</v>
      </c>
    </row>
    <row r="32" spans="1:24" x14ac:dyDescent="0.25">
      <c r="O32" s="16"/>
      <c r="P32" s="21"/>
      <c r="R32" s="21"/>
    </row>
    <row r="33" spans="2:18" x14ac:dyDescent="0.25">
      <c r="B33" s="5" t="s">
        <v>41</v>
      </c>
      <c r="C33" s="6">
        <v>44932</v>
      </c>
      <c r="G33" s="10">
        <v>-24</v>
      </c>
      <c r="H33" s="10">
        <v>-200</v>
      </c>
      <c r="J33" s="8">
        <v>-4320</v>
      </c>
      <c r="K33" s="8"/>
      <c r="L33" s="8"/>
      <c r="M33" s="8"/>
      <c r="N33" s="8">
        <v>-828</v>
      </c>
      <c r="O33" s="8"/>
      <c r="P33" s="10">
        <f>SUM(G33:O33)</f>
        <v>-5372</v>
      </c>
      <c r="Q33" s="8">
        <v>-345.25</v>
      </c>
      <c r="R33" s="8"/>
    </row>
    <row r="34" spans="2:18" x14ac:dyDescent="0.25">
      <c r="C34" s="6">
        <v>45296</v>
      </c>
      <c r="G34" s="10">
        <v>8</v>
      </c>
      <c r="H34" s="10">
        <v>200</v>
      </c>
      <c r="J34" s="8">
        <v>4400</v>
      </c>
      <c r="N34" s="8">
        <v>246</v>
      </c>
      <c r="P34" s="10">
        <f>SUM(G34:O34)</f>
        <v>4854</v>
      </c>
      <c r="Q34" s="8">
        <v>355.41</v>
      </c>
    </row>
    <row r="35" spans="2:18" ht="15.75" thickBot="1" x14ac:dyDescent="0.3">
      <c r="G35" s="10">
        <f>SUM(G33:G34)</f>
        <v>-16</v>
      </c>
      <c r="H35" s="10">
        <f>SUM(H33:H34)</f>
        <v>0</v>
      </c>
      <c r="J35" s="11">
        <f>SUM(J33:J34)</f>
        <v>80</v>
      </c>
      <c r="N35" s="11">
        <f>SUM(N33:N34)</f>
        <v>-582</v>
      </c>
      <c r="O35" s="15"/>
      <c r="P35" s="32">
        <f>SUM(P33:P34)</f>
        <v>-518</v>
      </c>
      <c r="Q35" s="32">
        <f>SUM(Q33:Q34)</f>
        <v>10.160000000000025</v>
      </c>
    </row>
    <row r="36" spans="2:18" s="22" customFormat="1" ht="15.75" thickBot="1" x14ac:dyDescent="0.3">
      <c r="B36" s="22" t="s">
        <v>42</v>
      </c>
      <c r="N36" s="33"/>
      <c r="O36" s="31"/>
      <c r="P36" s="35">
        <f>SUM(P31:P34)</f>
        <v>258925.25</v>
      </c>
      <c r="Q36" s="25">
        <f>SUM(Q31:Q34)</f>
        <v>19857.529999999995</v>
      </c>
      <c r="R36" s="26">
        <f>SUM(P36:Q36)</f>
        <v>278782.77999999997</v>
      </c>
    </row>
    <row r="37" spans="2:18" x14ac:dyDescent="0.25">
      <c r="O37" s="16"/>
    </row>
  </sheetData>
  <mergeCells count="2">
    <mergeCell ref="A1:R1"/>
    <mergeCell ref="A20:R20"/>
  </mergeCells>
  <phoneticPr fontId="3" type="noConversion"/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Nebo Water District</dc:creator>
  <cp:lastModifiedBy>Ariel Miller</cp:lastModifiedBy>
  <cp:lastPrinted>2024-03-06T17:00:37Z</cp:lastPrinted>
  <dcterms:created xsi:type="dcterms:W3CDTF">2024-03-06T15:04:24Z</dcterms:created>
  <dcterms:modified xsi:type="dcterms:W3CDTF">2024-04-04T21:04:39Z</dcterms:modified>
</cp:coreProperties>
</file>