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sa.moore\Desktop\"/>
    </mc:Choice>
  </mc:AlternateContent>
  <xr:revisionPtr revIDLastSave="0" documentId="8_{D93460B5-8AC7-4633-A190-489B52270E28}" xr6:coauthVersionLast="47" xr6:coauthVersionMax="47" xr10:uidLastSave="{00000000-0000-0000-0000-000000000000}"/>
  <bookViews>
    <workbookView xWindow="-110" yWindow="-110" windowWidth="19420" windowHeight="10420" tabRatio="641" firstSheet="7" activeTab="10" xr2:uid="{00000000-000D-0000-FFFF-FFFF00000000}"/>
  </bookViews>
  <sheets>
    <sheet name="SAO" sheetId="6" r:id="rId1"/>
    <sheet name="Wages" sheetId="55" state="hidden" r:id="rId2"/>
    <sheet name="SAO No Depreciation" sheetId="65" r:id="rId3"/>
    <sheet name="Depreciation" sheetId="51" r:id="rId4"/>
    <sheet name="Debt Service" sheetId="50" r:id="rId5"/>
    <sheet name="Rates" sheetId="2" r:id="rId6"/>
    <sheet name="Ordinance" sheetId="66" r:id="rId7"/>
    <sheet name="Alternative" sheetId="67" r:id="rId8"/>
    <sheet name="Bills" sheetId="42" r:id="rId9"/>
    <sheet name="Billing Analysis" sheetId="59" r:id="rId10"/>
    <sheet name="Rate Comparison" sheetId="60" r:id="rId11"/>
    <sheet name="Alternative Rate Comparison" sheetId="68" r:id="rId12"/>
    <sheet name="5.8 Inch Meter 4,500 Gallons" sheetId="62" r:id="rId13"/>
    <sheet name="5.8 Inch Meter 4,500 Gallon ALT" sheetId="69" r:id="rId14"/>
    <sheet name="2 Inch Meter 300,000 Gallon" sheetId="63" r:id="rId15"/>
    <sheet name="2 Inch Meter 300,000 Gallon ALT" sheetId="70" r:id="rId16"/>
    <sheet name="Wholesale " sheetId="64" r:id="rId17"/>
    <sheet name="Wholesale  ALT" sheetId="71" r:id="rId18"/>
    <sheet name="ExBA" sheetId="52" state="hidden" r:id="rId19"/>
    <sheet name="PrBA" sheetId="58" state="hidden" r:id="rId20"/>
  </sheets>
  <externalReferences>
    <externalReference r:id="rId21"/>
    <externalReference r:id="rId22"/>
    <externalReference r:id="rId23"/>
  </externalReferences>
  <definedNames>
    <definedName name="AHV">#REF!</definedName>
    <definedName name="_xlnm.Print_Area" localSheetId="7">Alternative!$A$91:$K$134</definedName>
    <definedName name="_xlnm.Print_Area" localSheetId="11">'Alternative Rate Comparison'!$B$1:$H$26</definedName>
    <definedName name="_xlnm.Print_Area" localSheetId="8">Bills!$A$1:$I$27</definedName>
    <definedName name="_xlnm.Print_Area" localSheetId="4">'Debt Service'!$A$1:$O$24</definedName>
    <definedName name="_xlnm.Print_Area" localSheetId="3">Depreciation!$A$1:$G$51</definedName>
    <definedName name="_xlnm.Print_Area" localSheetId="6">Ordinance!$A$91:$K$134</definedName>
    <definedName name="_xlnm.Print_Area" localSheetId="10">'Rate Comparison'!$B$1:$H$24</definedName>
    <definedName name="_xlnm.Print_Area" localSheetId="5">Rates!$A$1:$K$50</definedName>
    <definedName name="_xlnm.Print_Area" localSheetId="0">SAO!$A$1:$J$73</definedName>
    <definedName name="_xlnm.Print_Area" localSheetId="2">'SAO No Depreciation'!$A$1:$J$73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8" l="1"/>
  <c r="E24" i="68"/>
  <c r="C24" i="68"/>
  <c r="G10" i="68"/>
  <c r="G11" i="68"/>
  <c r="C10" i="68"/>
  <c r="G23" i="68"/>
  <c r="G22" i="68"/>
  <c r="E22" i="68"/>
  <c r="C22" i="68"/>
  <c r="E21" i="68"/>
  <c r="C21" i="68"/>
  <c r="C20" i="68"/>
  <c r="E19" i="68"/>
  <c r="C19" i="68"/>
  <c r="E18" i="68"/>
  <c r="C18" i="68"/>
  <c r="E17" i="68"/>
  <c r="C17" i="68"/>
  <c r="E16" i="68"/>
  <c r="C16" i="68"/>
  <c r="G15" i="68"/>
  <c r="E15" i="68"/>
  <c r="C15" i="68"/>
  <c r="E14" i="68"/>
  <c r="C14" i="68"/>
  <c r="E13" i="68"/>
  <c r="C13" i="68"/>
  <c r="G12" i="68"/>
  <c r="G9" i="68"/>
  <c r="E9" i="68"/>
  <c r="C9" i="68"/>
  <c r="G8" i="68"/>
  <c r="G7" i="68"/>
  <c r="E7" i="68"/>
  <c r="C7" i="68"/>
  <c r="G6" i="68"/>
  <c r="F33" i="67"/>
  <c r="F32" i="67"/>
  <c r="F31" i="67"/>
  <c r="F30" i="67"/>
  <c r="F29" i="67"/>
  <c r="F28" i="67"/>
  <c r="F27" i="67"/>
  <c r="F113" i="67"/>
  <c r="F112" i="67"/>
  <c r="F111" i="67"/>
  <c r="F110" i="67"/>
  <c r="F109" i="67"/>
  <c r="F108" i="67"/>
  <c r="F107" i="67"/>
  <c r="F103" i="67"/>
  <c r="F102" i="67"/>
  <c r="F101" i="67"/>
  <c r="F100" i="67"/>
  <c r="F99" i="67"/>
  <c r="F98" i="67"/>
  <c r="F97" i="67"/>
  <c r="F69" i="67"/>
  <c r="F68" i="67"/>
  <c r="F67" i="67"/>
  <c r="F66" i="67"/>
  <c r="F65" i="67"/>
  <c r="F64" i="67"/>
  <c r="F63" i="67"/>
  <c r="F59" i="67"/>
  <c r="F58" i="67"/>
  <c r="F57" i="67"/>
  <c r="F56" i="67"/>
  <c r="F55" i="67"/>
  <c r="F54" i="67"/>
  <c r="F53" i="67"/>
  <c r="F23" i="67"/>
  <c r="F22" i="67"/>
  <c r="F21" i="67"/>
  <c r="F20" i="67"/>
  <c r="F19" i="67"/>
  <c r="F18" i="67"/>
  <c r="F17" i="67"/>
  <c r="F13" i="67"/>
  <c r="F12" i="67"/>
  <c r="F11" i="67"/>
  <c r="F10" i="67"/>
  <c r="F9" i="67"/>
  <c r="F8" i="67"/>
  <c r="F7" i="67"/>
  <c r="H21" i="67" l="1"/>
  <c r="I21" i="67" s="1"/>
  <c r="D66" i="67"/>
  <c r="H19" i="67"/>
  <c r="I19" i="67" s="1"/>
  <c r="H18" i="67"/>
  <c r="I18" i="67" s="1"/>
  <c r="H12" i="67"/>
  <c r="I12" i="67" s="1"/>
  <c r="E132" i="67"/>
  <c r="C132" i="67"/>
  <c r="G118" i="67"/>
  <c r="G117" i="67"/>
  <c r="G108" i="67"/>
  <c r="G107" i="67"/>
  <c r="G98" i="67"/>
  <c r="G97" i="67"/>
  <c r="E88" i="67"/>
  <c r="C88" i="67"/>
  <c r="D83" i="67"/>
  <c r="F83" i="67" s="1"/>
  <c r="G74" i="67"/>
  <c r="G73" i="67"/>
  <c r="D68" i="67"/>
  <c r="G64" i="67"/>
  <c r="G63" i="67"/>
  <c r="D57" i="67"/>
  <c r="D55" i="67"/>
  <c r="G54" i="67"/>
  <c r="G53" i="67"/>
  <c r="E42" i="67"/>
  <c r="D42" i="67"/>
  <c r="F42" i="67" s="1"/>
  <c r="C42" i="67"/>
  <c r="I38" i="67"/>
  <c r="H38" i="67"/>
  <c r="F38" i="67"/>
  <c r="D84" i="67" s="1"/>
  <c r="F84" i="67" s="1"/>
  <c r="F37" i="67"/>
  <c r="H37" i="67" s="1"/>
  <c r="I37" i="67" s="1"/>
  <c r="D77" i="67"/>
  <c r="F77" i="67" s="1"/>
  <c r="G28" i="67"/>
  <c r="H28" i="67"/>
  <c r="I28" i="67" s="1"/>
  <c r="G27" i="67"/>
  <c r="H23" i="67"/>
  <c r="I23" i="67" s="1"/>
  <c r="H22" i="67"/>
  <c r="I22" i="67" s="1"/>
  <c r="G18" i="67"/>
  <c r="G17" i="67"/>
  <c r="D63" i="67"/>
  <c r="H11" i="67"/>
  <c r="I11" i="67" s="1"/>
  <c r="H10" i="67"/>
  <c r="I10" i="67" s="1"/>
  <c r="H9" i="67"/>
  <c r="I9" i="67" s="1"/>
  <c r="G8" i="67"/>
  <c r="D54" i="67"/>
  <c r="G7" i="67"/>
  <c r="D128" i="66"/>
  <c r="F128" i="66" s="1"/>
  <c r="H128" i="66" s="1"/>
  <c r="I128" i="66" s="1"/>
  <c r="D127" i="66"/>
  <c r="E132" i="66"/>
  <c r="C132" i="66"/>
  <c r="F127" i="66"/>
  <c r="H127" i="66" s="1"/>
  <c r="I127" i="66" s="1"/>
  <c r="G118" i="66"/>
  <c r="G117" i="66"/>
  <c r="G108" i="66"/>
  <c r="G107" i="66"/>
  <c r="G98" i="66"/>
  <c r="G97" i="66"/>
  <c r="D84" i="66"/>
  <c r="D83" i="66"/>
  <c r="E88" i="66"/>
  <c r="C88" i="66"/>
  <c r="F84" i="66"/>
  <c r="H84" i="66" s="1"/>
  <c r="I84" i="66" s="1"/>
  <c r="F83" i="66"/>
  <c r="H83" i="66" s="1"/>
  <c r="I83" i="66" s="1"/>
  <c r="G74" i="66"/>
  <c r="G73" i="66"/>
  <c r="G64" i="66"/>
  <c r="G63" i="66"/>
  <c r="G54" i="66"/>
  <c r="G53" i="66"/>
  <c r="F38" i="66"/>
  <c r="F37" i="66"/>
  <c r="H33" i="67" l="1"/>
  <c r="I33" i="67" s="1"/>
  <c r="D59" i="67"/>
  <c r="D103" i="67" s="1"/>
  <c r="D58" i="67"/>
  <c r="D102" i="67" s="1"/>
  <c r="H13" i="67"/>
  <c r="I13" i="67" s="1"/>
  <c r="H7" i="67"/>
  <c r="I7" i="67" s="1"/>
  <c r="H68" i="67"/>
  <c r="I68" i="67" s="1"/>
  <c r="D112" i="67"/>
  <c r="H112" i="67" s="1"/>
  <c r="I112" i="67" s="1"/>
  <c r="D75" i="67"/>
  <c r="F75" i="67" s="1"/>
  <c r="H29" i="67"/>
  <c r="I29" i="67" s="1"/>
  <c r="H83" i="67"/>
  <c r="I83" i="67" s="1"/>
  <c r="D127" i="67"/>
  <c r="F127" i="67" s="1"/>
  <c r="H127" i="67" s="1"/>
  <c r="I127" i="67" s="1"/>
  <c r="H66" i="67"/>
  <c r="I66" i="67" s="1"/>
  <c r="D110" i="67"/>
  <c r="H110" i="67" s="1"/>
  <c r="I110" i="67" s="1"/>
  <c r="D107" i="67"/>
  <c r="H107" i="67" s="1"/>
  <c r="I107" i="67" s="1"/>
  <c r="H63" i="67"/>
  <c r="I63" i="67" s="1"/>
  <c r="D128" i="67"/>
  <c r="F128" i="67" s="1"/>
  <c r="H128" i="67" s="1"/>
  <c r="I128" i="67" s="1"/>
  <c r="H84" i="67"/>
  <c r="I84" i="67" s="1"/>
  <c r="H27" i="67"/>
  <c r="I27" i="67" s="1"/>
  <c r="D73" i="67"/>
  <c r="F73" i="67" s="1"/>
  <c r="H57" i="67"/>
  <c r="I57" i="67" s="1"/>
  <c r="D101" i="67"/>
  <c r="D98" i="67"/>
  <c r="H54" i="67"/>
  <c r="I54" i="67" s="1"/>
  <c r="H42" i="67"/>
  <c r="I42" i="67" s="1"/>
  <c r="D88" i="67"/>
  <c r="F88" i="67" s="1"/>
  <c r="H55" i="67"/>
  <c r="I55" i="67" s="1"/>
  <c r="D99" i="67"/>
  <c r="D64" i="67"/>
  <c r="H17" i="67"/>
  <c r="I17" i="67" s="1"/>
  <c r="D53" i="67"/>
  <c r="D65" i="67"/>
  <c r="D67" i="67"/>
  <c r="D69" i="67"/>
  <c r="D74" i="67"/>
  <c r="F74" i="67" s="1"/>
  <c r="H20" i="67"/>
  <c r="I20" i="67" s="1"/>
  <c r="H31" i="67"/>
  <c r="I31" i="67" s="1"/>
  <c r="H8" i="67"/>
  <c r="I8" i="67" s="1"/>
  <c r="D56" i="67"/>
  <c r="D79" i="67"/>
  <c r="F79" i="67" s="1"/>
  <c r="E42" i="66"/>
  <c r="D42" i="66"/>
  <c r="F42" i="66" s="1"/>
  <c r="C42" i="66"/>
  <c r="H59" i="67" l="1"/>
  <c r="I59" i="67" s="1"/>
  <c r="D123" i="67"/>
  <c r="F123" i="67" s="1"/>
  <c r="H58" i="67"/>
  <c r="I58" i="67" s="1"/>
  <c r="H99" i="67"/>
  <c r="I99" i="67" s="1"/>
  <c r="H69" i="67"/>
  <c r="I69" i="67" s="1"/>
  <c r="D113" i="67"/>
  <c r="H113" i="67" s="1"/>
  <c r="I113" i="67" s="1"/>
  <c r="H74" i="67"/>
  <c r="I74" i="67" s="1"/>
  <c r="D118" i="67"/>
  <c r="F118" i="67" s="1"/>
  <c r="D100" i="67"/>
  <c r="H56" i="67"/>
  <c r="I56" i="67" s="1"/>
  <c r="D109" i="67"/>
  <c r="H109" i="67" s="1"/>
  <c r="I109" i="67" s="1"/>
  <c r="H65" i="67"/>
  <c r="I65" i="67" s="1"/>
  <c r="H64" i="67"/>
  <c r="I64" i="67" s="1"/>
  <c r="D108" i="67"/>
  <c r="H108" i="67" s="1"/>
  <c r="I108" i="67" s="1"/>
  <c r="H103" i="67"/>
  <c r="I103" i="67" s="1"/>
  <c r="H67" i="67"/>
  <c r="I67" i="67" s="1"/>
  <c r="D111" i="67"/>
  <c r="H111" i="67" s="1"/>
  <c r="I111" i="67" s="1"/>
  <c r="H98" i="67"/>
  <c r="I98" i="67" s="1"/>
  <c r="H102" i="67"/>
  <c r="I102" i="67" s="1"/>
  <c r="H32" i="67"/>
  <c r="I32" i="67" s="1"/>
  <c r="D78" i="67"/>
  <c r="H53" i="67"/>
  <c r="I53" i="67" s="1"/>
  <c r="D97" i="67"/>
  <c r="D76" i="67"/>
  <c r="F76" i="67" s="1"/>
  <c r="H30" i="67"/>
  <c r="I30" i="67" s="1"/>
  <c r="D119" i="67"/>
  <c r="F119" i="67" s="1"/>
  <c r="H75" i="67"/>
  <c r="I75" i="67" s="1"/>
  <c r="D121" i="67"/>
  <c r="F121" i="67" s="1"/>
  <c r="H77" i="67"/>
  <c r="I77" i="67" s="1"/>
  <c r="H101" i="67"/>
  <c r="I101" i="67" s="1"/>
  <c r="H88" i="67"/>
  <c r="I88" i="67" s="1"/>
  <c r="D132" i="67"/>
  <c r="H42" i="66"/>
  <c r="I42" i="66" s="1"/>
  <c r="D88" i="66"/>
  <c r="F88" i="66" s="1"/>
  <c r="H38" i="66"/>
  <c r="I38" i="66" s="1"/>
  <c r="H37" i="66"/>
  <c r="I37" i="66" s="1"/>
  <c r="G28" i="66"/>
  <c r="G27" i="66"/>
  <c r="G18" i="66"/>
  <c r="G17" i="66"/>
  <c r="G8" i="66"/>
  <c r="G7" i="66"/>
  <c r="G30" i="2"/>
  <c r="G29" i="2"/>
  <c r="G20" i="2"/>
  <c r="G19" i="2"/>
  <c r="H66" i="65"/>
  <c r="H65" i="65"/>
  <c r="E65" i="65"/>
  <c r="F53" i="65"/>
  <c r="G53" i="65" s="1"/>
  <c r="H53" i="65" s="1"/>
  <c r="E53" i="65"/>
  <c r="F52" i="65"/>
  <c r="G52" i="65" s="1"/>
  <c r="H52" i="65" s="1"/>
  <c r="E52" i="65"/>
  <c r="F51" i="65"/>
  <c r="G51" i="65" s="1"/>
  <c r="H51" i="65" s="1"/>
  <c r="E51" i="65"/>
  <c r="F50" i="65"/>
  <c r="G50" i="65" s="1"/>
  <c r="H50" i="65" s="1"/>
  <c r="E50" i="65"/>
  <c r="F49" i="65"/>
  <c r="G49" i="65" s="1"/>
  <c r="H49" i="65" s="1"/>
  <c r="E49" i="65"/>
  <c r="F48" i="65"/>
  <c r="G48" i="65" s="1"/>
  <c r="H48" i="65" s="1"/>
  <c r="E48" i="65"/>
  <c r="F47" i="65"/>
  <c r="G47" i="65" s="1"/>
  <c r="H47" i="65" s="1"/>
  <c r="E47" i="65"/>
  <c r="F46" i="65"/>
  <c r="G46" i="65" s="1"/>
  <c r="H46" i="65" s="1"/>
  <c r="E46" i="65"/>
  <c r="F45" i="65"/>
  <c r="G45" i="65" s="1"/>
  <c r="H45" i="65" s="1"/>
  <c r="E45" i="65"/>
  <c r="F44" i="65"/>
  <c r="G44" i="65" s="1"/>
  <c r="H44" i="65" s="1"/>
  <c r="E44" i="65"/>
  <c r="F43" i="65"/>
  <c r="G43" i="65" s="1"/>
  <c r="H43" i="65" s="1"/>
  <c r="E43" i="65"/>
  <c r="F42" i="65"/>
  <c r="G42" i="65" s="1"/>
  <c r="H42" i="65" s="1"/>
  <c r="E42" i="65"/>
  <c r="D41" i="65"/>
  <c r="F40" i="65"/>
  <c r="H40" i="65" s="1"/>
  <c r="E40" i="65"/>
  <c r="F39" i="65"/>
  <c r="G39" i="65" s="1"/>
  <c r="H39" i="65" s="1"/>
  <c r="E39" i="65"/>
  <c r="F38" i="65"/>
  <c r="G38" i="65" s="1"/>
  <c r="H38" i="65" s="1"/>
  <c r="E38" i="65"/>
  <c r="F37" i="65"/>
  <c r="G37" i="65" s="1"/>
  <c r="H37" i="65" s="1"/>
  <c r="E37" i="65"/>
  <c r="F36" i="65"/>
  <c r="G36" i="65" s="1"/>
  <c r="H36" i="65" s="1"/>
  <c r="E36" i="65"/>
  <c r="F35" i="65"/>
  <c r="G35" i="65" s="1"/>
  <c r="H35" i="65" s="1"/>
  <c r="E35" i="65"/>
  <c r="F34" i="65"/>
  <c r="G34" i="65" s="1"/>
  <c r="H34" i="65" s="1"/>
  <c r="E34" i="65"/>
  <c r="F33" i="65"/>
  <c r="G33" i="65" s="1"/>
  <c r="H33" i="65" s="1"/>
  <c r="E33" i="65"/>
  <c r="F32" i="65"/>
  <c r="G32" i="65" s="1"/>
  <c r="H32" i="65" s="1"/>
  <c r="E32" i="65"/>
  <c r="F31" i="65"/>
  <c r="G31" i="65" s="1"/>
  <c r="H31" i="65" s="1"/>
  <c r="E31" i="65"/>
  <c r="F30" i="65"/>
  <c r="G30" i="65" s="1"/>
  <c r="H30" i="65" s="1"/>
  <c r="E30" i="65"/>
  <c r="F29" i="65"/>
  <c r="G29" i="65" s="1"/>
  <c r="H29" i="65" s="1"/>
  <c r="E29" i="65"/>
  <c r="F28" i="65"/>
  <c r="G28" i="65" s="1"/>
  <c r="H28" i="65" s="1"/>
  <c r="E28" i="65"/>
  <c r="F27" i="65"/>
  <c r="G27" i="65" s="1"/>
  <c r="H27" i="65" s="1"/>
  <c r="E27" i="65"/>
  <c r="F26" i="65"/>
  <c r="G26" i="65" s="1"/>
  <c r="H26" i="65" s="1"/>
  <c r="E26" i="65"/>
  <c r="F25" i="65"/>
  <c r="G25" i="65" s="1"/>
  <c r="H25" i="65" s="1"/>
  <c r="E25" i="65"/>
  <c r="F24" i="65"/>
  <c r="G24" i="65" s="1"/>
  <c r="H24" i="65" s="1"/>
  <c r="E24" i="65"/>
  <c r="D23" i="65"/>
  <c r="F22" i="65"/>
  <c r="G22" i="65" s="1"/>
  <c r="H22" i="65" s="1"/>
  <c r="E22" i="65"/>
  <c r="F21" i="65"/>
  <c r="E21" i="65"/>
  <c r="F20" i="65"/>
  <c r="G20" i="65" s="1"/>
  <c r="H20" i="65" s="1"/>
  <c r="E20" i="65"/>
  <c r="F19" i="65"/>
  <c r="E19" i="65"/>
  <c r="F18" i="65"/>
  <c r="G18" i="65" s="1"/>
  <c r="H18" i="65" s="1"/>
  <c r="E18" i="65"/>
  <c r="F17" i="65"/>
  <c r="E17" i="65"/>
  <c r="F16" i="65"/>
  <c r="G16" i="65" s="1"/>
  <c r="E16" i="65"/>
  <c r="D15" i="65"/>
  <c r="F11" i="65"/>
  <c r="H11" i="65" s="1"/>
  <c r="H67" i="65" s="1"/>
  <c r="D11" i="65"/>
  <c r="E67" i="65" s="1"/>
  <c r="G10" i="65"/>
  <c r="F10" i="65"/>
  <c r="G9" i="65"/>
  <c r="F9" i="65"/>
  <c r="C66" i="60"/>
  <c r="C63" i="60"/>
  <c r="C67" i="60"/>
  <c r="C64" i="60"/>
  <c r="C61" i="60"/>
  <c r="C60" i="60"/>
  <c r="C59" i="60"/>
  <c r="C62" i="60"/>
  <c r="C44" i="60"/>
  <c r="C52" i="60"/>
  <c r="C53" i="60"/>
  <c r="C49" i="60"/>
  <c r="C47" i="60"/>
  <c r="C45" i="60"/>
  <c r="C51" i="60"/>
  <c r="C55" i="60"/>
  <c r="C50" i="60"/>
  <c r="C48" i="60"/>
  <c r="C46" i="60"/>
  <c r="F78" i="67" l="1"/>
  <c r="D122" i="67" s="1"/>
  <c r="F122" i="67" s="1"/>
  <c r="H122" i="67" s="1"/>
  <c r="I122" i="67" s="1"/>
  <c r="F132" i="67"/>
  <c r="H132" i="67" s="1"/>
  <c r="I132" i="67" s="1"/>
  <c r="H118" i="67"/>
  <c r="I118" i="67" s="1"/>
  <c r="H79" i="67"/>
  <c r="I79" i="67" s="1"/>
  <c r="H123" i="67"/>
  <c r="I123" i="67" s="1"/>
  <c r="H97" i="67"/>
  <c r="I97" i="67" s="1"/>
  <c r="H121" i="67"/>
  <c r="I121" i="67" s="1"/>
  <c r="H73" i="67"/>
  <c r="I73" i="67" s="1"/>
  <c r="D117" i="67"/>
  <c r="F117" i="67" s="1"/>
  <c r="H76" i="67"/>
  <c r="I76" i="67" s="1"/>
  <c r="D120" i="67"/>
  <c r="F120" i="67" s="1"/>
  <c r="H100" i="67"/>
  <c r="I100" i="67" s="1"/>
  <c r="H119" i="67"/>
  <c r="I119" i="67" s="1"/>
  <c r="H88" i="66"/>
  <c r="I88" i="66" s="1"/>
  <c r="D132" i="66"/>
  <c r="F132" i="66" s="1"/>
  <c r="H132" i="66" s="1"/>
  <c r="I132" i="66" s="1"/>
  <c r="F12" i="65"/>
  <c r="H10" i="65"/>
  <c r="H16" i="65"/>
  <c r="F54" i="65"/>
  <c r="H9" i="65"/>
  <c r="G17" i="65"/>
  <c r="H17" i="65" s="1"/>
  <c r="G19" i="65"/>
  <c r="H19" i="65" s="1"/>
  <c r="G21" i="65"/>
  <c r="H21" i="65" s="1"/>
  <c r="C31" i="60"/>
  <c r="G9" i="60"/>
  <c r="E9" i="60"/>
  <c r="C9" i="60"/>
  <c r="C28" i="60"/>
  <c r="C33" i="60"/>
  <c r="C39" i="60"/>
  <c r="C37" i="60"/>
  <c r="C32" i="60"/>
  <c r="C35" i="60"/>
  <c r="C29" i="60"/>
  <c r="C36" i="60"/>
  <c r="C38" i="60"/>
  <c r="C34" i="60"/>
  <c r="C30" i="60"/>
  <c r="G22" i="60"/>
  <c r="G11" i="60"/>
  <c r="G6" i="60"/>
  <c r="E7" i="60"/>
  <c r="C7" i="60"/>
  <c r="G7" i="60"/>
  <c r="G8" i="60"/>
  <c r="G21" i="60"/>
  <c r="E21" i="60"/>
  <c r="C21" i="60"/>
  <c r="E15" i="60"/>
  <c r="C15" i="60"/>
  <c r="E18" i="60"/>
  <c r="C18" i="60"/>
  <c r="E17" i="60"/>
  <c r="C17" i="60"/>
  <c r="C19" i="60"/>
  <c r="E20" i="60"/>
  <c r="C20" i="60"/>
  <c r="E12" i="60"/>
  <c r="C12" i="60"/>
  <c r="E13" i="60"/>
  <c r="C13" i="60"/>
  <c r="E16" i="60"/>
  <c r="C16" i="60"/>
  <c r="H78" i="67" l="1"/>
  <c r="I78" i="67" s="1"/>
  <c r="H120" i="67"/>
  <c r="I120" i="67" s="1"/>
  <c r="H117" i="67"/>
  <c r="I117" i="67" s="1"/>
  <c r="G54" i="65"/>
  <c r="H54" i="65"/>
  <c r="G14" i="60"/>
  <c r="E14" i="60"/>
  <c r="C14" i="60"/>
  <c r="D37" i="42" l="1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B18" i="59" l="1"/>
  <c r="B17" i="59"/>
  <c r="A19" i="59"/>
  <c r="B8" i="59"/>
  <c r="B9" i="59" s="1"/>
  <c r="G8" i="6" l="1"/>
  <c r="G8" i="65"/>
  <c r="B7" i="59"/>
  <c r="A6" i="59"/>
  <c r="G10" i="6"/>
  <c r="F10" i="6"/>
  <c r="G9" i="6"/>
  <c r="F9" i="6"/>
  <c r="H66" i="6"/>
  <c r="H65" i="6"/>
  <c r="F53" i="6"/>
  <c r="G53" i="6" s="1"/>
  <c r="E53" i="6"/>
  <c r="F52" i="6"/>
  <c r="G52" i="6" s="1"/>
  <c r="H52" i="6" s="1"/>
  <c r="E52" i="6"/>
  <c r="F51" i="6"/>
  <c r="G51" i="6" s="1"/>
  <c r="E51" i="6"/>
  <c r="F50" i="6"/>
  <c r="G50" i="6" s="1"/>
  <c r="E50" i="6"/>
  <c r="F49" i="6"/>
  <c r="G49" i="6" s="1"/>
  <c r="E49" i="6"/>
  <c r="F48" i="6"/>
  <c r="G48" i="6" s="1"/>
  <c r="E48" i="6"/>
  <c r="F47" i="6"/>
  <c r="G47" i="6" s="1"/>
  <c r="E47" i="6"/>
  <c r="F46" i="6"/>
  <c r="G46" i="6" s="1"/>
  <c r="E46" i="6"/>
  <c r="F45" i="6"/>
  <c r="G45" i="6" s="1"/>
  <c r="E45" i="6"/>
  <c r="F44" i="6"/>
  <c r="G44" i="6" s="1"/>
  <c r="E44" i="6"/>
  <c r="F43" i="6"/>
  <c r="G43" i="6" s="1"/>
  <c r="E43" i="6"/>
  <c r="F42" i="6"/>
  <c r="G42" i="6" s="1"/>
  <c r="E42" i="6"/>
  <c r="D41" i="6"/>
  <c r="F40" i="6"/>
  <c r="E40" i="6"/>
  <c r="F39" i="6"/>
  <c r="G39" i="6" s="1"/>
  <c r="E39" i="6"/>
  <c r="F38" i="6"/>
  <c r="G38" i="6" s="1"/>
  <c r="E38" i="6"/>
  <c r="F37" i="6"/>
  <c r="G37" i="6" s="1"/>
  <c r="E37" i="6"/>
  <c r="F36" i="6"/>
  <c r="G36" i="6" s="1"/>
  <c r="E36" i="6"/>
  <c r="F35" i="6"/>
  <c r="G35" i="6" s="1"/>
  <c r="E35" i="6"/>
  <c r="F34" i="6"/>
  <c r="G34" i="6" s="1"/>
  <c r="E34" i="6"/>
  <c r="F32" i="6"/>
  <c r="G32" i="6" s="1"/>
  <c r="F33" i="6"/>
  <c r="G33" i="6" s="1"/>
  <c r="E33" i="6"/>
  <c r="E32" i="6"/>
  <c r="F31" i="6"/>
  <c r="G31" i="6" s="1"/>
  <c r="E31" i="6"/>
  <c r="F30" i="6"/>
  <c r="G30" i="6" s="1"/>
  <c r="E30" i="6"/>
  <c r="F29" i="6"/>
  <c r="G29" i="6" s="1"/>
  <c r="E29" i="6"/>
  <c r="F28" i="6"/>
  <c r="G28" i="6" s="1"/>
  <c r="E28" i="6"/>
  <c r="F27" i="6"/>
  <c r="G27" i="6" s="1"/>
  <c r="E27" i="6"/>
  <c r="F26" i="6"/>
  <c r="G26" i="6" s="1"/>
  <c r="E26" i="6"/>
  <c r="F25" i="6"/>
  <c r="G25" i="6" s="1"/>
  <c r="E25" i="6"/>
  <c r="F24" i="6"/>
  <c r="G24" i="6" s="1"/>
  <c r="E24" i="6"/>
  <c r="D23" i="6"/>
  <c r="F22" i="6"/>
  <c r="G22" i="6" s="1"/>
  <c r="E22" i="6"/>
  <c r="F21" i="6"/>
  <c r="G21" i="6" s="1"/>
  <c r="E21" i="6"/>
  <c r="F20" i="6"/>
  <c r="G20" i="6" s="1"/>
  <c r="E20" i="6"/>
  <c r="F19" i="6"/>
  <c r="G19" i="6" s="1"/>
  <c r="E19" i="6"/>
  <c r="F18" i="6"/>
  <c r="G18" i="6" s="1"/>
  <c r="E18" i="6"/>
  <c r="F17" i="6"/>
  <c r="G17" i="6" s="1"/>
  <c r="E17" i="6"/>
  <c r="F16" i="6"/>
  <c r="G16" i="6" s="1"/>
  <c r="E16" i="6"/>
  <c r="D15" i="6"/>
  <c r="F11" i="6"/>
  <c r="H11" i="6" s="1"/>
  <c r="H67" i="6" s="1"/>
  <c r="D11" i="6"/>
  <c r="E67" i="6" s="1"/>
  <c r="E65" i="6"/>
  <c r="G12" i="65" l="1"/>
  <c r="H8" i="65"/>
  <c r="H10" i="6"/>
  <c r="H9" i="6"/>
  <c r="H40" i="6"/>
  <c r="H39" i="6"/>
  <c r="H53" i="6"/>
  <c r="H38" i="6"/>
  <c r="H37" i="6"/>
  <c r="H36" i="6"/>
  <c r="H51" i="6"/>
  <c r="H50" i="6"/>
  <c r="H49" i="6"/>
  <c r="H48" i="6"/>
  <c r="H47" i="6"/>
  <c r="H33" i="6"/>
  <c r="H32" i="6"/>
  <c r="H31" i="6"/>
  <c r="H30" i="6"/>
  <c r="H29" i="6"/>
  <c r="H28" i="6"/>
  <c r="H27" i="6"/>
  <c r="H26" i="6"/>
  <c r="H46" i="6"/>
  <c r="H45" i="6"/>
  <c r="H43" i="6"/>
  <c r="H44" i="6"/>
  <c r="H42" i="6"/>
  <c r="H25" i="6"/>
  <c r="H24" i="6"/>
  <c r="G54" i="6"/>
  <c r="G56" i="6" s="1"/>
  <c r="B12" i="50"/>
  <c r="C12" i="50"/>
  <c r="D12" i="50"/>
  <c r="E12" i="50"/>
  <c r="F12" i="50"/>
  <c r="G12" i="50"/>
  <c r="H12" i="50"/>
  <c r="I12" i="50"/>
  <c r="J12" i="50"/>
  <c r="K12" i="50"/>
  <c r="L12" i="50"/>
  <c r="B13" i="50"/>
  <c r="C13" i="50"/>
  <c r="D13" i="50"/>
  <c r="E13" i="50"/>
  <c r="F13" i="50"/>
  <c r="G13" i="50"/>
  <c r="H13" i="50"/>
  <c r="I13" i="50"/>
  <c r="J13" i="50"/>
  <c r="K13" i="50"/>
  <c r="L13" i="50"/>
  <c r="B14" i="50"/>
  <c r="C14" i="50"/>
  <c r="D14" i="50"/>
  <c r="E14" i="50"/>
  <c r="F14" i="50"/>
  <c r="G14" i="50"/>
  <c r="H14" i="50"/>
  <c r="I14" i="50"/>
  <c r="J14" i="50"/>
  <c r="K14" i="50"/>
  <c r="L14" i="50"/>
  <c r="B15" i="50"/>
  <c r="C15" i="50"/>
  <c r="D15" i="50"/>
  <c r="E15" i="50"/>
  <c r="F15" i="50"/>
  <c r="G15" i="50"/>
  <c r="H15" i="50"/>
  <c r="I15" i="50"/>
  <c r="J15" i="50"/>
  <c r="K15" i="50"/>
  <c r="L15" i="50"/>
  <c r="B16" i="50"/>
  <c r="C16" i="50"/>
  <c r="D16" i="50"/>
  <c r="E16" i="50"/>
  <c r="F16" i="50"/>
  <c r="G16" i="50"/>
  <c r="H16" i="50"/>
  <c r="I16" i="50"/>
  <c r="J16" i="50"/>
  <c r="K16" i="50"/>
  <c r="L16" i="50"/>
  <c r="P20" i="50"/>
  <c r="P22" i="50"/>
  <c r="H69" i="65" l="1"/>
  <c r="H12" i="65"/>
  <c r="M13" i="50"/>
  <c r="M15" i="50"/>
  <c r="M12" i="50"/>
  <c r="M14" i="50"/>
  <c r="M16" i="50"/>
  <c r="E11" i="51"/>
  <c r="E54" i="51"/>
  <c r="E45" i="51"/>
  <c r="E43" i="51"/>
  <c r="E42" i="51"/>
  <c r="E36" i="51"/>
  <c r="E32" i="51"/>
  <c r="E30" i="51"/>
  <c r="E25" i="51"/>
  <c r="F39" i="2" l="1"/>
  <c r="F40" i="2" l="1"/>
  <c r="C65" i="60" s="1"/>
  <c r="H20" i="6"/>
  <c r="H21" i="6"/>
  <c r="G10" i="60" l="1"/>
  <c r="H48" i="2"/>
  <c r="I48" i="2" s="1"/>
  <c r="H47" i="2"/>
  <c r="I47" i="2" s="1"/>
  <c r="H46" i="2"/>
  <c r="I46" i="2" s="1"/>
  <c r="H45" i="2"/>
  <c r="I45" i="2" s="1"/>
  <c r="H44" i="2"/>
  <c r="I44" i="2" s="1"/>
  <c r="H34" i="6" l="1"/>
  <c r="G20" i="55" l="1"/>
  <c r="G32" i="55"/>
  <c r="H17" i="6"/>
  <c r="G26" i="55"/>
  <c r="H16" i="6" l="1"/>
  <c r="E50" i="51"/>
  <c r="E29" i="52"/>
  <c r="E28" i="52"/>
  <c r="E27" i="52"/>
  <c r="E26" i="52"/>
  <c r="E25" i="52"/>
  <c r="D20" i="58"/>
  <c r="C20" i="58"/>
  <c r="D19" i="58"/>
  <c r="C19" i="58"/>
  <c r="D18" i="58"/>
  <c r="C18" i="58"/>
  <c r="D17" i="58"/>
  <c r="C17" i="58"/>
  <c r="D16" i="58"/>
  <c r="C16" i="58"/>
  <c r="B29" i="58"/>
  <c r="B28" i="58"/>
  <c r="B27" i="58"/>
  <c r="B26" i="58"/>
  <c r="B25" i="58"/>
  <c r="H20" i="58"/>
  <c r="G20" i="58"/>
  <c r="F20" i="58"/>
  <c r="E20" i="58"/>
  <c r="G19" i="58"/>
  <c r="F19" i="58"/>
  <c r="E19" i="58"/>
  <c r="F18" i="58"/>
  <c r="E18" i="58"/>
  <c r="J16" i="58"/>
  <c r="E16" i="58"/>
  <c r="I15" i="58"/>
  <c r="H15" i="58"/>
  <c r="G15" i="58"/>
  <c r="F15" i="58"/>
  <c r="E15" i="58"/>
  <c r="E7" i="58"/>
  <c r="D7" i="58"/>
  <c r="D18" i="52"/>
  <c r="E7" i="52"/>
  <c r="D9" i="52"/>
  <c r="F10" i="52"/>
  <c r="H19" i="52"/>
  <c r="G19" i="52"/>
  <c r="F19" i="52"/>
  <c r="E19" i="52"/>
  <c r="I20" i="52"/>
  <c r="H20" i="52"/>
  <c r="D19" i="52"/>
  <c r="C19" i="52"/>
  <c r="C18" i="52"/>
  <c r="D17" i="52"/>
  <c r="C17" i="52"/>
  <c r="D7" i="52"/>
  <c r="E34" i="52"/>
  <c r="F34" i="52" s="1"/>
  <c r="F7" i="52" s="1"/>
  <c r="B28" i="52"/>
  <c r="H15" i="52"/>
  <c r="E55" i="51" l="1"/>
  <c r="F55" i="65"/>
  <c r="F55" i="6"/>
  <c r="I20" i="58"/>
  <c r="C21" i="58"/>
  <c r="D6" i="58" s="1"/>
  <c r="D9" i="58" s="1"/>
  <c r="I21" i="58"/>
  <c r="D29" i="58" s="1"/>
  <c r="J20" i="58"/>
  <c r="E21" i="58"/>
  <c r="D25" i="58" s="1"/>
  <c r="H19" i="58"/>
  <c r="H21" i="58" s="1"/>
  <c r="D28" i="58" s="1"/>
  <c r="G18" i="58"/>
  <c r="G21" i="58" s="1"/>
  <c r="D27" i="58" s="1"/>
  <c r="D21" i="58"/>
  <c r="E17" i="58"/>
  <c r="J19" i="52"/>
  <c r="G55" i="65" l="1"/>
  <c r="G56" i="65" s="1"/>
  <c r="G58" i="65" s="1"/>
  <c r="F56" i="65"/>
  <c r="F58" i="65" s="1"/>
  <c r="C25" i="58"/>
  <c r="C30" i="58" s="1"/>
  <c r="J18" i="58"/>
  <c r="J19" i="58"/>
  <c r="F17" i="58"/>
  <c r="F21" i="58" s="1"/>
  <c r="D26" i="58" s="1"/>
  <c r="C16" i="55"/>
  <c r="B16" i="55"/>
  <c r="F12" i="55"/>
  <c r="E12" i="55"/>
  <c r="F11" i="55"/>
  <c r="E11" i="55"/>
  <c r="G11" i="55" s="1"/>
  <c r="F10" i="55"/>
  <c r="E10" i="55"/>
  <c r="H55" i="65" l="1"/>
  <c r="H56" i="65" s="1"/>
  <c r="H61" i="65" s="1"/>
  <c r="F17" i="50"/>
  <c r="K17" i="50"/>
  <c r="E17" i="50"/>
  <c r="I17" i="50"/>
  <c r="G17" i="50"/>
  <c r="G10" i="55"/>
  <c r="H17" i="50"/>
  <c r="J17" i="50"/>
  <c r="L17" i="50"/>
  <c r="D17" i="50"/>
  <c r="C17" i="50"/>
  <c r="D30" i="58"/>
  <c r="J17" i="58"/>
  <c r="J21" i="58" s="1"/>
  <c r="E6" i="58" s="1"/>
  <c r="E9" i="58" s="1"/>
  <c r="G12" i="55"/>
  <c r="G10" i="2"/>
  <c r="G9" i="2"/>
  <c r="B29" i="52"/>
  <c r="B27" i="52"/>
  <c r="B26" i="52"/>
  <c r="B25" i="52"/>
  <c r="G20" i="52"/>
  <c r="F20" i="52"/>
  <c r="E20" i="52"/>
  <c r="F18" i="52"/>
  <c r="E18" i="52"/>
  <c r="E17" i="52"/>
  <c r="G15" i="52"/>
  <c r="H58" i="65" l="1"/>
  <c r="G18" i="52"/>
  <c r="G21" i="52" s="1"/>
  <c r="D27" i="52" s="1"/>
  <c r="F27" i="52" s="1"/>
  <c r="H21" i="52" l="1"/>
  <c r="D28" i="52" s="1"/>
  <c r="F28" i="52" s="1"/>
  <c r="E5" i="55"/>
  <c r="J18" i="52" l="1"/>
  <c r="E13" i="55" l="1"/>
  <c r="E8" i="55"/>
  <c r="F7" i="55"/>
  <c r="E7" i="55"/>
  <c r="F14" i="55"/>
  <c r="F9" i="55"/>
  <c r="F6" i="55"/>
  <c r="E9" i="55"/>
  <c r="E6" i="55"/>
  <c r="F5" i="55"/>
  <c r="D21" i="52"/>
  <c r="E16" i="52"/>
  <c r="E21" i="52" s="1"/>
  <c r="C21" i="52"/>
  <c r="I15" i="52"/>
  <c r="F15" i="52"/>
  <c r="E15" i="52"/>
  <c r="D6" i="52" l="1"/>
  <c r="C25" i="52"/>
  <c r="F25" i="52" s="1"/>
  <c r="E14" i="55"/>
  <c r="G14" i="55" s="1"/>
  <c r="G6" i="55"/>
  <c r="F8" i="55"/>
  <c r="F13" i="55"/>
  <c r="G13" i="55" s="1"/>
  <c r="G9" i="55"/>
  <c r="G7" i="55"/>
  <c r="J16" i="52"/>
  <c r="F17" i="52"/>
  <c r="E16" i="55" l="1"/>
  <c r="C30" i="52"/>
  <c r="F16" i="55"/>
  <c r="G8" i="55"/>
  <c r="F21" i="52"/>
  <c r="D26" i="52" s="1"/>
  <c r="F26" i="52" s="1"/>
  <c r="I21" i="52"/>
  <c r="D29" i="52" s="1"/>
  <c r="F29" i="52" s="1"/>
  <c r="G5" i="55"/>
  <c r="J17" i="52"/>
  <c r="D25" i="52"/>
  <c r="G16" i="55" l="1"/>
  <c r="D30" i="52"/>
  <c r="J20" i="52"/>
  <c r="J21" i="52" s="1"/>
  <c r="E6" i="52" s="1"/>
  <c r="E9" i="52" s="1"/>
  <c r="F30" i="52"/>
  <c r="M17" i="50"/>
  <c r="G19" i="55" l="1"/>
  <c r="G21" i="55" s="1"/>
  <c r="G29" i="55"/>
  <c r="G31" i="55" s="1"/>
  <c r="G33" i="55" s="1"/>
  <c r="H55" i="6"/>
  <c r="M20" i="50"/>
  <c r="H62" i="65" s="1"/>
  <c r="F6" i="52"/>
  <c r="F9" i="52" s="1"/>
  <c r="G23" i="55"/>
  <c r="G25" i="55" s="1"/>
  <c r="G27" i="55" s="1"/>
  <c r="P17" i="50"/>
  <c r="Q17" i="50" s="1"/>
  <c r="H62" i="6" l="1"/>
  <c r="Q20" i="50"/>
  <c r="F11" i="52"/>
  <c r="M22" i="50"/>
  <c r="H63" i="65" s="1"/>
  <c r="H64" i="65" s="1"/>
  <c r="H68" i="65" s="1"/>
  <c r="H70" i="65" s="1"/>
  <c r="H71" i="65" s="1"/>
  <c r="H63" i="6" l="1"/>
  <c r="Q22" i="50"/>
  <c r="H35" i="6"/>
  <c r="H22" i="6"/>
  <c r="H19" i="6"/>
  <c r="H18" i="6"/>
  <c r="F12" i="6" l="1"/>
  <c r="F54" i="6"/>
  <c r="H54" i="6" l="1"/>
  <c r="F56" i="6"/>
  <c r="G12" i="6" l="1"/>
  <c r="G58" i="6" s="1"/>
  <c r="H8" i="6"/>
  <c r="H69" i="6" s="1"/>
  <c r="H56" i="6"/>
  <c r="F58" i="6"/>
  <c r="H61" i="6" l="1"/>
  <c r="H64" i="6" s="1"/>
  <c r="H68" i="6" l="1"/>
  <c r="B16" i="59" s="1"/>
  <c r="B20" i="59" s="1"/>
  <c r="B21" i="59"/>
  <c r="F10" i="58"/>
  <c r="H12" i="6"/>
  <c r="H58" i="6" s="1"/>
  <c r="B22" i="59" l="1"/>
  <c r="H70" i="6"/>
  <c r="H71" i="6" s="1"/>
  <c r="E27" i="58"/>
  <c r="F27" i="58" s="1"/>
  <c r="F17" i="66" l="1"/>
  <c r="D63" i="66" s="1"/>
  <c r="F63" i="66" s="1"/>
  <c r="F20" i="66"/>
  <c r="D66" i="66" s="1"/>
  <c r="F66" i="66" s="1"/>
  <c r="F9" i="66"/>
  <c r="D55" i="66" s="1"/>
  <c r="F55" i="66" s="1"/>
  <c r="F7" i="66"/>
  <c r="D53" i="66" s="1"/>
  <c r="F53" i="66" s="1"/>
  <c r="F13" i="66"/>
  <c r="D59" i="66" s="1"/>
  <c r="F59" i="66" s="1"/>
  <c r="F12" i="66"/>
  <c r="D58" i="66" s="1"/>
  <c r="F58" i="66" s="1"/>
  <c r="F11" i="66"/>
  <c r="D57" i="66" s="1"/>
  <c r="F57" i="66" s="1"/>
  <c r="F21" i="66"/>
  <c r="F8" i="66"/>
  <c r="D54" i="66" s="1"/>
  <c r="F54" i="66" s="1"/>
  <c r="F23" i="66"/>
  <c r="D69" i="66" s="1"/>
  <c r="F69" i="66" s="1"/>
  <c r="F22" i="66"/>
  <c r="D68" i="66" s="1"/>
  <c r="F68" i="66" s="1"/>
  <c r="F10" i="66"/>
  <c r="D56" i="66" s="1"/>
  <c r="F56" i="66" s="1"/>
  <c r="F19" i="66"/>
  <c r="F18" i="66"/>
  <c r="F20" i="2"/>
  <c r="H20" i="2" s="1"/>
  <c r="I20" i="2" s="1"/>
  <c r="F22" i="2"/>
  <c r="H22" i="2" s="1"/>
  <c r="I22" i="2" s="1"/>
  <c r="F25" i="2"/>
  <c r="H25" i="2" s="1"/>
  <c r="I25" i="2" s="1"/>
  <c r="F19" i="2"/>
  <c r="H19" i="2" s="1"/>
  <c r="I19" i="2" s="1"/>
  <c r="F24" i="2"/>
  <c r="H24" i="2" s="1"/>
  <c r="I24" i="2" s="1"/>
  <c r="F23" i="2"/>
  <c r="H23" i="2" s="1"/>
  <c r="I23" i="2" s="1"/>
  <c r="F21" i="2"/>
  <c r="H21" i="2" s="1"/>
  <c r="I21" i="2" s="1"/>
  <c r="H40" i="2"/>
  <c r="I40" i="2" s="1"/>
  <c r="H39" i="2"/>
  <c r="I39" i="2" s="1"/>
  <c r="F12" i="2"/>
  <c r="F15" i="2"/>
  <c r="F9" i="2"/>
  <c r="F11" i="2"/>
  <c r="F10" i="2"/>
  <c r="F13" i="2"/>
  <c r="F14" i="2"/>
  <c r="E29" i="58"/>
  <c r="F29" i="58" s="1"/>
  <c r="E28" i="58"/>
  <c r="F28" i="58" s="1"/>
  <c r="F29" i="2" l="1"/>
  <c r="H29" i="2" s="1"/>
  <c r="I29" i="2" s="1"/>
  <c r="H17" i="66"/>
  <c r="I17" i="66" s="1"/>
  <c r="H20" i="66"/>
  <c r="I20" i="66" s="1"/>
  <c r="H23" i="66"/>
  <c r="I23" i="66" s="1"/>
  <c r="H68" i="66"/>
  <c r="I68" i="66" s="1"/>
  <c r="D112" i="66"/>
  <c r="F112" i="66" s="1"/>
  <c r="H112" i="66" s="1"/>
  <c r="I112" i="66" s="1"/>
  <c r="H21" i="66"/>
  <c r="I21" i="66" s="1"/>
  <c r="D67" i="66"/>
  <c r="F67" i="66" s="1"/>
  <c r="H69" i="66"/>
  <c r="I69" i="66" s="1"/>
  <c r="D113" i="66"/>
  <c r="F113" i="66" s="1"/>
  <c r="H113" i="66" s="1"/>
  <c r="I113" i="66" s="1"/>
  <c r="F74" i="66"/>
  <c r="D98" i="66"/>
  <c r="F98" i="66" s="1"/>
  <c r="H54" i="66"/>
  <c r="I54" i="66" s="1"/>
  <c r="H63" i="66"/>
  <c r="I63" i="66" s="1"/>
  <c r="D107" i="66"/>
  <c r="F107" i="66" s="1"/>
  <c r="H107" i="66" s="1"/>
  <c r="I107" i="66" s="1"/>
  <c r="H22" i="66"/>
  <c r="I22" i="66" s="1"/>
  <c r="H57" i="66"/>
  <c r="I57" i="66" s="1"/>
  <c r="D101" i="66"/>
  <c r="F101" i="66" s="1"/>
  <c r="F77" i="66"/>
  <c r="H58" i="66"/>
  <c r="I58" i="66" s="1"/>
  <c r="D102" i="66"/>
  <c r="F102" i="66" s="1"/>
  <c r="F78" i="66"/>
  <c r="H56" i="66"/>
  <c r="I56" i="66" s="1"/>
  <c r="D100" i="66"/>
  <c r="F100" i="66" s="1"/>
  <c r="F76" i="66"/>
  <c r="D97" i="66"/>
  <c r="F97" i="66" s="1"/>
  <c r="F73" i="66"/>
  <c r="H53" i="66"/>
  <c r="I53" i="66" s="1"/>
  <c r="H18" i="66"/>
  <c r="I18" i="66" s="1"/>
  <c r="D64" i="66"/>
  <c r="F64" i="66" s="1"/>
  <c r="H59" i="66"/>
  <c r="I59" i="66" s="1"/>
  <c r="D103" i="66"/>
  <c r="F103" i="66" s="1"/>
  <c r="F79" i="66"/>
  <c r="H55" i="66"/>
  <c r="I55" i="66" s="1"/>
  <c r="D99" i="66"/>
  <c r="F99" i="66" s="1"/>
  <c r="F75" i="66"/>
  <c r="H66" i="66"/>
  <c r="I66" i="66" s="1"/>
  <c r="D110" i="66"/>
  <c r="F110" i="66" s="1"/>
  <c r="H110" i="66" s="1"/>
  <c r="I110" i="66" s="1"/>
  <c r="H19" i="66"/>
  <c r="I19" i="66" s="1"/>
  <c r="D65" i="66"/>
  <c r="F65" i="66" s="1"/>
  <c r="H8" i="66"/>
  <c r="I8" i="66" s="1"/>
  <c r="F28" i="66"/>
  <c r="H10" i="66"/>
  <c r="I10" i="66" s="1"/>
  <c r="F30" i="66"/>
  <c r="H13" i="66"/>
  <c r="I13" i="66" s="1"/>
  <c r="F33" i="66"/>
  <c r="H13" i="2"/>
  <c r="I13" i="2" s="1"/>
  <c r="F33" i="2"/>
  <c r="H33" i="2" s="1"/>
  <c r="I33" i="2" s="1"/>
  <c r="H10" i="2"/>
  <c r="I10" i="2" s="1"/>
  <c r="F30" i="2"/>
  <c r="H30" i="2" s="1"/>
  <c r="I30" i="2" s="1"/>
  <c r="H11" i="2"/>
  <c r="I11" i="2" s="1"/>
  <c r="F31" i="2"/>
  <c r="H31" i="2" s="1"/>
  <c r="I31" i="2" s="1"/>
  <c r="H12" i="66"/>
  <c r="I12" i="66" s="1"/>
  <c r="F32" i="66"/>
  <c r="F29" i="66"/>
  <c r="H9" i="66"/>
  <c r="I9" i="66" s="1"/>
  <c r="F31" i="66"/>
  <c r="H11" i="66"/>
  <c r="I11" i="66" s="1"/>
  <c r="H12" i="2"/>
  <c r="I12" i="2" s="1"/>
  <c r="F32" i="2"/>
  <c r="H32" i="2" s="1"/>
  <c r="I32" i="2" s="1"/>
  <c r="H14" i="2"/>
  <c r="I14" i="2" s="1"/>
  <c r="F34" i="2"/>
  <c r="H34" i="2" s="1"/>
  <c r="I34" i="2" s="1"/>
  <c r="F27" i="66"/>
  <c r="H7" i="66"/>
  <c r="I7" i="66" s="1"/>
  <c r="H15" i="2"/>
  <c r="I15" i="2" s="1"/>
  <c r="F35" i="2"/>
  <c r="H35" i="2" s="1"/>
  <c r="I35" i="2" s="1"/>
  <c r="C54" i="60"/>
  <c r="C40" i="60"/>
  <c r="E10" i="60"/>
  <c r="C10" i="60"/>
  <c r="E52" i="42"/>
  <c r="F52" i="42" s="1"/>
  <c r="G52" i="42" s="1"/>
  <c r="E51" i="42"/>
  <c r="F51" i="42" s="1"/>
  <c r="G51" i="42" s="1"/>
  <c r="E43" i="42"/>
  <c r="F43" i="42" s="1"/>
  <c r="G43" i="42" s="1"/>
  <c r="E50" i="42"/>
  <c r="F50" i="42" s="1"/>
  <c r="G50" i="42" s="1"/>
  <c r="E42" i="42"/>
  <c r="F42" i="42" s="1"/>
  <c r="G42" i="42" s="1"/>
  <c r="E49" i="42"/>
  <c r="F49" i="42" s="1"/>
  <c r="G49" i="42" s="1"/>
  <c r="E41" i="42"/>
  <c r="F41" i="42" s="1"/>
  <c r="G41" i="42" s="1"/>
  <c r="E44" i="42"/>
  <c r="F44" i="42" s="1"/>
  <c r="G44" i="42" s="1"/>
  <c r="E48" i="42"/>
  <c r="F48" i="42" s="1"/>
  <c r="G48" i="42" s="1"/>
  <c r="E40" i="42"/>
  <c r="F40" i="42" s="1"/>
  <c r="G40" i="42" s="1"/>
  <c r="E37" i="42"/>
  <c r="F37" i="42" s="1"/>
  <c r="G37" i="42" s="1"/>
  <c r="E47" i="42"/>
  <c r="F47" i="42" s="1"/>
  <c r="G47" i="42" s="1"/>
  <c r="E39" i="42"/>
  <c r="F39" i="42" s="1"/>
  <c r="G39" i="42" s="1"/>
  <c r="E45" i="42"/>
  <c r="F45" i="42" s="1"/>
  <c r="G45" i="42" s="1"/>
  <c r="E46" i="42"/>
  <c r="F46" i="42" s="1"/>
  <c r="G46" i="42" s="1"/>
  <c r="E38" i="42"/>
  <c r="F38" i="42" s="1"/>
  <c r="G38" i="42" s="1"/>
  <c r="H9" i="2"/>
  <c r="I9" i="2" s="1"/>
  <c r="E23" i="42"/>
  <c r="F23" i="42" s="1"/>
  <c r="G23" i="42" s="1"/>
  <c r="E22" i="42"/>
  <c r="F22" i="42" s="1"/>
  <c r="G22" i="42" s="1"/>
  <c r="E14" i="42"/>
  <c r="F14" i="42" s="1"/>
  <c r="G14" i="42" s="1"/>
  <c r="E13" i="42"/>
  <c r="F13" i="42" s="1"/>
  <c r="G13" i="42" s="1"/>
  <c r="E21" i="42"/>
  <c r="F21" i="42" s="1"/>
  <c r="G21" i="42" s="1"/>
  <c r="E20" i="42"/>
  <c r="F20" i="42" s="1"/>
  <c r="G20" i="42" s="1"/>
  <c r="E12" i="42"/>
  <c r="F12" i="42" s="1"/>
  <c r="G12" i="42" s="1"/>
  <c r="E11" i="42"/>
  <c r="F11" i="42" s="1"/>
  <c r="G11" i="42" s="1"/>
  <c r="E10" i="42"/>
  <c r="F10" i="42" s="1"/>
  <c r="G10" i="42" s="1"/>
  <c r="E19" i="42"/>
  <c r="F19" i="42" s="1"/>
  <c r="G19" i="42" s="1"/>
  <c r="E18" i="42"/>
  <c r="F18" i="42" s="1"/>
  <c r="G18" i="42" s="1"/>
  <c r="E17" i="42"/>
  <c r="F17" i="42" s="1"/>
  <c r="G17" i="42" s="1"/>
  <c r="E9" i="42"/>
  <c r="F9" i="42" s="1"/>
  <c r="G9" i="42" s="1"/>
  <c r="E8" i="42"/>
  <c r="F8" i="42" s="1"/>
  <c r="G8" i="42" s="1"/>
  <c r="E15" i="42"/>
  <c r="F15" i="42" s="1"/>
  <c r="G15" i="42" s="1"/>
  <c r="E16" i="42"/>
  <c r="F16" i="42" s="1"/>
  <c r="G16" i="42" s="1"/>
  <c r="E34" i="58"/>
  <c r="F34" i="58" s="1"/>
  <c r="F7" i="58" s="1"/>
  <c r="E26" i="58"/>
  <c r="F26" i="58" s="1"/>
  <c r="E25" i="58"/>
  <c r="F25" i="58" s="1"/>
  <c r="H99" i="66" l="1"/>
  <c r="I99" i="66" s="1"/>
  <c r="F119" i="66"/>
  <c r="D117" i="66"/>
  <c r="D121" i="66"/>
  <c r="D118" i="66"/>
  <c r="F118" i="66"/>
  <c r="H98" i="66"/>
  <c r="I98" i="66" s="1"/>
  <c r="H28" i="66"/>
  <c r="I28" i="66" s="1"/>
  <c r="D74" i="66"/>
  <c r="H74" i="66" s="1"/>
  <c r="I74" i="66" s="1"/>
  <c r="F117" i="66"/>
  <c r="H97" i="66"/>
  <c r="I97" i="66" s="1"/>
  <c r="H101" i="66"/>
  <c r="I101" i="66" s="1"/>
  <c r="F121" i="66"/>
  <c r="H30" i="66"/>
  <c r="I30" i="66" s="1"/>
  <c r="D76" i="66"/>
  <c r="H76" i="66" s="1"/>
  <c r="I76" i="66" s="1"/>
  <c r="D119" i="66"/>
  <c r="H31" i="66"/>
  <c r="I31" i="66" s="1"/>
  <c r="D77" i="66"/>
  <c r="H77" i="66" s="1"/>
  <c r="I77" i="66" s="1"/>
  <c r="D123" i="66"/>
  <c r="D120" i="66"/>
  <c r="H65" i="66"/>
  <c r="I65" i="66" s="1"/>
  <c r="D109" i="66"/>
  <c r="F109" i="66" s="1"/>
  <c r="H109" i="66" s="1"/>
  <c r="I109" i="66" s="1"/>
  <c r="H103" i="66"/>
  <c r="I103" i="66" s="1"/>
  <c r="F123" i="66"/>
  <c r="H100" i="66"/>
  <c r="I100" i="66" s="1"/>
  <c r="F120" i="66"/>
  <c r="H67" i="66"/>
  <c r="I67" i="66" s="1"/>
  <c r="D111" i="66"/>
  <c r="F111" i="66" s="1"/>
  <c r="H111" i="66" s="1"/>
  <c r="I111" i="66" s="1"/>
  <c r="H27" i="66"/>
  <c r="I27" i="66" s="1"/>
  <c r="D73" i="66"/>
  <c r="H73" i="66" s="1"/>
  <c r="I73" i="66" s="1"/>
  <c r="H29" i="66"/>
  <c r="I29" i="66" s="1"/>
  <c r="D75" i="66"/>
  <c r="H75" i="66" s="1"/>
  <c r="I75" i="66" s="1"/>
  <c r="H32" i="66"/>
  <c r="I32" i="66" s="1"/>
  <c r="D78" i="66"/>
  <c r="H78" i="66" s="1"/>
  <c r="I78" i="66" s="1"/>
  <c r="H33" i="66"/>
  <c r="I33" i="66" s="1"/>
  <c r="D79" i="66"/>
  <c r="H79" i="66" s="1"/>
  <c r="I79" i="66" s="1"/>
  <c r="H64" i="66"/>
  <c r="I64" i="66" s="1"/>
  <c r="D108" i="66"/>
  <c r="F108" i="66" s="1"/>
  <c r="H108" i="66" s="1"/>
  <c r="I108" i="66" s="1"/>
  <c r="D122" i="66"/>
  <c r="F122" i="66"/>
  <c r="H102" i="66"/>
  <c r="I102" i="66" s="1"/>
  <c r="F30" i="58"/>
  <c r="F6" i="58" s="1"/>
  <c r="F9" i="58" s="1"/>
  <c r="F11" i="58" s="1"/>
  <c r="H121" i="66" l="1"/>
  <c r="I121" i="66" s="1"/>
  <c r="H120" i="66"/>
  <c r="I120" i="66" s="1"/>
  <c r="H123" i="66"/>
  <c r="I123" i="66" s="1"/>
  <c r="H122" i="66"/>
  <c r="I122" i="66" s="1"/>
  <c r="H117" i="66"/>
  <c r="I117" i="66" s="1"/>
  <c r="H119" i="66"/>
  <c r="I119" i="66" s="1"/>
  <c r="H118" i="66"/>
  <c r="I118" i="66" s="1"/>
</calcChain>
</file>

<file path=xl/sharedStrings.xml><?xml version="1.0" encoding="utf-8"?>
<sst xmlns="http://schemas.openxmlformats.org/spreadsheetml/2006/main" count="954" uniqueCount="229">
  <si>
    <t>Total Operating Expenses</t>
  </si>
  <si>
    <t>Proposed</t>
  </si>
  <si>
    <t>Total</t>
  </si>
  <si>
    <t>Gallons</t>
  </si>
  <si>
    <t>Operating Revenues</t>
  </si>
  <si>
    <t>Total Operating Revenues</t>
  </si>
  <si>
    <t>Depreciation Expense</t>
  </si>
  <si>
    <t>REVENUE REQUIREMENTS</t>
  </si>
  <si>
    <t>Plus:</t>
  </si>
  <si>
    <t>Less:</t>
  </si>
  <si>
    <t>Existing</t>
  </si>
  <si>
    <t>Change</t>
  </si>
  <si>
    <t>Table A</t>
  </si>
  <si>
    <t>SCHEDULE OF ADJUSTED OPERATIONS</t>
  </si>
  <si>
    <t>Test Year</t>
  </si>
  <si>
    <t>Adjustments</t>
  </si>
  <si>
    <t>Proforma</t>
  </si>
  <si>
    <t>Total Utility Operating Income</t>
  </si>
  <si>
    <t>Pro Forma Operating Expenses</t>
  </si>
  <si>
    <t>SUMMARY</t>
  </si>
  <si>
    <t>FIRST</t>
  </si>
  <si>
    <t>ALL OVER</t>
  </si>
  <si>
    <t>USAGE</t>
  </si>
  <si>
    <t>BILLS</t>
  </si>
  <si>
    <t>TOTAL</t>
  </si>
  <si>
    <t>RATE</t>
  </si>
  <si>
    <t>REVENUE</t>
  </si>
  <si>
    <t>CURRENT AND PROPOSED RATES</t>
  </si>
  <si>
    <t>Current</t>
  </si>
  <si>
    <t>Total Revenue Requirement</t>
  </si>
  <si>
    <t>Required Revenue Increase</t>
  </si>
  <si>
    <t>Difference</t>
  </si>
  <si>
    <t>Bill</t>
  </si>
  <si>
    <t>Percentage</t>
  </si>
  <si>
    <t>TOTALS</t>
  </si>
  <si>
    <t>* Highlighted usage represents the average residential bill.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</si>
  <si>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</si>
  <si>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</si>
  <si>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</si>
  <si>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</si>
  <si>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</si>
  <si>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</si>
  <si>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</si>
  <si>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</si>
  <si>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</si>
  <si>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</si>
  <si>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</si>
  <si>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</si>
  <si>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</si>
  <si>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</si>
  <si>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</si>
  <si>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</si>
  <si>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</si>
  <si>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</si>
  <si>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</si>
  <si>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</si>
  <si>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</si>
  <si>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</si>
  <si>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</si>
  <si>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</si>
  <si>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</si>
  <si>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</si>
  <si>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</si>
  <si>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</si>
  <si>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</si>
  <si>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</si>
  <si>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</si>
  <si>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</si>
  <si>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</si>
  <si>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</si>
  <si>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</si>
  <si>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</si>
  <si>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</si>
  <si>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</si>
  <si>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Office Furniture &amp; Equipment</t>
  </si>
  <si>
    <t>Power Operated Equipment</t>
  </si>
  <si>
    <t>Tools, Shop, &amp; Garage Equipment</t>
  </si>
  <si>
    <t>Pumping Equipment</t>
  </si>
  <si>
    <t>Hydrants</t>
  </si>
  <si>
    <t>Meter Installations</t>
  </si>
  <si>
    <t>Services</t>
  </si>
  <si>
    <t>Reservoirs &amp; Tanks</t>
  </si>
  <si>
    <t>RETAIL</t>
  </si>
  <si>
    <t>WHOLESALE</t>
  </si>
  <si>
    <t>RETAIL USAGE BY RATE INCREMENT</t>
  </si>
  <si>
    <t>NEXT</t>
  </si>
  <si>
    <t>RETAIL REVENUE BY RATE INCREMENT</t>
  </si>
  <si>
    <t>THOUSAND GALLONS</t>
  </si>
  <si>
    <t>Total Gross Wages</t>
  </si>
  <si>
    <t>COMPONENT</t>
  </si>
  <si>
    <t>LESS ADJUSTMENTS</t>
  </si>
  <si>
    <t>DIFFERENCE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</si>
  <si>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</si>
  <si>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</si>
  <si>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</si>
  <si>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</si>
  <si>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</si>
  <si>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Pension</t>
  </si>
  <si>
    <t>Eligible</t>
  </si>
  <si>
    <t>TABLE D</t>
  </si>
  <si>
    <t>CURRENT AND PROPOSED BILLS</t>
  </si>
  <si>
    <t>NET METERED WATER SALES</t>
  </si>
  <si>
    <t>CERS</t>
  </si>
  <si>
    <t>TABLE C</t>
  </si>
  <si>
    <t>REVENUE REQUIREMENT</t>
  </si>
  <si>
    <t>City of Dawson Springs</t>
  </si>
  <si>
    <t>FY 2023/2024 - 2027/2028</t>
  </si>
  <si>
    <t>FY 2023/2024</t>
  </si>
  <si>
    <t>FY 2024/2025</t>
  </si>
  <si>
    <t>FY 2025/2026</t>
  </si>
  <si>
    <t>FY 2026/2027</t>
  </si>
  <si>
    <t>FY 2027/2028</t>
  </si>
  <si>
    <t>Brian Thomas</t>
  </si>
  <si>
    <t>Neda Adams</t>
  </si>
  <si>
    <t>Keith Watson</t>
  </si>
  <si>
    <t>James Key</t>
  </si>
  <si>
    <t>Jake Morgan</t>
  </si>
  <si>
    <t>Zack Bivins</t>
  </si>
  <si>
    <t>Michael Midkiff</t>
  </si>
  <si>
    <t>Brandon Hayes</t>
  </si>
  <si>
    <t>Justin Horne</t>
  </si>
  <si>
    <t>Jason Asher</t>
  </si>
  <si>
    <t>WHOLESALE WATER RATES IN THOUSAND GALLONS</t>
  </si>
  <si>
    <t>Times: 26.79 Percent CERS Rate</t>
  </si>
  <si>
    <t>per Month</t>
  </si>
  <si>
    <t>CURRENT BILLING ANALYSIS WITH 2021-2022 USAGE &amp; EXISTING RATES</t>
  </si>
  <si>
    <t>ALL USAGE</t>
  </si>
  <si>
    <t>WHOLESALE USAGE AND REVENUE</t>
  </si>
  <si>
    <t>UNITS</t>
  </si>
  <si>
    <t>CUBIC FEET*</t>
  </si>
  <si>
    <t>Usage per rate block split for 4,000/6,000 and 14,000/16,000 to create usage for Next 3,000 and Next 15,000</t>
  </si>
  <si>
    <t>Intakes</t>
  </si>
  <si>
    <t>Wells &amp; Springs</t>
  </si>
  <si>
    <t>Galleries &amp; Tunnels</t>
  </si>
  <si>
    <t>Other Source of Supply</t>
  </si>
  <si>
    <t>Other Pumping Plant</t>
  </si>
  <si>
    <t>Fire Mains</t>
  </si>
  <si>
    <t>Meters</t>
  </si>
  <si>
    <t>Stores Equpment</t>
  </si>
  <si>
    <t>Laboratory Equipment</t>
  </si>
  <si>
    <t>Communcation Equipment</t>
  </si>
  <si>
    <t>Tank Painting</t>
  </si>
  <si>
    <t>Transmission Mains</t>
  </si>
  <si>
    <t>Water Line Replacement</t>
  </si>
  <si>
    <t>FROM ANNUAL REPORT</t>
  </si>
  <si>
    <t>Total Operation and Maintenance Expenses</t>
  </si>
  <si>
    <t>Percent Increase Retail Sales</t>
  </si>
  <si>
    <t>Expense</t>
  </si>
  <si>
    <t>Check Total</t>
  </si>
  <si>
    <t>City of Lancaster Kentucky Water System</t>
  </si>
  <si>
    <t>KENTUCKY RIVER AUTHORITY WITHDRAWAL FEE</t>
  </si>
  <si>
    <t>Subtotal</t>
  </si>
  <si>
    <t>Tier I Fee per Thousand Gallons</t>
  </si>
  <si>
    <t>Tier II Fee per Thousand Gallons</t>
  </si>
  <si>
    <t>Next 1,000 Gallons</t>
  </si>
  <si>
    <t>Next 10,000 Gallons</t>
  </si>
  <si>
    <t>Next 14,000 Gallons</t>
  </si>
  <si>
    <t>Next 24,000 Gallons</t>
  </si>
  <si>
    <t>Next 1,000,000 Gallons</t>
  </si>
  <si>
    <t>All Over 10,000,000 Gallons</t>
  </si>
  <si>
    <t>DEPRECIATION EXPENSE</t>
  </si>
  <si>
    <t>Operation and Maintenance Expenses</t>
  </si>
  <si>
    <t>Crab Orchard</t>
  </si>
  <si>
    <t>Water Retail</t>
  </si>
  <si>
    <t>Garrard County Water District</t>
  </si>
  <si>
    <t>Revenue from Water Retail Sales at Present Rates</t>
  </si>
  <si>
    <t>Current Billing Analysis</t>
  </si>
  <si>
    <t>City of Lancaster Usage Breakdown by Units</t>
  </si>
  <si>
    <t>Wholesale Rate Model Billing Analysis</t>
  </si>
  <si>
    <t>Current Revenues</t>
  </si>
  <si>
    <t>Water Grouped Trial Balance</t>
  </si>
  <si>
    <t>Less Water Grouped Trial Balance Revenues</t>
  </si>
  <si>
    <t>Adjustment</t>
  </si>
  <si>
    <t>Proposed Billing Analysis</t>
  </si>
  <si>
    <t xml:space="preserve">SAO Revenue Required </t>
  </si>
  <si>
    <t>Proposed Revenues</t>
  </si>
  <si>
    <t>Less Total Revenue Requirement</t>
  </si>
  <si>
    <t>SAO Total Revenue Requirement</t>
  </si>
  <si>
    <t>Revenue Required From Retail Sale of Water</t>
  </si>
  <si>
    <t>with Kentucky River Authority Withdrawal Fee</t>
  </si>
  <si>
    <t>Effective October 2023</t>
  </si>
  <si>
    <t>5/8 Inch Meter</t>
  </si>
  <si>
    <t>2 Inch Meter</t>
  </si>
  <si>
    <t>Comparison of Monthly Water Rates Near City of Lancaster Kentucky</t>
  </si>
  <si>
    <t>Wholesale</t>
  </si>
  <si>
    <t>Rank</t>
  </si>
  <si>
    <t xml:space="preserve">4,500 Gallons   </t>
  </si>
  <si>
    <t xml:space="preserve">300,000 Gallons  </t>
  </si>
  <si>
    <t>City of Lancaster Current Rates *</t>
  </si>
  <si>
    <t>City of Lancaster Proposed Rates *</t>
  </si>
  <si>
    <t>* Includes Kentucky River Authority Withdrawal Fee</t>
  </si>
  <si>
    <t>Estill County Water District #1</t>
  </si>
  <si>
    <t>2,478,330 Gallons</t>
  </si>
  <si>
    <t>Green-Taylor Water District</t>
  </si>
  <si>
    <t>East Clark County Water District</t>
  </si>
  <si>
    <t>East Casey County Water District</t>
  </si>
  <si>
    <t>Marion County Water District</t>
  </si>
  <si>
    <t>Lake Village Water Association</t>
  </si>
  <si>
    <t>Jessamine County Water District #1</t>
  </si>
  <si>
    <t>Jessamine -South Elkhorn Water District</t>
  </si>
  <si>
    <t>Garrard County Water Association</t>
  </si>
  <si>
    <t>Nicholasville Water Department</t>
  </si>
  <si>
    <t>City of Burkesville</t>
  </si>
  <si>
    <t>City of Stanford</t>
  </si>
  <si>
    <t>Richmond Utilities *</t>
  </si>
  <si>
    <t>Berea Municipal Utilities *</t>
  </si>
  <si>
    <t>City of Danville *</t>
  </si>
  <si>
    <t>Utility</t>
  </si>
  <si>
    <t>SCHEDULE OF ADJUSTED OPERATIONS with No Depreciation</t>
  </si>
  <si>
    <t>New</t>
  </si>
  <si>
    <t>Previous</t>
  </si>
  <si>
    <t>Next 950,000 Gallons</t>
  </si>
  <si>
    <t>All Over 1,000,000 Gallons</t>
  </si>
  <si>
    <t>Total KRA Fee per Thousand Gallons</t>
  </si>
  <si>
    <t>Adjustment to Recover Full Cost of KRA Fee per Thousand Gallons</t>
  </si>
  <si>
    <t>All Over 325,000,000 Gallons      Annual Purchase</t>
  </si>
  <si>
    <t>All Over 325,000,000 Gallons     Annual Purchase</t>
  </si>
  <si>
    <t>Minimum Monthly Bill                       for 1,000 Gallons</t>
  </si>
  <si>
    <t>First 325,000,000 Gallons      Minimum Annual Purchase</t>
  </si>
  <si>
    <t>RESIDENTIAL IN TOWN WATER RATES IN THOUSAND GALLONS</t>
  </si>
  <si>
    <t>RESIDENTIAL OUTSIDE TOWN WATER RATES IN THOUSAND GALLONS</t>
  </si>
  <si>
    <t>COMMERCIAL WATER RATES IN THOUSAND GALLONS</t>
  </si>
  <si>
    <t>EFFECTIVE JANUARY 1, 2024</t>
  </si>
  <si>
    <t>SEWER RATES IN THOUSAND GALLONS</t>
  </si>
  <si>
    <t>EFFECTIVE JANUARY 1, 2025</t>
  </si>
  <si>
    <t>EFFECTIVE JANUARY 1, 2026</t>
  </si>
  <si>
    <t>City of Mt. Vernon</t>
  </si>
  <si>
    <t>Western Rockcastle Water Association</t>
  </si>
  <si>
    <t>Effective October 2023 using Alternative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</si>
</sst>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[$$-409]* #,##0_);_([$$-409]* \(#,##0\);_([$$-409]* &quot;-&quot;??_);_(@_)"/>
    <numFmt numFmtId="169" formatCode="_(&quot;$&quot;* #,##0.0000_);_(&quot;$&quot;* \(#,##0.0000\);_(&quot;$&quot;* &quot;-&quot;??_);_(@_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&quot;$&quot;#,##0.00"/>
  </numFmts>
  <fonts count="27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i/>
      <sz val="14"/>
      <name val="Calibri"/>
      <family val="2"/>
      <scheme val="minor"/>
    </font>
    <font>
      <b/>
      <u/>
      <sz val="11"/>
      <name val="Calibri"/>
      <family val="2"/>
    </font>
    <font>
      <b/>
      <u val="singleAccounting"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76">
    <xf numFmtId="0" fontId="0" fillId="0" borderId="0" xfId="0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0" fillId="0" borderId="6" xfId="0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3" xfId="1" applyNumberFormat="1" applyFont="1" applyBorder="1"/>
    <xf numFmtId="165" fontId="3" fillId="0" borderId="2" xfId="1" applyNumberFormat="1" applyFont="1" applyBorder="1"/>
    <xf numFmtId="165" fontId="3" fillId="0" borderId="4" xfId="1" applyNumberFormat="1" applyFont="1" applyBorder="1"/>
    <xf numFmtId="165" fontId="3" fillId="0" borderId="7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43" fontId="3" fillId="0" borderId="0" xfId="1" applyFont="1"/>
    <xf numFmtId="165" fontId="9" fillId="0" borderId="0" xfId="1" applyNumberFormat="1" applyFont="1" applyBorder="1" applyAlignment="1">
      <alignment horizontal="center"/>
    </xf>
    <xf numFmtId="43" fontId="3" fillId="0" borderId="0" xfId="1" applyFont="1" applyBorder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5" applyNumberFormat="1" applyFont="1" applyBorder="1"/>
    <xf numFmtId="0" fontId="13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7" fontId="8" fillId="0" borderId="0" xfId="5" applyNumberFormat="1" applyFont="1" applyBorder="1" applyAlignment="1">
      <alignment horizontal="center"/>
    </xf>
    <xf numFmtId="43" fontId="3" fillId="0" borderId="0" xfId="1" applyFont="1" applyBorder="1" applyAlignment="1"/>
    <xf numFmtId="43" fontId="3" fillId="0" borderId="7" xfId="1" applyFont="1" applyBorder="1"/>
    <xf numFmtId="43" fontId="9" fillId="0" borderId="0" xfId="1" applyFont="1" applyBorder="1" applyAlignment="1">
      <alignment horizontal="center"/>
    </xf>
    <xf numFmtId="44" fontId="3" fillId="0" borderId="0" xfId="2" applyFont="1" applyBorder="1" applyAlignment="1"/>
    <xf numFmtId="44" fontId="3" fillId="0" borderId="0" xfId="2" applyFont="1" applyBorder="1" applyAlignment="1">
      <alignment vertical="center"/>
    </xf>
    <xf numFmtId="165" fontId="3" fillId="0" borderId="1" xfId="0" applyNumberFormat="1" applyFont="1" applyBorder="1"/>
    <xf numFmtId="165" fontId="6" fillId="0" borderId="0" xfId="1" applyNumberFormat="1" applyFont="1"/>
    <xf numFmtId="165" fontId="9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/>
    </xf>
    <xf numFmtId="43" fontId="3" fillId="0" borderId="1" xfId="1" applyFont="1" applyBorder="1"/>
    <xf numFmtId="43" fontId="3" fillId="0" borderId="5" xfId="1" applyFont="1" applyBorder="1"/>
    <xf numFmtId="166" fontId="3" fillId="0" borderId="8" xfId="3" applyNumberFormat="1" applyFont="1" applyBorder="1"/>
    <xf numFmtId="165" fontId="3" fillId="2" borderId="0" xfId="1" applyNumberFormat="1" applyFont="1" applyFill="1" applyBorder="1"/>
    <xf numFmtId="43" fontId="3" fillId="2" borderId="0" xfId="1" applyFont="1" applyFill="1" applyBorder="1"/>
    <xf numFmtId="166" fontId="3" fillId="2" borderId="8" xfId="3" applyNumberFormat="1" applyFont="1" applyFill="1" applyBorder="1"/>
    <xf numFmtId="44" fontId="3" fillId="0" borderId="0" xfId="2" applyFont="1" applyBorder="1"/>
    <xf numFmtId="165" fontId="3" fillId="0" borderId="0" xfId="5" quotePrefix="1" applyNumberFormat="1" applyFont="1"/>
    <xf numFmtId="43" fontId="3" fillId="0" borderId="0" xfId="1" applyFont="1" applyBorder="1" applyAlignment="1">
      <alignment horizontal="center"/>
    </xf>
    <xf numFmtId="0" fontId="3" fillId="0" borderId="7" xfId="0" applyFont="1" applyBorder="1"/>
    <xf numFmtId="165" fontId="16" fillId="0" borderId="0" xfId="1" applyNumberFormat="1" applyFont="1"/>
    <xf numFmtId="165" fontId="3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10" fillId="0" borderId="0" xfId="1" quotePrefix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vertical="center"/>
    </xf>
    <xf numFmtId="10" fontId="3" fillId="0" borderId="0" xfId="3" applyNumberFormat="1" applyFont="1" applyBorder="1"/>
    <xf numFmtId="10" fontId="3" fillId="2" borderId="0" xfId="3" applyNumberFormat="1" applyFont="1" applyFill="1" applyBorder="1"/>
    <xf numFmtId="165" fontId="9" fillId="0" borderId="0" xfId="1" applyNumberFormat="1" applyFont="1" applyBorder="1" applyAlignment="1">
      <alignment vertical="center"/>
    </xf>
    <xf numFmtId="0" fontId="3" fillId="0" borderId="3" xfId="0" applyFont="1" applyBorder="1"/>
    <xf numFmtId="0" fontId="3" fillId="0" borderId="5" xfId="0" applyFont="1" applyBorder="1"/>
    <xf numFmtId="3" fontId="3" fillId="0" borderId="2" xfId="0" applyNumberFormat="1" applyFont="1" applyBorder="1"/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44" fontId="10" fillId="0" borderId="0" xfId="0" applyNumberFormat="1" applyFont="1" applyAlignment="1">
      <alignment horizontal="center"/>
    </xf>
    <xf numFmtId="167" fontId="3" fillId="0" borderId="0" xfId="5" applyNumberFormat="1" applyFont="1" applyAlignment="1"/>
    <xf numFmtId="167" fontId="3" fillId="0" borderId="2" xfId="5" applyNumberFormat="1" applyFont="1" applyBorder="1"/>
    <xf numFmtId="167" fontId="3" fillId="0" borderId="0" xfId="5" applyNumberFormat="1" applyFont="1" applyBorder="1" applyAlignment="1"/>
    <xf numFmtId="3" fontId="3" fillId="0" borderId="8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4" fontId="3" fillId="0" borderId="7" xfId="0" applyNumberFormat="1" applyFont="1" applyBorder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5" fontId="7" fillId="0" borderId="0" xfId="5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3" fontId="3" fillId="0" borderId="0" xfId="1" applyFont="1" applyAlignment="1">
      <alignment horizontal="right"/>
    </xf>
    <xf numFmtId="10" fontId="3" fillId="0" borderId="1" xfId="3" applyNumberFormat="1" applyFont="1" applyBorder="1"/>
    <xf numFmtId="2" fontId="3" fillId="0" borderId="0" xfId="0" applyNumberFormat="1" applyFont="1"/>
    <xf numFmtId="37" fontId="3" fillId="0" borderId="0" xfId="0" applyNumberFormat="1" applyFont="1" applyAlignment="1">
      <alignment horizontal="center"/>
    </xf>
    <xf numFmtId="165" fontId="3" fillId="0" borderId="0" xfId="1" applyNumberFormat="1" applyFont="1" applyBorder="1" applyAlignment="1"/>
    <xf numFmtId="164" fontId="3" fillId="0" borderId="0" xfId="6" applyNumberFormat="1" applyFont="1" applyBorder="1"/>
    <xf numFmtId="164" fontId="3" fillId="0" borderId="0" xfId="0" applyNumberFormat="1" applyFont="1"/>
    <xf numFmtId="164" fontId="0" fillId="0" borderId="0" xfId="0" applyNumberFormat="1" applyAlignment="1">
      <alignment vertical="top"/>
    </xf>
    <xf numFmtId="10" fontId="0" fillId="0" borderId="0" xfId="3" applyNumberFormat="1" applyFont="1" applyBorder="1" applyAlignment="1">
      <alignment vertical="top"/>
    </xf>
    <xf numFmtId="164" fontId="3" fillId="0" borderId="0" xfId="2" applyNumberFormat="1" applyFont="1" applyBorder="1" applyAlignment="1"/>
    <xf numFmtId="3" fontId="3" fillId="0" borderId="0" xfId="0" applyNumberFormat="1" applyFont="1" applyAlignment="1">
      <alignment horizontal="left"/>
    </xf>
    <xf numFmtId="37" fontId="3" fillId="0" borderId="0" xfId="0" quotePrefix="1" applyNumberFormat="1" applyFont="1"/>
    <xf numFmtId="37" fontId="3" fillId="0" borderId="0" xfId="0" applyNumberFormat="1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37" fontId="3" fillId="0" borderId="0" xfId="0" applyNumberFormat="1" applyFont="1" applyAlignment="1">
      <alignment horizontal="right"/>
    </xf>
    <xf numFmtId="165" fontId="3" fillId="0" borderId="0" xfId="5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44" fontId="3" fillId="0" borderId="0" xfId="5" applyNumberFormat="1" applyFont="1" applyBorder="1"/>
    <xf numFmtId="3" fontId="3" fillId="0" borderId="0" xfId="0" applyNumberFormat="1" applyFont="1" applyAlignment="1">
      <alignment vertical="top"/>
    </xf>
    <xf numFmtId="44" fontId="3" fillId="0" borderId="0" xfId="0" applyNumberFormat="1" applyFont="1" applyAlignment="1">
      <alignment vertical="top"/>
    </xf>
    <xf numFmtId="164" fontId="9" fillId="0" borderId="0" xfId="2" applyNumberFormat="1" applyFont="1" applyBorder="1" applyAlignment="1"/>
    <xf numFmtId="3" fontId="3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7" fontId="3" fillId="0" borderId="0" xfId="5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0" fontId="3" fillId="0" borderId="0" xfId="3" applyNumberFormat="1" applyFont="1" applyBorder="1" applyAlignment="1"/>
    <xf numFmtId="43" fontId="3" fillId="0" borderId="0" xfId="1" applyFont="1" applyBorder="1" applyAlignment="1">
      <alignment vertical="center"/>
    </xf>
    <xf numFmtId="43" fontId="3" fillId="0" borderId="7" xfId="1" applyFont="1" applyBorder="1" applyAlignment="1"/>
    <xf numFmtId="43" fontId="3" fillId="0" borderId="8" xfId="1" applyFont="1" applyBorder="1" applyAlignment="1"/>
    <xf numFmtId="44" fontId="3" fillId="0" borderId="1" xfId="1" applyNumberFormat="1" applyFont="1" applyBorder="1" applyAlignment="1"/>
    <xf numFmtId="43" fontId="3" fillId="0" borderId="1" xfId="1" applyFont="1" applyBorder="1" applyAlignment="1"/>
    <xf numFmtId="43" fontId="3" fillId="0" borderId="6" xfId="1" applyFont="1" applyBorder="1" applyAlignment="1"/>
    <xf numFmtId="44" fontId="3" fillId="0" borderId="0" xfId="2" applyFont="1"/>
    <xf numFmtId="164" fontId="9" fillId="0" borderId="0" xfId="2" applyNumberFormat="1" applyFont="1" applyFill="1" applyBorder="1" applyAlignment="1"/>
    <xf numFmtId="10" fontId="3" fillId="0" borderId="0" xfId="3" applyNumberFormat="1" applyFont="1" applyBorder="1" applyAlignment="1">
      <alignment vertical="top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5" fontId="3" fillId="0" borderId="0" xfId="0" applyNumberFormat="1" applyFont="1" applyAlignment="1">
      <alignment vertical="top"/>
    </xf>
    <xf numFmtId="165" fontId="11" fillId="0" borderId="0" xfId="5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right"/>
    </xf>
    <xf numFmtId="44" fontId="20" fillId="0" borderId="8" xfId="2" applyFont="1" applyBorder="1" applyAlignment="1">
      <alignment horizontal="center"/>
    </xf>
    <xf numFmtId="44" fontId="3" fillId="0" borderId="7" xfId="2" applyFont="1" applyBorder="1" applyAlignment="1">
      <alignment horizontal="right"/>
    </xf>
    <xf numFmtId="43" fontId="9" fillId="0" borderId="7" xfId="1" applyFont="1" applyBorder="1" applyAlignment="1">
      <alignment horizontal="right"/>
    </xf>
    <xf numFmtId="0" fontId="21" fillId="0" borderId="0" xfId="0" applyFont="1"/>
    <xf numFmtId="165" fontId="3" fillId="0" borderId="0" xfId="1" applyNumberFormat="1" applyFont="1" applyFill="1"/>
    <xf numFmtId="165" fontId="3" fillId="0" borderId="0" xfId="1" applyNumberFormat="1" applyFont="1" applyFill="1" applyBorder="1"/>
    <xf numFmtId="44" fontId="3" fillId="0" borderId="0" xfId="2" applyFont="1" applyFill="1"/>
    <xf numFmtId="170" fontId="3" fillId="0" borderId="0" xfId="1" applyNumberFormat="1" applyFont="1" applyAlignment="1">
      <alignment horizontal="center" wrapText="1"/>
    </xf>
    <xf numFmtId="44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0" xfId="6" applyNumberFormat="1" applyFont="1" applyFill="1" applyBorder="1"/>
    <xf numFmtId="164" fontId="3" fillId="0" borderId="1" xfId="2" applyNumberFormat="1" applyFont="1" applyFill="1" applyBorder="1" applyAlignment="1"/>
    <xf numFmtId="165" fontId="3" fillId="0" borderId="1" xfId="1" applyNumberFormat="1" applyFont="1" applyBorder="1" applyAlignment="1"/>
    <xf numFmtId="169" fontId="3" fillId="0" borderId="0" xfId="2" applyNumberFormat="1" applyFont="1" applyBorder="1" applyAlignment="1"/>
    <xf numFmtId="44" fontId="3" fillId="0" borderId="0" xfId="3" applyNumberFormat="1" applyFont="1" applyBorder="1" applyAlignment="1"/>
    <xf numFmtId="10" fontId="3" fillId="0" borderId="0" xfId="3" applyNumberFormat="1" applyFont="1" applyBorder="1" applyAlignment="1">
      <alignment horizontal="right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164" fontId="3" fillId="0" borderId="0" xfId="5" applyNumberFormat="1" applyFont="1" applyBorder="1"/>
    <xf numFmtId="165" fontId="3" fillId="0" borderId="1" xfId="5" applyNumberFormat="1" applyFont="1" applyBorder="1"/>
    <xf numFmtId="164" fontId="3" fillId="0" borderId="1" xfId="2" applyNumberFormat="1" applyFont="1" applyBorder="1" applyAlignment="1"/>
    <xf numFmtId="37" fontId="3" fillId="0" borderId="0" xfId="0" applyNumberFormat="1" applyFont="1" applyAlignment="1">
      <alignment horizontal="right" indent="1"/>
    </xf>
    <xf numFmtId="165" fontId="3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0" fontId="3" fillId="0" borderId="1" xfId="0" applyFont="1" applyBorder="1"/>
    <xf numFmtId="168" fontId="7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164" fontId="21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right"/>
    </xf>
    <xf numFmtId="0" fontId="22" fillId="0" borderId="0" xfId="0" applyFont="1"/>
    <xf numFmtId="164" fontId="22" fillId="0" borderId="0" xfId="2" applyNumberFormat="1" applyFont="1" applyAlignment="1">
      <alignment horizontal="right"/>
    </xf>
    <xf numFmtId="43" fontId="3" fillId="0" borderId="1" xfId="1" applyFont="1" applyFill="1" applyBorder="1"/>
    <xf numFmtId="44" fontId="3" fillId="3" borderId="0" xfId="2" applyFont="1" applyFill="1" applyAlignment="1">
      <alignment horizontal="center"/>
    </xf>
    <xf numFmtId="43" fontId="3" fillId="0" borderId="0" xfId="1" applyFont="1" applyAlignment="1">
      <alignment vertical="center"/>
    </xf>
    <xf numFmtId="44" fontId="3" fillId="0" borderId="0" xfId="1" applyNumberFormat="1" applyFont="1" applyFill="1" applyBorder="1" applyAlignment="1"/>
    <xf numFmtId="43" fontId="3" fillId="2" borderId="7" xfId="1" applyFont="1" applyFill="1" applyBorder="1"/>
    <xf numFmtId="3" fontId="19" fillId="0" borderId="8" xfId="0" applyNumberFormat="1" applyFont="1" applyBorder="1"/>
    <xf numFmtId="44" fontId="9" fillId="0" borderId="0" xfId="2" applyFont="1" applyBorder="1" applyAlignment="1">
      <alignment horizontal="center"/>
    </xf>
    <xf numFmtId="44" fontId="3" fillId="0" borderId="1" xfId="2" applyFont="1" applyBorder="1" applyAlignment="1"/>
    <xf numFmtId="44" fontId="3" fillId="0" borderId="7" xfId="2" applyFont="1" applyBorder="1"/>
    <xf numFmtId="43" fontId="3" fillId="0" borderId="7" xfId="1" applyFont="1" applyFill="1" applyBorder="1"/>
    <xf numFmtId="164" fontId="21" fillId="0" borderId="0" xfId="2" applyNumberFormat="1" applyFont="1" applyBorder="1" applyAlignment="1">
      <alignment horizontal="right"/>
    </xf>
    <xf numFmtId="165" fontId="7" fillId="0" borderId="0" xfId="1" applyNumberFormat="1" applyFont="1"/>
    <xf numFmtId="165" fontId="21" fillId="0" borderId="0" xfId="5" applyNumberFormat="1" applyFont="1"/>
    <xf numFmtId="165" fontId="21" fillId="0" borderId="3" xfId="5" applyNumberFormat="1" applyFont="1" applyBorder="1"/>
    <xf numFmtId="165" fontId="21" fillId="0" borderId="2" xfId="5" applyNumberFormat="1" applyFont="1" applyBorder="1"/>
    <xf numFmtId="165" fontId="21" fillId="0" borderId="4" xfId="5" applyNumberFormat="1" applyFont="1" applyBorder="1"/>
    <xf numFmtId="165" fontId="22" fillId="0" borderId="0" xfId="5" applyNumberFormat="1" applyFont="1" applyAlignment="1">
      <alignment horizontal="centerContinuous"/>
    </xf>
    <xf numFmtId="165" fontId="21" fillId="0" borderId="8" xfId="5" applyNumberFormat="1" applyFont="1" applyBorder="1"/>
    <xf numFmtId="165" fontId="25" fillId="0" borderId="0" xfId="5" applyNumberFormat="1" applyFont="1" applyAlignment="1">
      <alignment horizontal="centerContinuous"/>
    </xf>
    <xf numFmtId="165" fontId="21" fillId="0" borderId="0" xfId="5" applyNumberFormat="1" applyFont="1" applyAlignment="1">
      <alignment horizontal="centerContinuous"/>
    </xf>
    <xf numFmtId="165" fontId="21" fillId="0" borderId="7" xfId="5" applyNumberFormat="1" applyFont="1" applyBorder="1" applyAlignment="1">
      <alignment horizontal="centerContinuous"/>
    </xf>
    <xf numFmtId="165" fontId="21" fillId="0" borderId="9" xfId="5" applyNumberFormat="1" applyFont="1" applyBorder="1" applyAlignment="1">
      <alignment horizontal="left"/>
    </xf>
    <xf numFmtId="165" fontId="21" fillId="0" borderId="3" xfId="5" applyNumberFormat="1" applyFont="1" applyBorder="1" applyAlignment="1">
      <alignment horizontal="left"/>
    </xf>
    <xf numFmtId="165" fontId="21" fillId="0" borderId="2" xfId="5" applyNumberFormat="1" applyFont="1" applyBorder="1" applyAlignment="1">
      <alignment horizontal="left"/>
    </xf>
    <xf numFmtId="165" fontId="21" fillId="0" borderId="4" xfId="5" applyNumberFormat="1" applyFont="1" applyBorder="1" applyAlignment="1">
      <alignment horizontal="left"/>
    </xf>
    <xf numFmtId="165" fontId="21" fillId="0" borderId="10" xfId="5" applyNumberFormat="1" applyFont="1" applyBorder="1"/>
    <xf numFmtId="165" fontId="22" fillId="0" borderId="8" xfId="5" applyNumberFormat="1" applyFont="1" applyBorder="1" applyAlignment="1">
      <alignment horizontal="center" vertical="center"/>
    </xf>
    <xf numFmtId="165" fontId="26" fillId="0" borderId="0" xfId="5" applyNumberFormat="1" applyFont="1" applyAlignment="1">
      <alignment horizontal="center" vertical="center"/>
    </xf>
    <xf numFmtId="165" fontId="22" fillId="0" borderId="0" xfId="5" applyNumberFormat="1" applyFont="1" applyAlignment="1">
      <alignment horizontal="center" vertical="center"/>
    </xf>
    <xf numFmtId="165" fontId="22" fillId="0" borderId="5" xfId="5" applyNumberFormat="1" applyFont="1" applyBorder="1" applyAlignment="1">
      <alignment horizontal="center" vertical="center"/>
    </xf>
    <xf numFmtId="165" fontId="22" fillId="0" borderId="6" xfId="5" applyNumberFormat="1" applyFont="1" applyBorder="1" applyAlignment="1">
      <alignment horizontal="center" vertical="center"/>
    </xf>
    <xf numFmtId="165" fontId="22" fillId="0" borderId="1" xfId="5" applyNumberFormat="1" applyFont="1" applyBorder="1" applyAlignment="1">
      <alignment horizontal="center" vertical="center"/>
    </xf>
    <xf numFmtId="165" fontId="21" fillId="0" borderId="10" xfId="5" applyNumberFormat="1" applyFont="1" applyBorder="1" applyAlignment="1">
      <alignment horizontal="left"/>
    </xf>
    <xf numFmtId="165" fontId="21" fillId="0" borderId="0" xfId="5" quotePrefix="1" applyNumberFormat="1" applyFont="1" applyBorder="1" applyAlignment="1">
      <alignment horizontal="center"/>
    </xf>
    <xf numFmtId="165" fontId="21" fillId="0" borderId="1" xfId="5" quotePrefix="1" applyNumberFormat="1" applyFont="1" applyBorder="1" applyAlignment="1">
      <alignment horizontal="center"/>
    </xf>
    <xf numFmtId="165" fontId="21" fillId="0" borderId="6" xfId="5" applyNumberFormat="1" applyFont="1" applyBorder="1"/>
    <xf numFmtId="165" fontId="22" fillId="0" borderId="7" xfId="5" applyNumberFormat="1" applyFont="1" applyBorder="1" applyAlignment="1">
      <alignment horizontal="center"/>
    </xf>
    <xf numFmtId="165" fontId="22" fillId="0" borderId="7" xfId="5" quotePrefix="1" applyNumberFormat="1" applyFont="1" applyBorder="1" applyAlignment="1">
      <alignment horizontal="left"/>
    </xf>
    <xf numFmtId="165" fontId="22" fillId="0" borderId="8" xfId="5" quotePrefix="1" applyNumberFormat="1" applyFont="1" applyBorder="1" applyAlignment="1">
      <alignment horizontal="left"/>
    </xf>
    <xf numFmtId="165" fontId="22" fillId="0" borderId="0" xfId="5" quotePrefix="1" applyNumberFormat="1" applyFont="1" applyBorder="1" applyAlignment="1">
      <alignment horizontal="left"/>
    </xf>
    <xf numFmtId="165" fontId="22" fillId="0" borderId="11" xfId="5" applyNumberFormat="1" applyFont="1" applyBorder="1" applyAlignment="1">
      <alignment horizontal="right"/>
    </xf>
    <xf numFmtId="165" fontId="22" fillId="0" borderId="5" xfId="5" applyNumberFormat="1" applyFont="1" applyBorder="1" applyAlignment="1">
      <alignment horizontal="right"/>
    </xf>
    <xf numFmtId="165" fontId="22" fillId="0" borderId="1" xfId="5" applyNumberFormat="1" applyFont="1" applyBorder="1" applyAlignment="1">
      <alignment horizontal="right"/>
    </xf>
    <xf numFmtId="165" fontId="22" fillId="0" borderId="6" xfId="5" applyNumberFormat="1" applyFont="1" applyBorder="1" applyAlignment="1">
      <alignment horizontal="right"/>
    </xf>
    <xf numFmtId="165" fontId="22" fillId="0" borderId="8" xfId="5" applyNumberFormat="1" applyFont="1" applyBorder="1" applyAlignment="1">
      <alignment horizontal="right"/>
    </xf>
    <xf numFmtId="165" fontId="22" fillId="0" borderId="7" xfId="5" applyNumberFormat="1" applyFont="1" applyBorder="1" applyAlignment="1">
      <alignment horizontal="right"/>
    </xf>
    <xf numFmtId="165" fontId="22" fillId="0" borderId="0" xfId="5" applyNumberFormat="1" applyFont="1" applyAlignment="1">
      <alignment horizontal="right"/>
    </xf>
    <xf numFmtId="165" fontId="22" fillId="0" borderId="2" xfId="5" applyNumberFormat="1" applyFont="1" applyBorder="1" applyAlignment="1">
      <alignment horizontal="right"/>
    </xf>
    <xf numFmtId="165" fontId="22" fillId="0" borderId="7" xfId="5" applyNumberFormat="1" applyFont="1" applyBorder="1"/>
    <xf numFmtId="164" fontId="22" fillId="0" borderId="0" xfId="6" applyNumberFormat="1" applyFont="1"/>
    <xf numFmtId="165" fontId="22" fillId="0" borderId="0" xfId="5" applyNumberFormat="1" applyFont="1"/>
    <xf numFmtId="165" fontId="22" fillId="0" borderId="0" xfId="5" applyNumberFormat="1" applyFont="1" applyBorder="1"/>
    <xf numFmtId="164" fontId="22" fillId="0" borderId="0" xfId="6" applyNumberFormat="1" applyFont="1" applyBorder="1"/>
    <xf numFmtId="165" fontId="21" fillId="0" borderId="7" xfId="5" applyNumberFormat="1" applyFont="1" applyBorder="1"/>
    <xf numFmtId="165" fontId="21" fillId="0" borderId="0" xfId="5" applyNumberFormat="1" applyFont="1" applyBorder="1"/>
    <xf numFmtId="164" fontId="21" fillId="0" borderId="0" xfId="6" applyNumberFormat="1" applyFont="1"/>
    <xf numFmtId="165" fontId="21" fillId="0" borderId="5" xfId="5" applyNumberFormat="1" applyFont="1" applyBorder="1" applyAlignment="1">
      <alignment horizontal="center"/>
    </xf>
    <xf numFmtId="165" fontId="21" fillId="0" borderId="1" xfId="5" applyNumberFormat="1" applyFont="1" applyBorder="1" applyAlignment="1">
      <alignment horizontal="center"/>
    </xf>
    <xf numFmtId="165" fontId="22" fillId="0" borderId="7" xfId="5" applyNumberFormat="1" applyFont="1" applyBorder="1" applyAlignment="1">
      <alignment horizontal="centerContinuous"/>
    </xf>
    <xf numFmtId="165" fontId="25" fillId="0" borderId="7" xfId="5" applyNumberFormat="1" applyFont="1" applyBorder="1" applyAlignment="1">
      <alignment horizontal="centerContinuous"/>
    </xf>
    <xf numFmtId="165" fontId="22" fillId="0" borderId="0" xfId="1" applyNumberFormat="1" applyFont="1"/>
    <xf numFmtId="44" fontId="3" fillId="0" borderId="0" xfId="2" applyFont="1" applyBorder="1" applyAlignment="1">
      <alignment horizontal="right" wrapText="1"/>
    </xf>
    <xf numFmtId="43" fontId="3" fillId="0" borderId="0" xfId="1" applyFont="1" applyBorder="1" applyAlignment="1">
      <alignment horizontal="right" wrapText="1"/>
    </xf>
    <xf numFmtId="43" fontId="3" fillId="0" borderId="0" xfId="1" applyFont="1" applyBorder="1" applyAlignment="1">
      <alignment horizontal="right"/>
    </xf>
    <xf numFmtId="171" fontId="3" fillId="0" borderId="0" xfId="1" applyNumberFormat="1" applyFont="1" applyBorder="1" applyAlignment="1"/>
    <xf numFmtId="171" fontId="3" fillId="0" borderId="0" xfId="2" applyNumberFormat="1" applyFont="1" applyBorder="1" applyAlignment="1">
      <alignment vertical="center"/>
    </xf>
    <xf numFmtId="171" fontId="3" fillId="0" borderId="1" xfId="2" applyNumberFormat="1" applyFont="1" applyBorder="1" applyAlignment="1">
      <alignment vertical="center"/>
    </xf>
    <xf numFmtId="43" fontId="3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 wrapText="1"/>
    </xf>
    <xf numFmtId="44" fontId="3" fillId="0" borderId="0" xfId="2" applyFont="1" applyBorder="1" applyAlignment="1">
      <alignment horizontal="center" vertical="center"/>
    </xf>
    <xf numFmtId="10" fontId="3" fillId="0" borderId="0" xfId="3" applyNumberFormat="1" applyFont="1" applyBorder="1" applyAlignment="1">
      <alignment horizontal="right" vertical="center"/>
    </xf>
    <xf numFmtId="10" fontId="3" fillId="0" borderId="1" xfId="3" applyNumberFormat="1" applyFont="1" applyBorder="1" applyAlignment="1">
      <alignment horizontal="right" vertical="center"/>
    </xf>
    <xf numFmtId="10" fontId="3" fillId="0" borderId="1" xfId="3" applyNumberFormat="1" applyFont="1" applyBorder="1" applyAlignment="1">
      <alignment horizontal="right"/>
    </xf>
    <xf numFmtId="44" fontId="3" fillId="0" borderId="0" xfId="2" applyFont="1" applyBorder="1" applyAlignment="1">
      <alignment horizontal="right" vertical="center"/>
    </xf>
    <xf numFmtId="44" fontId="3" fillId="0" borderId="1" xfId="2" applyFont="1" applyBorder="1" applyAlignment="1">
      <alignment vertical="center"/>
    </xf>
    <xf numFmtId="0" fontId="21" fillId="0" borderId="0" xfId="0" applyFont="1" applyAlignment="1">
      <alignment horizontal="center"/>
    </xf>
    <xf numFmtId="164" fontId="22" fillId="0" borderId="0" xfId="2" applyNumberFormat="1" applyFont="1" applyAlignment="1">
      <alignment horizontal="center"/>
    </xf>
    <xf numFmtId="165" fontId="22" fillId="0" borderId="7" xfId="1" applyNumberFormat="1" applyFont="1" applyBorder="1" applyAlignment="1">
      <alignment horizontal="centerContinuous" vertical="center"/>
    </xf>
    <xf numFmtId="44" fontId="3" fillId="0" borderId="0" xfId="2" applyFont="1" applyFill="1" applyBorder="1" applyAlignment="1">
      <alignment horizontal="right" vertical="center"/>
    </xf>
    <xf numFmtId="165" fontId="3" fillId="0" borderId="0" xfId="1" applyNumberFormat="1" applyFont="1" applyFill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Alignment="1"/>
    <xf numFmtId="165" fontId="21" fillId="0" borderId="11" xfId="5" applyNumberFormat="1" applyFont="1" applyBorder="1" applyAlignment="1">
      <alignment horizontal="left"/>
    </xf>
    <xf numFmtId="44" fontId="3" fillId="0" borderId="0" xfId="2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21" fillId="0" borderId="0" xfId="0" applyNumberFormat="1" applyFont="1"/>
    <xf numFmtId="38" fontId="21" fillId="0" borderId="0" xfId="0" applyNumberFormat="1" applyFont="1"/>
    <xf numFmtId="164" fontId="21" fillId="0" borderId="0" xfId="2" applyNumberFormat="1" applyFont="1"/>
    <xf numFmtId="165" fontId="3" fillId="0" borderId="2" xfId="1" applyNumberFormat="1" applyFont="1" applyFill="1" applyBorder="1"/>
    <xf numFmtId="165" fontId="3" fillId="0" borderId="8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horizontal="centerContinuous" vertical="center"/>
    </xf>
    <xf numFmtId="165" fontId="3" fillId="0" borderId="0" xfId="1" applyNumberFormat="1" applyFont="1" applyBorder="1" applyAlignment="1">
      <alignment horizontal="centerContinuous" vertical="center"/>
    </xf>
    <xf numFmtId="165" fontId="3" fillId="0" borderId="0" xfId="1" applyNumberFormat="1" applyFont="1" applyFill="1" applyBorder="1" applyAlignment="1">
      <alignment horizontal="centerContinuous" vertical="center"/>
    </xf>
    <xf numFmtId="165" fontId="13" fillId="0" borderId="0" xfId="1" applyNumberFormat="1" applyFont="1" applyBorder="1"/>
    <xf numFmtId="165" fontId="3" fillId="0" borderId="0" xfId="1" applyNumberFormat="1" applyFont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12" fillId="0" borderId="8" xfId="1" applyNumberFormat="1" applyFont="1" applyBorder="1" applyAlignment="1">
      <alignment vertical="center"/>
    </xf>
    <xf numFmtId="165" fontId="14" fillId="0" borderId="8" xfId="1" applyNumberFormat="1" applyFont="1" applyBorder="1" applyAlignment="1">
      <alignment vertical="center"/>
    </xf>
    <xf numFmtId="165" fontId="17" fillId="0" borderId="8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12" fillId="0" borderId="8" xfId="1" applyNumberFormat="1" applyFont="1" applyBorder="1" applyAlignment="1">
      <alignment horizontal="center"/>
    </xf>
    <xf numFmtId="165" fontId="3" fillId="0" borderId="0" xfId="1" applyNumberFormat="1" applyFont="1" applyFill="1" applyBorder="1" applyAlignment="1"/>
    <xf numFmtId="165" fontId="9" fillId="0" borderId="0" xfId="1" applyNumberFormat="1" applyFont="1" applyFill="1" applyBorder="1"/>
    <xf numFmtId="10" fontId="3" fillId="0" borderId="0" xfId="3" applyNumberFormat="1" applyFont="1" applyFill="1" applyBorder="1" applyAlignment="1">
      <alignment vertical="center"/>
    </xf>
    <xf numFmtId="165" fontId="3" fillId="0" borderId="1" xfId="1" applyNumberFormat="1" applyFont="1" applyFill="1" applyBorder="1"/>
    <xf numFmtId="43" fontId="22" fillId="0" borderId="0" xfId="5" applyFont="1"/>
    <xf numFmtId="0" fontId="22" fillId="0" borderId="0" xfId="5" applyNumberFormat="1" applyFont="1" applyAlignment="1">
      <alignment horizontal="center"/>
    </xf>
    <xf numFmtId="0" fontId="22" fillId="0" borderId="9" xfId="0" applyFont="1" applyBorder="1"/>
    <xf numFmtId="0" fontId="22" fillId="0" borderId="10" xfId="0" applyFont="1" applyBorder="1"/>
    <xf numFmtId="0" fontId="21" fillId="0" borderId="9" xfId="0" applyFont="1" applyBorder="1"/>
    <xf numFmtId="0" fontId="21" fillId="0" borderId="8" xfId="5" applyNumberFormat="1" applyFont="1" applyBorder="1" applyAlignment="1">
      <alignment horizontal="center"/>
    </xf>
    <xf numFmtId="43" fontId="21" fillId="0" borderId="0" xfId="5" applyFont="1"/>
    <xf numFmtId="0" fontId="21" fillId="0" borderId="8" xfId="0" applyFont="1" applyBorder="1" applyAlignment="1">
      <alignment horizontal="center"/>
    </xf>
    <xf numFmtId="0" fontId="21" fillId="0" borderId="10" xfId="0" applyFont="1" applyBorder="1"/>
    <xf numFmtId="0" fontId="21" fillId="0" borderId="11" xfId="0" applyFont="1" applyBorder="1"/>
    <xf numFmtId="0" fontId="21" fillId="0" borderId="6" xfId="5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5" applyNumberFormat="1" applyFont="1" applyAlignment="1">
      <alignment horizontal="center"/>
    </xf>
    <xf numFmtId="43" fontId="22" fillId="0" borderId="4" xfId="5" applyFont="1" applyBorder="1" applyAlignment="1"/>
    <xf numFmtId="43" fontId="22" fillId="0" borderId="6" xfId="5" applyFont="1" applyBorder="1" applyAlignment="1">
      <alignment horizontal="center"/>
    </xf>
    <xf numFmtId="43" fontId="22" fillId="0" borderId="9" xfId="5" applyFont="1" applyBorder="1" applyAlignment="1">
      <alignment horizontal="center"/>
    </xf>
    <xf numFmtId="43" fontId="22" fillId="0" borderId="11" xfId="5" applyFont="1" applyBorder="1" applyAlignment="1">
      <alignment horizontal="center"/>
    </xf>
    <xf numFmtId="172" fontId="22" fillId="0" borderId="0" xfId="5" applyNumberFormat="1" applyFont="1"/>
    <xf numFmtId="172" fontId="22" fillId="0" borderId="9" xfId="5" applyNumberFormat="1" applyFont="1" applyBorder="1" applyAlignment="1">
      <alignment horizontal="center"/>
    </xf>
    <xf numFmtId="172" fontId="22" fillId="0" borderId="11" xfId="5" applyNumberFormat="1" applyFont="1" applyBorder="1" applyAlignment="1">
      <alignment horizontal="center"/>
    </xf>
    <xf numFmtId="172" fontId="21" fillId="0" borderId="10" xfId="5" applyNumberFormat="1" applyFont="1" applyBorder="1"/>
    <xf numFmtId="172" fontId="21" fillId="0" borderId="11" xfId="5" applyNumberFormat="1" applyFont="1" applyBorder="1"/>
    <xf numFmtId="172" fontId="21" fillId="0" borderId="0" xfId="5" applyNumberFormat="1" applyFont="1"/>
    <xf numFmtId="172" fontId="0" fillId="0" borderId="0" xfId="0" applyNumberFormat="1"/>
    <xf numFmtId="172" fontId="21" fillId="4" borderId="10" xfId="5" applyNumberFormat="1" applyFont="1" applyFill="1" applyBorder="1"/>
    <xf numFmtId="0" fontId="21" fillId="4" borderId="8" xfId="0" applyFont="1" applyFill="1" applyBorder="1" applyAlignment="1">
      <alignment horizontal="center"/>
    </xf>
    <xf numFmtId="0" fontId="21" fillId="4" borderId="8" xfId="5" applyNumberFormat="1" applyFont="1" applyFill="1" applyBorder="1" applyAlignment="1">
      <alignment horizontal="center"/>
    </xf>
    <xf numFmtId="172" fontId="21" fillId="4" borderId="11" xfId="5" applyNumberFormat="1" applyFont="1" applyFill="1" applyBorder="1"/>
    <xf numFmtId="0" fontId="21" fillId="4" borderId="6" xfId="5" applyNumberFormat="1" applyFont="1" applyFill="1" applyBorder="1" applyAlignment="1">
      <alignment horizontal="center"/>
    </xf>
    <xf numFmtId="172" fontId="21" fillId="4" borderId="9" xfId="5" applyNumberFormat="1" applyFont="1" applyFill="1" applyBorder="1"/>
    <xf numFmtId="172" fontId="22" fillId="0" borderId="10" xfId="5" applyNumberFormat="1" applyFont="1" applyBorder="1"/>
    <xf numFmtId="0" fontId="22" fillId="0" borderId="10" xfId="5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8" xfId="5" applyNumberFormat="1" applyFont="1" applyBorder="1"/>
    <xf numFmtId="0" fontId="22" fillId="0" borderId="11" xfId="0" applyFont="1" applyBorder="1"/>
    <xf numFmtId="172" fontId="21" fillId="0" borderId="8" xfId="5" applyNumberFormat="1" applyFont="1" applyBorder="1"/>
    <xf numFmtId="172" fontId="22" fillId="0" borderId="11" xfId="5" applyNumberFormat="1" applyFont="1" applyBorder="1"/>
    <xf numFmtId="0" fontId="21" fillId="0" borderId="10" xfId="5" applyNumberFormat="1" applyFont="1" applyBorder="1" applyAlignment="1">
      <alignment horizontal="center"/>
    </xf>
    <xf numFmtId="0" fontId="22" fillId="0" borderId="8" xfId="5" applyNumberFormat="1" applyFont="1" applyBorder="1" applyAlignment="1">
      <alignment horizontal="center"/>
    </xf>
    <xf numFmtId="0" fontId="22" fillId="0" borderId="6" xfId="5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3" fontId="3" fillId="0" borderId="3" xfId="1" applyFont="1" applyBorder="1" applyAlignment="1"/>
    <xf numFmtId="43" fontId="3" fillId="0" borderId="2" xfId="1" applyFont="1" applyBorder="1" applyAlignment="1"/>
    <xf numFmtId="44" fontId="3" fillId="0" borderId="2" xfId="2" applyFont="1" applyBorder="1" applyAlignment="1"/>
    <xf numFmtId="43" fontId="3" fillId="0" borderId="2" xfId="1" applyFont="1" applyBorder="1" applyAlignment="1">
      <alignment horizontal="right"/>
    </xf>
    <xf numFmtId="43" fontId="3" fillId="0" borderId="4" xfId="1" applyFont="1" applyBorder="1" applyAlignment="1"/>
    <xf numFmtId="44" fontId="24" fillId="0" borderId="7" xfId="6" applyFont="1" applyBorder="1" applyAlignment="1">
      <alignment horizontal="center"/>
    </xf>
    <xf numFmtId="44" fontId="24" fillId="0" borderId="8" xfId="6" applyFont="1" applyBorder="1" applyAlignment="1">
      <alignment horizontal="center"/>
    </xf>
    <xf numFmtId="44" fontId="3" fillId="0" borderId="0" xfId="6" applyFont="1" applyBorder="1" applyAlignment="1">
      <alignment horizontal="center"/>
    </xf>
    <xf numFmtId="44" fontId="3" fillId="0" borderId="7" xfId="6" applyFont="1" applyBorder="1" applyAlignment="1">
      <alignment horizontal="center"/>
    </xf>
    <xf numFmtId="44" fontId="3" fillId="0" borderId="8" xfId="6" applyFont="1" applyBorder="1" applyAlignment="1">
      <alignment horizontal="center"/>
    </xf>
    <xf numFmtId="0" fontId="21" fillId="0" borderId="11" xfId="5" applyNumberFormat="1" applyFont="1" applyBorder="1" applyAlignment="1">
      <alignment horizontal="center"/>
    </xf>
    <xf numFmtId="0" fontId="21" fillId="0" borderId="7" xfId="0" applyFont="1" applyBorder="1"/>
    <xf numFmtId="172" fontId="21" fillId="4" borderId="7" xfId="5" applyNumberFormat="1" applyFont="1" applyFill="1" applyBorder="1"/>
    <xf numFmtId="0" fontId="21" fillId="4" borderId="7" xfId="5" applyNumberFormat="1" applyFont="1" applyFill="1" applyBorder="1" applyAlignment="1">
      <alignment horizontal="center"/>
    </xf>
    <xf numFmtId="172" fontId="21" fillId="0" borderId="7" xfId="5" applyNumberFormat="1" applyFont="1" applyBorder="1"/>
    <xf numFmtId="0" fontId="21" fillId="0" borderId="5" xfId="0" applyFont="1" applyBorder="1"/>
    <xf numFmtId="172" fontId="21" fillId="0" borderId="5" xfId="5" applyNumberFormat="1" applyFont="1" applyFill="1" applyBorder="1"/>
    <xf numFmtId="0" fontId="21" fillId="0" borderId="5" xfId="5" applyNumberFormat="1" applyFont="1" applyFill="1" applyBorder="1" applyAlignment="1">
      <alignment horizontal="center"/>
    </xf>
    <xf numFmtId="172" fontId="21" fillId="4" borderId="5" xfId="5" applyNumberFormat="1" applyFont="1" applyFill="1" applyBorder="1"/>
    <xf numFmtId="0" fontId="21" fillId="4" borderId="11" xfId="0" applyFont="1" applyFill="1" applyBorder="1" applyAlignment="1">
      <alignment horizontal="center"/>
    </xf>
    <xf numFmtId="172" fontId="21" fillId="4" borderId="8" xfId="5" applyNumberFormat="1" applyFont="1" applyFill="1" applyBorder="1"/>
    <xf numFmtId="43" fontId="3" fillId="0" borderId="3" xfId="1" applyFont="1" applyBorder="1" applyAlignment="1">
      <alignment horizontal="right"/>
    </xf>
    <xf numFmtId="43" fontId="3" fillId="0" borderId="2" xfId="1" applyFont="1" applyBorder="1" applyAlignment="1">
      <alignment horizontal="right" vertical="center"/>
    </xf>
    <xf numFmtId="44" fontId="3" fillId="0" borderId="2" xfId="2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10" fontId="3" fillId="0" borderId="2" xfId="3" applyNumberFormat="1" applyFont="1" applyBorder="1" applyAlignment="1">
      <alignment horizontal="right" vertical="center"/>
    </xf>
    <xf numFmtId="43" fontId="9" fillId="0" borderId="5" xfId="1" applyFont="1" applyBorder="1" applyAlignment="1">
      <alignment horizontal="right"/>
    </xf>
    <xf numFmtId="43" fontId="3" fillId="0" borderId="1" xfId="1" applyFont="1" applyBorder="1" applyAlignment="1">
      <alignment horizontal="right" wrapText="1"/>
    </xf>
    <xf numFmtId="44" fontId="3" fillId="0" borderId="1" xfId="2" applyFont="1" applyFill="1" applyBorder="1" applyAlignment="1">
      <alignment vertical="center"/>
    </xf>
    <xf numFmtId="43" fontId="3" fillId="0" borderId="1" xfId="1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5" fontId="22" fillId="0" borderId="7" xfId="5" applyNumberFormat="1" applyFont="1" applyBorder="1" applyAlignment="1">
      <alignment horizontal="center" vertical="center"/>
    </xf>
    <xf numFmtId="165" fontId="22" fillId="0" borderId="8" xfId="5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43" fontId="3" fillId="0" borderId="5" xfId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4" fillId="0" borderId="3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horizontal="center"/>
    </xf>
    <xf numFmtId="44" fontId="24" fillId="0" borderId="7" xfId="2" applyFont="1" applyBorder="1" applyAlignment="1">
      <alignment horizontal="center"/>
    </xf>
    <xf numFmtId="44" fontId="24" fillId="0" borderId="0" xfId="2" applyFont="1" applyBorder="1" applyAlignment="1">
      <alignment horizontal="center"/>
    </xf>
    <xf numFmtId="44" fontId="24" fillId="0" borderId="8" xfId="2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8" xfId="0" applyFont="1" applyBorder="1" applyAlignment="1">
      <alignment horizontal="center"/>
    </xf>
    <xf numFmtId="43" fontId="18" fillId="0" borderId="7" xfId="1" applyFont="1" applyBorder="1" applyAlignment="1">
      <alignment horizontal="center"/>
    </xf>
    <xf numFmtId="43" fontId="18" fillId="0" borderId="0" xfId="1" applyFont="1" applyBorder="1" applyAlignment="1">
      <alignment horizontal="center"/>
    </xf>
    <xf numFmtId="43" fontId="18" fillId="0" borderId="8" xfId="1" applyFont="1" applyBorder="1" applyAlignment="1">
      <alignment horizontal="center"/>
    </xf>
    <xf numFmtId="43" fontId="24" fillId="0" borderId="7" xfId="1" applyFont="1" applyBorder="1" applyAlignment="1">
      <alignment horizontal="center"/>
    </xf>
    <xf numFmtId="43" fontId="24" fillId="0" borderId="0" xfId="1" applyFont="1" applyBorder="1" applyAlignment="1">
      <alignment horizontal="center"/>
    </xf>
    <xf numFmtId="43" fontId="24" fillId="0" borderId="8" xfId="1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44" fontId="24" fillId="0" borderId="7" xfId="6" applyFont="1" applyBorder="1" applyAlignment="1">
      <alignment horizontal="center"/>
    </xf>
    <xf numFmtId="44" fontId="24" fillId="0" borderId="0" xfId="6" applyFont="1" applyBorder="1" applyAlignment="1">
      <alignment horizontal="center"/>
    </xf>
    <xf numFmtId="44" fontId="24" fillId="0" borderId="8" xfId="6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1" fillId="0" borderId="0" xfId="5" applyNumberFormat="1" applyFont="1" applyBorder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008000"/>
      <color rgb="FF0099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chartsheet" Target="chartsheets/sheet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4.xml"/><Relationship Id="rId20" Type="http://schemas.openxmlformats.org/officeDocument/2006/relationships/worksheet" Target="worksheets/sheet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3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Monthly Water Rate Comparison</a:t>
            </a:r>
          </a:p>
          <a:p>
            <a:pPr>
              <a:defRPr/>
            </a:pPr>
            <a:r>
              <a:rPr lang="en-US" sz="2000" b="1"/>
              <a:t>5/8 Inch Meter   4,500 Gallons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Comparison'!$B$28:$B$40</c:f>
              <c:strCache>
                <c:ptCount val="13"/>
                <c:pt idx="0">
                  <c:v>Nicholasville Water Department</c:v>
                </c:pt>
                <c:pt idx="1">
                  <c:v>Garrard County Water Association</c:v>
                </c:pt>
                <c:pt idx="2">
                  <c:v>City of Burkesville</c:v>
                </c:pt>
                <c:pt idx="3">
                  <c:v>City of Lancaster Current Rates *</c:v>
                </c:pt>
                <c:pt idx="4">
                  <c:v>Jessamine County Water District #1</c:v>
                </c:pt>
                <c:pt idx="5">
                  <c:v>Marion County Water District</c:v>
                </c:pt>
                <c:pt idx="6">
                  <c:v>East Casey County Water District</c:v>
                </c:pt>
                <c:pt idx="7">
                  <c:v>Green-Taylor Water District</c:v>
                </c:pt>
                <c:pt idx="8">
                  <c:v>Estill County Water District #1</c:v>
                </c:pt>
                <c:pt idx="9">
                  <c:v>Jessamine -South Elkhorn Water District</c:v>
                </c:pt>
                <c:pt idx="10">
                  <c:v>East Clark County Water District</c:v>
                </c:pt>
                <c:pt idx="11">
                  <c:v>Lake Village Water Association</c:v>
                </c:pt>
                <c:pt idx="12">
                  <c:v>City of Lancaster Proposed Rates *</c:v>
                </c:pt>
              </c:strCache>
            </c:strRef>
          </c:cat>
          <c:val>
            <c:numRef>
              <c:f>'Rate Comparison'!$C$28:$C$40</c:f>
              <c:numCache>
                <c:formatCode>"$"#,##0.00</c:formatCode>
                <c:ptCount val="13"/>
                <c:pt idx="0">
                  <c:v>27.76</c:v>
                </c:pt>
                <c:pt idx="1">
                  <c:v>33.665000000000006</c:v>
                </c:pt>
                <c:pt idx="2">
                  <c:v>35.894999999999996</c:v>
                </c:pt>
                <c:pt idx="3">
                  <c:v>39.72</c:v>
                </c:pt>
                <c:pt idx="4">
                  <c:v>40.489999999999995</c:v>
                </c:pt>
                <c:pt idx="5">
                  <c:v>45.704999999999998</c:v>
                </c:pt>
                <c:pt idx="6">
                  <c:v>47.224999999999994</c:v>
                </c:pt>
                <c:pt idx="7">
                  <c:v>47.475000000000001</c:v>
                </c:pt>
                <c:pt idx="8">
                  <c:v>47.905000000000001</c:v>
                </c:pt>
                <c:pt idx="9">
                  <c:v>51.665000000000006</c:v>
                </c:pt>
                <c:pt idx="10">
                  <c:v>57.18</c:v>
                </c:pt>
                <c:pt idx="11">
                  <c:v>59.625</c:v>
                </c:pt>
                <c:pt idx="12">
                  <c:v>60.589999999999996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3-47B8-BF86-E967AC0B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864895"/>
        <c:axId val="19275384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'Rate Comparison'!$B$28:$B$40</c15:sqref>
                        </c15:formulaRef>
                      </c:ext>
                    </c:extLst>
                    <c:strCache>
                      <c:ptCount val="13"/>
                      <c:pt idx="0">
                        <c:v>Nicholasville Water Department</c:v>
                      </c:pt>
                      <c:pt idx="1">
                        <c:v>Garrard County Water Association</c:v>
                      </c:pt>
                      <c:pt idx="2">
                        <c:v>City of Burkesville</c:v>
                      </c:pt>
                      <c:pt idx="3">
                        <c:v>City of Lancaster Current Rates *</c:v>
                      </c:pt>
                      <c:pt idx="4">
                        <c:v>Jessamine County Water District #1</c:v>
                      </c:pt>
                      <c:pt idx="5">
                        <c:v>Marion County Water District</c:v>
                      </c:pt>
                      <c:pt idx="6">
                        <c:v>East Casey County Water District</c:v>
                      </c:pt>
                      <c:pt idx="7">
                        <c:v>Green-Taylor Water District</c:v>
                      </c:pt>
                      <c:pt idx="8">
                        <c:v>Estill County Water District #1</c:v>
                      </c:pt>
                      <c:pt idx="9">
                        <c:v>Jessamine -South Elkhorn Water District</c:v>
                      </c:pt>
                      <c:pt idx="10">
                        <c:v>East Clark County Water District</c:v>
                      </c:pt>
                      <c:pt idx="11">
                        <c:v>Lake Village Water Association</c:v>
                      </c:pt>
                      <c:pt idx="12">
                        <c:v>City of Lancaster Proposed Rates *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'Rate Comparison'!$D$28:$D$40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043-47B8-BF86-E967AC0B98E9}"/>
                  </c:ext>
                </c:extLst>
              </c15:ser>
            </c15:filteredBarSeries>
          </c:ext>
        </c:extLst>
      </c:barChart>
      <c:catAx>
        <c:axId val="192786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538479"/>
        <c:crosses val="autoZero"/>
        <c:auto val="1"/>
        <c:lblAlgn val="ctr"/>
        <c:lblOffset val="100"/>
        <c:noMultiLvlLbl val="0"/>
      </c:catAx>
      <c:valAx>
        <c:axId val="1927538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6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Monthly Water Rate Comparison Updated</a:t>
            </a:r>
          </a:p>
          <a:p>
            <a:pPr>
              <a:defRPr/>
            </a:pPr>
            <a:r>
              <a:rPr lang="en-US" sz="2000" b="1"/>
              <a:t>5/8 Inch Meter   4,500 Gallons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'Alternative Rate Comparison'!$B$30:$B$43</c:f>
              <c:strCache>
                <c:ptCount val="14"/>
                <c:pt idx="0">
                  <c:v>Nicholasville Water Department</c:v>
                </c:pt>
                <c:pt idx="1">
                  <c:v>Garrard County Water Association</c:v>
                </c:pt>
                <c:pt idx="2">
                  <c:v>City of Burkesville</c:v>
                </c:pt>
                <c:pt idx="3">
                  <c:v>City of Lancaster Current Rates *</c:v>
                </c:pt>
                <c:pt idx="4">
                  <c:v>City of Lancaster Proposed Rates *</c:v>
                </c:pt>
                <c:pt idx="5">
                  <c:v>Jessamine County Water District #1</c:v>
                </c:pt>
                <c:pt idx="6">
                  <c:v>Marion County Water District</c:v>
                </c:pt>
                <c:pt idx="7">
                  <c:v>East Casey County Water District</c:v>
                </c:pt>
                <c:pt idx="8">
                  <c:v>Green-Taylor Water District</c:v>
                </c:pt>
                <c:pt idx="9">
                  <c:v>Estill County Water District #1</c:v>
                </c:pt>
                <c:pt idx="10">
                  <c:v>Western Rockcastle Water Association</c:v>
                </c:pt>
                <c:pt idx="11">
                  <c:v>Jessamine -South Elkhorn Water District</c:v>
                </c:pt>
                <c:pt idx="12">
                  <c:v>East Clark County Water District</c:v>
                </c:pt>
                <c:pt idx="13">
                  <c:v>Lake Village Water Association</c:v>
                </c:pt>
              </c:strCache>
            </c:strRef>
          </c:cat>
          <c:val>
            <c:numRef>
              <c:f>'Alternative Rate Comparison'!$C$30:$C$43</c:f>
              <c:numCache>
                <c:formatCode>"$"#,##0.00</c:formatCode>
                <c:ptCount val="14"/>
                <c:pt idx="0">
                  <c:v>27.76</c:v>
                </c:pt>
                <c:pt idx="1">
                  <c:v>33.665000000000006</c:v>
                </c:pt>
                <c:pt idx="2">
                  <c:v>35.894999999999996</c:v>
                </c:pt>
                <c:pt idx="3">
                  <c:v>39.72</c:v>
                </c:pt>
                <c:pt idx="4">
                  <c:v>40.29</c:v>
                </c:pt>
                <c:pt idx="5">
                  <c:v>40.489999999999995</c:v>
                </c:pt>
                <c:pt idx="6">
                  <c:v>45.704999999999998</c:v>
                </c:pt>
                <c:pt idx="7">
                  <c:v>47.224999999999994</c:v>
                </c:pt>
                <c:pt idx="8">
                  <c:v>47.475000000000001</c:v>
                </c:pt>
                <c:pt idx="9">
                  <c:v>47.905000000000001</c:v>
                </c:pt>
                <c:pt idx="10">
                  <c:v>48.239999999999995</c:v>
                </c:pt>
                <c:pt idx="11">
                  <c:v>51.665000000000006</c:v>
                </c:pt>
                <c:pt idx="12">
                  <c:v>57.18</c:v>
                </c:pt>
                <c:pt idx="13">
                  <c:v>59.625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8-4705-AB3E-89F3EEFE6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864895"/>
        <c:axId val="19275384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'Alternative Rate Comparison'!$B$30:$B$43</c15:sqref>
                        </c15:formulaRef>
                      </c:ext>
                    </c:extLst>
                    <c:strCache>
                      <c:ptCount val="14"/>
                      <c:pt idx="0">
                        <c:v>Nicholasville Water Department</c:v>
                      </c:pt>
                      <c:pt idx="1">
                        <c:v>Garrard County Water Association</c:v>
                      </c:pt>
                      <c:pt idx="2">
                        <c:v>City of Burkesville</c:v>
                      </c:pt>
                      <c:pt idx="3">
                        <c:v>City of Lancaster Current Rates *</c:v>
                      </c:pt>
                      <c:pt idx="4">
                        <c:v>City of Lancaster Proposed Rates *</c:v>
                      </c:pt>
                      <c:pt idx="5">
                        <c:v>Jessamine County Water District #1</c:v>
                      </c:pt>
                      <c:pt idx="6">
                        <c:v>Marion County Water District</c:v>
                      </c:pt>
                      <c:pt idx="7">
                        <c:v>East Casey County Water District</c:v>
                      </c:pt>
                      <c:pt idx="8">
                        <c:v>Green-Taylor Water District</c:v>
                      </c:pt>
                      <c:pt idx="9">
                        <c:v>Estill County Water District #1</c:v>
                      </c:pt>
                      <c:pt idx="10">
                        <c:v>Western Rockcastle Water Association</c:v>
                      </c:pt>
                      <c:pt idx="11">
                        <c:v>Jessamine -South Elkhorn Water District</c:v>
                      </c:pt>
                      <c:pt idx="12">
                        <c:v>East Clark County Water District</c:v>
                      </c:pt>
                      <c:pt idx="13">
                        <c:v>Lake Village Water Association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'Alternative Rate Comparison'!$D$30:$D$43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7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F48-4705-AB3E-89F3EEFE6A09}"/>
                  </c:ext>
                </c:extLst>
              </c15:ser>
            </c15:filteredBarSeries>
          </c:ext>
        </c:extLst>
      </c:barChart>
      <c:catAx>
        <c:axId val="192786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538479"/>
        <c:crosses val="autoZero"/>
        <c:auto val="1"/>
        <c:lblAlgn val="ctr"/>
        <c:lblOffset val="100"/>
        <c:noMultiLvlLbl val="0"/>
      </c:catAx>
      <c:valAx>
        <c:axId val="1927538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6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Monthly Water Rate Comparison</a:t>
            </a:r>
          </a:p>
          <a:p>
            <a:pPr>
              <a:defRPr/>
            </a:pPr>
            <a:r>
              <a:rPr lang="en-US" sz="2000" b="1"/>
              <a:t>2 Inch Meter   300,000 Gallons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Comparison'!$B$44:$B$55</c:f>
              <c:strCache>
                <c:ptCount val="12"/>
                <c:pt idx="0">
                  <c:v>Nicholasville Water Department</c:v>
                </c:pt>
                <c:pt idx="1">
                  <c:v>Garrard County Water Association</c:v>
                </c:pt>
                <c:pt idx="2">
                  <c:v>City of Burkesville</c:v>
                </c:pt>
                <c:pt idx="3">
                  <c:v>Green-Taylor Water District</c:v>
                </c:pt>
                <c:pt idx="4">
                  <c:v>City of Lancaster Current Rates *</c:v>
                </c:pt>
                <c:pt idx="5">
                  <c:v>Jessamine County Water District #1</c:v>
                </c:pt>
                <c:pt idx="6">
                  <c:v>East Casey County Water District</c:v>
                </c:pt>
                <c:pt idx="7">
                  <c:v>Estill County Water District #1</c:v>
                </c:pt>
                <c:pt idx="8">
                  <c:v>Marion County Water District</c:v>
                </c:pt>
                <c:pt idx="9">
                  <c:v>Jessamine -South Elkhorn Water District</c:v>
                </c:pt>
                <c:pt idx="10">
                  <c:v>City of Lancaster Proposed Rates *</c:v>
                </c:pt>
                <c:pt idx="11">
                  <c:v>East Clark County Water District</c:v>
                </c:pt>
              </c:strCache>
            </c:strRef>
          </c:cat>
          <c:val>
            <c:numRef>
              <c:f>'Rate Comparison'!$C$44:$C$55</c:f>
              <c:numCache>
                <c:formatCode>"$"#,##0.00</c:formatCode>
                <c:ptCount val="12"/>
                <c:pt idx="0">
                  <c:v>1447.5</c:v>
                </c:pt>
                <c:pt idx="1">
                  <c:v>1531.99</c:v>
                </c:pt>
                <c:pt idx="2">
                  <c:v>1580.4</c:v>
                </c:pt>
                <c:pt idx="3">
                  <c:v>1593.8899999999999</c:v>
                </c:pt>
                <c:pt idx="4">
                  <c:v>1757.6100000000001</c:v>
                </c:pt>
                <c:pt idx="5">
                  <c:v>2021.55</c:v>
                </c:pt>
                <c:pt idx="6">
                  <c:v>2373.9199999999996</c:v>
                </c:pt>
                <c:pt idx="7">
                  <c:v>2482.7499999999995</c:v>
                </c:pt>
                <c:pt idx="8">
                  <c:v>2487.5300000000002</c:v>
                </c:pt>
                <c:pt idx="9">
                  <c:v>2519.4100000000003</c:v>
                </c:pt>
                <c:pt idx="10">
                  <c:v>2666.9</c:v>
                </c:pt>
                <c:pt idx="11">
                  <c:v>2791.9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5-4841-9ECC-2AF288CD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864895"/>
        <c:axId val="19275384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'Rate Comparison'!$B$44:$B$55</c15:sqref>
                        </c15:formulaRef>
                      </c:ext>
                    </c:extLst>
                    <c:strCache>
                      <c:ptCount val="12"/>
                      <c:pt idx="0">
                        <c:v>Nicholasville Water Department</c:v>
                      </c:pt>
                      <c:pt idx="1">
                        <c:v>Garrard County Water Association</c:v>
                      </c:pt>
                      <c:pt idx="2">
                        <c:v>City of Burkesville</c:v>
                      </c:pt>
                      <c:pt idx="3">
                        <c:v>Green-Taylor Water District</c:v>
                      </c:pt>
                      <c:pt idx="4">
                        <c:v>City of Lancaster Current Rates *</c:v>
                      </c:pt>
                      <c:pt idx="5">
                        <c:v>Jessamine County Water District #1</c:v>
                      </c:pt>
                      <c:pt idx="6">
                        <c:v>East Casey County Water District</c:v>
                      </c:pt>
                      <c:pt idx="7">
                        <c:v>Estill County Water District #1</c:v>
                      </c:pt>
                      <c:pt idx="8">
                        <c:v>Marion County Water District</c:v>
                      </c:pt>
                      <c:pt idx="9">
                        <c:v>Jessamine -South Elkhorn Water District</c:v>
                      </c:pt>
                      <c:pt idx="10">
                        <c:v>City of Lancaster Proposed Rates *</c:v>
                      </c:pt>
                      <c:pt idx="11">
                        <c:v>East Clark County Water District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'Rate Comparison'!$D$44:$D$55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745-4841-9ECC-2AF288CD9EAD}"/>
                  </c:ext>
                </c:extLst>
              </c15:ser>
            </c15:filteredBarSeries>
          </c:ext>
        </c:extLst>
      </c:barChart>
      <c:catAx>
        <c:axId val="192786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538479"/>
        <c:crosses val="autoZero"/>
        <c:auto val="1"/>
        <c:lblAlgn val="ctr"/>
        <c:lblOffset val="100"/>
        <c:noMultiLvlLbl val="0"/>
      </c:catAx>
      <c:valAx>
        <c:axId val="1927538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6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Monthly Water Rate Comparison Updated</a:t>
            </a:r>
          </a:p>
          <a:p>
            <a:pPr>
              <a:defRPr/>
            </a:pPr>
            <a:r>
              <a:rPr lang="en-US" sz="2000" b="1"/>
              <a:t>2 Inch Meter   300,000 Gallons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'Alternative Rate Comparison'!$B$47:$B$59</c:f>
              <c:strCache>
                <c:ptCount val="13"/>
                <c:pt idx="0">
                  <c:v>Nicholasville Water Department</c:v>
                </c:pt>
                <c:pt idx="1">
                  <c:v>Garrard County Water Association</c:v>
                </c:pt>
                <c:pt idx="2">
                  <c:v>City of Burkesville</c:v>
                </c:pt>
                <c:pt idx="3">
                  <c:v>Green-Taylor Water District</c:v>
                </c:pt>
                <c:pt idx="4">
                  <c:v>City of Lancaster Current Rates *</c:v>
                </c:pt>
                <c:pt idx="5">
                  <c:v>City of Lancaster Proposed Rates *</c:v>
                </c:pt>
                <c:pt idx="6">
                  <c:v>Western Rockcastle Water Association</c:v>
                </c:pt>
                <c:pt idx="7">
                  <c:v>Jessamine County Water District #1</c:v>
                </c:pt>
                <c:pt idx="8">
                  <c:v>East Casey County Water District</c:v>
                </c:pt>
                <c:pt idx="9">
                  <c:v>Estill County Water District #1</c:v>
                </c:pt>
                <c:pt idx="10">
                  <c:v>Marion County Water District</c:v>
                </c:pt>
                <c:pt idx="11">
                  <c:v>Jessamine -South Elkhorn Water District</c:v>
                </c:pt>
                <c:pt idx="12">
                  <c:v>East Clark County Water District</c:v>
                </c:pt>
              </c:strCache>
            </c:strRef>
          </c:cat>
          <c:val>
            <c:numRef>
              <c:f>'Alternative Rate Comparison'!$C$47:$C$59</c:f>
              <c:numCache>
                <c:formatCode>"$"#,##0.00</c:formatCode>
                <c:ptCount val="13"/>
                <c:pt idx="0">
                  <c:v>1447.5</c:v>
                </c:pt>
                <c:pt idx="1">
                  <c:v>1531.99</c:v>
                </c:pt>
                <c:pt idx="2">
                  <c:v>1580.4</c:v>
                </c:pt>
                <c:pt idx="3">
                  <c:v>1593.8899999999999</c:v>
                </c:pt>
                <c:pt idx="4">
                  <c:v>1757.6100000000001</c:v>
                </c:pt>
                <c:pt idx="5">
                  <c:v>1782.49</c:v>
                </c:pt>
                <c:pt idx="6">
                  <c:v>1896.6</c:v>
                </c:pt>
                <c:pt idx="7">
                  <c:v>2021.55</c:v>
                </c:pt>
                <c:pt idx="8">
                  <c:v>2373.9199999999996</c:v>
                </c:pt>
                <c:pt idx="9">
                  <c:v>2482.7499999999995</c:v>
                </c:pt>
                <c:pt idx="10">
                  <c:v>2487.5300000000002</c:v>
                </c:pt>
                <c:pt idx="11">
                  <c:v>2519.4100000000003</c:v>
                </c:pt>
                <c:pt idx="12">
                  <c:v>2791.9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5-4046-85F6-D2DD1B032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864895"/>
        <c:axId val="19275384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'Alternative Rate Comparison'!$B$47:$B$59</c15:sqref>
                        </c15:formulaRef>
                      </c:ext>
                    </c:extLst>
                    <c:strCache>
                      <c:ptCount val="13"/>
                      <c:pt idx="0">
                        <c:v>Nicholasville Water Department</c:v>
                      </c:pt>
                      <c:pt idx="1">
                        <c:v>Garrard County Water Association</c:v>
                      </c:pt>
                      <c:pt idx="2">
                        <c:v>City of Burkesville</c:v>
                      </c:pt>
                      <c:pt idx="3">
                        <c:v>Green-Taylor Water District</c:v>
                      </c:pt>
                      <c:pt idx="4">
                        <c:v>City of Lancaster Current Rates *</c:v>
                      </c:pt>
                      <c:pt idx="5">
                        <c:v>City of Lancaster Proposed Rates *</c:v>
                      </c:pt>
                      <c:pt idx="6">
                        <c:v>Western Rockcastle Water Association</c:v>
                      </c:pt>
                      <c:pt idx="7">
                        <c:v>Jessamine County Water District #1</c:v>
                      </c:pt>
                      <c:pt idx="8">
                        <c:v>East Casey County Water District</c:v>
                      </c:pt>
                      <c:pt idx="9">
                        <c:v>Estill County Water District #1</c:v>
                      </c:pt>
                      <c:pt idx="10">
                        <c:v>Marion County Water District</c:v>
                      </c:pt>
                      <c:pt idx="11">
                        <c:v>Jessamine -South Elkhorn Water District</c:v>
                      </c:pt>
                      <c:pt idx="12">
                        <c:v>East Clark County Water District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'Alternative Rate Comparison'!$D$47:$D$59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D85-4046-85F6-D2DD1B032BEE}"/>
                  </c:ext>
                </c:extLst>
              </c15:ser>
            </c15:filteredBarSeries>
          </c:ext>
        </c:extLst>
      </c:barChart>
      <c:catAx>
        <c:axId val="192786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538479"/>
        <c:crosses val="autoZero"/>
        <c:auto val="1"/>
        <c:lblAlgn val="ctr"/>
        <c:lblOffset val="100"/>
        <c:noMultiLvlLbl val="0"/>
      </c:catAx>
      <c:valAx>
        <c:axId val="1927538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6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Monthly Water Rate Comparison</a:t>
            </a:r>
          </a:p>
          <a:p>
            <a:pPr>
              <a:defRPr/>
            </a:pPr>
            <a:r>
              <a:rPr lang="en-US" sz="2000" b="1"/>
              <a:t>Wholesale   2,478,330 Gallons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Comparison'!$B$59:$B$67</c:f>
              <c:strCache>
                <c:ptCount val="9"/>
                <c:pt idx="0">
                  <c:v>City of Burkesville</c:v>
                </c:pt>
                <c:pt idx="1">
                  <c:v>City of Danville *</c:v>
                </c:pt>
                <c:pt idx="2">
                  <c:v>City of Lancaster Current Rates *</c:v>
                </c:pt>
                <c:pt idx="3">
                  <c:v>Berea Municipal Utilities *</c:v>
                </c:pt>
                <c:pt idx="4">
                  <c:v>Nicholasville Water Department</c:v>
                </c:pt>
                <c:pt idx="5">
                  <c:v>City of Stanford</c:v>
                </c:pt>
                <c:pt idx="6">
                  <c:v>City of Lancaster Proposed Rates *</c:v>
                </c:pt>
                <c:pt idx="7">
                  <c:v>Richmond Utilities *</c:v>
                </c:pt>
                <c:pt idx="8">
                  <c:v>Estill County Water District #1</c:v>
                </c:pt>
              </c:strCache>
            </c:strRef>
          </c:cat>
          <c:val>
            <c:numRef>
              <c:f>'Rate Comparison'!$C$59:$C$67</c:f>
              <c:numCache>
                <c:formatCode>"$"#,##0.00</c:formatCode>
                <c:ptCount val="9"/>
                <c:pt idx="0">
                  <c:v>5328.4094999999998</c:v>
                </c:pt>
                <c:pt idx="1">
                  <c:v>6027.2985599999993</c:v>
                </c:pt>
                <c:pt idx="2">
                  <c:v>6623.6391666666668</c:v>
                </c:pt>
                <c:pt idx="3">
                  <c:v>6945.5012706577536</c:v>
                </c:pt>
                <c:pt idx="4">
                  <c:v>7955.5596999999998</c:v>
                </c:pt>
                <c:pt idx="5">
                  <c:v>8748.5048999999999</c:v>
                </c:pt>
                <c:pt idx="6">
                  <c:v>9624.5600000000013</c:v>
                </c:pt>
                <c:pt idx="7">
                  <c:v>9809.6807454545451</c:v>
                </c:pt>
                <c:pt idx="8">
                  <c:v>10235.502899999999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4-4B43-BDA2-75A7D7A0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864895"/>
        <c:axId val="19275384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'Rate Comparison'!$B$59:$B$67</c15:sqref>
                        </c15:formulaRef>
                      </c:ext>
                    </c:extLst>
                    <c:strCache>
                      <c:ptCount val="9"/>
                      <c:pt idx="0">
                        <c:v>City of Burkesville</c:v>
                      </c:pt>
                      <c:pt idx="1">
                        <c:v>City of Danville *</c:v>
                      </c:pt>
                      <c:pt idx="2">
                        <c:v>City of Lancaster Current Rates *</c:v>
                      </c:pt>
                      <c:pt idx="3">
                        <c:v>Berea Municipal Utilities *</c:v>
                      </c:pt>
                      <c:pt idx="4">
                        <c:v>Nicholasville Water Department</c:v>
                      </c:pt>
                      <c:pt idx="5">
                        <c:v>City of Stanford</c:v>
                      </c:pt>
                      <c:pt idx="6">
                        <c:v>City of Lancaster Proposed Rates *</c:v>
                      </c:pt>
                      <c:pt idx="7">
                        <c:v>Richmond Utilities *</c:v>
                      </c:pt>
                      <c:pt idx="8">
                        <c:v>Estill County Water District #1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'Rate Comparison'!$D$59:$D$67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954-4B43-BDA2-75A7D7A0F22F}"/>
                  </c:ext>
                </c:extLst>
              </c15:ser>
            </c15:filteredBarSeries>
          </c:ext>
        </c:extLst>
      </c:barChart>
      <c:catAx>
        <c:axId val="192786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538479"/>
        <c:crosses val="autoZero"/>
        <c:auto val="1"/>
        <c:lblAlgn val="ctr"/>
        <c:lblOffset val="100"/>
        <c:noMultiLvlLbl val="0"/>
      </c:catAx>
      <c:valAx>
        <c:axId val="1927538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6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Monthly Water Rate Comparison Updated</a:t>
            </a:r>
          </a:p>
          <a:p>
            <a:pPr>
              <a:defRPr/>
            </a:pPr>
            <a:r>
              <a:rPr lang="en-US" sz="2000" b="1"/>
              <a:t>Wholesale   2,478,330 Gallons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'Alternative Rate Comparison'!$B$63:$B$72</c:f>
              <c:strCache>
                <c:ptCount val="10"/>
                <c:pt idx="0">
                  <c:v>City of Burkesville</c:v>
                </c:pt>
                <c:pt idx="1">
                  <c:v>City of Danville *</c:v>
                </c:pt>
                <c:pt idx="2">
                  <c:v>City of Lancaster Current Rates *</c:v>
                </c:pt>
                <c:pt idx="3">
                  <c:v>Berea Municipal Utilities *</c:v>
                </c:pt>
                <c:pt idx="4">
                  <c:v>City of Mt. Vernon</c:v>
                </c:pt>
                <c:pt idx="5">
                  <c:v>Nicholasville Water Department</c:v>
                </c:pt>
                <c:pt idx="6">
                  <c:v>City of Stanford</c:v>
                </c:pt>
                <c:pt idx="7">
                  <c:v>City of Lancaster Proposed Rates *</c:v>
                </c:pt>
                <c:pt idx="8">
                  <c:v>Richmond Utilities *</c:v>
                </c:pt>
                <c:pt idx="9">
                  <c:v>Estill County Water District #1</c:v>
                </c:pt>
              </c:strCache>
            </c:strRef>
          </c:cat>
          <c:val>
            <c:numRef>
              <c:f>'Alternative Rate Comparison'!$C$63:$C$72</c:f>
              <c:numCache>
                <c:formatCode>"$"#,##0.00</c:formatCode>
                <c:ptCount val="10"/>
                <c:pt idx="0">
                  <c:v>5328.4094999999998</c:v>
                </c:pt>
                <c:pt idx="1">
                  <c:v>6027.2985599999993</c:v>
                </c:pt>
                <c:pt idx="2">
                  <c:v>6623.6391666666668</c:v>
                </c:pt>
                <c:pt idx="3">
                  <c:v>6945.5012706577536</c:v>
                </c:pt>
                <c:pt idx="4">
                  <c:v>7261.5069000000003</c:v>
                </c:pt>
                <c:pt idx="5">
                  <c:v>7955.5596999999998</c:v>
                </c:pt>
                <c:pt idx="6">
                  <c:v>8748.5048999999999</c:v>
                </c:pt>
                <c:pt idx="7">
                  <c:v>9624.5600000000013</c:v>
                </c:pt>
                <c:pt idx="8">
                  <c:v>9809.6807454545451</c:v>
                </c:pt>
                <c:pt idx="9">
                  <c:v>10235.502899999999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5-4EEF-B4CA-8FA29D0C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864895"/>
        <c:axId val="19275384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'Alternative Rate Comparison'!$B$63:$B$72</c15:sqref>
                        </c15:formulaRef>
                      </c:ext>
                    </c:extLst>
                    <c:strCache>
                      <c:ptCount val="10"/>
                      <c:pt idx="0">
                        <c:v>City of Burkesville</c:v>
                      </c:pt>
                      <c:pt idx="1">
                        <c:v>City of Danville *</c:v>
                      </c:pt>
                      <c:pt idx="2">
                        <c:v>City of Lancaster Current Rates *</c:v>
                      </c:pt>
                      <c:pt idx="3">
                        <c:v>Berea Municipal Utilities *</c:v>
                      </c:pt>
                      <c:pt idx="4">
                        <c:v>City of Mt. Vernon</c:v>
                      </c:pt>
                      <c:pt idx="5">
                        <c:v>Nicholasville Water Department</c:v>
                      </c:pt>
                      <c:pt idx="6">
                        <c:v>City of Stanford</c:v>
                      </c:pt>
                      <c:pt idx="7">
                        <c:v>City of Lancaster Proposed Rates *</c:v>
                      </c:pt>
                      <c:pt idx="8">
                        <c:v>Richmond Utilities *</c:v>
                      </c:pt>
                      <c:pt idx="9">
                        <c:v>Estill County Water District #1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'Alternative Rate Comparison'!$D$63:$D$72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AC5-4EEF-B4CA-8FA29D0C9449}"/>
                  </c:ext>
                </c:extLst>
              </c15:ser>
            </c15:filteredBarSeries>
          </c:ext>
        </c:extLst>
      </c:barChart>
      <c:catAx>
        <c:axId val="192786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538479"/>
        <c:crosses val="autoZero"/>
        <c:auto val="1"/>
        <c:lblAlgn val="ctr"/>
        <c:lblOffset val="100"/>
        <c:noMultiLvlLbl val="0"/>
      </c:catAx>
      <c:valAx>
        <c:axId val="1927538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6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114568-A8B2-4C7F-9118-8E76CFB3BAE7}">
  <sheetPr/>
  <sheetViews>
    <sheetView zoomScale="89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426164-4730-43ED-97BD-2116297326D6}">
  <sheetPr/>
  <sheetViews>
    <sheetView zoomScale="89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65D8B7B-9064-4FED-A88D-16D0B13C3017}">
  <sheetPr/>
  <sheetViews>
    <sheetView zoomScale="89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65B10E-FD35-493D-A7AE-46E6EB284720}">
  <sheetPr/>
  <sheetViews>
    <sheetView zoomScale="89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23289F7-32EC-4D21-8ADD-030BCFFC2528}">
  <sheetPr/>
  <sheetViews>
    <sheetView zoomScale="89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A901CD-5C81-433C-A33C-17B77BFB7314}">
  <sheetPr/>
  <sheetViews>
    <sheetView zoomScale="89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118" cy="6282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03BAE9-4D9E-8398-AE0A-3B23897840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0.86588</cdr:x>
      <cdr:y>0.26831</cdr:y>
    </cdr:from>
    <cdr:to>
      <cdr:x>1</cdr:x>
      <cdr:y>0.33901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ABB8A2-875A-3AC8-92E3-7C36B72E577F}"/>
            </a:ext>
          </a:extLst>
        </cdr:cNvPr>
        <cdr:cNvSpPr txBox="1"/>
      </cdr:nvSpPr>
      <cdr:spPr>
        <a:xfrm xmlns:a="http://schemas.openxmlformats.org/drawingml/2006/main">
          <a:off x="7496924" y="1685603"/>
          <a:ext cx="1161194" cy="444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 Includes KRA</a:t>
          </a:r>
        </a:p>
        <a:p xmlns:a="http://schemas.openxmlformats.org/drawingml/2006/main">
          <a:r>
            <a:rPr lang="en-US" sz="1100" baseline="0"/>
            <a:t> Withdrawal Fee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118" cy="6282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6AD567-6A02-600F-DDAD-75B1C53549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0.86588</cdr:x>
      <cdr:y>0.26831</cdr:y>
    </cdr:from>
    <cdr:to>
      <cdr:x>1</cdr:x>
      <cdr:y>0.33901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ABB8A2-875A-3AC8-92E3-7C36B72E577F}"/>
            </a:ext>
          </a:extLst>
        </cdr:cNvPr>
        <cdr:cNvSpPr txBox="1"/>
      </cdr:nvSpPr>
      <cdr:spPr>
        <a:xfrm xmlns:a="http://schemas.openxmlformats.org/drawingml/2006/main">
          <a:off x="7496924" y="1685603"/>
          <a:ext cx="1161194" cy="444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 Includes KRA</a:t>
          </a:r>
        </a:p>
        <a:p xmlns:a="http://schemas.openxmlformats.org/drawingml/2006/main">
          <a:r>
            <a:rPr lang="en-US" sz="1100" baseline="0"/>
            <a:t> Withdrawal Fee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0.86588</cdr:x>
      <cdr:y>0.26831</cdr:y>
    </cdr:from>
    <cdr:to>
      <cdr:x>1</cdr:x>
      <cdr:y>0.33901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ABB8A2-875A-3AC8-92E3-7C36B72E577F}"/>
            </a:ext>
          </a:extLst>
        </cdr:cNvPr>
        <cdr:cNvSpPr txBox="1"/>
      </cdr:nvSpPr>
      <cdr:spPr>
        <a:xfrm xmlns:a="http://schemas.openxmlformats.org/drawingml/2006/main">
          <a:off x="7496924" y="1685603"/>
          <a:ext cx="1161194" cy="444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 Includes KRA</a:t>
          </a:r>
        </a:p>
        <a:p xmlns:a="http://schemas.openxmlformats.org/drawingml/2006/main">
          <a:r>
            <a:rPr lang="en-US" sz="1100" baseline="0"/>
            <a:t> Withdrawal Fee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118" cy="6282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A06B9F-D936-458F-46EB-D10B23BDDE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0.72991</cdr:x>
      <cdr:y>0.65417</cdr:y>
    </cdr:from>
    <cdr:to>
      <cdr:x>0.86403</cdr:x>
      <cdr:y>0.72487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ABB8A2-875A-3AC8-92E3-7C36B72E577F}"/>
            </a:ext>
          </a:extLst>
        </cdr:cNvPr>
        <cdr:cNvSpPr txBox="1"/>
      </cdr:nvSpPr>
      <cdr:spPr>
        <a:xfrm xmlns:a="http://schemas.openxmlformats.org/drawingml/2006/main">
          <a:off x="6319644" y="4109641"/>
          <a:ext cx="1161227" cy="444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 Includes KRA</a:t>
          </a:r>
        </a:p>
        <a:p xmlns:a="http://schemas.openxmlformats.org/drawingml/2006/main">
          <a:r>
            <a:rPr lang="en-US" sz="1100" baseline="0"/>
            <a:t> Withdrawal Fee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8118" cy="6282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67078E-0F30-0EB1-25D7-46EEF5AC42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0.86588</cdr:x>
      <cdr:y>0.26831</cdr:y>
    </cdr:from>
    <cdr:to>
      <cdr:x>1</cdr:x>
      <cdr:y>0.33901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ABB8A2-875A-3AC8-92E3-7C36B72E577F}"/>
            </a:ext>
          </a:extLst>
        </cdr:cNvPr>
        <cdr:cNvSpPr txBox="1"/>
      </cdr:nvSpPr>
      <cdr:spPr>
        <a:xfrm xmlns:a="http://schemas.openxmlformats.org/drawingml/2006/main">
          <a:off x="7496924" y="1685603"/>
          <a:ext cx="1161194" cy="444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 Includes KRA</a:t>
          </a:r>
        </a:p>
        <a:p xmlns:a="http://schemas.openxmlformats.org/drawingml/2006/main">
          <a:r>
            <a:rPr lang="en-US" sz="1100" baseline="0"/>
            <a:t> Withdrawal Fee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8118" cy="6282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C93113-ECB0-E66A-0D0E-01F4E1CD01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0.86588</cdr:x>
      <cdr:y>0.26831</cdr:y>
    </cdr:from>
    <cdr:to>
      <cdr:x>1</cdr:x>
      <cdr:y>0.33901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ABB8A2-875A-3AC8-92E3-7C36B72E577F}"/>
            </a:ext>
          </a:extLst>
        </cdr:cNvPr>
        <cdr:cNvSpPr txBox="1"/>
      </cdr:nvSpPr>
      <cdr:spPr>
        <a:xfrm xmlns:a="http://schemas.openxmlformats.org/drawingml/2006/main">
          <a:off x="7496924" y="1685603"/>
          <a:ext cx="1161194" cy="444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 Includes KRA</a:t>
          </a:r>
        </a:p>
        <a:p xmlns:a="http://schemas.openxmlformats.org/drawingml/2006/main">
          <a:r>
            <a:rPr lang="en-US" sz="1100" baseline="0"/>
            <a:t> Withdrawal Fee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8118" cy="6282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148378-6B90-55CF-1AEB-9681295685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620783bd5d64abe/City%20of%20Lancaster/Water%20Wholesale%20Rate%20Model.xlsx" TargetMode="External"/><Relationship Id="rId1" Type="http://schemas.openxmlformats.org/officeDocument/2006/relationships/externalLinkPath" Target="https://d.docs.live.net/4620783bd5d64abe/City%20of%20Lancaster/Water%20Wholesale%20Rate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620783bd5d64abe/City%20of%20Lancaster/Water%20Grouped%20Trial%20Balance.xlsx" TargetMode="External"/><Relationship Id="rId1" Type="http://schemas.openxmlformats.org/officeDocument/2006/relationships/externalLinkPath" Target="https://d.docs.live.net/4620783bd5d64abe/City%20of%20Lancaster/Water%20Grouped%20Trial%20Balanc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620783bd5d64abe/City%20of%20Lancaster/Sewer%20Rate%20Model.xlsx" TargetMode="External"/><Relationship Id="rId1" Type="http://schemas.openxmlformats.org/officeDocument/2006/relationships/externalLinkPath" Target="https://d.docs.live.net/4620783bd5d64abe/City%20of%20Lancaster/Sewer%20Rate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ial Balance"/>
      <sheetName val="Matrix"/>
      <sheetName val="Depreciation"/>
      <sheetName val="Debt Service"/>
      <sheetName val="DS Allocation"/>
      <sheetName val="System Information"/>
      <sheetName val="Wholesale Factors"/>
      <sheetName val="Revenue Required Computation"/>
      <sheetName val="Revenue Req No Depreciation"/>
      <sheetName val="Billing Analysis"/>
    </sheetNames>
    <sheetDataSet>
      <sheetData sheetId="0"/>
      <sheetData sheetId="1"/>
      <sheetData sheetId="2">
        <row r="11">
          <cell r="F11">
            <v>46470.237142857142</v>
          </cell>
        </row>
        <row r="12">
          <cell r="F12">
            <v>329710.4357142857</v>
          </cell>
        </row>
        <row r="14">
          <cell r="F14">
            <v>32260.957142857143</v>
          </cell>
        </row>
        <row r="16">
          <cell r="F16">
            <v>132485.38</v>
          </cell>
        </row>
        <row r="19">
          <cell r="F19">
            <v>6191.58</v>
          </cell>
        </row>
        <row r="21">
          <cell r="F21">
            <v>439.94</v>
          </cell>
        </row>
        <row r="22">
          <cell r="F22">
            <v>7319.6</v>
          </cell>
        </row>
        <row r="23">
          <cell r="F23">
            <v>1178.57</v>
          </cell>
        </row>
        <row r="25">
          <cell r="F25">
            <v>556056.69999999995</v>
          </cell>
        </row>
      </sheetData>
      <sheetData sheetId="3">
        <row r="12">
          <cell r="B12" t="str">
            <v>KIA F18-017</v>
          </cell>
          <cell r="C12">
            <v>105858.06</v>
          </cell>
          <cell r="D12">
            <v>24514.729999999996</v>
          </cell>
          <cell r="E12">
            <v>106388.01999999999</v>
          </cell>
          <cell r="F12">
            <v>23719.8</v>
          </cell>
          <cell r="G12">
            <v>106920.62</v>
          </cell>
          <cell r="H12">
            <v>22920.899999999998</v>
          </cell>
          <cell r="I12">
            <v>107455.89</v>
          </cell>
          <cell r="J12">
            <v>22118</v>
          </cell>
          <cell r="K12">
            <v>107993.85</v>
          </cell>
          <cell r="L12">
            <v>21311.06</v>
          </cell>
        </row>
        <row r="13">
          <cell r="B13" t="str">
            <v>RD 91-14</v>
          </cell>
          <cell r="C13">
            <v>85500</v>
          </cell>
          <cell r="D13">
            <v>64990</v>
          </cell>
          <cell r="E13">
            <v>86500</v>
          </cell>
          <cell r="F13">
            <v>63710</v>
          </cell>
          <cell r="G13">
            <v>88000</v>
          </cell>
          <cell r="H13">
            <v>62410</v>
          </cell>
          <cell r="I13">
            <v>89500</v>
          </cell>
          <cell r="J13">
            <v>61090</v>
          </cell>
          <cell r="K13">
            <v>90500</v>
          </cell>
          <cell r="L13">
            <v>59750</v>
          </cell>
        </row>
        <row r="14">
          <cell r="B14" t="str">
            <v>RD 91-08</v>
          </cell>
          <cell r="C14">
            <v>22000</v>
          </cell>
          <cell r="D14">
            <v>18680</v>
          </cell>
          <cell r="E14">
            <v>22500</v>
          </cell>
          <cell r="F14">
            <v>18160</v>
          </cell>
          <cell r="G14">
            <v>23000</v>
          </cell>
          <cell r="H14">
            <v>17630</v>
          </cell>
          <cell r="I14">
            <v>24000</v>
          </cell>
          <cell r="J14">
            <v>17080</v>
          </cell>
          <cell r="K14">
            <v>24500</v>
          </cell>
          <cell r="L14">
            <v>16510</v>
          </cell>
        </row>
        <row r="15">
          <cell r="B15" t="str">
            <v>RD 93-10</v>
          </cell>
          <cell r="C15">
            <v>34000</v>
          </cell>
          <cell r="D15">
            <v>33640</v>
          </cell>
          <cell r="E15">
            <v>34500</v>
          </cell>
          <cell r="F15">
            <v>32790</v>
          </cell>
          <cell r="G15">
            <v>35500</v>
          </cell>
          <cell r="H15">
            <v>31930</v>
          </cell>
          <cell r="I15">
            <v>36500</v>
          </cell>
          <cell r="J15">
            <v>31040</v>
          </cell>
          <cell r="K15">
            <v>37500</v>
          </cell>
          <cell r="L15">
            <v>30130</v>
          </cell>
        </row>
        <row r="16">
          <cell r="B16" t="str">
            <v>KLOC KBC W75/S25</v>
          </cell>
          <cell r="C16">
            <v>76562.482499999998</v>
          </cell>
          <cell r="D16">
            <v>21978.667500000003</v>
          </cell>
          <cell r="E16">
            <v>78750</v>
          </cell>
          <cell r="F16">
            <v>20067.195</v>
          </cell>
          <cell r="G16">
            <v>80312.512500000012</v>
          </cell>
          <cell r="H16">
            <v>18098.407500000001</v>
          </cell>
          <cell r="I16">
            <v>82500.03</v>
          </cell>
          <cell r="J16">
            <v>16090.619999999999</v>
          </cell>
          <cell r="K16">
            <v>60625.042499999996</v>
          </cell>
          <cell r="L16">
            <v>14028.090000000002</v>
          </cell>
        </row>
        <row r="17">
          <cell r="M17">
            <v>482350.79550000001</v>
          </cell>
          <cell r="N17">
            <v>96470.159100000019</v>
          </cell>
        </row>
      </sheetData>
      <sheetData sheetId="4"/>
      <sheetData sheetId="5"/>
      <sheetData sheetId="6"/>
      <sheetData sheetId="7">
        <row r="56">
          <cell r="H56">
            <v>3.75</v>
          </cell>
        </row>
        <row r="57">
          <cell r="H57">
            <v>2.11</v>
          </cell>
        </row>
      </sheetData>
      <sheetData sheetId="8"/>
      <sheetData sheetId="9">
        <row r="6">
          <cell r="D6">
            <v>853895.20200000005</v>
          </cell>
        </row>
        <row r="8">
          <cell r="D8">
            <v>433417.27105355822</v>
          </cell>
        </row>
        <row r="14">
          <cell r="D14">
            <v>1286036.6972999999</v>
          </cell>
        </row>
        <row r="22">
          <cell r="D22">
            <v>122441.80335000002</v>
          </cell>
        </row>
        <row r="24">
          <cell r="D24">
            <v>62148.601077200365</v>
          </cell>
        </row>
        <row r="28">
          <cell r="D28">
            <v>184400.30624999999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sified Detail Summary"/>
      <sheetName val="Tickmarks"/>
      <sheetName val="CustomSheet1"/>
      <sheetName val="CustomSheet2"/>
    </sheetNames>
    <sheetDataSet>
      <sheetData sheetId="0">
        <row r="197">
          <cell r="I197">
            <v>-649150.97</v>
          </cell>
        </row>
        <row r="198">
          <cell r="I198">
            <v>-90556.53</v>
          </cell>
        </row>
        <row r="199">
          <cell r="I199">
            <v>-1040002.82</v>
          </cell>
        </row>
        <row r="200">
          <cell r="F200" t="str">
            <v>Misc</v>
          </cell>
          <cell r="I200">
            <v>-34814.39</v>
          </cell>
        </row>
        <row r="248">
          <cell r="F248" t="str">
            <v>Personal Services</v>
          </cell>
        </row>
        <row r="249">
          <cell r="F249" t="str">
            <v>Salaries/Wages Plant</v>
          </cell>
          <cell r="I249">
            <v>187674.83</v>
          </cell>
        </row>
        <row r="251">
          <cell r="F251" t="str">
            <v>Salaries/Wages Distribution</v>
          </cell>
          <cell r="I251">
            <v>96437.48</v>
          </cell>
        </row>
        <row r="253">
          <cell r="F253" t="str">
            <v>Salaries Admin</v>
          </cell>
          <cell r="I253">
            <v>63528.4</v>
          </cell>
        </row>
        <row r="255">
          <cell r="F255" t="str">
            <v>Empl Benef/Pension Raw Wa</v>
          </cell>
          <cell r="I255">
            <v>0</v>
          </cell>
        </row>
        <row r="256">
          <cell r="F256" t="str">
            <v>Empl Benef/Pension Plan</v>
          </cell>
          <cell r="I256">
            <v>188999.83</v>
          </cell>
        </row>
        <row r="261">
          <cell r="F261" t="str">
            <v>Empl Benef/Pension Dist</v>
          </cell>
          <cell r="I261">
            <v>48761.29</v>
          </cell>
        </row>
        <row r="264">
          <cell r="F264" t="str">
            <v>Empl Benef/Pension Admin</v>
          </cell>
          <cell r="I264">
            <v>39640.11</v>
          </cell>
        </row>
        <row r="269">
          <cell r="F269" t="str">
            <v>Contractual Services</v>
          </cell>
        </row>
        <row r="270">
          <cell r="F270" t="str">
            <v>Utilities Raw Water</v>
          </cell>
          <cell r="I270">
            <v>216982.41</v>
          </cell>
        </row>
        <row r="271">
          <cell r="F271" t="str">
            <v>Utilities Plant</v>
          </cell>
          <cell r="I271">
            <v>127253.07</v>
          </cell>
        </row>
        <row r="273">
          <cell r="F273" t="str">
            <v>Audit-Admin</v>
          </cell>
          <cell r="I273">
            <v>4850</v>
          </cell>
        </row>
        <row r="274">
          <cell r="F274" t="str">
            <v>Miscellaneous-Admin</v>
          </cell>
          <cell r="I274">
            <v>9824.15</v>
          </cell>
        </row>
        <row r="275">
          <cell r="F275" t="str">
            <v>Accounting Office Supplies</v>
          </cell>
          <cell r="I275">
            <v>0</v>
          </cell>
        </row>
        <row r="276">
          <cell r="F276" t="str">
            <v>Services-Raw Water</v>
          </cell>
          <cell r="I276">
            <v>9853.6</v>
          </cell>
        </row>
        <row r="277">
          <cell r="F277" t="str">
            <v>Services-Treatment Plant</v>
          </cell>
          <cell r="I277">
            <v>17328.419999999998</v>
          </cell>
        </row>
        <row r="278">
          <cell r="F278" t="str">
            <v>Services-Storage</v>
          </cell>
          <cell r="I278">
            <v>39548.14</v>
          </cell>
        </row>
        <row r="279">
          <cell r="F279" t="str">
            <v>Contract Services-Dist</v>
          </cell>
          <cell r="I279">
            <v>3885</v>
          </cell>
        </row>
        <row r="280">
          <cell r="F280" t="str">
            <v>Services-Other Admin</v>
          </cell>
          <cell r="I280">
            <v>16529.84</v>
          </cell>
        </row>
        <row r="281">
          <cell r="F281" t="str">
            <v>Insurance</v>
          </cell>
          <cell r="I281">
            <v>50038.93</v>
          </cell>
        </row>
        <row r="286">
          <cell r="F286" t="str">
            <v>Workmans Comp</v>
          </cell>
          <cell r="I286">
            <v>5483.71</v>
          </cell>
        </row>
        <row r="289">
          <cell r="F289" t="str">
            <v>Telephone Raw Water</v>
          </cell>
          <cell r="I289">
            <v>79.53</v>
          </cell>
        </row>
        <row r="290">
          <cell r="F290" t="str">
            <v>Telephone</v>
          </cell>
          <cell r="I290">
            <v>5074.2</v>
          </cell>
        </row>
        <row r="294">
          <cell r="F294" t="str">
            <v>Lab Analysis Plant</v>
          </cell>
          <cell r="I294">
            <v>12067</v>
          </cell>
        </row>
        <row r="295">
          <cell r="F295" t="str">
            <v>Dues/Subscriptions Admin</v>
          </cell>
          <cell r="I295">
            <v>561.79999999999995</v>
          </cell>
        </row>
        <row r="296">
          <cell r="F296" t="str">
            <v>Kentucky River Fee Raw Water</v>
          </cell>
          <cell r="I296">
            <v>160392.26999999999</v>
          </cell>
        </row>
        <row r="304">
          <cell r="F304" t="str">
            <v>Materials &amp; Supplies</v>
          </cell>
        </row>
        <row r="305">
          <cell r="F305" t="str">
            <v>Chemicals</v>
          </cell>
          <cell r="I305">
            <v>38805.730000000003</v>
          </cell>
        </row>
        <row r="306">
          <cell r="F306" t="str">
            <v>Chemicals Plant</v>
          </cell>
          <cell r="I306">
            <v>156381.78</v>
          </cell>
        </row>
        <row r="308">
          <cell r="F308" t="str">
            <v>Materials/Supplies Raw Water</v>
          </cell>
          <cell r="I308">
            <v>5095.99</v>
          </cell>
        </row>
        <row r="309">
          <cell r="F309" t="str">
            <v>Materials/Supplies Plant</v>
          </cell>
          <cell r="I309">
            <v>14906.69</v>
          </cell>
        </row>
        <row r="310">
          <cell r="F310" t="str">
            <v>Materials/Supplies Dist</v>
          </cell>
          <cell r="I310">
            <v>43233.82</v>
          </cell>
        </row>
        <row r="312">
          <cell r="F312" t="str">
            <v>Equipment Rental Raw Water</v>
          </cell>
          <cell r="I312">
            <v>740</v>
          </cell>
        </row>
        <row r="314">
          <cell r="F314" t="str">
            <v>Vehicle Gas</v>
          </cell>
          <cell r="I314">
            <v>6088.33</v>
          </cell>
        </row>
        <row r="315">
          <cell r="F315" t="str">
            <v>Vehicle Gas Plant</v>
          </cell>
          <cell r="I315">
            <v>831.09</v>
          </cell>
        </row>
        <row r="316">
          <cell r="F316" t="str">
            <v>Vehicle Gas Dist</v>
          </cell>
          <cell r="I316">
            <v>9191.16</v>
          </cell>
        </row>
        <row r="318">
          <cell r="F318" t="str">
            <v>Vehicle Maint</v>
          </cell>
          <cell r="I318">
            <v>6261.1</v>
          </cell>
        </row>
        <row r="319">
          <cell r="F319" t="str">
            <v>Postage Plant</v>
          </cell>
          <cell r="I319">
            <v>0</v>
          </cell>
        </row>
        <row r="320">
          <cell r="F320" t="str">
            <v>Postage Admin</v>
          </cell>
          <cell r="I320">
            <v>941.74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Os"/>
      <sheetName val="SAOs No Depreciation"/>
      <sheetName val="Depreciation"/>
      <sheetName val="Debt Service"/>
      <sheetName val="RatesS"/>
      <sheetName val="Ordinance"/>
      <sheetName val="Bills"/>
      <sheetName val="Current Billing Analysis"/>
      <sheetName val="Proposed Billing Analysis"/>
    </sheetNames>
    <sheetDataSet>
      <sheetData sheetId="0"/>
      <sheetData sheetId="1"/>
      <sheetData sheetId="2"/>
      <sheetData sheetId="3"/>
      <sheetData sheetId="4">
        <row r="10">
          <cell r="C10" t="str">
            <v>All Usage</v>
          </cell>
          <cell r="D10">
            <v>10.31</v>
          </cell>
          <cell r="G10" t="str">
            <v>All Usage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79"/>
  <sheetViews>
    <sheetView showGridLines="0" topLeftCell="A45" zoomScaleNormal="100" workbookViewId="0">
      <selection activeCell="K71" sqref="K71"/>
    </sheetView>
  </sheetViews>
  <sheetFormatPr defaultColWidth="8.765625" defaultRowHeight="14.5" x14ac:dyDescent="0.35"/>
  <cols>
    <col min="1" max="2" width="3.61328125" style="7" customWidth="1"/>
    <col min="3" max="3" width="3.69140625" style="7" customWidth="1"/>
    <col min="4" max="4" width="2.69140625" style="7" customWidth="1"/>
    <col min="5" max="5" width="29.4609375" style="7" customWidth="1"/>
    <col min="6" max="6" width="11.3046875" style="120" customWidth="1"/>
    <col min="7" max="7" width="11.53515625" style="120" customWidth="1"/>
    <col min="8" max="8" width="11.53515625" style="7" customWidth="1"/>
    <col min="9" max="9" width="3.53515625" style="7" customWidth="1"/>
    <col min="10" max="10" width="3.61328125" style="7" customWidth="1"/>
    <col min="11" max="12" width="11.3046875" style="7" customWidth="1"/>
    <col min="13" max="13" width="10.84375" style="7" customWidth="1"/>
    <col min="14" max="16384" width="8.765625" style="7"/>
  </cols>
  <sheetData>
    <row r="2" spans="2:13" x14ac:dyDescent="0.35">
      <c r="B2" s="8"/>
      <c r="C2" s="9"/>
      <c r="D2" s="9"/>
      <c r="E2" s="9"/>
      <c r="F2" s="238"/>
      <c r="G2" s="238"/>
      <c r="H2" s="9"/>
      <c r="I2" s="10"/>
    </row>
    <row r="3" spans="2:13" ht="18.5" x14ac:dyDescent="0.35">
      <c r="B3" s="11"/>
      <c r="C3" s="330" t="s">
        <v>13</v>
      </c>
      <c r="D3" s="330"/>
      <c r="E3" s="330"/>
      <c r="F3" s="330"/>
      <c r="G3" s="330"/>
      <c r="H3" s="330"/>
      <c r="I3" s="239"/>
      <c r="J3" s="47"/>
      <c r="K3" s="47"/>
      <c r="L3" s="47"/>
    </row>
    <row r="4" spans="2:13" ht="15.5" x14ac:dyDescent="0.35">
      <c r="B4" s="11"/>
      <c r="C4" s="240" t="s">
        <v>149</v>
      </c>
      <c r="D4" s="241"/>
      <c r="E4" s="241"/>
      <c r="F4" s="242"/>
      <c r="G4" s="242"/>
      <c r="H4" s="241"/>
      <c r="I4" s="239"/>
      <c r="J4" s="47"/>
      <c r="K4" s="47"/>
      <c r="L4" s="47"/>
      <c r="M4" s="47"/>
    </row>
    <row r="5" spans="2:13" x14ac:dyDescent="0.35">
      <c r="B5" s="11"/>
      <c r="C5" s="243"/>
      <c r="D5" s="241"/>
      <c r="E5" s="241"/>
      <c r="F5" s="242"/>
      <c r="G5" s="242"/>
      <c r="H5" s="241"/>
      <c r="I5" s="239"/>
      <c r="J5" s="47"/>
      <c r="K5" s="47"/>
      <c r="L5" s="47"/>
    </row>
    <row r="6" spans="2:13" ht="16" x14ac:dyDescent="0.35">
      <c r="B6" s="11"/>
      <c r="C6" s="244"/>
      <c r="D6" s="244"/>
      <c r="E6" s="244"/>
      <c r="F6" s="245" t="s">
        <v>14</v>
      </c>
      <c r="G6" s="245" t="s">
        <v>15</v>
      </c>
      <c r="H6" s="246" t="s">
        <v>16</v>
      </c>
      <c r="I6" s="239"/>
      <c r="J6" s="51"/>
      <c r="K6" s="47"/>
      <c r="L6" s="47"/>
    </row>
    <row r="7" spans="2:13" x14ac:dyDescent="0.35">
      <c r="B7" s="11"/>
      <c r="C7" s="247" t="s">
        <v>4</v>
      </c>
      <c r="D7" s="244"/>
      <c r="E7" s="244"/>
      <c r="F7" s="121"/>
      <c r="G7" s="121"/>
      <c r="H7" s="244"/>
      <c r="I7" s="239"/>
      <c r="K7" s="47"/>
      <c r="L7" s="47"/>
    </row>
    <row r="8" spans="2:13" x14ac:dyDescent="0.35">
      <c r="B8" s="11"/>
      <c r="C8" s="244"/>
      <c r="D8" s="244" t="s">
        <v>163</v>
      </c>
      <c r="E8" s="244"/>
      <c r="F8" s="248">
        <v>763556.17</v>
      </c>
      <c r="G8" s="248">
        <f>'Billing Analysis'!B9</f>
        <v>39817.144649999682</v>
      </c>
      <c r="H8" s="244">
        <f>F8+G8</f>
        <v>803373.31464999972</v>
      </c>
      <c r="I8" s="249"/>
      <c r="J8" s="47"/>
      <c r="K8" s="47"/>
      <c r="L8" s="47"/>
    </row>
    <row r="9" spans="2:13" x14ac:dyDescent="0.35">
      <c r="B9" s="11"/>
      <c r="C9" s="244"/>
      <c r="D9" s="244" t="s">
        <v>162</v>
      </c>
      <c r="E9" s="244"/>
      <c r="F9" s="248">
        <f>'[1]Billing Analysis'!$D$22</f>
        <v>122441.80335000002</v>
      </c>
      <c r="G9" s="248">
        <f>'[1]Billing Analysis'!$D$24</f>
        <v>62148.601077200365</v>
      </c>
      <c r="H9" s="244">
        <f t="shared" ref="H9:H11" si="0">F9+G9</f>
        <v>184590.40442720038</v>
      </c>
      <c r="I9" s="250"/>
      <c r="J9" s="46"/>
      <c r="K9" s="47"/>
      <c r="L9" s="47"/>
    </row>
    <row r="10" spans="2:13" x14ac:dyDescent="0.35">
      <c r="B10" s="11"/>
      <c r="C10" s="244"/>
      <c r="D10" s="244" t="s">
        <v>164</v>
      </c>
      <c r="E10" s="244"/>
      <c r="F10" s="248">
        <f>'[1]Billing Analysis'!$D$6</f>
        <v>853895.20200000005</v>
      </c>
      <c r="G10" s="248">
        <f>'[1]Billing Analysis'!$D$8</f>
        <v>433417.27105355822</v>
      </c>
      <c r="H10" s="244">
        <f t="shared" si="0"/>
        <v>1287312.4730535583</v>
      </c>
      <c r="I10" s="250"/>
      <c r="J10" s="46"/>
      <c r="K10" s="47"/>
      <c r="L10" s="47"/>
    </row>
    <row r="11" spans="2:13" ht="16" x14ac:dyDescent="0.35">
      <c r="B11" s="11"/>
      <c r="C11" s="244"/>
      <c r="D11" s="244" t="str">
        <f>'[2]Classified Detail Summary'!$F$200</f>
        <v>Misc</v>
      </c>
      <c r="E11" s="244"/>
      <c r="F11" s="230">
        <f>-'[2]Classified Detail Summary'!$I$200</f>
        <v>34814.39</v>
      </c>
      <c r="G11" s="230">
        <v>0</v>
      </c>
      <c r="H11" s="54">
        <f t="shared" si="0"/>
        <v>34814.39</v>
      </c>
      <c r="I11" s="251"/>
      <c r="J11" s="47"/>
      <c r="K11" s="47"/>
      <c r="L11" s="47"/>
    </row>
    <row r="12" spans="2:13" x14ac:dyDescent="0.35">
      <c r="B12" s="11"/>
      <c r="C12" s="252" t="s">
        <v>5</v>
      </c>
      <c r="D12" s="244"/>
      <c r="E12" s="244"/>
      <c r="F12" s="248">
        <f>SUM(F8:F11)</f>
        <v>1774707.56535</v>
      </c>
      <c r="G12" s="248">
        <f>SUM(G8:G11)</f>
        <v>535383.01678075828</v>
      </c>
      <c r="H12" s="244">
        <f>SUM(H8:H11)</f>
        <v>2310090.5821307586</v>
      </c>
      <c r="I12" s="251"/>
      <c r="K12" s="47"/>
      <c r="L12" s="47"/>
    </row>
    <row r="13" spans="2:13" x14ac:dyDescent="0.35">
      <c r="B13" s="11"/>
      <c r="C13" s="244"/>
      <c r="D13" s="244"/>
      <c r="E13" s="244"/>
      <c r="F13" s="248"/>
      <c r="G13" s="248"/>
      <c r="H13" s="244"/>
      <c r="I13" s="251"/>
      <c r="J13" s="47"/>
      <c r="K13" s="47"/>
      <c r="L13" s="47"/>
    </row>
    <row r="14" spans="2:13" x14ac:dyDescent="0.35">
      <c r="B14" s="11"/>
      <c r="C14" s="247" t="s">
        <v>161</v>
      </c>
      <c r="D14" s="244"/>
      <c r="E14" s="244"/>
      <c r="F14" s="248"/>
      <c r="G14" s="248"/>
      <c r="H14" s="244"/>
      <c r="I14" s="251"/>
      <c r="J14" s="47"/>
      <c r="K14" s="47"/>
      <c r="L14" s="47"/>
    </row>
    <row r="15" spans="2:13" x14ac:dyDescent="0.35">
      <c r="B15" s="11"/>
      <c r="C15" s="244"/>
      <c r="D15" s="252" t="str">
        <f>'[2]Classified Detail Summary'!$F$248</f>
        <v>Personal Services</v>
      </c>
      <c r="E15" s="244"/>
      <c r="F15" s="248"/>
      <c r="G15" s="248"/>
      <c r="H15" s="244"/>
      <c r="I15" s="251"/>
      <c r="J15" s="47"/>
      <c r="K15" s="47"/>
      <c r="L15" s="47"/>
    </row>
    <row r="16" spans="2:13" x14ac:dyDescent="0.35">
      <c r="B16" s="11"/>
      <c r="C16" s="244"/>
      <c r="D16" s="244"/>
      <c r="E16" s="244" t="str">
        <f>'[2]Classified Detail Summary'!$F$249</f>
        <v>Salaries/Wages Plant</v>
      </c>
      <c r="F16" s="248">
        <f>'[2]Classified Detail Summary'!$I$249</f>
        <v>187674.83</v>
      </c>
      <c r="G16" s="248">
        <f>215000-F16</f>
        <v>27325.170000000013</v>
      </c>
      <c r="H16" s="244">
        <f>F16+G16</f>
        <v>215000</v>
      </c>
      <c r="I16" s="249"/>
      <c r="J16" s="47"/>
      <c r="K16" s="47"/>
      <c r="L16" s="47"/>
    </row>
    <row r="17" spans="2:12" x14ac:dyDescent="0.35">
      <c r="B17" s="11"/>
      <c r="C17" s="244"/>
      <c r="D17" s="244"/>
      <c r="E17" s="244" t="str">
        <f>'[2]Classified Detail Summary'!$F$251</f>
        <v>Salaries/Wages Distribution</v>
      </c>
      <c r="F17" s="248">
        <f>'[2]Classified Detail Summary'!$I$251</f>
        <v>96437.48</v>
      </c>
      <c r="G17" s="248">
        <f>145000-F17</f>
        <v>48562.520000000004</v>
      </c>
      <c r="H17" s="244">
        <f t="shared" ref="H17:H34" si="1">F17+G17</f>
        <v>145000</v>
      </c>
      <c r="I17" s="249"/>
      <c r="J17" s="47"/>
      <c r="K17" s="47"/>
      <c r="L17" s="47"/>
    </row>
    <row r="18" spans="2:12" x14ac:dyDescent="0.35">
      <c r="B18" s="11"/>
      <c r="C18" s="244"/>
      <c r="D18" s="244"/>
      <c r="E18" s="244" t="str">
        <f>'[2]Classified Detail Summary'!$F$253</f>
        <v>Salaries Admin</v>
      </c>
      <c r="F18" s="248">
        <f>'[2]Classified Detail Summary'!$I$253</f>
        <v>63528.4</v>
      </c>
      <c r="G18" s="248">
        <f>100000-F18</f>
        <v>36471.599999999999</v>
      </c>
      <c r="H18" s="244">
        <f t="shared" si="1"/>
        <v>100000</v>
      </c>
      <c r="I18" s="253"/>
      <c r="K18" s="47"/>
      <c r="L18" s="47"/>
    </row>
    <row r="19" spans="2:12" x14ac:dyDescent="0.35">
      <c r="B19" s="11"/>
      <c r="C19" s="244"/>
      <c r="D19" s="244"/>
      <c r="E19" s="244" t="str">
        <f>'[2]Classified Detail Summary'!$F$255</f>
        <v>Empl Benef/Pension Raw Wa</v>
      </c>
      <c r="F19" s="248">
        <f>'[2]Classified Detail Summary'!$I$255</f>
        <v>0</v>
      </c>
      <c r="G19" s="248">
        <f>10000-F19</f>
        <v>10000</v>
      </c>
      <c r="H19" s="244">
        <f t="shared" si="1"/>
        <v>10000</v>
      </c>
      <c r="I19" s="253"/>
      <c r="K19" s="47"/>
      <c r="L19" s="47"/>
    </row>
    <row r="20" spans="2:12" x14ac:dyDescent="0.35">
      <c r="B20" s="11"/>
      <c r="C20" s="244"/>
      <c r="D20" s="244"/>
      <c r="E20" s="244" t="str">
        <f>'[2]Classified Detail Summary'!$F$256</f>
        <v>Empl Benef/Pension Plan</v>
      </c>
      <c r="F20" s="248">
        <f>'[2]Classified Detail Summary'!$I$256</f>
        <v>188999.83</v>
      </c>
      <c r="G20" s="248">
        <f>135000-F20</f>
        <v>-53999.829999999987</v>
      </c>
      <c r="H20" s="244">
        <f t="shared" si="1"/>
        <v>135000</v>
      </c>
      <c r="I20" s="253"/>
      <c r="K20" s="47"/>
      <c r="L20" s="47"/>
    </row>
    <row r="21" spans="2:12" x14ac:dyDescent="0.35">
      <c r="B21" s="11"/>
      <c r="C21" s="244"/>
      <c r="D21" s="244"/>
      <c r="E21" s="244" t="str">
        <f>'[2]Classified Detail Summary'!$F$261</f>
        <v>Empl Benef/Pension Dist</v>
      </c>
      <c r="F21" s="248">
        <f>'[2]Classified Detail Summary'!$I$261</f>
        <v>48761.29</v>
      </c>
      <c r="G21" s="248">
        <f>52000-F21</f>
        <v>3238.7099999999991</v>
      </c>
      <c r="H21" s="244">
        <f t="shared" si="1"/>
        <v>52000</v>
      </c>
      <c r="I21" s="253"/>
      <c r="K21" s="47"/>
      <c r="L21" s="47"/>
    </row>
    <row r="22" spans="2:12" x14ac:dyDescent="0.35">
      <c r="B22" s="11"/>
      <c r="C22" s="244"/>
      <c r="D22" s="244"/>
      <c r="E22" s="244" t="str">
        <f>'[2]Classified Detail Summary'!$F$264</f>
        <v>Empl Benef/Pension Admin</v>
      </c>
      <c r="F22" s="248">
        <f>'[2]Classified Detail Summary'!$I$264</f>
        <v>39640.11</v>
      </c>
      <c r="G22" s="248">
        <f>50000-F22</f>
        <v>10359.89</v>
      </c>
      <c r="H22" s="244">
        <f t="shared" si="1"/>
        <v>50000</v>
      </c>
      <c r="I22" s="249"/>
      <c r="J22" s="47"/>
      <c r="K22" s="47"/>
      <c r="L22" s="47"/>
    </row>
    <row r="23" spans="2:12" x14ac:dyDescent="0.35">
      <c r="B23" s="11"/>
      <c r="C23" s="244"/>
      <c r="D23" s="252" t="str">
        <f>'[2]Classified Detail Summary'!$F$269</f>
        <v>Contractual Services</v>
      </c>
      <c r="E23" s="244"/>
      <c r="F23" s="248"/>
      <c r="G23" s="248"/>
      <c r="H23" s="244"/>
      <c r="I23" s="249"/>
      <c r="J23" s="47"/>
      <c r="K23" s="47"/>
      <c r="L23" s="47"/>
    </row>
    <row r="24" spans="2:12" x14ac:dyDescent="0.35">
      <c r="B24" s="11"/>
      <c r="C24" s="244"/>
      <c r="D24" s="252"/>
      <c r="E24" s="244" t="str">
        <f>'[2]Classified Detail Summary'!$F$270</f>
        <v>Utilities Raw Water</v>
      </c>
      <c r="F24" s="248">
        <f>'[2]Classified Detail Summary'!$I$270</f>
        <v>216982.41</v>
      </c>
      <c r="G24" s="248">
        <f>245000-F24</f>
        <v>28017.589999999997</v>
      </c>
      <c r="H24" s="244">
        <f t="shared" ref="H24:H33" si="2">F24+G24</f>
        <v>245000</v>
      </c>
      <c r="I24" s="249"/>
      <c r="J24" s="47"/>
      <c r="K24" s="47"/>
      <c r="L24" s="47"/>
    </row>
    <row r="25" spans="2:12" x14ac:dyDescent="0.35">
      <c r="B25" s="11"/>
      <c r="C25" s="244"/>
      <c r="D25" s="252"/>
      <c r="E25" s="244" t="str">
        <f>'[2]Classified Detail Summary'!$F$271</f>
        <v>Utilities Plant</v>
      </c>
      <c r="F25" s="248">
        <f>'[2]Classified Detail Summary'!$I$271</f>
        <v>127253.07</v>
      </c>
      <c r="G25" s="248">
        <f>120000-F25</f>
        <v>-7253.070000000007</v>
      </c>
      <c r="H25" s="244">
        <f t="shared" si="2"/>
        <v>120000</v>
      </c>
      <c r="I25" s="249"/>
      <c r="J25" s="47"/>
      <c r="K25" s="47"/>
      <c r="L25" s="47"/>
    </row>
    <row r="26" spans="2:12" x14ac:dyDescent="0.35">
      <c r="B26" s="11"/>
      <c r="C26" s="244"/>
      <c r="D26" s="252"/>
      <c r="E26" s="244" t="str">
        <f>'[2]Classified Detail Summary'!$F$273</f>
        <v>Audit-Admin</v>
      </c>
      <c r="F26" s="248">
        <f>'[2]Classified Detail Summary'!$I$273</f>
        <v>4850</v>
      </c>
      <c r="G26" s="248">
        <f>3000-F26</f>
        <v>-1850</v>
      </c>
      <c r="H26" s="244">
        <f t="shared" si="2"/>
        <v>3000</v>
      </c>
      <c r="I26" s="249"/>
      <c r="J26" s="47"/>
      <c r="K26" s="47"/>
      <c r="L26" s="47"/>
    </row>
    <row r="27" spans="2:12" x14ac:dyDescent="0.35">
      <c r="B27" s="11"/>
      <c r="C27" s="244"/>
      <c r="D27" s="252"/>
      <c r="E27" s="244" t="str">
        <f>'[2]Classified Detail Summary'!$F$274</f>
        <v>Miscellaneous-Admin</v>
      </c>
      <c r="F27" s="248">
        <f>'[2]Classified Detail Summary'!$I$274</f>
        <v>9824.15</v>
      </c>
      <c r="G27" s="248">
        <f>0-F27</f>
        <v>-9824.15</v>
      </c>
      <c r="H27" s="244">
        <f t="shared" si="2"/>
        <v>0</v>
      </c>
      <c r="I27" s="249"/>
      <c r="J27" s="47"/>
      <c r="K27" s="47"/>
      <c r="L27" s="47"/>
    </row>
    <row r="28" spans="2:12" x14ac:dyDescent="0.35">
      <c r="B28" s="11"/>
      <c r="C28" s="244"/>
      <c r="D28" s="252"/>
      <c r="E28" s="244" t="str">
        <f>'[2]Classified Detail Summary'!$F$275</f>
        <v>Accounting Office Supplies</v>
      </c>
      <c r="F28" s="248">
        <f>'[2]Classified Detail Summary'!$I$275</f>
        <v>0</v>
      </c>
      <c r="G28" s="248">
        <f>0-F28</f>
        <v>0</v>
      </c>
      <c r="H28" s="244">
        <f t="shared" si="2"/>
        <v>0</v>
      </c>
      <c r="I28" s="249"/>
      <c r="J28" s="47"/>
      <c r="K28" s="47"/>
      <c r="L28" s="47"/>
    </row>
    <row r="29" spans="2:12" x14ac:dyDescent="0.35">
      <c r="B29" s="11"/>
      <c r="C29" s="244"/>
      <c r="D29" s="252"/>
      <c r="E29" s="244" t="str">
        <f>'[2]Classified Detail Summary'!$F$276</f>
        <v>Services-Raw Water</v>
      </c>
      <c r="F29" s="248">
        <f>'[2]Classified Detail Summary'!$I$276</f>
        <v>9853.6</v>
      </c>
      <c r="G29" s="248">
        <f>11000-F29</f>
        <v>1146.3999999999996</v>
      </c>
      <c r="H29" s="244">
        <f t="shared" si="2"/>
        <v>11000</v>
      </c>
      <c r="I29" s="249"/>
      <c r="J29" s="47"/>
      <c r="K29" s="47"/>
      <c r="L29" s="47"/>
    </row>
    <row r="30" spans="2:12" x14ac:dyDescent="0.35">
      <c r="B30" s="11"/>
      <c r="C30" s="244"/>
      <c r="D30" s="252"/>
      <c r="E30" s="244" t="str">
        <f>'[2]Classified Detail Summary'!$F$277</f>
        <v>Services-Treatment Plant</v>
      </c>
      <c r="F30" s="248">
        <f>'[2]Classified Detail Summary'!$I$277</f>
        <v>17328.419999999998</v>
      </c>
      <c r="G30" s="248">
        <f>33000-F30</f>
        <v>15671.580000000002</v>
      </c>
      <c r="H30" s="244">
        <f t="shared" si="2"/>
        <v>33000</v>
      </c>
      <c r="I30" s="249"/>
      <c r="J30" s="47"/>
      <c r="K30" s="47"/>
      <c r="L30" s="47"/>
    </row>
    <row r="31" spans="2:12" x14ac:dyDescent="0.35">
      <c r="B31" s="11"/>
      <c r="C31" s="244"/>
      <c r="D31" s="252"/>
      <c r="E31" s="244" t="str">
        <f>'[2]Classified Detail Summary'!$F$278</f>
        <v>Services-Storage</v>
      </c>
      <c r="F31" s="248">
        <f>'[2]Classified Detail Summary'!$I$278</f>
        <v>39548.14</v>
      </c>
      <c r="G31" s="248">
        <f>43000-F31</f>
        <v>3451.8600000000006</v>
      </c>
      <c r="H31" s="244">
        <f t="shared" si="2"/>
        <v>43000</v>
      </c>
      <c r="I31" s="249"/>
      <c r="J31" s="47"/>
      <c r="K31" s="47"/>
      <c r="L31" s="47"/>
    </row>
    <row r="32" spans="2:12" x14ac:dyDescent="0.35">
      <c r="B32" s="11"/>
      <c r="C32" s="244"/>
      <c r="D32" s="252"/>
      <c r="E32" s="244" t="str">
        <f>'[2]Classified Detail Summary'!$F$279</f>
        <v>Contract Services-Dist</v>
      </c>
      <c r="F32" s="248">
        <f>'[2]Classified Detail Summary'!$I$279</f>
        <v>3885</v>
      </c>
      <c r="G32" s="248">
        <f>6000-F32</f>
        <v>2115</v>
      </c>
      <c r="H32" s="244">
        <f t="shared" si="2"/>
        <v>6000</v>
      </c>
      <c r="I32" s="249"/>
      <c r="J32" s="47"/>
      <c r="K32" s="47"/>
      <c r="L32" s="47"/>
    </row>
    <row r="33" spans="2:12" x14ac:dyDescent="0.35">
      <c r="B33" s="11"/>
      <c r="C33" s="244"/>
      <c r="D33" s="244"/>
      <c r="E33" s="244" t="str">
        <f>'[2]Classified Detail Summary'!$F$280</f>
        <v>Services-Other Admin</v>
      </c>
      <c r="F33" s="248">
        <f>'[2]Classified Detail Summary'!$I$280</f>
        <v>16529.84</v>
      </c>
      <c r="G33" s="248">
        <f>8500-F33</f>
        <v>-8029.84</v>
      </c>
      <c r="H33" s="244">
        <f t="shared" si="2"/>
        <v>8500</v>
      </c>
      <c r="I33" s="251"/>
      <c r="J33" s="47"/>
      <c r="K33" s="47"/>
      <c r="L33" s="47"/>
    </row>
    <row r="34" spans="2:12" x14ac:dyDescent="0.35">
      <c r="B34" s="11"/>
      <c r="C34" s="244"/>
      <c r="D34" s="244"/>
      <c r="E34" s="244" t="str">
        <f>'[2]Classified Detail Summary'!$F$281</f>
        <v>Insurance</v>
      </c>
      <c r="F34" s="248">
        <f>'[2]Classified Detail Summary'!$I$281</f>
        <v>50038.93</v>
      </c>
      <c r="G34" s="248">
        <f>55000-F34</f>
        <v>4961.07</v>
      </c>
      <c r="H34" s="244">
        <f t="shared" si="1"/>
        <v>55000</v>
      </c>
      <c r="I34" s="251"/>
      <c r="J34" s="47"/>
      <c r="K34" s="47"/>
      <c r="L34" s="47"/>
    </row>
    <row r="35" spans="2:12" x14ac:dyDescent="0.35">
      <c r="B35" s="11"/>
      <c r="C35" s="244"/>
      <c r="D35" s="244"/>
      <c r="E35" s="244" t="str">
        <f>'[2]Classified Detail Summary'!$F$286</f>
        <v>Workmans Comp</v>
      </c>
      <c r="F35" s="248">
        <f>'[2]Classified Detail Summary'!$I$286</f>
        <v>5483.71</v>
      </c>
      <c r="G35" s="248">
        <f>10000-F35</f>
        <v>4516.29</v>
      </c>
      <c r="H35" s="244">
        <f>F35+G35</f>
        <v>10000</v>
      </c>
      <c r="I35" s="251"/>
      <c r="J35" s="47"/>
      <c r="K35" s="47"/>
      <c r="L35" s="47"/>
    </row>
    <row r="36" spans="2:12" x14ac:dyDescent="0.35">
      <c r="B36" s="11"/>
      <c r="C36" s="244"/>
      <c r="D36" s="244"/>
      <c r="E36" s="244" t="str">
        <f>'[2]Classified Detail Summary'!$F$289</f>
        <v>Telephone Raw Water</v>
      </c>
      <c r="F36" s="248">
        <f>'[2]Classified Detail Summary'!$I$289</f>
        <v>79.53</v>
      </c>
      <c r="G36" s="248">
        <f>0-F36</f>
        <v>-79.53</v>
      </c>
      <c r="H36" s="244">
        <f t="shared" ref="H36:H40" si="3">F36+G36</f>
        <v>0</v>
      </c>
      <c r="I36" s="251"/>
      <c r="J36" s="47"/>
      <c r="K36" s="47"/>
      <c r="L36" s="47"/>
    </row>
    <row r="37" spans="2:12" x14ac:dyDescent="0.35">
      <c r="B37" s="11"/>
      <c r="C37" s="244"/>
      <c r="D37" s="244"/>
      <c r="E37" s="244" t="str">
        <f>'[2]Classified Detail Summary'!$F$290</f>
        <v>Telephone</v>
      </c>
      <c r="F37" s="248">
        <f>'[2]Classified Detail Summary'!$I$290</f>
        <v>5074.2</v>
      </c>
      <c r="G37" s="248">
        <f>5000-F37</f>
        <v>-74.199999999999818</v>
      </c>
      <c r="H37" s="244">
        <f t="shared" si="3"/>
        <v>5000</v>
      </c>
      <c r="I37" s="251"/>
      <c r="J37" s="47"/>
      <c r="K37" s="47"/>
      <c r="L37" s="47"/>
    </row>
    <row r="38" spans="2:12" x14ac:dyDescent="0.35">
      <c r="B38" s="11"/>
      <c r="C38" s="244"/>
      <c r="D38" s="244"/>
      <c r="E38" s="244" t="str">
        <f>'[2]Classified Detail Summary'!$F$294</f>
        <v>Lab Analysis Plant</v>
      </c>
      <c r="F38" s="248">
        <f>'[2]Classified Detail Summary'!$I$294</f>
        <v>12067</v>
      </c>
      <c r="G38" s="248">
        <f>12000-F38</f>
        <v>-67</v>
      </c>
      <c r="H38" s="244">
        <f t="shared" si="3"/>
        <v>12000</v>
      </c>
      <c r="I38" s="251"/>
      <c r="J38" s="47"/>
      <c r="K38" s="47"/>
      <c r="L38" s="47"/>
    </row>
    <row r="39" spans="2:12" x14ac:dyDescent="0.35">
      <c r="B39" s="11"/>
      <c r="C39" s="244"/>
      <c r="D39" s="244"/>
      <c r="E39" s="244" t="str">
        <f>'[2]Classified Detail Summary'!$F$295</f>
        <v>Dues/Subscriptions Admin</v>
      </c>
      <c r="F39" s="248">
        <f>'[2]Classified Detail Summary'!$I$295</f>
        <v>561.79999999999995</v>
      </c>
      <c r="G39" s="248">
        <f>1500-F39</f>
        <v>938.2</v>
      </c>
      <c r="H39" s="244">
        <f t="shared" si="3"/>
        <v>1500</v>
      </c>
      <c r="I39" s="251"/>
      <c r="J39" s="47"/>
      <c r="K39" s="47"/>
      <c r="L39" s="47"/>
    </row>
    <row r="40" spans="2:12" x14ac:dyDescent="0.35">
      <c r="B40" s="11"/>
      <c r="C40" s="244"/>
      <c r="D40" s="244"/>
      <c r="E40" s="244" t="str">
        <f>'[2]Classified Detail Summary'!$F$296</f>
        <v>Kentucky River Fee Raw Water</v>
      </c>
      <c r="F40" s="248">
        <f>'[2]Classified Detail Summary'!$I$296</f>
        <v>160392.26999999999</v>
      </c>
      <c r="G40" s="248">
        <v>-160392</v>
      </c>
      <c r="H40" s="244">
        <f t="shared" si="3"/>
        <v>0.26999999998952262</v>
      </c>
      <c r="I40" s="251"/>
      <c r="J40" s="47"/>
      <c r="K40" s="47"/>
      <c r="L40" s="47"/>
    </row>
    <row r="41" spans="2:12" x14ac:dyDescent="0.35">
      <c r="B41" s="11"/>
      <c r="C41" s="244"/>
      <c r="D41" s="252" t="str">
        <f>'[2]Classified Detail Summary'!$F$304</f>
        <v>Materials &amp; Supplies</v>
      </c>
      <c r="E41" s="244"/>
      <c r="F41" s="248"/>
      <c r="G41" s="248"/>
      <c r="H41" s="244"/>
      <c r="I41" s="251"/>
      <c r="J41" s="47"/>
      <c r="K41" s="47"/>
      <c r="L41" s="47"/>
    </row>
    <row r="42" spans="2:12" x14ac:dyDescent="0.35">
      <c r="B42" s="11"/>
      <c r="C42" s="244"/>
      <c r="D42" s="244"/>
      <c r="E42" s="244" t="str">
        <f>'[2]Classified Detail Summary'!$F$305</f>
        <v>Chemicals</v>
      </c>
      <c r="F42" s="248">
        <f>'[2]Classified Detail Summary'!$I$305</f>
        <v>38805.730000000003</v>
      </c>
      <c r="G42" s="248">
        <f>60000-F42</f>
        <v>21194.269999999997</v>
      </c>
      <c r="H42" s="244">
        <f t="shared" ref="H42:H53" si="4">F42+G42</f>
        <v>60000</v>
      </c>
      <c r="I42" s="251"/>
      <c r="J42" s="47"/>
      <c r="K42" s="47"/>
      <c r="L42" s="47"/>
    </row>
    <row r="43" spans="2:12" x14ac:dyDescent="0.35">
      <c r="B43" s="11"/>
      <c r="C43" s="244"/>
      <c r="D43" s="244"/>
      <c r="E43" s="244" t="str">
        <f>'[2]Classified Detail Summary'!$F$306</f>
        <v>Chemicals Plant</v>
      </c>
      <c r="F43" s="248">
        <f>'[2]Classified Detail Summary'!$I$306</f>
        <v>156381.78</v>
      </c>
      <c r="G43" s="248">
        <f>200000-F43</f>
        <v>43618.22</v>
      </c>
      <c r="H43" s="244">
        <f t="shared" si="4"/>
        <v>200000</v>
      </c>
      <c r="I43" s="251"/>
      <c r="J43" s="47"/>
      <c r="K43" s="47"/>
      <c r="L43" s="47"/>
    </row>
    <row r="44" spans="2:12" x14ac:dyDescent="0.35">
      <c r="B44" s="11"/>
      <c r="C44" s="244"/>
      <c r="D44" s="244"/>
      <c r="E44" s="244" t="str">
        <f>'[2]Classified Detail Summary'!$F$308</f>
        <v>Materials/Supplies Raw Water</v>
      </c>
      <c r="F44" s="248">
        <f>'[2]Classified Detail Summary'!$I$308</f>
        <v>5095.99</v>
      </c>
      <c r="G44" s="248">
        <f>3000-F44</f>
        <v>-2095.9899999999998</v>
      </c>
      <c r="H44" s="244">
        <f t="shared" si="4"/>
        <v>3000</v>
      </c>
      <c r="I44" s="251"/>
      <c r="J44" s="47"/>
      <c r="K44" s="47"/>
      <c r="L44" s="47"/>
    </row>
    <row r="45" spans="2:12" x14ac:dyDescent="0.35">
      <c r="B45" s="11"/>
      <c r="C45" s="244"/>
      <c r="D45" s="244"/>
      <c r="E45" s="244" t="str">
        <f>'[2]Classified Detail Summary'!$F$309</f>
        <v>Materials/Supplies Plant</v>
      </c>
      <c r="F45" s="248">
        <f>'[2]Classified Detail Summary'!$I$309</f>
        <v>14906.69</v>
      </c>
      <c r="G45" s="248">
        <f>30000-F45</f>
        <v>15093.31</v>
      </c>
      <c r="H45" s="244">
        <f t="shared" si="4"/>
        <v>30000</v>
      </c>
      <c r="I45" s="251"/>
      <c r="J45" s="47"/>
      <c r="K45" s="47"/>
      <c r="L45" s="47"/>
    </row>
    <row r="46" spans="2:12" x14ac:dyDescent="0.35">
      <c r="B46" s="11"/>
      <c r="C46" s="244"/>
      <c r="D46" s="244"/>
      <c r="E46" s="244" t="str">
        <f>'[2]Classified Detail Summary'!$F$310</f>
        <v>Materials/Supplies Dist</v>
      </c>
      <c r="F46" s="248">
        <f>'[2]Classified Detail Summary'!$I$310</f>
        <v>43233.82</v>
      </c>
      <c r="G46" s="248">
        <f>30000-F46</f>
        <v>-13233.82</v>
      </c>
      <c r="H46" s="244">
        <f t="shared" si="4"/>
        <v>30000</v>
      </c>
      <c r="I46" s="251"/>
      <c r="J46" s="47"/>
      <c r="K46" s="47"/>
      <c r="L46" s="47"/>
    </row>
    <row r="47" spans="2:12" x14ac:dyDescent="0.35">
      <c r="B47" s="11"/>
      <c r="C47" s="244"/>
      <c r="D47" s="244"/>
      <c r="E47" s="244" t="str">
        <f>'[2]Classified Detail Summary'!$F$312</f>
        <v>Equipment Rental Raw Water</v>
      </c>
      <c r="F47" s="248">
        <f>'[2]Classified Detail Summary'!$I$312</f>
        <v>740</v>
      </c>
      <c r="G47" s="248">
        <f>500-F47</f>
        <v>-240</v>
      </c>
      <c r="H47" s="244">
        <f t="shared" si="4"/>
        <v>500</v>
      </c>
      <c r="I47" s="251"/>
      <c r="J47" s="47"/>
      <c r="K47" s="47"/>
      <c r="L47" s="47"/>
    </row>
    <row r="48" spans="2:12" x14ac:dyDescent="0.35">
      <c r="B48" s="11"/>
      <c r="C48" s="244"/>
      <c r="D48" s="244"/>
      <c r="E48" s="244" t="str">
        <f>'[2]Classified Detail Summary'!$F$314</f>
        <v>Vehicle Gas</v>
      </c>
      <c r="F48" s="248">
        <f>'[2]Classified Detail Summary'!$I$314</f>
        <v>6088.33</v>
      </c>
      <c r="G48" s="248">
        <f>1000-F48</f>
        <v>-5088.33</v>
      </c>
      <c r="H48" s="244">
        <f t="shared" si="4"/>
        <v>1000</v>
      </c>
      <c r="I48" s="251"/>
      <c r="J48" s="47"/>
      <c r="K48" s="47"/>
      <c r="L48" s="47"/>
    </row>
    <row r="49" spans="2:12" x14ac:dyDescent="0.35">
      <c r="B49" s="11"/>
      <c r="C49" s="244"/>
      <c r="D49" s="244"/>
      <c r="E49" s="244" t="str">
        <f>'[2]Classified Detail Summary'!$F$315</f>
        <v>Vehicle Gas Plant</v>
      </c>
      <c r="F49" s="248">
        <f>'[2]Classified Detail Summary'!$I$315</f>
        <v>831.09</v>
      </c>
      <c r="G49" s="248">
        <f>750-F49</f>
        <v>-81.090000000000032</v>
      </c>
      <c r="H49" s="244">
        <f t="shared" si="4"/>
        <v>750</v>
      </c>
      <c r="I49" s="251"/>
      <c r="J49" s="47"/>
      <c r="K49" s="47"/>
      <c r="L49" s="47"/>
    </row>
    <row r="50" spans="2:12" x14ac:dyDescent="0.35">
      <c r="B50" s="11"/>
      <c r="C50" s="244"/>
      <c r="D50" s="244"/>
      <c r="E50" s="244" t="str">
        <f>'[2]Classified Detail Summary'!$F$316</f>
        <v>Vehicle Gas Dist</v>
      </c>
      <c r="F50" s="248">
        <f>'[2]Classified Detail Summary'!$I$316</f>
        <v>9191.16</v>
      </c>
      <c r="G50" s="248">
        <f>13500-F50</f>
        <v>4308.84</v>
      </c>
      <c r="H50" s="244">
        <f t="shared" si="4"/>
        <v>13500</v>
      </c>
      <c r="I50" s="251"/>
      <c r="J50" s="47"/>
      <c r="K50" s="47"/>
      <c r="L50" s="47"/>
    </row>
    <row r="51" spans="2:12" x14ac:dyDescent="0.35">
      <c r="B51" s="11"/>
      <c r="C51" s="244"/>
      <c r="D51" s="244"/>
      <c r="E51" s="244" t="str">
        <f>'[2]Classified Detail Summary'!$F$318</f>
        <v>Vehicle Maint</v>
      </c>
      <c r="F51" s="248">
        <f>'[2]Classified Detail Summary'!$I$318</f>
        <v>6261.1</v>
      </c>
      <c r="G51" s="248">
        <f>9000-F51</f>
        <v>2738.8999999999996</v>
      </c>
      <c r="H51" s="244">
        <f t="shared" si="4"/>
        <v>9000</v>
      </c>
      <c r="I51" s="251"/>
      <c r="J51" s="47"/>
      <c r="K51" s="47"/>
      <c r="L51" s="47"/>
    </row>
    <row r="52" spans="2:12" x14ac:dyDescent="0.35">
      <c r="B52" s="11"/>
      <c r="C52" s="244"/>
      <c r="D52" s="244"/>
      <c r="E52" s="244" t="str">
        <f>'[2]Classified Detail Summary'!$F$319</f>
        <v>Postage Plant</v>
      </c>
      <c r="F52" s="248">
        <f>'[2]Classified Detail Summary'!$I$319</f>
        <v>0</v>
      </c>
      <c r="G52" s="248">
        <f>1000-F52</f>
        <v>1000</v>
      </c>
      <c r="H52" s="244">
        <f t="shared" si="4"/>
        <v>1000</v>
      </c>
      <c r="I52" s="251"/>
      <c r="J52" s="47"/>
      <c r="K52" s="47"/>
      <c r="L52" s="47"/>
    </row>
    <row r="53" spans="2:12" ht="16" x14ac:dyDescent="0.35">
      <c r="B53" s="11"/>
      <c r="C53" s="244"/>
      <c r="D53" s="244"/>
      <c r="E53" s="244" t="str">
        <f>'[2]Classified Detail Summary'!$F$320</f>
        <v>Postage Admin</v>
      </c>
      <c r="F53" s="230">
        <f>'[2]Classified Detail Summary'!$I$320</f>
        <v>941.74</v>
      </c>
      <c r="G53" s="230">
        <f>1000-F53</f>
        <v>58.259999999999991</v>
      </c>
      <c r="H53" s="54">
        <f t="shared" si="4"/>
        <v>1000</v>
      </c>
      <c r="I53" s="251"/>
      <c r="J53" s="47"/>
      <c r="K53" s="47"/>
      <c r="L53" s="47"/>
    </row>
    <row r="54" spans="2:12" x14ac:dyDescent="0.35">
      <c r="B54" s="11"/>
      <c r="C54" s="244"/>
      <c r="D54" s="244" t="s">
        <v>145</v>
      </c>
      <c r="E54" s="244"/>
      <c r="F54" s="248">
        <f>SUM(F16:F53)</f>
        <v>1587271.4400000004</v>
      </c>
      <c r="G54" s="248">
        <f>SUM(G16:G53)</f>
        <v>22478.829999999991</v>
      </c>
      <c r="H54" s="244">
        <f>SUM(H16:H53)</f>
        <v>1609750.27</v>
      </c>
      <c r="I54" s="251"/>
      <c r="J54" s="152"/>
      <c r="K54" s="47"/>
      <c r="L54" s="47"/>
    </row>
    <row r="55" spans="2:12" ht="16" x14ac:dyDescent="0.35">
      <c r="B55" s="11"/>
      <c r="C55" s="244"/>
      <c r="D55" s="244" t="s">
        <v>6</v>
      </c>
      <c r="E55" s="244"/>
      <c r="F55" s="230">
        <f>Depreciation!E50</f>
        <v>556056.69999999984</v>
      </c>
      <c r="G55" s="230">
        <v>0</v>
      </c>
      <c r="H55" s="54">
        <f>F55+G55</f>
        <v>556056.69999999984</v>
      </c>
      <c r="I55" s="251"/>
      <c r="J55" s="47"/>
      <c r="K55" s="47"/>
    </row>
    <row r="56" spans="2:12" ht="16" x14ac:dyDescent="0.35">
      <c r="B56" s="11"/>
      <c r="C56" s="252" t="s">
        <v>0</v>
      </c>
      <c r="D56" s="244"/>
      <c r="E56" s="244"/>
      <c r="F56" s="230">
        <f>SUM(F54:F55)</f>
        <v>2143328.14</v>
      </c>
      <c r="G56" s="230">
        <f>SUM(G54:G55)</f>
        <v>22478.829999999991</v>
      </c>
      <c r="H56" s="54">
        <f>SUM(H54:H55)</f>
        <v>2165806.9699999997</v>
      </c>
      <c r="I56" s="251"/>
      <c r="J56" s="47"/>
      <c r="K56" s="47"/>
      <c r="L56" s="47"/>
    </row>
    <row r="57" spans="2:12" ht="4" customHeight="1" x14ac:dyDescent="0.35">
      <c r="B57" s="11"/>
      <c r="C57" s="252"/>
      <c r="D57" s="244"/>
      <c r="E57" s="244"/>
      <c r="F57" s="230"/>
      <c r="G57" s="248"/>
      <c r="H57" s="244"/>
      <c r="I57" s="239"/>
      <c r="J57" s="47"/>
      <c r="K57" s="47"/>
      <c r="L57" s="47"/>
    </row>
    <row r="58" spans="2:12" x14ac:dyDescent="0.35">
      <c r="B58" s="11"/>
      <c r="C58" s="252" t="s">
        <v>17</v>
      </c>
      <c r="D58" s="244"/>
      <c r="E58" s="244"/>
      <c r="F58" s="248">
        <f>F12-F56</f>
        <v>-368620.57465000008</v>
      </c>
      <c r="G58" s="248">
        <f>G12-G56</f>
        <v>512904.18678075826</v>
      </c>
      <c r="H58" s="244">
        <f>H12-H56</f>
        <v>144283.61213075882</v>
      </c>
      <c r="I58" s="239"/>
      <c r="J58" s="47"/>
      <c r="L58" s="47"/>
    </row>
    <row r="59" spans="2:12" x14ac:dyDescent="0.35">
      <c r="B59" s="11"/>
      <c r="C59" s="244"/>
      <c r="D59" s="244"/>
      <c r="E59" s="244"/>
      <c r="F59" s="248"/>
      <c r="G59" s="248"/>
      <c r="H59" s="244"/>
      <c r="I59" s="239"/>
      <c r="J59" s="47"/>
      <c r="K59" s="47"/>
      <c r="L59" s="47"/>
    </row>
    <row r="60" spans="2:12" ht="18.5" x14ac:dyDescent="0.35">
      <c r="B60" s="11"/>
      <c r="C60" s="330" t="s">
        <v>7</v>
      </c>
      <c r="D60" s="330"/>
      <c r="E60" s="330"/>
      <c r="F60" s="330"/>
      <c r="G60" s="330"/>
      <c r="H60" s="330"/>
      <c r="I60" s="239"/>
      <c r="J60" s="49"/>
      <c r="K60" s="50"/>
      <c r="L60" s="47"/>
    </row>
    <row r="61" spans="2:12" x14ac:dyDescent="0.35">
      <c r="B61" s="11"/>
      <c r="C61" s="252" t="s">
        <v>18</v>
      </c>
      <c r="D61" s="244"/>
      <c r="E61" s="244"/>
      <c r="F61" s="254"/>
      <c r="G61" s="248"/>
      <c r="H61" s="6">
        <f>H56</f>
        <v>2165806.9699999997</v>
      </c>
      <c r="I61" s="239"/>
      <c r="K61" s="47"/>
      <c r="L61" s="47"/>
    </row>
    <row r="62" spans="2:12" x14ac:dyDescent="0.35">
      <c r="B62" s="11"/>
      <c r="C62" s="244" t="s">
        <v>8</v>
      </c>
      <c r="D62" s="244"/>
      <c r="E62" s="244" t="s">
        <v>58</v>
      </c>
      <c r="F62" s="254"/>
      <c r="G62" s="248"/>
      <c r="H62" s="121">
        <f>'Debt Service'!M20</f>
        <v>482350.79550000001</v>
      </c>
      <c r="I62" s="239"/>
      <c r="K62" s="47"/>
      <c r="L62" s="47"/>
    </row>
    <row r="63" spans="2:12" ht="16" x14ac:dyDescent="0.5">
      <c r="B63" s="11"/>
      <c r="C63" s="244"/>
      <c r="D63" s="244"/>
      <c r="E63" s="244" t="s">
        <v>59</v>
      </c>
      <c r="F63" s="254"/>
      <c r="G63" s="248"/>
      <c r="H63" s="255">
        <f>'Debt Service'!M22</f>
        <v>96470.159100000004</v>
      </c>
      <c r="I63" s="239"/>
      <c r="K63" s="47"/>
      <c r="L63" s="47"/>
    </row>
    <row r="64" spans="2:12" x14ac:dyDescent="0.35">
      <c r="B64" s="11"/>
      <c r="C64" s="252" t="s">
        <v>29</v>
      </c>
      <c r="D64" s="244"/>
      <c r="E64" s="244"/>
      <c r="F64" s="254"/>
      <c r="G64" s="248"/>
      <c r="H64" s="6">
        <f>H61+H62+H63</f>
        <v>2744627.9245999996</v>
      </c>
      <c r="I64" s="239"/>
      <c r="K64" s="47"/>
      <c r="L64" s="47"/>
    </row>
    <row r="65" spans="2:12" x14ac:dyDescent="0.35">
      <c r="B65" s="11"/>
      <c r="C65" s="244" t="s">
        <v>9</v>
      </c>
      <c r="D65" s="244"/>
      <c r="E65" s="244" t="str">
        <f>D10</f>
        <v>Garrard County Water District</v>
      </c>
      <c r="F65" s="254"/>
      <c r="G65" s="248"/>
      <c r="H65" s="121">
        <f>'[1]Billing Analysis'!$D$14</f>
        <v>1286036.6972999999</v>
      </c>
      <c r="I65" s="239"/>
      <c r="K65" s="47"/>
      <c r="L65" s="47"/>
    </row>
    <row r="66" spans="2:12" x14ac:dyDescent="0.35">
      <c r="B66" s="11"/>
      <c r="C66" s="244"/>
      <c r="D66" s="244"/>
      <c r="E66" s="244" t="s">
        <v>162</v>
      </c>
      <c r="F66" s="254"/>
      <c r="G66" s="248"/>
      <c r="H66" s="121">
        <f>'[1]Billing Analysis'!$D$28</f>
        <v>184400.30624999999</v>
      </c>
      <c r="I66" s="239"/>
      <c r="K66" s="47"/>
      <c r="L66" s="47"/>
    </row>
    <row r="67" spans="2:12" x14ac:dyDescent="0.35">
      <c r="B67" s="11"/>
      <c r="C67" s="244"/>
      <c r="D67" s="244"/>
      <c r="E67" s="244" t="str">
        <f>D11</f>
        <v>Misc</v>
      </c>
      <c r="F67" s="254"/>
      <c r="G67" s="248"/>
      <c r="H67" s="5">
        <f>H11</f>
        <v>34814.39</v>
      </c>
      <c r="I67" s="239"/>
      <c r="J67" s="30"/>
      <c r="K67" s="47"/>
      <c r="L67" s="47"/>
    </row>
    <row r="68" spans="2:12" x14ac:dyDescent="0.35">
      <c r="B68" s="11"/>
      <c r="C68" s="252" t="s">
        <v>178</v>
      </c>
      <c r="D68" s="244"/>
      <c r="E68" s="244"/>
      <c r="F68" s="254"/>
      <c r="G68" s="248"/>
      <c r="H68" s="6">
        <f>H64-H65-H66-H67</f>
        <v>1239376.5310499999</v>
      </c>
      <c r="I68" s="239"/>
      <c r="K68" s="47"/>
      <c r="L68" s="47"/>
    </row>
    <row r="69" spans="2:12" x14ac:dyDescent="0.35">
      <c r="B69" s="11"/>
      <c r="C69" s="244" t="s">
        <v>9</v>
      </c>
      <c r="D69" s="244"/>
      <c r="E69" s="244" t="s">
        <v>165</v>
      </c>
      <c r="F69" s="254"/>
      <c r="G69" s="248"/>
      <c r="H69" s="5">
        <f>H8</f>
        <v>803373.31464999972</v>
      </c>
      <c r="I69" s="239"/>
      <c r="J69" s="30"/>
      <c r="K69" s="47"/>
      <c r="L69" s="47"/>
    </row>
    <row r="70" spans="2:12" x14ac:dyDescent="0.35">
      <c r="B70" s="11"/>
      <c r="C70" s="252" t="s">
        <v>30</v>
      </c>
      <c r="D70" s="244"/>
      <c r="E70" s="244"/>
      <c r="F70" s="254"/>
      <c r="G70" s="248"/>
      <c r="H70" s="244">
        <f>H68-H69</f>
        <v>436003.21640000015</v>
      </c>
      <c r="I70" s="239"/>
      <c r="J70" s="47"/>
      <c r="K70" s="47"/>
      <c r="L70" s="47"/>
    </row>
    <row r="71" spans="2:12" x14ac:dyDescent="0.35">
      <c r="B71" s="11"/>
      <c r="C71" s="252" t="s">
        <v>146</v>
      </c>
      <c r="D71" s="244"/>
      <c r="E71" s="244"/>
      <c r="F71" s="254"/>
      <c r="G71" s="248"/>
      <c r="H71" s="256">
        <f>ROUND(H70/H69,4)</f>
        <v>0.54269999999999996</v>
      </c>
      <c r="I71" s="239"/>
      <c r="J71" s="47"/>
      <c r="K71" s="47"/>
      <c r="L71" s="47"/>
    </row>
    <row r="72" spans="2:12" x14ac:dyDescent="0.35">
      <c r="B72" s="12"/>
      <c r="C72" s="5"/>
      <c r="D72" s="5"/>
      <c r="E72" s="5"/>
      <c r="F72" s="257"/>
      <c r="G72" s="257"/>
      <c r="H72" s="5"/>
      <c r="I72" s="13"/>
    </row>
    <row r="75" spans="2:12" x14ac:dyDescent="0.35">
      <c r="C75" s="161"/>
      <c r="H75" s="14"/>
      <c r="K75" s="14"/>
    </row>
    <row r="77" spans="2:12" x14ac:dyDescent="0.35">
      <c r="C77" s="48"/>
      <c r="D77" s="47"/>
      <c r="E77" s="47"/>
      <c r="F77" s="231"/>
      <c r="G77" s="229"/>
      <c r="H77" s="47"/>
      <c r="K77" s="14"/>
    </row>
    <row r="78" spans="2:12" x14ac:dyDescent="0.35">
      <c r="C78" s="47"/>
      <c r="D78" s="47"/>
      <c r="E78" s="47"/>
      <c r="F78" s="231"/>
      <c r="G78" s="229"/>
      <c r="H78" s="47"/>
    </row>
    <row r="79" spans="2:12" x14ac:dyDescent="0.35">
      <c r="C79" s="48"/>
      <c r="D79" s="47"/>
      <c r="E79" s="47"/>
      <c r="F79" s="231"/>
      <c r="G79" s="229"/>
      <c r="H79" s="47"/>
    </row>
  </sheetData>
  <mergeCells count="2">
    <mergeCell ref="C60:H60"/>
    <mergeCell ref="C3:H3"/>
  </mergeCells>
  <printOptions horizontalCentered="1"/>
  <pageMargins left="0.45" right="0.25" top="0.5" bottom="0.5" header="0.3" footer="0.3"/>
  <pageSetup scale="69" orientation="portrait" horizontalDpi="4294967293" r:id="rId1"/>
  <rowBreaks count="2" manualBreakCount="2">
    <brk id="58" max="16383" man="1"/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60317-24F8-469C-A284-BAF4C2818288}">
  <dimension ref="A1:C22"/>
  <sheetViews>
    <sheetView workbookViewId="0">
      <selection activeCell="B18" sqref="B18"/>
    </sheetView>
  </sheetViews>
  <sheetFormatPr defaultColWidth="8.84375" defaultRowHeight="14.5" x14ac:dyDescent="0.35"/>
  <cols>
    <col min="1" max="1" width="33.15234375" style="119" customWidth="1"/>
    <col min="2" max="2" width="11.4609375" style="119" bestFit="1" customWidth="1"/>
    <col min="3" max="3" width="30.69140625" style="119" customWidth="1"/>
    <col min="4" max="16384" width="8.84375" style="119"/>
  </cols>
  <sheetData>
    <row r="1" spans="1:3" x14ac:dyDescent="0.35">
      <c r="A1" s="148" t="s">
        <v>166</v>
      </c>
    </row>
    <row r="3" spans="1:3" x14ac:dyDescent="0.35">
      <c r="A3" s="47" t="s">
        <v>163</v>
      </c>
      <c r="B3" s="229">
        <v>763556.17</v>
      </c>
      <c r="C3" s="119" t="s">
        <v>167</v>
      </c>
    </row>
    <row r="4" spans="1:3" x14ac:dyDescent="0.35">
      <c r="A4" s="47" t="s">
        <v>162</v>
      </c>
      <c r="B4" s="229">
        <v>122441.80335000002</v>
      </c>
      <c r="C4" s="119" t="s">
        <v>168</v>
      </c>
    </row>
    <row r="5" spans="1:3" x14ac:dyDescent="0.35">
      <c r="A5" s="47" t="s">
        <v>164</v>
      </c>
      <c r="B5" s="229">
        <v>853895.20200000005</v>
      </c>
      <c r="C5" s="119" t="s">
        <v>168</v>
      </c>
    </row>
    <row r="6" spans="1:3" x14ac:dyDescent="0.35">
      <c r="A6" s="47" t="str">
        <f>'[2]Classified Detail Summary'!$F$200</f>
        <v>Misc</v>
      </c>
      <c r="B6" s="234">
        <v>34814.39</v>
      </c>
      <c r="C6" s="119" t="s">
        <v>170</v>
      </c>
    </row>
    <row r="7" spans="1:3" x14ac:dyDescent="0.35">
      <c r="A7" s="119" t="s">
        <v>169</v>
      </c>
      <c r="B7" s="235">
        <f>SUM(B3:B6)</f>
        <v>1774707.56535</v>
      </c>
    </row>
    <row r="8" spans="1:3" x14ac:dyDescent="0.35">
      <c r="A8" s="119" t="s">
        <v>171</v>
      </c>
      <c r="B8" s="236">
        <f>-SUM('[2]Classified Detail Summary'!$I$197:$I$200)</f>
        <v>1814524.7099999997</v>
      </c>
      <c r="C8" s="119" t="s">
        <v>170</v>
      </c>
    </row>
    <row r="9" spans="1:3" x14ac:dyDescent="0.35">
      <c r="A9" s="119" t="s">
        <v>31</v>
      </c>
      <c r="B9" s="237">
        <f>B8-B7</f>
        <v>39817.144649999682</v>
      </c>
      <c r="C9" s="119" t="s">
        <v>172</v>
      </c>
    </row>
    <row r="14" spans="1:3" x14ac:dyDescent="0.35">
      <c r="A14" s="148" t="s">
        <v>173</v>
      </c>
    </row>
    <row r="16" spans="1:3" x14ac:dyDescent="0.35">
      <c r="A16" s="47" t="s">
        <v>163</v>
      </c>
      <c r="B16" s="229">
        <f>SAO!H68</f>
        <v>1239376.5310499999</v>
      </c>
      <c r="C16" s="119" t="s">
        <v>174</v>
      </c>
    </row>
    <row r="17" spans="1:3" x14ac:dyDescent="0.35">
      <c r="A17" s="47" t="s">
        <v>162</v>
      </c>
      <c r="B17" s="229">
        <f>'[1]Billing Analysis'!$D$28</f>
        <v>184400.30624999999</v>
      </c>
      <c r="C17" s="119" t="s">
        <v>168</v>
      </c>
    </row>
    <row r="18" spans="1:3" x14ac:dyDescent="0.35">
      <c r="A18" s="47" t="s">
        <v>164</v>
      </c>
      <c r="B18" s="229">
        <f>'[1]Billing Analysis'!$D$14</f>
        <v>1286036.6972999999</v>
      </c>
      <c r="C18" s="119" t="s">
        <v>168</v>
      </c>
    </row>
    <row r="19" spans="1:3" x14ac:dyDescent="0.35">
      <c r="A19" s="47" t="str">
        <f>'[2]Classified Detail Summary'!$F$200</f>
        <v>Misc</v>
      </c>
      <c r="B19" s="234">
        <v>34814.39</v>
      </c>
      <c r="C19" s="119" t="s">
        <v>170</v>
      </c>
    </row>
    <row r="20" spans="1:3" x14ac:dyDescent="0.35">
      <c r="A20" s="119" t="s">
        <v>175</v>
      </c>
      <c r="B20" s="235">
        <f>SUM(B16:B19)</f>
        <v>2744627.9246</v>
      </c>
    </row>
    <row r="21" spans="1:3" x14ac:dyDescent="0.35">
      <c r="A21" s="119" t="s">
        <v>176</v>
      </c>
      <c r="B21" s="236">
        <f>SAO!H64</f>
        <v>2744627.9245999996</v>
      </c>
      <c r="C21" s="119" t="s">
        <v>177</v>
      </c>
    </row>
    <row r="22" spans="1:3" x14ac:dyDescent="0.35">
      <c r="A22" s="119" t="s">
        <v>31</v>
      </c>
      <c r="B22" s="237">
        <f>B21-B20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2686-59C9-4F42-B029-C170346FDC25}">
  <dimension ref="A1:M67"/>
  <sheetViews>
    <sheetView tabSelected="1" topLeftCell="A24" workbookViewId="0">
      <selection activeCell="K6" sqref="K6"/>
    </sheetView>
  </sheetViews>
  <sheetFormatPr defaultRowHeight="15.5" x14ac:dyDescent="0.35"/>
  <cols>
    <col min="1" max="1" width="2.61328125" customWidth="1"/>
    <col min="2" max="2" width="31.3828125" customWidth="1"/>
    <col min="3" max="3" width="14.61328125" customWidth="1"/>
    <col min="4" max="4" width="5.61328125" customWidth="1"/>
    <col min="5" max="5" width="14.61328125" customWidth="1"/>
    <col min="6" max="6" width="5.61328125" customWidth="1"/>
    <col min="7" max="7" width="14.61328125" style="281" customWidth="1"/>
    <col min="8" max="8" width="5.61328125" customWidth="1"/>
  </cols>
  <sheetData>
    <row r="1" spans="1:13" x14ac:dyDescent="0.35">
      <c r="A1" s="119"/>
      <c r="B1" s="148" t="s">
        <v>183</v>
      </c>
      <c r="C1" s="258"/>
      <c r="D1" s="259"/>
      <c r="E1" s="258"/>
      <c r="F1" s="259"/>
      <c r="G1" s="275"/>
      <c r="H1" s="259"/>
      <c r="I1" s="258"/>
      <c r="J1" s="259"/>
      <c r="K1" s="258"/>
      <c r="L1" s="225"/>
      <c r="M1" s="119"/>
    </row>
    <row r="2" spans="1:13" x14ac:dyDescent="0.35">
      <c r="A2" s="119"/>
      <c r="B2" s="148" t="s">
        <v>180</v>
      </c>
      <c r="C2" s="258"/>
      <c r="D2" s="259"/>
      <c r="E2" s="258"/>
      <c r="F2" s="259"/>
      <c r="G2" s="275"/>
      <c r="H2" s="259"/>
      <c r="I2" s="258"/>
      <c r="J2" s="259"/>
      <c r="K2" s="258"/>
      <c r="L2" s="225"/>
      <c r="M2" s="119"/>
    </row>
    <row r="3" spans="1:13" x14ac:dyDescent="0.35">
      <c r="A3" s="119"/>
      <c r="B3" s="148"/>
      <c r="C3" s="258"/>
      <c r="D3" s="259"/>
      <c r="E3" s="258"/>
      <c r="F3" s="259"/>
      <c r="G3" s="275"/>
      <c r="H3" s="259"/>
      <c r="I3" s="258"/>
      <c r="J3" s="259"/>
      <c r="K3" s="258"/>
      <c r="L3" s="225"/>
      <c r="M3" s="119"/>
    </row>
    <row r="4" spans="1:13" x14ac:dyDescent="0.35">
      <c r="A4" s="119"/>
      <c r="B4" s="260"/>
      <c r="C4" s="273" t="s">
        <v>181</v>
      </c>
      <c r="D4" s="271"/>
      <c r="E4" s="273" t="s">
        <v>182</v>
      </c>
      <c r="F4" s="271"/>
      <c r="G4" s="276" t="s">
        <v>184</v>
      </c>
      <c r="H4" s="271"/>
      <c r="I4" s="119"/>
    </row>
    <row r="5" spans="1:13" x14ac:dyDescent="0.35">
      <c r="A5" s="119"/>
      <c r="B5" s="261" t="s">
        <v>207</v>
      </c>
      <c r="C5" s="274" t="s">
        <v>186</v>
      </c>
      <c r="D5" s="272" t="s">
        <v>185</v>
      </c>
      <c r="E5" s="274" t="s">
        <v>187</v>
      </c>
      <c r="F5" s="272" t="s">
        <v>185</v>
      </c>
      <c r="G5" s="277" t="s">
        <v>192</v>
      </c>
      <c r="H5" s="272" t="s">
        <v>185</v>
      </c>
      <c r="I5" s="119"/>
    </row>
    <row r="6" spans="1:13" x14ac:dyDescent="0.35">
      <c r="A6" s="119"/>
      <c r="B6" s="262" t="s">
        <v>205</v>
      </c>
      <c r="C6" s="287"/>
      <c r="D6" s="284"/>
      <c r="E6" s="282"/>
      <c r="F6" s="284"/>
      <c r="G6" s="278">
        <f>2478.33*(0.0207734/7.48)*1000+2478.33*0.0253</f>
        <v>6945.5012706577536</v>
      </c>
      <c r="H6" s="265">
        <v>4</v>
      </c>
      <c r="I6" s="119"/>
    </row>
    <row r="7" spans="1:13" x14ac:dyDescent="0.35">
      <c r="A7" s="119"/>
      <c r="B7" s="266" t="s">
        <v>202</v>
      </c>
      <c r="C7" s="278">
        <f>19.62+2.5*6.51</f>
        <v>35.894999999999996</v>
      </c>
      <c r="D7" s="263">
        <v>3</v>
      </c>
      <c r="E7" s="278">
        <f>19.62+13*6.51+15*5.71+270*5.15</f>
        <v>1580.4</v>
      </c>
      <c r="F7" s="263">
        <v>3</v>
      </c>
      <c r="G7" s="278">
        <f>2478.33*2.15</f>
        <v>5328.4094999999998</v>
      </c>
      <c r="H7" s="265">
        <v>1</v>
      </c>
      <c r="I7" s="119"/>
    </row>
    <row r="8" spans="1:13" x14ac:dyDescent="0.35">
      <c r="A8" s="119"/>
      <c r="B8" s="266" t="s">
        <v>206</v>
      </c>
      <c r="C8" s="282"/>
      <c r="D8" s="284"/>
      <c r="E8" s="282"/>
      <c r="F8" s="284"/>
      <c r="G8" s="278">
        <f>2478.33*(2.41+0.022)</f>
        <v>6027.2985599999993</v>
      </c>
      <c r="H8" s="265">
        <v>2</v>
      </c>
      <c r="I8" s="119"/>
    </row>
    <row r="9" spans="1:13" x14ac:dyDescent="0.35">
      <c r="A9" s="119"/>
      <c r="B9" s="261" t="s">
        <v>188</v>
      </c>
      <c r="C9" s="291">
        <f>Rates!$D$9+Rates!$D$10+2.5*Rates!$D$11+4.5*Rates!$D$48</f>
        <v>39.72</v>
      </c>
      <c r="D9" s="289">
        <v>4</v>
      </c>
      <c r="E9" s="288">
        <f>Rates!$D$9+Rates!$D$10+10*Rates!$D$11+14*Rates!$D$12+24*Rates!$D$13+250*Rates!$D$14+300*Rates!$D$48</f>
        <v>1757.6100000000001</v>
      </c>
      <c r="F9" s="289">
        <v>5</v>
      </c>
      <c r="G9" s="288">
        <f>27083/12*Rates!$D$39+2657/12*Rates!$D$40+29740/12*Rates!$D$48</f>
        <v>6623.6391666666668</v>
      </c>
      <c r="H9" s="290">
        <v>3</v>
      </c>
      <c r="I9" s="119"/>
    </row>
    <row r="10" spans="1:13" x14ac:dyDescent="0.35">
      <c r="A10" s="119"/>
      <c r="B10" s="261" t="s">
        <v>189</v>
      </c>
      <c r="C10" s="291">
        <f>Rates!$F$9+Rates!$F$10+2.5*Rates!$F$11+4.5*Rates!$F$48</f>
        <v>60.589999999999996</v>
      </c>
      <c r="D10" s="289">
        <v>13</v>
      </c>
      <c r="E10" s="288">
        <f>Rates!$F$9+Rates!$F$10+10*Rates!$F$11+14*Rates!$F$12+24*Rates!$F$13+250*Rates!$F$14+300*Rates!$F$48</f>
        <v>2666.9</v>
      </c>
      <c r="F10" s="289">
        <v>11</v>
      </c>
      <c r="G10" s="288">
        <f>27083/12*Rates!$F$39+2657/12*Rates!$F$40+29740/12*Rates!$F$48</f>
        <v>9624.5600000000013</v>
      </c>
      <c r="H10" s="290">
        <v>7</v>
      </c>
      <c r="I10" s="119"/>
    </row>
    <row r="11" spans="1:13" x14ac:dyDescent="0.35">
      <c r="A11" s="119"/>
      <c r="B11" s="266" t="s">
        <v>203</v>
      </c>
      <c r="C11" s="282"/>
      <c r="D11" s="284"/>
      <c r="E11" s="282"/>
      <c r="F11" s="284"/>
      <c r="G11" s="278">
        <f>2478.33*3.53</f>
        <v>8748.5048999999999</v>
      </c>
      <c r="H11" s="265">
        <v>6</v>
      </c>
      <c r="I11" s="119"/>
    </row>
    <row r="12" spans="1:13" x14ac:dyDescent="0.35">
      <c r="A12" s="119"/>
      <c r="B12" s="266" t="s">
        <v>195</v>
      </c>
      <c r="C12" s="278">
        <f>22.75+2.5*9.79</f>
        <v>47.224999999999994</v>
      </c>
      <c r="D12" s="263">
        <v>7</v>
      </c>
      <c r="E12" s="278">
        <f>22.75+3*9.79+5*9.4+5*9+5*8.6+280*7.81</f>
        <v>2373.9199999999996</v>
      </c>
      <c r="F12" s="263">
        <v>7</v>
      </c>
      <c r="G12" s="282"/>
      <c r="H12" s="283"/>
      <c r="I12" s="119"/>
    </row>
    <row r="13" spans="1:13" x14ac:dyDescent="0.35">
      <c r="A13" s="119"/>
      <c r="B13" s="266" t="s">
        <v>194</v>
      </c>
      <c r="C13" s="278">
        <f>28.08+2.5*11.64</f>
        <v>57.18</v>
      </c>
      <c r="D13" s="263">
        <v>11</v>
      </c>
      <c r="E13" s="278">
        <f>224.5+30*10.33+250*9.03</f>
        <v>2791.9</v>
      </c>
      <c r="F13" s="263">
        <v>12</v>
      </c>
      <c r="G13" s="282"/>
      <c r="H13" s="283"/>
      <c r="I13" s="119"/>
    </row>
    <row r="14" spans="1:13" x14ac:dyDescent="0.35">
      <c r="A14" s="119"/>
      <c r="B14" s="266" t="s">
        <v>191</v>
      </c>
      <c r="C14" s="278">
        <f>21.58+2.5*10.53</f>
        <v>47.905000000000001</v>
      </c>
      <c r="D14" s="263">
        <v>9</v>
      </c>
      <c r="E14" s="278">
        <f>153.95+284*8.2</f>
        <v>2482.7499999999995</v>
      </c>
      <c r="F14" s="263">
        <v>8</v>
      </c>
      <c r="G14" s="278">
        <f>2478.33*4.13</f>
        <v>10235.502899999999</v>
      </c>
      <c r="H14" s="265">
        <v>9</v>
      </c>
      <c r="I14" s="119"/>
    </row>
    <row r="15" spans="1:13" x14ac:dyDescent="0.35">
      <c r="A15" s="119"/>
      <c r="B15" s="266" t="s">
        <v>200</v>
      </c>
      <c r="C15" s="278">
        <f>12.86+1*6.99+1*5.67+1.5*5.43</f>
        <v>33.665000000000006</v>
      </c>
      <c r="D15" s="263">
        <v>2</v>
      </c>
      <c r="E15" s="278">
        <f>137.74+275*5.07</f>
        <v>1531.99</v>
      </c>
      <c r="F15" s="263">
        <v>2</v>
      </c>
      <c r="G15" s="282"/>
      <c r="H15" s="283"/>
      <c r="I15" s="119"/>
    </row>
    <row r="16" spans="1:13" x14ac:dyDescent="0.35">
      <c r="A16" s="119"/>
      <c r="B16" s="266" t="s">
        <v>193</v>
      </c>
      <c r="C16" s="278">
        <f>23.15+2.5*9.73</f>
        <v>47.475000000000001</v>
      </c>
      <c r="D16" s="263">
        <v>8</v>
      </c>
      <c r="E16" s="278">
        <f>143.49+280*5.18</f>
        <v>1593.8899999999999</v>
      </c>
      <c r="F16" s="263">
        <v>4</v>
      </c>
      <c r="G16" s="282"/>
      <c r="H16" s="283"/>
      <c r="I16" s="119"/>
    </row>
    <row r="17" spans="1:13" x14ac:dyDescent="0.35">
      <c r="A17" s="119"/>
      <c r="B17" s="266" t="s">
        <v>198</v>
      </c>
      <c r="C17" s="278">
        <f>30.11+1.5*6.92</f>
        <v>40.489999999999995</v>
      </c>
      <c r="D17" s="263">
        <v>5</v>
      </c>
      <c r="E17" s="278">
        <f>145.55+280*6.7</f>
        <v>2021.55</v>
      </c>
      <c r="F17" s="263">
        <v>6</v>
      </c>
      <c r="G17" s="282"/>
      <c r="H17" s="283"/>
      <c r="I17" s="119"/>
    </row>
    <row r="18" spans="1:13" x14ac:dyDescent="0.35">
      <c r="A18" s="119"/>
      <c r="B18" s="266" t="s">
        <v>199</v>
      </c>
      <c r="C18" s="278">
        <f>29.82+2*8.76+0.5*8.65</f>
        <v>51.665000000000006</v>
      </c>
      <c r="D18" s="263">
        <v>10</v>
      </c>
      <c r="E18" s="278">
        <f>217.57+276*8.34</f>
        <v>2519.4100000000003</v>
      </c>
      <c r="F18" s="263">
        <v>10</v>
      </c>
      <c r="G18" s="282"/>
      <c r="H18" s="283"/>
      <c r="I18" s="119"/>
    </row>
    <row r="19" spans="1:13" x14ac:dyDescent="0.35">
      <c r="A19" s="119"/>
      <c r="B19" s="266" t="s">
        <v>197</v>
      </c>
      <c r="C19" s="278">
        <f>29.39+2.5*11.45+1.61</f>
        <v>59.625</v>
      </c>
      <c r="D19" s="263">
        <v>12</v>
      </c>
      <c r="E19" s="282"/>
      <c r="F19" s="284"/>
      <c r="G19" s="282"/>
      <c r="H19" s="283"/>
      <c r="I19" s="119"/>
    </row>
    <row r="20" spans="1:13" x14ac:dyDescent="0.35">
      <c r="A20" s="119"/>
      <c r="B20" s="266" t="s">
        <v>196</v>
      </c>
      <c r="C20" s="278">
        <f>8.85+4.5*8.19</f>
        <v>45.704999999999998</v>
      </c>
      <c r="D20" s="263">
        <v>6</v>
      </c>
      <c r="E20" s="278">
        <f>30.53+300*8.19</f>
        <v>2487.5300000000002</v>
      </c>
      <c r="F20" s="263">
        <v>9</v>
      </c>
      <c r="G20" s="282"/>
      <c r="H20" s="283"/>
      <c r="I20" s="119"/>
    </row>
    <row r="21" spans="1:13" x14ac:dyDescent="0.35">
      <c r="A21" s="119"/>
      <c r="B21" s="266" t="s">
        <v>201</v>
      </c>
      <c r="C21" s="278">
        <f>5.8+4.5*4.88</f>
        <v>27.76</v>
      </c>
      <c r="D21" s="263">
        <v>1</v>
      </c>
      <c r="E21" s="278">
        <f>27+10*4.88+290*4.73</f>
        <v>1447.5</v>
      </c>
      <c r="F21" s="263">
        <v>1</v>
      </c>
      <c r="G21" s="278">
        <f>297.52+2478.33*3.09</f>
        <v>7955.5596999999998</v>
      </c>
      <c r="H21" s="265">
        <v>5</v>
      </c>
      <c r="I21" s="119"/>
    </row>
    <row r="22" spans="1:13" x14ac:dyDescent="0.35">
      <c r="A22" s="119"/>
      <c r="B22" s="267" t="s">
        <v>204</v>
      </c>
      <c r="C22" s="285"/>
      <c r="D22" s="286"/>
      <c r="E22" s="285"/>
      <c r="F22" s="286"/>
      <c r="G22" s="279">
        <f>+(2478330/748)*(2.72272+0.238)</f>
        <v>9809.6807454545451</v>
      </c>
      <c r="H22" s="269">
        <v>8</v>
      </c>
      <c r="I22" s="119"/>
    </row>
    <row r="23" spans="1:13" x14ac:dyDescent="0.35">
      <c r="A23" s="119"/>
      <c r="B23" s="119"/>
      <c r="C23" s="264"/>
      <c r="D23" s="270"/>
      <c r="E23" s="264"/>
      <c r="F23" s="270"/>
      <c r="G23" s="280"/>
      <c r="H23" s="270"/>
      <c r="I23" s="264"/>
      <c r="J23" s="270"/>
      <c r="K23" s="264"/>
      <c r="L23" s="225"/>
      <c r="M23" s="119"/>
    </row>
    <row r="24" spans="1:13" x14ac:dyDescent="0.35">
      <c r="B24" s="119" t="s">
        <v>190</v>
      </c>
    </row>
    <row r="26" spans="1:13" x14ac:dyDescent="0.35">
      <c r="B26" s="260"/>
      <c r="C26" s="273" t="s">
        <v>181</v>
      </c>
      <c r="D26" s="271"/>
      <c r="G26"/>
    </row>
    <row r="27" spans="1:13" x14ac:dyDescent="0.35">
      <c r="B27" s="292" t="s">
        <v>207</v>
      </c>
      <c r="C27" s="274" t="s">
        <v>186</v>
      </c>
      <c r="D27" s="272" t="s">
        <v>185</v>
      </c>
      <c r="G27"/>
    </row>
    <row r="28" spans="1:13" x14ac:dyDescent="0.35">
      <c r="B28" s="266" t="s">
        <v>201</v>
      </c>
      <c r="C28" s="278">
        <f>5.8+4.5*4.88</f>
        <v>27.76</v>
      </c>
      <c r="D28" s="263">
        <v>1</v>
      </c>
      <c r="G28"/>
    </row>
    <row r="29" spans="1:13" x14ac:dyDescent="0.35">
      <c r="B29" s="266" t="s">
        <v>200</v>
      </c>
      <c r="C29" s="293">
        <f>12.86+1*6.99+1*5.67+1.5*5.43</f>
        <v>33.665000000000006</v>
      </c>
      <c r="D29" s="295">
        <v>2</v>
      </c>
      <c r="G29"/>
    </row>
    <row r="30" spans="1:13" x14ac:dyDescent="0.35">
      <c r="B30" s="266" t="s">
        <v>202</v>
      </c>
      <c r="C30" s="293">
        <f>19.62+2.5*6.51</f>
        <v>35.894999999999996</v>
      </c>
      <c r="D30" s="295">
        <v>3</v>
      </c>
      <c r="G30"/>
    </row>
    <row r="31" spans="1:13" x14ac:dyDescent="0.35">
      <c r="B31" s="261" t="s">
        <v>188</v>
      </c>
      <c r="C31" s="288">
        <f>Rates!$D$9+Rates!$D$10+2.5*Rates!$D$11+4.5*Rates!$D$48</f>
        <v>39.72</v>
      </c>
      <c r="D31" s="296">
        <v>4</v>
      </c>
      <c r="G31"/>
    </row>
    <row r="32" spans="1:13" x14ac:dyDescent="0.35">
      <c r="B32" s="266" t="s">
        <v>198</v>
      </c>
      <c r="C32" s="278">
        <f>30.11+1.5*6.92</f>
        <v>40.489999999999995</v>
      </c>
      <c r="D32" s="263">
        <v>5</v>
      </c>
      <c r="G32"/>
    </row>
    <row r="33" spans="2:8" x14ac:dyDescent="0.35">
      <c r="B33" s="266" t="s">
        <v>196</v>
      </c>
      <c r="C33" s="278">
        <f>8.85+4.5*8.19</f>
        <v>45.704999999999998</v>
      </c>
      <c r="D33" s="263">
        <v>6</v>
      </c>
      <c r="G33"/>
    </row>
    <row r="34" spans="2:8" x14ac:dyDescent="0.35">
      <c r="B34" s="266" t="s">
        <v>195</v>
      </c>
      <c r="C34" s="278">
        <f>22.75+2.5*9.79</f>
        <v>47.224999999999994</v>
      </c>
      <c r="D34" s="263">
        <v>7</v>
      </c>
      <c r="G34"/>
    </row>
    <row r="35" spans="2:8" x14ac:dyDescent="0.35">
      <c r="B35" s="266" t="s">
        <v>193</v>
      </c>
      <c r="C35" s="278">
        <f>23.15+2.5*9.73</f>
        <v>47.475000000000001</v>
      </c>
      <c r="D35" s="263">
        <v>8</v>
      </c>
      <c r="G35"/>
    </row>
    <row r="36" spans="2:8" x14ac:dyDescent="0.35">
      <c r="B36" s="266" t="s">
        <v>191</v>
      </c>
      <c r="C36" s="278">
        <f>21.58+2.5*10.53</f>
        <v>47.905000000000001</v>
      </c>
      <c r="D36" s="263">
        <v>9</v>
      </c>
      <c r="G36"/>
    </row>
    <row r="37" spans="2:8" x14ac:dyDescent="0.35">
      <c r="B37" s="266" t="s">
        <v>199</v>
      </c>
      <c r="C37" s="278">
        <f>29.82+2*8.76+0.5*8.65</f>
        <v>51.665000000000006</v>
      </c>
      <c r="D37" s="263">
        <v>10</v>
      </c>
      <c r="G37"/>
    </row>
    <row r="38" spans="2:8" x14ac:dyDescent="0.35">
      <c r="B38" s="266" t="s">
        <v>194</v>
      </c>
      <c r="C38" s="278">
        <f>28.08+2.5*11.64</f>
        <v>57.18</v>
      </c>
      <c r="D38" s="263">
        <v>11</v>
      </c>
      <c r="G38"/>
    </row>
    <row r="39" spans="2:8" x14ac:dyDescent="0.35">
      <c r="B39" s="266" t="s">
        <v>197</v>
      </c>
      <c r="C39" s="278">
        <f>29.39+2.5*11.45+1.61</f>
        <v>59.625</v>
      </c>
      <c r="D39" s="263">
        <v>12</v>
      </c>
      <c r="G39"/>
    </row>
    <row r="40" spans="2:8" x14ac:dyDescent="0.35">
      <c r="B40" s="292" t="s">
        <v>189</v>
      </c>
      <c r="C40" s="294">
        <f>Rates!$F$9+Rates!$F$10+2.5*Rates!$F$11+4.5*Rates!$F$48</f>
        <v>60.589999999999996</v>
      </c>
      <c r="D40" s="297">
        <v>13</v>
      </c>
      <c r="G40"/>
    </row>
    <row r="41" spans="2:8" x14ac:dyDescent="0.35">
      <c r="B41" s="119"/>
      <c r="C41" s="264"/>
      <c r="D41" s="270"/>
      <c r="E41" s="264"/>
      <c r="F41" s="270"/>
      <c r="G41" s="280"/>
      <c r="H41" s="270"/>
    </row>
    <row r="42" spans="2:8" x14ac:dyDescent="0.35">
      <c r="B42" s="260"/>
      <c r="C42" s="273" t="s">
        <v>182</v>
      </c>
      <c r="D42" s="271"/>
      <c r="E42" s="281"/>
      <c r="G42"/>
    </row>
    <row r="43" spans="2:8" x14ac:dyDescent="0.35">
      <c r="B43" s="292" t="s">
        <v>207</v>
      </c>
      <c r="C43" s="274" t="s">
        <v>187</v>
      </c>
      <c r="D43" s="272" t="s">
        <v>185</v>
      </c>
      <c r="E43" s="281"/>
      <c r="G43"/>
    </row>
    <row r="44" spans="2:8" x14ac:dyDescent="0.35">
      <c r="B44" s="266" t="s">
        <v>201</v>
      </c>
      <c r="C44" s="278">
        <f>27+10*4.88+290*4.73</f>
        <v>1447.5</v>
      </c>
      <c r="D44" s="263">
        <v>1</v>
      </c>
      <c r="E44" s="281"/>
      <c r="G44"/>
    </row>
    <row r="45" spans="2:8" x14ac:dyDescent="0.35">
      <c r="B45" s="266" t="s">
        <v>200</v>
      </c>
      <c r="C45" s="278">
        <f>137.74+275*5.07</f>
        <v>1531.99</v>
      </c>
      <c r="D45" s="295">
        <v>2</v>
      </c>
      <c r="E45" s="281"/>
      <c r="G45"/>
    </row>
    <row r="46" spans="2:8" x14ac:dyDescent="0.35">
      <c r="B46" s="266" t="s">
        <v>202</v>
      </c>
      <c r="C46" s="278">
        <f>19.62+13*6.51+15*5.71+270*5.15</f>
        <v>1580.4</v>
      </c>
      <c r="D46" s="295">
        <v>3</v>
      </c>
      <c r="E46" s="281"/>
      <c r="G46"/>
    </row>
    <row r="47" spans="2:8" x14ac:dyDescent="0.35">
      <c r="B47" s="266" t="s">
        <v>193</v>
      </c>
      <c r="C47" s="278">
        <f>143.49+280*5.18</f>
        <v>1593.8899999999999</v>
      </c>
      <c r="D47" s="263">
        <v>4</v>
      </c>
      <c r="E47" s="281"/>
      <c r="G47"/>
    </row>
    <row r="48" spans="2:8" x14ac:dyDescent="0.35">
      <c r="B48" s="261" t="s">
        <v>188</v>
      </c>
      <c r="C48" s="288">
        <f>Rates!$D$9+Rates!$D$10+10*Rates!$D$11+14*Rates!$D$12+24*Rates!$D$13+250*Rates!$D$14+300*Rates!$D$48</f>
        <v>1757.6100000000001</v>
      </c>
      <c r="D48" s="296">
        <v>5</v>
      </c>
      <c r="E48" s="281"/>
      <c r="G48"/>
    </row>
    <row r="49" spans="2:7" x14ac:dyDescent="0.35">
      <c r="B49" s="266" t="s">
        <v>198</v>
      </c>
      <c r="C49" s="278">
        <f>145.55+280*6.7</f>
        <v>2021.55</v>
      </c>
      <c r="D49" s="263">
        <v>6</v>
      </c>
      <c r="E49" s="281"/>
      <c r="G49"/>
    </row>
    <row r="50" spans="2:7" x14ac:dyDescent="0.35">
      <c r="B50" s="266" t="s">
        <v>195</v>
      </c>
      <c r="C50" s="278">
        <f>22.75+3*9.79+5*9.4+5*9+5*8.6+280*7.81</f>
        <v>2373.9199999999996</v>
      </c>
      <c r="D50" s="263">
        <v>7</v>
      </c>
      <c r="E50" s="281"/>
      <c r="G50"/>
    </row>
    <row r="51" spans="2:7" x14ac:dyDescent="0.35">
      <c r="B51" s="266" t="s">
        <v>191</v>
      </c>
      <c r="C51" s="278">
        <f>153.95+284*8.2</f>
        <v>2482.7499999999995</v>
      </c>
      <c r="D51" s="263">
        <v>8</v>
      </c>
      <c r="E51" s="281"/>
      <c r="G51"/>
    </row>
    <row r="52" spans="2:7" x14ac:dyDescent="0.35">
      <c r="B52" s="266" t="s">
        <v>196</v>
      </c>
      <c r="C52" s="278">
        <f>30.53+300*8.19</f>
        <v>2487.5300000000002</v>
      </c>
      <c r="D52" s="263">
        <v>9</v>
      </c>
      <c r="E52" s="281"/>
      <c r="G52"/>
    </row>
    <row r="53" spans="2:7" x14ac:dyDescent="0.35">
      <c r="B53" s="266" t="s">
        <v>199</v>
      </c>
      <c r="C53" s="278">
        <f>217.57+276*8.34</f>
        <v>2519.4100000000003</v>
      </c>
      <c r="D53" s="263">
        <v>10</v>
      </c>
      <c r="E53" s="281"/>
      <c r="G53"/>
    </row>
    <row r="54" spans="2:7" x14ac:dyDescent="0.35">
      <c r="B54" s="261" t="s">
        <v>189</v>
      </c>
      <c r="C54" s="288">
        <f>Rates!$F$9+Rates!$F$10+10*Rates!$F$11+14*Rates!$F$12+24*Rates!$F$13+250*Rates!$F$14+300*Rates!$F$48</f>
        <v>2666.9</v>
      </c>
      <c r="D54" s="296">
        <v>11</v>
      </c>
      <c r="E54" s="281"/>
      <c r="G54"/>
    </row>
    <row r="55" spans="2:7" x14ac:dyDescent="0.35">
      <c r="B55" s="267" t="s">
        <v>194</v>
      </c>
      <c r="C55" s="279">
        <f>224.5+30*10.33+250*9.03</f>
        <v>2791.9</v>
      </c>
      <c r="D55" s="268">
        <v>12</v>
      </c>
      <c r="E55" s="281"/>
      <c r="G55"/>
    </row>
    <row r="57" spans="2:7" x14ac:dyDescent="0.35">
      <c r="B57" s="260"/>
      <c r="C57" s="276" t="s">
        <v>184</v>
      </c>
      <c r="D57" s="271"/>
      <c r="G57"/>
    </row>
    <row r="58" spans="2:7" x14ac:dyDescent="0.35">
      <c r="B58" s="261" t="s">
        <v>207</v>
      </c>
      <c r="C58" s="277" t="s">
        <v>192</v>
      </c>
      <c r="D58" s="272" t="s">
        <v>185</v>
      </c>
      <c r="G58"/>
    </row>
    <row r="59" spans="2:7" x14ac:dyDescent="0.35">
      <c r="B59" s="262" t="s">
        <v>202</v>
      </c>
      <c r="C59" s="278">
        <f>2478.33*2.15</f>
        <v>5328.4094999999998</v>
      </c>
      <c r="D59" s="265">
        <v>1</v>
      </c>
      <c r="G59"/>
    </row>
    <row r="60" spans="2:7" x14ac:dyDescent="0.35">
      <c r="B60" s="266" t="s">
        <v>206</v>
      </c>
      <c r="C60" s="278">
        <f>2478.33*(2.41+0.022)</f>
        <v>6027.2985599999993</v>
      </c>
      <c r="D60" s="265">
        <v>2</v>
      </c>
      <c r="G60"/>
    </row>
    <row r="61" spans="2:7" x14ac:dyDescent="0.35">
      <c r="B61" s="261" t="s">
        <v>188</v>
      </c>
      <c r="C61" s="288">
        <f>27083/12*Rates!$D$39+2657/12*Rates!$D$40+29740/12*Rates!$D$48</f>
        <v>6623.6391666666668</v>
      </c>
      <c r="D61" s="298">
        <v>3</v>
      </c>
      <c r="G61"/>
    </row>
    <row r="62" spans="2:7" x14ac:dyDescent="0.35">
      <c r="B62" s="266" t="s">
        <v>205</v>
      </c>
      <c r="C62" s="278">
        <f>2478.33*(0.0207734/7.48)*1000+2478.33*0.0253</f>
        <v>6945.5012706577536</v>
      </c>
      <c r="D62" s="299">
        <v>4</v>
      </c>
      <c r="G62"/>
    </row>
    <row r="63" spans="2:7" x14ac:dyDescent="0.35">
      <c r="B63" s="266" t="s">
        <v>201</v>
      </c>
      <c r="C63" s="278">
        <f>297.52+2478.33*3.09</f>
        <v>7955.5596999999998</v>
      </c>
      <c r="D63" s="299">
        <v>5</v>
      </c>
      <c r="G63"/>
    </row>
    <row r="64" spans="2:7" x14ac:dyDescent="0.35">
      <c r="B64" s="266" t="s">
        <v>203</v>
      </c>
      <c r="C64" s="278">
        <f>2478.33*3.53</f>
        <v>8748.5048999999999</v>
      </c>
      <c r="D64" s="265">
        <v>6</v>
      </c>
      <c r="G64"/>
    </row>
    <row r="65" spans="2:7" x14ac:dyDescent="0.35">
      <c r="B65" s="261" t="s">
        <v>189</v>
      </c>
      <c r="C65" s="288">
        <f>27083/12*Rates!$F$39+2657/12*Rates!$F$40+29740/12*Rates!$F$48</f>
        <v>9624.5600000000013</v>
      </c>
      <c r="D65" s="298">
        <v>7</v>
      </c>
      <c r="G65"/>
    </row>
    <row r="66" spans="2:7" x14ac:dyDescent="0.35">
      <c r="B66" s="266" t="s">
        <v>204</v>
      </c>
      <c r="C66" s="278">
        <f>+(2478330/748)*(2.72272+0.238)</f>
        <v>9809.6807454545451</v>
      </c>
      <c r="D66" s="265">
        <v>8</v>
      </c>
      <c r="G66"/>
    </row>
    <row r="67" spans="2:7" x14ac:dyDescent="0.35">
      <c r="B67" s="267" t="s">
        <v>191</v>
      </c>
      <c r="C67" s="279">
        <f>2478.33*4.13</f>
        <v>10235.502899999999</v>
      </c>
      <c r="D67" s="269">
        <v>9</v>
      </c>
      <c r="G67"/>
    </row>
  </sheetData>
  <sortState xmlns:xlrd2="http://schemas.microsoft.com/office/spreadsheetml/2017/richdata2" ref="B59:D67">
    <sortCondition ref="C59:C67"/>
  </sortState>
  <pageMargins left="0.7" right="0.7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9EE4-6413-4A94-B5D0-1A0678943117}">
  <dimension ref="A1:M72"/>
  <sheetViews>
    <sheetView topLeftCell="A47" workbookViewId="0">
      <selection activeCell="G65" sqref="G65"/>
    </sheetView>
  </sheetViews>
  <sheetFormatPr defaultRowHeight="15.5" x14ac:dyDescent="0.35"/>
  <cols>
    <col min="1" max="1" width="2.61328125" customWidth="1"/>
    <col min="2" max="2" width="31.3828125" customWidth="1"/>
    <col min="3" max="3" width="14.61328125" customWidth="1"/>
    <col min="4" max="4" width="5.61328125" customWidth="1"/>
    <col min="5" max="5" width="14.61328125" customWidth="1"/>
    <col min="6" max="6" width="5.61328125" customWidth="1"/>
    <col min="7" max="7" width="14.61328125" style="281" customWidth="1"/>
    <col min="8" max="8" width="5.61328125" customWidth="1"/>
  </cols>
  <sheetData>
    <row r="1" spans="1:13" x14ac:dyDescent="0.35">
      <c r="A1" s="119"/>
      <c r="B1" s="148" t="s">
        <v>183</v>
      </c>
      <c r="C1" s="258"/>
      <c r="D1" s="259"/>
      <c r="E1" s="258"/>
      <c r="F1" s="259"/>
      <c r="G1" s="275"/>
      <c r="H1" s="259"/>
      <c r="I1" s="258"/>
      <c r="J1" s="259"/>
      <c r="K1" s="258"/>
      <c r="L1" s="225"/>
      <c r="M1" s="119"/>
    </row>
    <row r="2" spans="1:13" x14ac:dyDescent="0.35">
      <c r="A2" s="119"/>
      <c r="B2" s="148" t="s">
        <v>228</v>
      </c>
      <c r="C2" s="258"/>
      <c r="D2" s="259"/>
      <c r="E2" s="258"/>
      <c r="F2" s="259"/>
      <c r="G2" s="275"/>
      <c r="H2" s="259"/>
      <c r="I2" s="258"/>
      <c r="J2" s="259"/>
      <c r="K2" s="258"/>
      <c r="L2" s="225"/>
      <c r="M2" s="119"/>
    </row>
    <row r="3" spans="1:13" x14ac:dyDescent="0.35">
      <c r="A3" s="119"/>
      <c r="B3" s="148"/>
      <c r="C3" s="258"/>
      <c r="D3" s="259"/>
      <c r="E3" s="258"/>
      <c r="F3" s="259"/>
      <c r="G3" s="275"/>
      <c r="H3" s="259"/>
      <c r="I3" s="258"/>
      <c r="J3" s="259"/>
      <c r="K3" s="258"/>
      <c r="L3" s="225"/>
      <c r="M3" s="119"/>
    </row>
    <row r="4" spans="1:13" x14ac:dyDescent="0.35">
      <c r="A4" s="119"/>
      <c r="B4" s="260"/>
      <c r="C4" s="273" t="s">
        <v>181</v>
      </c>
      <c r="D4" s="271"/>
      <c r="E4" s="273" t="s">
        <v>182</v>
      </c>
      <c r="F4" s="271"/>
      <c r="G4" s="276" t="s">
        <v>184</v>
      </c>
      <c r="H4" s="271"/>
      <c r="I4" s="119"/>
    </row>
    <row r="5" spans="1:13" x14ac:dyDescent="0.35">
      <c r="A5" s="119"/>
      <c r="B5" s="261" t="s">
        <v>207</v>
      </c>
      <c r="C5" s="274" t="s">
        <v>186</v>
      </c>
      <c r="D5" s="272" t="s">
        <v>185</v>
      </c>
      <c r="E5" s="274" t="s">
        <v>187</v>
      </c>
      <c r="F5" s="272" t="s">
        <v>185</v>
      </c>
      <c r="G5" s="277" t="s">
        <v>192</v>
      </c>
      <c r="H5" s="272" t="s">
        <v>185</v>
      </c>
      <c r="I5" s="119"/>
    </row>
    <row r="6" spans="1:13" x14ac:dyDescent="0.35">
      <c r="A6" s="119"/>
      <c r="B6" s="262" t="s">
        <v>205</v>
      </c>
      <c r="C6" s="287"/>
      <c r="D6" s="284"/>
      <c r="E6" s="282"/>
      <c r="F6" s="284"/>
      <c r="G6" s="278">
        <f>2478.33*(0.0207734/7.48)*1000+2478.33*0.0253</f>
        <v>6945.5012706577536</v>
      </c>
      <c r="H6" s="265">
        <v>4</v>
      </c>
      <c r="I6" s="119"/>
    </row>
    <row r="7" spans="1:13" x14ac:dyDescent="0.35">
      <c r="A7" s="119"/>
      <c r="B7" s="266" t="s">
        <v>202</v>
      </c>
      <c r="C7" s="278">
        <f>19.62+2.5*6.51</f>
        <v>35.894999999999996</v>
      </c>
      <c r="D7" s="263">
        <v>3</v>
      </c>
      <c r="E7" s="278">
        <f>19.62+13*6.51+15*5.71+270*5.15</f>
        <v>1580.4</v>
      </c>
      <c r="F7" s="263">
        <v>3</v>
      </c>
      <c r="G7" s="278">
        <f>2478.33*2.15</f>
        <v>5328.4094999999998</v>
      </c>
      <c r="H7" s="265">
        <v>1</v>
      </c>
      <c r="I7" s="119"/>
    </row>
    <row r="8" spans="1:13" x14ac:dyDescent="0.35">
      <c r="A8" s="119"/>
      <c r="B8" s="266" t="s">
        <v>206</v>
      </c>
      <c r="C8" s="282"/>
      <c r="D8" s="284"/>
      <c r="E8" s="282"/>
      <c r="F8" s="284"/>
      <c r="G8" s="278">
        <f>2478.33*(2.41+0.022)</f>
        <v>6027.2985599999993</v>
      </c>
      <c r="H8" s="265">
        <v>2</v>
      </c>
      <c r="I8" s="119"/>
    </row>
    <row r="9" spans="1:13" x14ac:dyDescent="0.35">
      <c r="A9" s="119"/>
      <c r="B9" s="261" t="s">
        <v>188</v>
      </c>
      <c r="C9" s="291">
        <f>Rates!$D$9+Rates!$D$10+2.5*Rates!$D$11+4.5*Rates!$D$48</f>
        <v>39.72</v>
      </c>
      <c r="D9" s="289">
        <v>4</v>
      </c>
      <c r="E9" s="288">
        <f>Rates!$D$9+Rates!$D$10+10*Rates!$D$11+14*Rates!$D$12+24*Rates!$D$13+250*Rates!$D$14+300*Rates!$D$48</f>
        <v>1757.6100000000001</v>
      </c>
      <c r="F9" s="289">
        <v>5</v>
      </c>
      <c r="G9" s="288">
        <f>27083/12*Rates!$D$39+2657/12*Rates!$D$40+29740/12*Rates!$D$48</f>
        <v>6623.6391666666668</v>
      </c>
      <c r="H9" s="290">
        <v>3</v>
      </c>
      <c r="I9" s="119"/>
    </row>
    <row r="10" spans="1:13" x14ac:dyDescent="0.35">
      <c r="A10" s="119"/>
      <c r="B10" s="261" t="s">
        <v>189</v>
      </c>
      <c r="C10" s="291">
        <f>Alternative!$F$7+Alternative!$F$8+2.5*Alternative!$F$9+4.5*Rates!$F$48</f>
        <v>40.29</v>
      </c>
      <c r="D10" s="289">
        <v>5</v>
      </c>
      <c r="E10" s="288">
        <f>Alternative!$F$7+Alternative!$F$8+10*Alternative!$F$9+14*Alternative!$F$10+24*Alternative!$F$11+250*Alternative!$F$12+300*Rates!$F$48</f>
        <v>1782.49</v>
      </c>
      <c r="F10" s="289">
        <v>6</v>
      </c>
      <c r="G10" s="288">
        <f>27083/12*Alternative!$F$37+2657/12*Alternative!$F$38+29740/12*Rates!$F$48</f>
        <v>7624.684166666666</v>
      </c>
      <c r="H10" s="290">
        <v>6</v>
      </c>
      <c r="I10" s="119"/>
    </row>
    <row r="11" spans="1:13" x14ac:dyDescent="0.35">
      <c r="A11" s="119"/>
      <c r="B11" s="266" t="s">
        <v>226</v>
      </c>
      <c r="C11" s="320"/>
      <c r="D11" s="284"/>
      <c r="E11" s="282"/>
      <c r="F11" s="284"/>
      <c r="G11" s="278">
        <f>2478.33*2.93</f>
        <v>7261.5069000000003</v>
      </c>
      <c r="H11" s="265">
        <v>5</v>
      </c>
      <c r="I11" s="119"/>
    </row>
    <row r="12" spans="1:13" x14ac:dyDescent="0.35">
      <c r="A12" s="119"/>
      <c r="B12" s="266" t="s">
        <v>203</v>
      </c>
      <c r="C12" s="282"/>
      <c r="D12" s="284"/>
      <c r="E12" s="282"/>
      <c r="F12" s="284"/>
      <c r="G12" s="278">
        <f>2478.33*3.53</f>
        <v>8748.5048999999999</v>
      </c>
      <c r="H12" s="265">
        <v>8</v>
      </c>
      <c r="I12" s="119"/>
    </row>
    <row r="13" spans="1:13" x14ac:dyDescent="0.35">
      <c r="A13" s="119"/>
      <c r="B13" s="266" t="s">
        <v>195</v>
      </c>
      <c r="C13" s="278">
        <f>22.75+2.5*9.79</f>
        <v>47.224999999999994</v>
      </c>
      <c r="D13" s="263">
        <v>7</v>
      </c>
      <c r="E13" s="278">
        <f>22.75+3*9.79+5*9.4+5*9+5*8.6+280*7.81</f>
        <v>2373.9199999999996</v>
      </c>
      <c r="F13" s="263">
        <v>9</v>
      </c>
      <c r="G13" s="282"/>
      <c r="H13" s="283"/>
      <c r="I13" s="119"/>
    </row>
    <row r="14" spans="1:13" x14ac:dyDescent="0.35">
      <c r="A14" s="119"/>
      <c r="B14" s="266" t="s">
        <v>194</v>
      </c>
      <c r="C14" s="278">
        <f>28.08+2.5*11.64</f>
        <v>57.18</v>
      </c>
      <c r="D14" s="263">
        <v>13</v>
      </c>
      <c r="E14" s="278">
        <f>224.5+30*10.33+250*9.03</f>
        <v>2791.9</v>
      </c>
      <c r="F14" s="263">
        <v>13</v>
      </c>
      <c r="G14" s="282"/>
      <c r="H14" s="283"/>
      <c r="I14" s="119"/>
    </row>
    <row r="15" spans="1:13" x14ac:dyDescent="0.35">
      <c r="A15" s="119"/>
      <c r="B15" s="266" t="s">
        <v>191</v>
      </c>
      <c r="C15" s="278">
        <f>21.58+2.5*10.53</f>
        <v>47.905000000000001</v>
      </c>
      <c r="D15" s="263">
        <v>10</v>
      </c>
      <c r="E15" s="278">
        <f>153.95+284*8.2</f>
        <v>2482.7499999999995</v>
      </c>
      <c r="F15" s="263">
        <v>10</v>
      </c>
      <c r="G15" s="278">
        <f>2478.33*4.13</f>
        <v>10235.502899999999</v>
      </c>
      <c r="H15" s="265">
        <v>10</v>
      </c>
      <c r="I15" s="119"/>
    </row>
    <row r="16" spans="1:13" x14ac:dyDescent="0.35">
      <c r="A16" s="119"/>
      <c r="B16" s="266" t="s">
        <v>200</v>
      </c>
      <c r="C16" s="278">
        <f>12.86+1*6.99+1*5.67+1.5*5.43</f>
        <v>33.665000000000006</v>
      </c>
      <c r="D16" s="263">
        <v>2</v>
      </c>
      <c r="E16" s="278">
        <f>137.74+275*5.07</f>
        <v>1531.99</v>
      </c>
      <c r="F16" s="263">
        <v>2</v>
      </c>
      <c r="G16" s="282"/>
      <c r="H16" s="283"/>
      <c r="I16" s="119"/>
    </row>
    <row r="17" spans="1:13" x14ac:dyDescent="0.35">
      <c r="A17" s="119"/>
      <c r="B17" s="266" t="s">
        <v>193</v>
      </c>
      <c r="C17" s="278">
        <f>23.15+2.5*9.73</f>
        <v>47.475000000000001</v>
      </c>
      <c r="D17" s="263">
        <v>9</v>
      </c>
      <c r="E17" s="278">
        <f>143.49+280*5.18</f>
        <v>1593.8899999999999</v>
      </c>
      <c r="F17" s="263">
        <v>4</v>
      </c>
      <c r="G17" s="282"/>
      <c r="H17" s="283"/>
      <c r="I17" s="119"/>
    </row>
    <row r="18" spans="1:13" x14ac:dyDescent="0.35">
      <c r="A18" s="119"/>
      <c r="B18" s="266" t="s">
        <v>198</v>
      </c>
      <c r="C18" s="278">
        <f>30.11+1.5*6.92</f>
        <v>40.489999999999995</v>
      </c>
      <c r="D18" s="263">
        <v>6</v>
      </c>
      <c r="E18" s="278">
        <f>145.55+280*6.7</f>
        <v>2021.55</v>
      </c>
      <c r="F18" s="263">
        <v>8</v>
      </c>
      <c r="G18" s="282"/>
      <c r="H18" s="283"/>
      <c r="I18" s="119"/>
    </row>
    <row r="19" spans="1:13" x14ac:dyDescent="0.35">
      <c r="A19" s="119"/>
      <c r="B19" s="266" t="s">
        <v>199</v>
      </c>
      <c r="C19" s="278">
        <f>29.82+2*8.76+0.5*8.65</f>
        <v>51.665000000000006</v>
      </c>
      <c r="D19" s="263">
        <v>12</v>
      </c>
      <c r="E19" s="278">
        <f>217.57+276*8.34</f>
        <v>2519.4100000000003</v>
      </c>
      <c r="F19" s="263">
        <v>12</v>
      </c>
      <c r="G19" s="282"/>
      <c r="H19" s="283"/>
      <c r="I19" s="119"/>
    </row>
    <row r="20" spans="1:13" x14ac:dyDescent="0.35">
      <c r="A20" s="119"/>
      <c r="B20" s="266" t="s">
        <v>197</v>
      </c>
      <c r="C20" s="278">
        <f>29.39+2.5*11.45+1.61</f>
        <v>59.625</v>
      </c>
      <c r="D20" s="263">
        <v>14</v>
      </c>
      <c r="E20" s="282"/>
      <c r="F20" s="284"/>
      <c r="G20" s="282"/>
      <c r="H20" s="283"/>
      <c r="I20" s="119"/>
    </row>
    <row r="21" spans="1:13" x14ac:dyDescent="0.35">
      <c r="A21" s="119"/>
      <c r="B21" s="266" t="s">
        <v>196</v>
      </c>
      <c r="C21" s="278">
        <f>8.85+4.5*8.19</f>
        <v>45.704999999999998</v>
      </c>
      <c r="D21" s="263">
        <v>8</v>
      </c>
      <c r="E21" s="278">
        <f>30.53+300*8.19</f>
        <v>2487.5300000000002</v>
      </c>
      <c r="F21" s="263">
        <v>11</v>
      </c>
      <c r="G21" s="282"/>
      <c r="H21" s="283"/>
      <c r="I21" s="119"/>
    </row>
    <row r="22" spans="1:13" x14ac:dyDescent="0.35">
      <c r="A22" s="119"/>
      <c r="B22" s="266" t="s">
        <v>201</v>
      </c>
      <c r="C22" s="278">
        <f>5.8+4.5*4.88</f>
        <v>27.76</v>
      </c>
      <c r="D22" s="263">
        <v>1</v>
      </c>
      <c r="E22" s="278">
        <f>27+10*4.88+290*4.73</f>
        <v>1447.5</v>
      </c>
      <c r="F22" s="263">
        <v>1</v>
      </c>
      <c r="G22" s="278">
        <f>297.52+2478.33*3.09</f>
        <v>7955.5596999999998</v>
      </c>
      <c r="H22" s="265">
        <v>7</v>
      </c>
      <c r="I22" s="119"/>
    </row>
    <row r="23" spans="1:13" x14ac:dyDescent="0.35">
      <c r="A23" s="119"/>
      <c r="B23" s="311" t="s">
        <v>204</v>
      </c>
      <c r="C23" s="312"/>
      <c r="D23" s="313"/>
      <c r="E23" s="312"/>
      <c r="F23" s="313"/>
      <c r="G23" s="314">
        <f>+(2478330/748)*(2.72272+0.238)</f>
        <v>9809.6807454545451</v>
      </c>
      <c r="H23" s="299">
        <v>9</v>
      </c>
      <c r="I23" s="119"/>
    </row>
    <row r="24" spans="1:13" x14ac:dyDescent="0.35">
      <c r="A24" s="119"/>
      <c r="B24" s="315" t="s">
        <v>227</v>
      </c>
      <c r="C24" s="316">
        <f>27.94+2.5*8.12</f>
        <v>48.239999999999995</v>
      </c>
      <c r="D24" s="317">
        <v>11</v>
      </c>
      <c r="E24" s="316">
        <f>186.1+275*6.22</f>
        <v>1896.6</v>
      </c>
      <c r="F24" s="317">
        <v>7</v>
      </c>
      <c r="G24" s="318"/>
      <c r="H24" s="319"/>
      <c r="I24" s="119"/>
    </row>
    <row r="25" spans="1:13" x14ac:dyDescent="0.35">
      <c r="A25" s="119"/>
      <c r="B25" s="119"/>
      <c r="C25" s="264"/>
      <c r="D25" s="270"/>
      <c r="E25" s="264"/>
      <c r="F25" s="270"/>
      <c r="G25" s="280"/>
      <c r="H25" s="270"/>
      <c r="I25" s="264"/>
      <c r="J25" s="270"/>
      <c r="K25" s="264"/>
      <c r="L25" s="225"/>
      <c r="M25" s="119"/>
    </row>
    <row r="26" spans="1:13" x14ac:dyDescent="0.35">
      <c r="B26" s="119" t="s">
        <v>190</v>
      </c>
    </row>
    <row r="28" spans="1:13" x14ac:dyDescent="0.35">
      <c r="B28" s="260"/>
      <c r="C28" s="273" t="s">
        <v>181</v>
      </c>
      <c r="D28" s="271"/>
      <c r="G28"/>
    </row>
    <row r="29" spans="1:13" x14ac:dyDescent="0.35">
      <c r="B29" s="292" t="s">
        <v>207</v>
      </c>
      <c r="C29" s="274" t="s">
        <v>186</v>
      </c>
      <c r="D29" s="272" t="s">
        <v>185</v>
      </c>
      <c r="G29"/>
    </row>
    <row r="30" spans="1:13" x14ac:dyDescent="0.35">
      <c r="B30" s="266" t="s">
        <v>201</v>
      </c>
      <c r="C30" s="278">
        <v>27.76</v>
      </c>
      <c r="D30" s="295">
        <v>1</v>
      </c>
      <c r="G30"/>
    </row>
    <row r="31" spans="1:13" x14ac:dyDescent="0.35">
      <c r="B31" s="266" t="s">
        <v>200</v>
      </c>
      <c r="C31" s="293">
        <v>33.665000000000006</v>
      </c>
      <c r="D31" s="263">
        <v>2</v>
      </c>
      <c r="G31"/>
    </row>
    <row r="32" spans="1:13" x14ac:dyDescent="0.35">
      <c r="B32" s="266" t="s">
        <v>202</v>
      </c>
      <c r="C32" s="293">
        <v>35.894999999999996</v>
      </c>
      <c r="D32" s="263">
        <v>3</v>
      </c>
      <c r="G32"/>
    </row>
    <row r="33" spans="2:8" x14ac:dyDescent="0.35">
      <c r="B33" s="261" t="s">
        <v>188</v>
      </c>
      <c r="C33" s="288">
        <v>39.72</v>
      </c>
      <c r="D33" s="289">
        <v>4</v>
      </c>
      <c r="G33"/>
    </row>
    <row r="34" spans="2:8" x14ac:dyDescent="0.35">
      <c r="B34" s="261" t="s">
        <v>189</v>
      </c>
      <c r="C34" s="288">
        <v>40.29</v>
      </c>
      <c r="D34" s="289">
        <v>5</v>
      </c>
      <c r="G34"/>
    </row>
    <row r="35" spans="2:8" x14ac:dyDescent="0.35">
      <c r="B35" s="266" t="s">
        <v>198</v>
      </c>
      <c r="C35" s="278">
        <v>40.489999999999995</v>
      </c>
      <c r="D35" s="295">
        <v>6</v>
      </c>
      <c r="G35"/>
    </row>
    <row r="36" spans="2:8" x14ac:dyDescent="0.35">
      <c r="B36" s="266" t="s">
        <v>196</v>
      </c>
      <c r="C36" s="278">
        <v>45.704999999999998</v>
      </c>
      <c r="D36" s="295">
        <v>8</v>
      </c>
      <c r="G36"/>
    </row>
    <row r="37" spans="2:8" x14ac:dyDescent="0.35">
      <c r="B37" s="266" t="s">
        <v>195</v>
      </c>
      <c r="C37" s="278">
        <v>47.224999999999994</v>
      </c>
      <c r="D37" s="295">
        <v>7</v>
      </c>
      <c r="G37"/>
    </row>
    <row r="38" spans="2:8" x14ac:dyDescent="0.35">
      <c r="B38" s="266" t="s">
        <v>193</v>
      </c>
      <c r="C38" s="278">
        <v>47.475000000000001</v>
      </c>
      <c r="D38" s="295">
        <v>9</v>
      </c>
      <c r="G38"/>
    </row>
    <row r="39" spans="2:8" x14ac:dyDescent="0.35">
      <c r="B39" s="266" t="s">
        <v>191</v>
      </c>
      <c r="C39" s="278">
        <v>47.905000000000001</v>
      </c>
      <c r="D39" s="295">
        <v>10</v>
      </c>
      <c r="G39"/>
    </row>
    <row r="40" spans="2:8" x14ac:dyDescent="0.35">
      <c r="B40" s="266" t="s">
        <v>227</v>
      </c>
      <c r="C40" s="278">
        <v>48.239999999999995</v>
      </c>
      <c r="D40" s="295">
        <v>11</v>
      </c>
      <c r="G40"/>
    </row>
    <row r="41" spans="2:8" x14ac:dyDescent="0.35">
      <c r="B41" s="266" t="s">
        <v>199</v>
      </c>
      <c r="C41" s="278">
        <v>51.665000000000006</v>
      </c>
      <c r="D41" s="295">
        <v>12</v>
      </c>
      <c r="G41"/>
    </row>
    <row r="42" spans="2:8" x14ac:dyDescent="0.35">
      <c r="B42" s="266" t="s">
        <v>194</v>
      </c>
      <c r="C42" s="278">
        <v>57.18</v>
      </c>
      <c r="D42" s="295">
        <v>13</v>
      </c>
      <c r="G42"/>
    </row>
    <row r="43" spans="2:8" x14ac:dyDescent="0.35">
      <c r="B43" s="267" t="s">
        <v>197</v>
      </c>
      <c r="C43" s="279">
        <v>59.625</v>
      </c>
      <c r="D43" s="310">
        <v>14</v>
      </c>
      <c r="G43"/>
    </row>
    <row r="44" spans="2:8" x14ac:dyDescent="0.35">
      <c r="B44" s="119"/>
      <c r="C44" s="264"/>
      <c r="D44" s="270"/>
      <c r="E44" s="264"/>
      <c r="F44" s="270"/>
      <c r="G44" s="280"/>
      <c r="H44" s="270"/>
    </row>
    <row r="45" spans="2:8" x14ac:dyDescent="0.35">
      <c r="B45" s="260"/>
      <c r="C45" s="273" t="s">
        <v>182</v>
      </c>
      <c r="D45" s="271"/>
      <c r="E45" s="281"/>
      <c r="G45"/>
    </row>
    <row r="46" spans="2:8" x14ac:dyDescent="0.35">
      <c r="B46" s="292" t="s">
        <v>207</v>
      </c>
      <c r="C46" s="274" t="s">
        <v>187</v>
      </c>
      <c r="D46" s="272" t="s">
        <v>185</v>
      </c>
      <c r="E46" s="281"/>
      <c r="G46"/>
    </row>
    <row r="47" spans="2:8" x14ac:dyDescent="0.35">
      <c r="B47" s="266" t="s">
        <v>201</v>
      </c>
      <c r="C47" s="278">
        <v>1447.5</v>
      </c>
      <c r="D47" s="263">
        <v>1</v>
      </c>
      <c r="E47" s="281"/>
      <c r="G47"/>
    </row>
    <row r="48" spans="2:8" x14ac:dyDescent="0.35">
      <c r="B48" s="266" t="s">
        <v>200</v>
      </c>
      <c r="C48" s="278">
        <v>1531.99</v>
      </c>
      <c r="D48" s="295">
        <v>2</v>
      </c>
      <c r="E48" s="281"/>
      <c r="G48"/>
    </row>
    <row r="49" spans="2:7" x14ac:dyDescent="0.35">
      <c r="B49" s="266" t="s">
        <v>202</v>
      </c>
      <c r="C49" s="278">
        <v>1580.4</v>
      </c>
      <c r="D49" s="295">
        <v>3</v>
      </c>
      <c r="E49" s="281"/>
      <c r="G49"/>
    </row>
    <row r="50" spans="2:7" x14ac:dyDescent="0.35">
      <c r="B50" s="266" t="s">
        <v>193</v>
      </c>
      <c r="C50" s="278">
        <v>1593.8899999999999</v>
      </c>
      <c r="D50" s="263">
        <v>4</v>
      </c>
      <c r="E50" s="281"/>
      <c r="G50"/>
    </row>
    <row r="51" spans="2:7" x14ac:dyDescent="0.35">
      <c r="B51" s="261" t="s">
        <v>188</v>
      </c>
      <c r="C51" s="288">
        <v>1757.6100000000001</v>
      </c>
      <c r="D51" s="296">
        <v>5</v>
      </c>
      <c r="E51" s="281"/>
      <c r="G51"/>
    </row>
    <row r="52" spans="2:7" x14ac:dyDescent="0.35">
      <c r="B52" s="261" t="s">
        <v>189</v>
      </c>
      <c r="C52" s="288">
        <v>1782.49</v>
      </c>
      <c r="D52" s="296">
        <v>6</v>
      </c>
      <c r="E52" s="281"/>
      <c r="G52"/>
    </row>
    <row r="53" spans="2:7" x14ac:dyDescent="0.35">
      <c r="B53" s="266" t="s">
        <v>227</v>
      </c>
      <c r="C53" s="278">
        <v>1896.6</v>
      </c>
      <c r="D53" s="263">
        <v>7</v>
      </c>
      <c r="E53" s="281"/>
      <c r="G53"/>
    </row>
    <row r="54" spans="2:7" x14ac:dyDescent="0.35">
      <c r="B54" s="266" t="s">
        <v>198</v>
      </c>
      <c r="C54" s="278">
        <v>2021.55</v>
      </c>
      <c r="D54" s="263">
        <v>8</v>
      </c>
      <c r="E54" s="281"/>
      <c r="G54"/>
    </row>
    <row r="55" spans="2:7" x14ac:dyDescent="0.35">
      <c r="B55" s="266" t="s">
        <v>195</v>
      </c>
      <c r="C55" s="278">
        <v>2373.9199999999996</v>
      </c>
      <c r="D55" s="263">
        <v>9</v>
      </c>
      <c r="E55" s="281"/>
      <c r="G55"/>
    </row>
    <row r="56" spans="2:7" x14ac:dyDescent="0.35">
      <c r="B56" s="266" t="s">
        <v>191</v>
      </c>
      <c r="C56" s="278">
        <v>2482.7499999999995</v>
      </c>
      <c r="D56" s="263">
        <v>10</v>
      </c>
      <c r="E56" s="281"/>
      <c r="G56"/>
    </row>
    <row r="57" spans="2:7" x14ac:dyDescent="0.35">
      <c r="B57" s="266" t="s">
        <v>196</v>
      </c>
      <c r="C57" s="278">
        <v>2487.5300000000002</v>
      </c>
      <c r="D57" s="263">
        <v>11</v>
      </c>
      <c r="E57" s="281"/>
      <c r="G57"/>
    </row>
    <row r="58" spans="2:7" x14ac:dyDescent="0.35">
      <c r="B58" s="266" t="s">
        <v>199</v>
      </c>
      <c r="C58" s="278">
        <v>2519.4100000000003</v>
      </c>
      <c r="D58" s="263">
        <v>12</v>
      </c>
      <c r="E58" s="281"/>
      <c r="G58"/>
    </row>
    <row r="59" spans="2:7" x14ac:dyDescent="0.35">
      <c r="B59" s="267" t="s">
        <v>194</v>
      </c>
      <c r="C59" s="279">
        <v>2791.9</v>
      </c>
      <c r="D59" s="268">
        <v>13</v>
      </c>
      <c r="E59" s="281"/>
      <c r="G59"/>
    </row>
    <row r="61" spans="2:7" x14ac:dyDescent="0.35">
      <c r="B61" s="260"/>
      <c r="C61" s="276" t="s">
        <v>184</v>
      </c>
      <c r="D61" s="271"/>
      <c r="G61"/>
    </row>
    <row r="62" spans="2:7" x14ac:dyDescent="0.35">
      <c r="B62" s="261" t="s">
        <v>207</v>
      </c>
      <c r="C62" s="277" t="s">
        <v>192</v>
      </c>
      <c r="D62" s="272" t="s">
        <v>185</v>
      </c>
      <c r="G62"/>
    </row>
    <row r="63" spans="2:7" x14ac:dyDescent="0.35">
      <c r="B63" s="262" t="s">
        <v>202</v>
      </c>
      <c r="C63" s="278">
        <v>5328.4094999999998</v>
      </c>
      <c r="D63" s="265">
        <v>1</v>
      </c>
      <c r="G63"/>
    </row>
    <row r="64" spans="2:7" x14ac:dyDescent="0.35">
      <c r="B64" s="266" t="s">
        <v>206</v>
      </c>
      <c r="C64" s="278">
        <v>6027.2985599999993</v>
      </c>
      <c r="D64" s="265">
        <v>2</v>
      </c>
      <c r="G64"/>
    </row>
    <row r="65" spans="2:7" x14ac:dyDescent="0.35">
      <c r="B65" s="261" t="s">
        <v>188</v>
      </c>
      <c r="C65" s="288">
        <v>6623.6391666666668</v>
      </c>
      <c r="D65" s="298">
        <v>3</v>
      </c>
      <c r="G65"/>
    </row>
    <row r="66" spans="2:7" x14ac:dyDescent="0.35">
      <c r="B66" s="266" t="s">
        <v>205</v>
      </c>
      <c r="C66" s="278">
        <v>6945.5012706577536</v>
      </c>
      <c r="D66" s="299">
        <v>4</v>
      </c>
      <c r="G66"/>
    </row>
    <row r="67" spans="2:7" x14ac:dyDescent="0.35">
      <c r="B67" s="266" t="s">
        <v>226</v>
      </c>
      <c r="C67" s="278">
        <v>7261.5069000000003</v>
      </c>
      <c r="D67" s="265">
        <v>5</v>
      </c>
      <c r="G67"/>
    </row>
    <row r="68" spans="2:7" x14ac:dyDescent="0.35">
      <c r="B68" s="266" t="s">
        <v>201</v>
      </c>
      <c r="C68" s="278">
        <v>7955.5596999999998</v>
      </c>
      <c r="D68" s="299">
        <v>5</v>
      </c>
      <c r="G68"/>
    </row>
    <row r="69" spans="2:7" x14ac:dyDescent="0.35">
      <c r="B69" s="266" t="s">
        <v>203</v>
      </c>
      <c r="C69" s="278">
        <v>8748.5048999999999</v>
      </c>
      <c r="D69" s="265">
        <v>6</v>
      </c>
      <c r="G69"/>
    </row>
    <row r="70" spans="2:7" x14ac:dyDescent="0.35">
      <c r="B70" s="261" t="s">
        <v>189</v>
      </c>
      <c r="C70" s="288">
        <v>9624.5600000000013</v>
      </c>
      <c r="D70" s="298">
        <v>7</v>
      </c>
      <c r="G70"/>
    </row>
    <row r="71" spans="2:7" x14ac:dyDescent="0.35">
      <c r="B71" s="266" t="s">
        <v>204</v>
      </c>
      <c r="C71" s="278">
        <v>9809.6807454545451</v>
      </c>
      <c r="D71" s="265">
        <v>8</v>
      </c>
      <c r="G71"/>
    </row>
    <row r="72" spans="2:7" x14ac:dyDescent="0.35">
      <c r="B72" s="267" t="s">
        <v>191</v>
      </c>
      <c r="C72" s="279">
        <v>10235.502899999999</v>
      </c>
      <c r="D72" s="269">
        <v>9</v>
      </c>
      <c r="G72"/>
    </row>
  </sheetData>
  <sortState xmlns:xlrd2="http://schemas.microsoft.com/office/spreadsheetml/2017/richdata2" ref="B47:D59">
    <sortCondition ref="C47:C59"/>
  </sortState>
  <pageMargins left="0.7" right="0.7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tabColor rgb="FF92D050"/>
    <pageSetUpPr fitToPage="1"/>
  </sheetPr>
  <dimension ref="A1:N38"/>
  <sheetViews>
    <sheetView showGridLines="0" workbookViewId="0">
      <selection activeCell="J25" sqref="J25"/>
    </sheetView>
  </sheetViews>
  <sheetFormatPr defaultColWidth="8.84375" defaultRowHeight="15.5" x14ac:dyDescent="0.35"/>
  <cols>
    <col min="1" max="1" width="7.765625" style="69" customWidth="1"/>
    <col min="2" max="2" width="8.23046875" style="69" customWidth="1"/>
    <col min="3" max="3" width="25.84375" style="69" customWidth="1"/>
    <col min="4" max="5" width="10.4609375" style="69" customWidth="1"/>
    <col min="6" max="6" width="11.921875" style="69" bestFit="1" customWidth="1"/>
    <col min="7" max="7" width="11.15234375" style="69" customWidth="1"/>
    <col min="8" max="13" width="10.4609375" style="69" customWidth="1"/>
    <col min="14" max="14" width="13.07421875" style="69" customWidth="1"/>
    <col min="15" max="16384" width="8.84375" style="69"/>
  </cols>
  <sheetData>
    <row r="1" spans="1:14" ht="21" x14ac:dyDescent="0.5">
      <c r="A1" s="374" t="s">
        <v>125</v>
      </c>
      <c r="B1" s="374"/>
      <c r="C1" s="374"/>
      <c r="D1" s="374"/>
      <c r="E1" s="374"/>
      <c r="F1" s="374"/>
      <c r="G1" s="374"/>
      <c r="H1" s="374"/>
    </row>
    <row r="2" spans="1:14" ht="18.5" x14ac:dyDescent="0.35">
      <c r="A2" s="349" t="s">
        <v>105</v>
      </c>
      <c r="B2" s="349"/>
      <c r="C2" s="349"/>
      <c r="D2" s="349"/>
      <c r="E2" s="349"/>
      <c r="F2" s="349"/>
      <c r="G2" s="349"/>
      <c r="H2" s="349"/>
    </row>
    <row r="3" spans="1:14" x14ac:dyDescent="0.35">
      <c r="A3" s="21"/>
      <c r="B3" s="22"/>
      <c r="C3" s="22"/>
      <c r="D3" s="22"/>
      <c r="E3" s="22"/>
      <c r="F3" s="22"/>
      <c r="G3" s="22"/>
      <c r="H3" s="22"/>
    </row>
    <row r="4" spans="1:14" x14ac:dyDescent="0.35">
      <c r="A4" s="1"/>
      <c r="C4" s="375" t="s">
        <v>19</v>
      </c>
      <c r="D4" s="375"/>
      <c r="E4" s="375"/>
      <c r="F4" s="375"/>
      <c r="G4" s="114"/>
      <c r="H4" s="1"/>
    </row>
    <row r="5" spans="1:14" ht="15" customHeight="1" x14ac:dyDescent="0.35">
      <c r="A5" s="1"/>
      <c r="B5" s="1"/>
      <c r="C5" s="87" t="s">
        <v>89</v>
      </c>
      <c r="D5" s="111" t="s">
        <v>23</v>
      </c>
      <c r="E5" s="111" t="s">
        <v>128</v>
      </c>
      <c r="F5" s="112" t="s">
        <v>26</v>
      </c>
      <c r="G5" s="112"/>
      <c r="H5" s="18"/>
      <c r="I5" s="73"/>
    </row>
    <row r="6" spans="1:14" ht="15" customHeight="1" x14ac:dyDescent="0.35">
      <c r="A6" s="1"/>
      <c r="B6" s="1"/>
      <c r="C6" s="1" t="s">
        <v>82</v>
      </c>
      <c r="D6" s="2">
        <f>C21</f>
        <v>9943</v>
      </c>
      <c r="E6" s="78">
        <f>J21</f>
        <v>4770406</v>
      </c>
      <c r="F6" s="79" t="e">
        <f>F30</f>
        <v>#REF!</v>
      </c>
      <c r="G6" s="79"/>
      <c r="H6" s="80"/>
      <c r="I6" s="81"/>
      <c r="J6" s="82"/>
      <c r="L6" s="70"/>
      <c r="M6" s="70"/>
      <c r="N6" s="70"/>
    </row>
    <row r="7" spans="1:14" ht="15" customHeight="1" x14ac:dyDescent="0.35">
      <c r="A7" s="1"/>
      <c r="B7" s="1"/>
      <c r="C7" s="1" t="s">
        <v>83</v>
      </c>
      <c r="D7" s="2">
        <f>C34</f>
        <v>12</v>
      </c>
      <c r="E7" s="78">
        <f>D34*1000</f>
        <v>384409290</v>
      </c>
      <c r="F7" s="126">
        <f>F34</f>
        <v>538173.00599999994</v>
      </c>
      <c r="G7" s="79"/>
      <c r="H7" s="80"/>
      <c r="I7" s="81"/>
      <c r="J7" s="82"/>
      <c r="L7" s="70"/>
      <c r="M7" s="70"/>
      <c r="N7" s="70"/>
    </row>
    <row r="8" spans="1:14" ht="15" customHeight="1" x14ac:dyDescent="0.5">
      <c r="A8" s="1"/>
      <c r="B8" s="1"/>
      <c r="C8" s="1" t="s">
        <v>90</v>
      </c>
      <c r="D8" s="128"/>
      <c r="E8" s="128"/>
      <c r="F8" s="127"/>
      <c r="G8" s="109"/>
      <c r="H8" s="1"/>
      <c r="L8" s="70"/>
      <c r="M8" s="70"/>
      <c r="N8" s="70"/>
    </row>
    <row r="9" spans="1:14" ht="15" customHeight="1" x14ac:dyDescent="0.35">
      <c r="A9" s="1"/>
      <c r="B9" s="1"/>
      <c r="C9" s="84" t="s">
        <v>101</v>
      </c>
      <c r="D9" s="78">
        <f t="shared" ref="D9:E9" si="0">D6+D7+D8</f>
        <v>9955</v>
      </c>
      <c r="E9" s="78">
        <f t="shared" si="0"/>
        <v>389179696</v>
      </c>
      <c r="F9" s="83" t="e">
        <f>F6+F7+F8</f>
        <v>#REF!</v>
      </c>
      <c r="G9" s="83"/>
      <c r="H9" s="1"/>
    </row>
    <row r="10" spans="1:14" ht="15" customHeight="1" x14ac:dyDescent="0.5">
      <c r="A10" s="1"/>
      <c r="B10" s="1"/>
      <c r="C10" s="84" t="s">
        <v>144</v>
      </c>
      <c r="D10" s="78"/>
      <c r="E10" s="78"/>
      <c r="F10" s="95" t="e">
        <f>SAO!#REF!+SAO!F9+SAO!#REF!</f>
        <v>#REF!</v>
      </c>
      <c r="G10" s="95"/>
      <c r="H10" s="1"/>
    </row>
    <row r="11" spans="1:14" ht="15" customHeight="1" x14ac:dyDescent="0.35">
      <c r="A11" s="1"/>
      <c r="B11" s="1"/>
      <c r="C11" s="84" t="s">
        <v>91</v>
      </c>
      <c r="D11" s="78"/>
      <c r="E11" s="78"/>
      <c r="F11" s="83" t="e">
        <f>F9-F10</f>
        <v>#REF!</v>
      </c>
      <c r="G11" s="83"/>
      <c r="H11" s="1"/>
      <c r="K11" s="110"/>
    </row>
    <row r="12" spans="1:14" ht="15" customHeight="1" x14ac:dyDescent="0.35">
      <c r="A12" s="1"/>
      <c r="B12" s="1"/>
      <c r="C12" s="17"/>
      <c r="D12" s="79"/>
      <c r="E12" s="1"/>
      <c r="F12" s="1"/>
      <c r="G12" s="1"/>
      <c r="H12" s="1"/>
    </row>
    <row r="13" spans="1:14" x14ac:dyDescent="0.35">
      <c r="A13" s="71" t="s">
        <v>84</v>
      </c>
      <c r="B13" s="1"/>
      <c r="C13" s="1"/>
      <c r="D13" s="1"/>
      <c r="E13" s="1"/>
      <c r="F13" s="1"/>
      <c r="G13" s="1"/>
      <c r="H13" s="1"/>
    </row>
    <row r="14" spans="1:14" x14ac:dyDescent="0.35">
      <c r="A14" s="1"/>
      <c r="B14" s="1"/>
      <c r="C14" s="1"/>
      <c r="D14" s="19"/>
      <c r="E14" s="19" t="s">
        <v>20</v>
      </c>
      <c r="F14" s="19" t="s">
        <v>85</v>
      </c>
      <c r="G14" s="19" t="s">
        <v>85</v>
      </c>
      <c r="H14" s="19" t="s">
        <v>85</v>
      </c>
      <c r="I14" s="19" t="s">
        <v>21</v>
      </c>
      <c r="J14" s="19"/>
    </row>
    <row r="15" spans="1:14" x14ac:dyDescent="0.35">
      <c r="A15" s="1"/>
      <c r="B15" s="18" t="s">
        <v>22</v>
      </c>
      <c r="C15" s="77" t="s">
        <v>23</v>
      </c>
      <c r="D15" s="132" t="s">
        <v>129</v>
      </c>
      <c r="E15" s="89">
        <f>B16</f>
        <v>2000</v>
      </c>
      <c r="F15" s="89">
        <f>B17</f>
        <v>3000</v>
      </c>
      <c r="G15" s="89">
        <f>B18</f>
        <v>15000</v>
      </c>
      <c r="H15" s="89">
        <f>B19</f>
        <v>30000</v>
      </c>
      <c r="I15" s="89">
        <f>B20</f>
        <v>50000</v>
      </c>
      <c r="J15" s="19" t="s">
        <v>24</v>
      </c>
    </row>
    <row r="16" spans="1:14" x14ac:dyDescent="0.35">
      <c r="A16" s="19" t="s">
        <v>20</v>
      </c>
      <c r="B16" s="85">
        <v>2000</v>
      </c>
      <c r="C16" s="20">
        <v>9700</v>
      </c>
      <c r="D16" s="20">
        <v>994213</v>
      </c>
      <c r="E16" s="20">
        <f>D16</f>
        <v>994213</v>
      </c>
      <c r="F16" s="20">
        <v>0</v>
      </c>
      <c r="G16" s="20">
        <v>0</v>
      </c>
      <c r="H16" s="20">
        <v>0</v>
      </c>
      <c r="I16" s="20">
        <v>0</v>
      </c>
      <c r="J16" s="20">
        <f>SUM(E16:I16)</f>
        <v>994213</v>
      </c>
    </row>
    <row r="17" spans="1:10" x14ac:dyDescent="0.35">
      <c r="A17" s="19" t="s">
        <v>85</v>
      </c>
      <c r="B17" s="86">
        <v>3000</v>
      </c>
      <c r="C17" s="20">
        <f>113+24/2</f>
        <v>125</v>
      </c>
      <c r="D17" s="20">
        <f>310081+112277/2</f>
        <v>366219.5</v>
      </c>
      <c r="E17" s="20">
        <f>C17*B16</f>
        <v>250000</v>
      </c>
      <c r="F17" s="20">
        <f>D17-E17</f>
        <v>116219.5</v>
      </c>
      <c r="G17" s="20">
        <v>0</v>
      </c>
      <c r="H17" s="20">
        <v>0</v>
      </c>
      <c r="I17" s="20">
        <v>0</v>
      </c>
      <c r="J17" s="20">
        <f>SUM(E17:I17)</f>
        <v>366219.5</v>
      </c>
    </row>
    <row r="18" spans="1:10" x14ac:dyDescent="0.35">
      <c r="A18" s="19" t="s">
        <v>85</v>
      </c>
      <c r="B18" s="86">
        <v>15000</v>
      </c>
      <c r="C18" s="20">
        <f>24/2+17+11+2+17+3/2</f>
        <v>60.5</v>
      </c>
      <c r="D18" s="20">
        <f>112277/2+118908+95201+21005+222153+43891/2</f>
        <v>535351</v>
      </c>
      <c r="E18" s="20">
        <f>C18*B16</f>
        <v>121000</v>
      </c>
      <c r="F18" s="20">
        <f>C18*B17</f>
        <v>181500</v>
      </c>
      <c r="G18" s="20">
        <f>D18-E18-F18</f>
        <v>232851</v>
      </c>
      <c r="H18" s="20">
        <v>0</v>
      </c>
      <c r="I18" s="20">
        <v>0</v>
      </c>
      <c r="J18" s="20">
        <f>SUM(E18:I18)</f>
        <v>535351</v>
      </c>
    </row>
    <row r="19" spans="1:10" x14ac:dyDescent="0.35">
      <c r="A19" s="19" t="s">
        <v>85</v>
      </c>
      <c r="B19" s="86">
        <v>30000</v>
      </c>
      <c r="C19" s="20">
        <f>3/2+5+7+9+6+8+6+3+3+4+2+1+1</f>
        <v>56.5</v>
      </c>
      <c r="D19" s="20">
        <f>43891/2+82733+133033+190925+137308+199195+161746+85820+90688+132338+69432+37280+39229</f>
        <v>1381672.5</v>
      </c>
      <c r="E19" s="20">
        <f>C19*B16</f>
        <v>113000</v>
      </c>
      <c r="F19" s="20">
        <f>C19*B17</f>
        <v>169500</v>
      </c>
      <c r="G19" s="20">
        <f>C19*B18</f>
        <v>847500</v>
      </c>
      <c r="H19" s="20">
        <f>D19-E19-F19-G19</f>
        <v>251672.5</v>
      </c>
      <c r="I19" s="20">
        <v>0</v>
      </c>
      <c r="J19" s="20">
        <f>SUM(E19:I19)</f>
        <v>1381672.5</v>
      </c>
    </row>
    <row r="20" spans="1:10" x14ac:dyDescent="0.35">
      <c r="A20" s="19" t="s">
        <v>21</v>
      </c>
      <c r="B20" s="86">
        <v>50000</v>
      </c>
      <c r="C20" s="20">
        <v>1</v>
      </c>
      <c r="D20" s="20">
        <v>1492950</v>
      </c>
      <c r="E20" s="20">
        <f>C20*B16</f>
        <v>2000</v>
      </c>
      <c r="F20" s="20">
        <f>C20*B17</f>
        <v>3000</v>
      </c>
      <c r="G20" s="20">
        <f>C20*B18</f>
        <v>15000</v>
      </c>
      <c r="H20" s="20">
        <f>C20*B19</f>
        <v>30000</v>
      </c>
      <c r="I20" s="20">
        <f>D20-E20-F20-G20-H20</f>
        <v>1442950</v>
      </c>
      <c r="J20" s="20">
        <f>SUM(E20:I20)</f>
        <v>1492950</v>
      </c>
    </row>
    <row r="21" spans="1:10" x14ac:dyDescent="0.35">
      <c r="A21" s="19"/>
      <c r="B21" s="89" t="s">
        <v>24</v>
      </c>
      <c r="C21" s="20">
        <f t="shared" ref="C21:J21" si="1">SUM(C16:C20)</f>
        <v>9943</v>
      </c>
      <c r="D21" s="20">
        <f t="shared" si="1"/>
        <v>4770406</v>
      </c>
      <c r="E21" s="20">
        <f>SUM(E16:E20)</f>
        <v>1480213</v>
      </c>
      <c r="F21" s="20">
        <f t="shared" si="1"/>
        <v>470219.5</v>
      </c>
      <c r="G21" s="20">
        <f t="shared" si="1"/>
        <v>1095351</v>
      </c>
      <c r="H21" s="20">
        <f t="shared" ref="H21" si="2">SUM(H16:H20)</f>
        <v>281672.5</v>
      </c>
      <c r="I21" s="20">
        <f t="shared" si="1"/>
        <v>1442950</v>
      </c>
      <c r="J21" s="20">
        <f t="shared" si="1"/>
        <v>4770406</v>
      </c>
    </row>
    <row r="22" spans="1:10" x14ac:dyDescent="0.35">
      <c r="A22" s="19"/>
      <c r="B22" s="86"/>
      <c r="C22" s="1"/>
      <c r="D22" s="86"/>
      <c r="E22" s="86"/>
      <c r="F22" s="86"/>
      <c r="G22" s="86"/>
      <c r="H22" s="86"/>
    </row>
    <row r="23" spans="1:10" x14ac:dyDescent="0.35">
      <c r="A23" s="87" t="s">
        <v>86</v>
      </c>
      <c r="B23" s="87"/>
      <c r="C23" s="1"/>
      <c r="D23" s="86"/>
      <c r="E23" s="86"/>
      <c r="F23" s="86"/>
      <c r="G23" s="86"/>
      <c r="H23" s="86"/>
    </row>
    <row r="24" spans="1:10" x14ac:dyDescent="0.35">
      <c r="A24" s="19"/>
      <c r="B24" s="1"/>
      <c r="C24" s="77" t="s">
        <v>23</v>
      </c>
      <c r="D24" s="133" t="s">
        <v>129</v>
      </c>
      <c r="E24" s="133" t="s">
        <v>25</v>
      </c>
      <c r="F24" s="133" t="s">
        <v>26</v>
      </c>
      <c r="G24" s="88"/>
      <c r="H24" s="1"/>
    </row>
    <row r="25" spans="1:10" x14ac:dyDescent="0.35">
      <c r="A25" s="19" t="s">
        <v>20</v>
      </c>
      <c r="B25" s="86">
        <f>B16</f>
        <v>2000</v>
      </c>
      <c r="C25" s="90">
        <f>C21</f>
        <v>9943</v>
      </c>
      <c r="D25" s="20">
        <f>E21</f>
        <v>1480213</v>
      </c>
      <c r="E25" s="27">
        <f>Rates!D9</f>
        <v>14.3</v>
      </c>
      <c r="F25" s="83">
        <f>C25*E25</f>
        <v>142184.9</v>
      </c>
      <c r="G25" s="27"/>
      <c r="H25" s="1"/>
    </row>
    <row r="26" spans="1:10" x14ac:dyDescent="0.35">
      <c r="A26" s="19" t="s">
        <v>85</v>
      </c>
      <c r="B26" s="86">
        <f>B17</f>
        <v>3000</v>
      </c>
      <c r="C26" s="90"/>
      <c r="D26" s="20">
        <f>F21</f>
        <v>470219.5</v>
      </c>
      <c r="E26" s="129">
        <f>Rates!D10</f>
        <v>7.21</v>
      </c>
      <c r="F26" s="83">
        <f>D26*E26</f>
        <v>3390282.5950000002</v>
      </c>
      <c r="G26" s="27"/>
      <c r="H26" s="1"/>
    </row>
    <row r="27" spans="1:10" x14ac:dyDescent="0.35">
      <c r="A27" s="19" t="s">
        <v>85</v>
      </c>
      <c r="B27" s="86">
        <f>B18</f>
        <v>15000</v>
      </c>
      <c r="C27" s="90"/>
      <c r="D27" s="20">
        <f>G21</f>
        <v>1095351</v>
      </c>
      <c r="E27" s="129" t="e">
        <f>Rates!#REF!</f>
        <v>#REF!</v>
      </c>
      <c r="F27" s="83" t="e">
        <f>D27*E27</f>
        <v>#REF!</v>
      </c>
      <c r="G27" s="27"/>
      <c r="H27" s="1"/>
    </row>
    <row r="28" spans="1:10" x14ac:dyDescent="0.35">
      <c r="A28" s="19" t="s">
        <v>85</v>
      </c>
      <c r="B28" s="86">
        <f>B19</f>
        <v>30000</v>
      </c>
      <c r="C28" s="90"/>
      <c r="D28" s="20">
        <f>H21</f>
        <v>281672.5</v>
      </c>
      <c r="E28" s="129" t="e">
        <f>Rates!#REF!</f>
        <v>#REF!</v>
      </c>
      <c r="F28" s="83" t="e">
        <f t="shared" ref="F28:F29" si="3">D28*E28</f>
        <v>#REF!</v>
      </c>
      <c r="G28" s="27"/>
      <c r="H28" s="1"/>
    </row>
    <row r="29" spans="1:10" x14ac:dyDescent="0.35">
      <c r="A29" s="19" t="s">
        <v>21</v>
      </c>
      <c r="B29" s="86">
        <f>B20</f>
        <v>50000</v>
      </c>
      <c r="C29" s="91"/>
      <c r="D29" s="2">
        <f>I21</f>
        <v>1442950</v>
      </c>
      <c r="E29" s="129" t="e">
        <f>Rates!#REF!</f>
        <v>#REF!</v>
      </c>
      <c r="F29" s="83" t="e">
        <f t="shared" si="3"/>
        <v>#REF!</v>
      </c>
      <c r="G29" s="27"/>
      <c r="H29" s="1"/>
    </row>
    <row r="30" spans="1:10" x14ac:dyDescent="0.35">
      <c r="A30" s="19"/>
      <c r="B30" s="89" t="s">
        <v>24</v>
      </c>
      <c r="C30" s="20">
        <f>SUM(C25:C29)</f>
        <v>9943</v>
      </c>
      <c r="D30" s="20">
        <f>SUM(D25:D29)</f>
        <v>4770406</v>
      </c>
      <c r="E30" s="20"/>
      <c r="F30" s="137" t="e">
        <f>SUM(F25:F29)</f>
        <v>#REF!</v>
      </c>
      <c r="G30" s="92"/>
      <c r="H30" s="1"/>
    </row>
    <row r="31" spans="1:10" x14ac:dyDescent="0.35">
      <c r="A31" s="1"/>
      <c r="B31" s="1"/>
      <c r="C31" s="1"/>
      <c r="D31" s="1"/>
      <c r="E31" s="1"/>
      <c r="F31" s="1"/>
      <c r="G31" s="1"/>
      <c r="H31" s="1"/>
    </row>
    <row r="32" spans="1:10" x14ac:dyDescent="0.35">
      <c r="A32" s="71" t="s">
        <v>127</v>
      </c>
      <c r="B32" s="1"/>
      <c r="C32" s="1"/>
      <c r="D32" s="1"/>
      <c r="E32" s="1"/>
      <c r="F32" s="1"/>
      <c r="G32" s="1"/>
      <c r="H32" s="1"/>
    </row>
    <row r="33" spans="1:9" ht="29" x14ac:dyDescent="0.35">
      <c r="A33" s="1"/>
      <c r="B33" s="1"/>
      <c r="C33" s="77" t="s">
        <v>23</v>
      </c>
      <c r="D33" s="88" t="s">
        <v>87</v>
      </c>
      <c r="E33" s="88" t="s">
        <v>25</v>
      </c>
      <c r="F33" s="88" t="s">
        <v>26</v>
      </c>
      <c r="G33" s="1"/>
      <c r="H33" s="1"/>
    </row>
    <row r="34" spans="1:9" x14ac:dyDescent="0.35">
      <c r="A34" s="1" t="s">
        <v>126</v>
      </c>
      <c r="B34" s="1"/>
      <c r="C34" s="18">
        <v>12</v>
      </c>
      <c r="D34" s="123">
        <v>384409.29</v>
      </c>
      <c r="E34" s="124">
        <f>Rates!D40</f>
        <v>1.4</v>
      </c>
      <c r="F34" s="125">
        <f>D34*E34</f>
        <v>538173.00599999994</v>
      </c>
      <c r="G34" s="77"/>
      <c r="H34" s="1"/>
      <c r="I34" s="1"/>
    </row>
    <row r="35" spans="1:9" s="72" customFormat="1" ht="14.5" x14ac:dyDescent="0.35">
      <c r="C35" s="93"/>
      <c r="D35" s="113"/>
      <c r="E35" s="94"/>
      <c r="F35" s="94"/>
      <c r="G35" s="94"/>
    </row>
    <row r="37" spans="1:9" x14ac:dyDescent="0.35">
      <c r="A37" s="135" t="s">
        <v>129</v>
      </c>
      <c r="B37" s="135"/>
      <c r="C37" s="135" t="s">
        <v>130</v>
      </c>
      <c r="D37" s="135"/>
      <c r="E37" s="135"/>
      <c r="F37" s="135"/>
      <c r="G37" s="135"/>
      <c r="H37" s="136"/>
    </row>
    <row r="38" spans="1:9" x14ac:dyDescent="0.35">
      <c r="A38" s="134"/>
      <c r="B38" s="134"/>
      <c r="C38" s="134"/>
      <c r="D38" s="134"/>
      <c r="E38" s="134"/>
      <c r="F38" s="134"/>
      <c r="G38" s="134"/>
    </row>
  </sheetData>
  <mergeCells count="3">
    <mergeCell ref="A1:H1"/>
    <mergeCell ref="A2:H2"/>
    <mergeCell ref="C4:F4"/>
  </mergeCells>
  <pageMargins left="0.7" right="0.7" top="0.75" bottom="0.75" header="0.3" footer="0.3"/>
  <pageSetup scale="88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3000-BC2B-40A9-8915-E3190B6605AB}">
  <sheetPr>
    <pageSetUpPr fitToPage="1"/>
  </sheetPr>
  <dimension ref="A1:N38"/>
  <sheetViews>
    <sheetView showGridLines="0" topLeftCell="A5" workbookViewId="0">
      <selection activeCell="H40" sqref="H40"/>
    </sheetView>
  </sheetViews>
  <sheetFormatPr defaultColWidth="8.84375" defaultRowHeight="15.5" x14ac:dyDescent="0.35"/>
  <cols>
    <col min="1" max="1" width="7.765625" style="69" customWidth="1"/>
    <col min="2" max="2" width="8.23046875" style="69" customWidth="1"/>
    <col min="3" max="3" width="25.84375" style="69" customWidth="1"/>
    <col min="4" max="5" width="10.4609375" style="69" customWidth="1"/>
    <col min="6" max="6" width="11.921875" style="69" bestFit="1" customWidth="1"/>
    <col min="7" max="7" width="11.15234375" style="69" customWidth="1"/>
    <col min="8" max="13" width="10.4609375" style="69" customWidth="1"/>
    <col min="14" max="14" width="13.07421875" style="69" customWidth="1"/>
    <col min="15" max="16384" width="8.84375" style="69"/>
  </cols>
  <sheetData>
    <row r="1" spans="1:14" ht="21" x14ac:dyDescent="0.5">
      <c r="A1" s="374" t="s">
        <v>125</v>
      </c>
      <c r="B1" s="374"/>
      <c r="C1" s="374"/>
      <c r="D1" s="374"/>
      <c r="E1" s="374"/>
      <c r="F1" s="374"/>
      <c r="G1" s="374"/>
      <c r="H1" s="374"/>
    </row>
    <row r="2" spans="1:14" ht="18.5" x14ac:dyDescent="0.35">
      <c r="A2" s="349" t="s">
        <v>105</v>
      </c>
      <c r="B2" s="349"/>
      <c r="C2" s="349"/>
      <c r="D2" s="349"/>
      <c r="E2" s="349"/>
      <c r="F2" s="349"/>
      <c r="G2" s="349"/>
      <c r="H2" s="349"/>
    </row>
    <row r="3" spans="1:14" x14ac:dyDescent="0.35">
      <c r="A3" s="21"/>
      <c r="B3" s="22"/>
      <c r="C3" s="22"/>
      <c r="D3" s="22"/>
      <c r="E3" s="22"/>
      <c r="F3" s="22"/>
      <c r="G3" s="22"/>
      <c r="H3" s="22"/>
    </row>
    <row r="4" spans="1:14" x14ac:dyDescent="0.35">
      <c r="A4" s="1"/>
      <c r="C4" s="375" t="s">
        <v>19</v>
      </c>
      <c r="D4" s="375"/>
      <c r="E4" s="375"/>
      <c r="F4" s="375"/>
      <c r="G4" s="114"/>
      <c r="H4" s="1"/>
    </row>
    <row r="5" spans="1:14" ht="15" customHeight="1" x14ac:dyDescent="0.35">
      <c r="A5" s="1"/>
      <c r="B5" s="1"/>
      <c r="C5" s="87" t="s">
        <v>89</v>
      </c>
      <c r="D5" s="111" t="s">
        <v>23</v>
      </c>
      <c r="E5" s="111" t="s">
        <v>128</v>
      </c>
      <c r="F5" s="112" t="s">
        <v>26</v>
      </c>
      <c r="G5" s="112"/>
      <c r="H5" s="18"/>
      <c r="I5" s="73"/>
    </row>
    <row r="6" spans="1:14" ht="15" customHeight="1" x14ac:dyDescent="0.35">
      <c r="A6" s="1"/>
      <c r="B6" s="1"/>
      <c r="C6" s="1" t="s">
        <v>82</v>
      </c>
      <c r="D6" s="2">
        <f>C21</f>
        <v>9943</v>
      </c>
      <c r="E6" s="78">
        <f>J21</f>
        <v>4770406</v>
      </c>
      <c r="F6" s="79" t="e">
        <f>F30</f>
        <v>#REF!</v>
      </c>
      <c r="G6" s="79"/>
      <c r="H6" s="80"/>
      <c r="I6" s="81"/>
      <c r="J6" s="82"/>
      <c r="L6" s="70"/>
      <c r="M6" s="70"/>
      <c r="N6" s="70"/>
    </row>
    <row r="7" spans="1:14" ht="15" customHeight="1" x14ac:dyDescent="0.35">
      <c r="A7" s="1"/>
      <c r="B7" s="1"/>
      <c r="C7" s="1" t="s">
        <v>83</v>
      </c>
      <c r="D7" s="2">
        <f>C34</f>
        <v>12</v>
      </c>
      <c r="E7" s="78">
        <f>D34*1000</f>
        <v>384409290</v>
      </c>
      <c r="F7" s="126">
        <f>F34</f>
        <v>811103.60189999989</v>
      </c>
      <c r="G7" s="79"/>
      <c r="H7" s="80"/>
      <c r="I7" s="81"/>
      <c r="J7" s="82"/>
      <c r="L7" s="70"/>
      <c r="M7" s="70"/>
      <c r="N7" s="70"/>
    </row>
    <row r="8" spans="1:14" ht="15" customHeight="1" x14ac:dyDescent="0.5">
      <c r="A8" s="1"/>
      <c r="B8" s="1"/>
      <c r="C8" s="1" t="s">
        <v>90</v>
      </c>
      <c r="D8" s="128"/>
      <c r="E8" s="128"/>
      <c r="F8" s="127"/>
      <c r="G8" s="109"/>
      <c r="H8" s="1"/>
      <c r="L8" s="70"/>
      <c r="M8" s="70"/>
      <c r="N8" s="70"/>
    </row>
    <row r="9" spans="1:14" ht="15" customHeight="1" x14ac:dyDescent="0.35">
      <c r="A9" s="1"/>
      <c r="B9" s="1"/>
      <c r="C9" s="84" t="s">
        <v>101</v>
      </c>
      <c r="D9" s="78">
        <f t="shared" ref="D9:E9" si="0">D6+D7+D8</f>
        <v>9955</v>
      </c>
      <c r="E9" s="78">
        <f t="shared" si="0"/>
        <v>389179696</v>
      </c>
      <c r="F9" s="83" t="e">
        <f>F6+F7+F8</f>
        <v>#REF!</v>
      </c>
      <c r="G9" s="83"/>
      <c r="H9" s="1"/>
    </row>
    <row r="10" spans="1:14" ht="15" customHeight="1" x14ac:dyDescent="0.5">
      <c r="A10" s="1"/>
      <c r="B10" s="1"/>
      <c r="C10" s="84" t="s">
        <v>104</v>
      </c>
      <c r="D10" s="78"/>
      <c r="E10" s="78"/>
      <c r="F10" s="95" t="e">
        <f>SAO!H8+SAO!H9+SAO!#REF!</f>
        <v>#REF!</v>
      </c>
      <c r="G10" s="95"/>
      <c r="H10" s="1"/>
    </row>
    <row r="11" spans="1:14" ht="15" customHeight="1" x14ac:dyDescent="0.35">
      <c r="A11" s="1"/>
      <c r="B11" s="1"/>
      <c r="C11" s="84" t="s">
        <v>91</v>
      </c>
      <c r="D11" s="78"/>
      <c r="E11" s="78"/>
      <c r="F11" s="83" t="e">
        <f>F9-F10</f>
        <v>#REF!</v>
      </c>
      <c r="G11" s="83"/>
      <c r="H11" s="1"/>
      <c r="K11" s="110"/>
    </row>
    <row r="12" spans="1:14" ht="15" customHeight="1" x14ac:dyDescent="0.35">
      <c r="A12" s="1"/>
      <c r="B12" s="1"/>
      <c r="C12" s="17"/>
      <c r="D12" s="79"/>
      <c r="E12" s="1"/>
      <c r="F12" s="1"/>
      <c r="G12" s="1"/>
      <c r="H12" s="1"/>
    </row>
    <row r="13" spans="1:14" x14ac:dyDescent="0.35">
      <c r="A13" s="71" t="s">
        <v>84</v>
      </c>
      <c r="B13" s="1"/>
      <c r="C13" s="1"/>
      <c r="D13" s="1"/>
      <c r="E13" s="1"/>
      <c r="F13" s="1"/>
      <c r="G13" s="1"/>
      <c r="H13" s="1"/>
    </row>
    <row r="14" spans="1:14" x14ac:dyDescent="0.35">
      <c r="A14" s="1"/>
      <c r="B14" s="1"/>
      <c r="C14" s="1"/>
      <c r="D14" s="19"/>
      <c r="E14" s="19" t="s">
        <v>20</v>
      </c>
      <c r="F14" s="19" t="s">
        <v>85</v>
      </c>
      <c r="G14" s="19" t="s">
        <v>85</v>
      </c>
      <c r="H14" s="19" t="s">
        <v>85</v>
      </c>
      <c r="I14" s="19" t="s">
        <v>21</v>
      </c>
      <c r="J14" s="19"/>
    </row>
    <row r="15" spans="1:14" x14ac:dyDescent="0.35">
      <c r="A15" s="1"/>
      <c r="B15" s="18" t="s">
        <v>22</v>
      </c>
      <c r="C15" s="89" t="s">
        <v>23</v>
      </c>
      <c r="D15" s="132" t="s">
        <v>129</v>
      </c>
      <c r="E15" s="89">
        <f>B16</f>
        <v>2000</v>
      </c>
      <c r="F15" s="89">
        <f>B17</f>
        <v>3000</v>
      </c>
      <c r="G15" s="89">
        <f>B18</f>
        <v>15000</v>
      </c>
      <c r="H15" s="89">
        <f>B19</f>
        <v>30000</v>
      </c>
      <c r="I15" s="89">
        <f>B20</f>
        <v>50000</v>
      </c>
      <c r="J15" s="19" t="s">
        <v>24</v>
      </c>
    </row>
    <row r="16" spans="1:14" x14ac:dyDescent="0.35">
      <c r="A16" s="19" t="s">
        <v>20</v>
      </c>
      <c r="B16" s="85">
        <v>2000</v>
      </c>
      <c r="C16" s="20">
        <f>ExBA!C16</f>
        <v>9700</v>
      </c>
      <c r="D16" s="20">
        <f>ExBA!D16</f>
        <v>994213</v>
      </c>
      <c r="E16" s="20">
        <f>D16</f>
        <v>994213</v>
      </c>
      <c r="F16" s="20">
        <v>0</v>
      </c>
      <c r="G16" s="20">
        <v>0</v>
      </c>
      <c r="H16" s="20">
        <v>0</v>
      </c>
      <c r="I16" s="20">
        <v>0</v>
      </c>
      <c r="J16" s="20">
        <f>SUM(E16:I16)</f>
        <v>994213</v>
      </c>
    </row>
    <row r="17" spans="1:10" x14ac:dyDescent="0.35">
      <c r="A17" s="19" t="s">
        <v>85</v>
      </c>
      <c r="B17" s="86">
        <v>3000</v>
      </c>
      <c r="C17" s="20">
        <f>ExBA!C17</f>
        <v>125</v>
      </c>
      <c r="D17" s="20">
        <f>ExBA!D17</f>
        <v>366219.5</v>
      </c>
      <c r="E17" s="20">
        <f>C17*B16</f>
        <v>250000</v>
      </c>
      <c r="F17" s="20">
        <f>D17-E17</f>
        <v>116219.5</v>
      </c>
      <c r="G17" s="20">
        <v>0</v>
      </c>
      <c r="H17" s="20">
        <v>0</v>
      </c>
      <c r="I17" s="20">
        <v>0</v>
      </c>
      <c r="J17" s="20">
        <f>SUM(E17:I17)</f>
        <v>366219.5</v>
      </c>
    </row>
    <row r="18" spans="1:10" x14ac:dyDescent="0.35">
      <c r="A18" s="19" t="s">
        <v>85</v>
      </c>
      <c r="B18" s="86">
        <v>15000</v>
      </c>
      <c r="C18" s="20">
        <f>ExBA!C18</f>
        <v>60.5</v>
      </c>
      <c r="D18" s="20">
        <f>ExBA!D18</f>
        <v>535351</v>
      </c>
      <c r="E18" s="20">
        <f>C18*B16</f>
        <v>121000</v>
      </c>
      <c r="F18" s="20">
        <f>C18*B17</f>
        <v>181500</v>
      </c>
      <c r="G18" s="20">
        <f>D18-E18-F18</f>
        <v>232851</v>
      </c>
      <c r="H18" s="20">
        <v>0</v>
      </c>
      <c r="I18" s="20">
        <v>0</v>
      </c>
      <c r="J18" s="20">
        <f>SUM(E18:I18)</f>
        <v>535351</v>
      </c>
    </row>
    <row r="19" spans="1:10" x14ac:dyDescent="0.35">
      <c r="A19" s="19" t="s">
        <v>85</v>
      </c>
      <c r="B19" s="86">
        <v>30000</v>
      </c>
      <c r="C19" s="20">
        <f>ExBA!C19</f>
        <v>56.5</v>
      </c>
      <c r="D19" s="20">
        <f>ExBA!D19</f>
        <v>1381672.5</v>
      </c>
      <c r="E19" s="20">
        <f>C19*B16</f>
        <v>113000</v>
      </c>
      <c r="F19" s="20">
        <f>C19*B17</f>
        <v>169500</v>
      </c>
      <c r="G19" s="20">
        <f>C19*B18</f>
        <v>847500</v>
      </c>
      <c r="H19" s="20">
        <f>D19-E19-F19-G19</f>
        <v>251672.5</v>
      </c>
      <c r="I19" s="20">
        <v>0</v>
      </c>
      <c r="J19" s="20">
        <f>SUM(E19:I19)</f>
        <v>1381672.5</v>
      </c>
    </row>
    <row r="20" spans="1:10" x14ac:dyDescent="0.35">
      <c r="A20" s="19" t="s">
        <v>21</v>
      </c>
      <c r="B20" s="86">
        <v>50000</v>
      </c>
      <c r="C20" s="138">
        <f>ExBA!C20</f>
        <v>1</v>
      </c>
      <c r="D20" s="138">
        <f>ExBA!D20</f>
        <v>1492950</v>
      </c>
      <c r="E20" s="138">
        <f>C20*B16</f>
        <v>2000</v>
      </c>
      <c r="F20" s="138">
        <f>C20*B17</f>
        <v>3000</v>
      </c>
      <c r="G20" s="138">
        <f>C20*B18</f>
        <v>15000</v>
      </c>
      <c r="H20" s="138">
        <f>C20*B19</f>
        <v>30000</v>
      </c>
      <c r="I20" s="138">
        <f>D20-E20-F20-G20-H20</f>
        <v>1442950</v>
      </c>
      <c r="J20" s="138">
        <f>SUM(E20:I20)</f>
        <v>1492950</v>
      </c>
    </row>
    <row r="21" spans="1:10" x14ac:dyDescent="0.35">
      <c r="A21" s="19"/>
      <c r="B21" s="89" t="s">
        <v>24</v>
      </c>
      <c r="C21" s="20">
        <f t="shared" ref="C21:J21" si="1">SUM(C16:C20)</f>
        <v>9943</v>
      </c>
      <c r="D21" s="20">
        <f t="shared" si="1"/>
        <v>4770406</v>
      </c>
      <c r="E21" s="20">
        <f>SUM(E16:E20)</f>
        <v>1480213</v>
      </c>
      <c r="F21" s="20">
        <f t="shared" si="1"/>
        <v>470219.5</v>
      </c>
      <c r="G21" s="20">
        <f t="shared" si="1"/>
        <v>1095351</v>
      </c>
      <c r="H21" s="20">
        <f t="shared" si="1"/>
        <v>281672.5</v>
      </c>
      <c r="I21" s="20">
        <f t="shared" si="1"/>
        <v>1442950</v>
      </c>
      <c r="J21" s="20">
        <f t="shared" si="1"/>
        <v>4770406</v>
      </c>
    </row>
    <row r="22" spans="1:10" x14ac:dyDescent="0.35">
      <c r="A22" s="19"/>
      <c r="B22" s="86"/>
      <c r="C22" s="1"/>
      <c r="D22" s="86"/>
      <c r="E22" s="86"/>
      <c r="F22" s="86"/>
      <c r="G22" s="86"/>
      <c r="H22" s="86"/>
    </row>
    <row r="23" spans="1:10" x14ac:dyDescent="0.35">
      <c r="A23" s="87" t="s">
        <v>86</v>
      </c>
      <c r="B23" s="87"/>
      <c r="C23" s="1"/>
      <c r="D23" s="86"/>
      <c r="E23" s="86"/>
      <c r="F23" s="86"/>
      <c r="G23" s="86"/>
      <c r="H23" s="86"/>
    </row>
    <row r="24" spans="1:10" x14ac:dyDescent="0.35">
      <c r="A24" s="19"/>
      <c r="B24" s="1"/>
      <c r="C24" s="140" t="s">
        <v>23</v>
      </c>
      <c r="D24" s="133" t="s">
        <v>129</v>
      </c>
      <c r="E24" s="133" t="s">
        <v>25</v>
      </c>
      <c r="F24" s="133" t="s">
        <v>26</v>
      </c>
      <c r="G24" s="88"/>
      <c r="H24" s="1"/>
    </row>
    <row r="25" spans="1:10" x14ac:dyDescent="0.35">
      <c r="A25" s="19" t="s">
        <v>20</v>
      </c>
      <c r="B25" s="86">
        <f>B16</f>
        <v>2000</v>
      </c>
      <c r="C25" s="90">
        <f>C21</f>
        <v>9943</v>
      </c>
      <c r="D25" s="20">
        <f>E21</f>
        <v>1480213</v>
      </c>
      <c r="E25" s="27">
        <f>Rates!F9</f>
        <v>22.06</v>
      </c>
      <c r="F25" s="83">
        <f>C25*E25</f>
        <v>219342.58</v>
      </c>
      <c r="G25" s="27"/>
      <c r="H25" s="1"/>
    </row>
    <row r="26" spans="1:10" x14ac:dyDescent="0.35">
      <c r="A26" s="19" t="s">
        <v>85</v>
      </c>
      <c r="B26" s="86">
        <f>B17</f>
        <v>3000</v>
      </c>
      <c r="C26" s="90"/>
      <c r="D26" s="20">
        <f>F21</f>
        <v>470219.5</v>
      </c>
      <c r="E26" s="129">
        <f>Rates!F10</f>
        <v>11.12</v>
      </c>
      <c r="F26" s="83">
        <f>D26*E26</f>
        <v>5228840.84</v>
      </c>
      <c r="G26" s="27"/>
      <c r="H26" s="1"/>
    </row>
    <row r="27" spans="1:10" x14ac:dyDescent="0.35">
      <c r="A27" s="19" t="s">
        <v>85</v>
      </c>
      <c r="B27" s="86">
        <f>B18</f>
        <v>15000</v>
      </c>
      <c r="C27" s="90"/>
      <c r="D27" s="20">
        <f>G21</f>
        <v>1095351</v>
      </c>
      <c r="E27" s="129" t="e">
        <f>Rates!#REF!</f>
        <v>#REF!</v>
      </c>
      <c r="F27" s="83" t="e">
        <f>D27*E27</f>
        <v>#REF!</v>
      </c>
      <c r="G27" s="27"/>
      <c r="H27" s="1"/>
    </row>
    <row r="28" spans="1:10" x14ac:dyDescent="0.35">
      <c r="A28" s="19" t="s">
        <v>85</v>
      </c>
      <c r="B28" s="86">
        <f>B19</f>
        <v>30000</v>
      </c>
      <c r="C28" s="90"/>
      <c r="D28" s="20">
        <f>H21</f>
        <v>281672.5</v>
      </c>
      <c r="E28" s="129" t="e">
        <f>Rates!#REF!</f>
        <v>#REF!</v>
      </c>
      <c r="F28" s="83" t="e">
        <f t="shared" ref="F28:F29" si="2">D28*E28</f>
        <v>#REF!</v>
      </c>
      <c r="G28" s="27"/>
      <c r="H28" s="1"/>
    </row>
    <row r="29" spans="1:10" x14ac:dyDescent="0.35">
      <c r="A29" s="19" t="s">
        <v>21</v>
      </c>
      <c r="B29" s="86">
        <f>B20</f>
        <v>50000</v>
      </c>
      <c r="C29" s="141"/>
      <c r="D29" s="29">
        <f>I21</f>
        <v>1442950</v>
      </c>
      <c r="E29" s="129" t="e">
        <f>Rates!#REF!</f>
        <v>#REF!</v>
      </c>
      <c r="F29" s="139" t="e">
        <f t="shared" si="2"/>
        <v>#REF!</v>
      </c>
      <c r="G29" s="27"/>
      <c r="H29" s="1"/>
    </row>
    <row r="30" spans="1:10" x14ac:dyDescent="0.35">
      <c r="A30" s="19"/>
      <c r="B30" s="89" t="s">
        <v>24</v>
      </c>
      <c r="C30" s="20">
        <f>SUM(C25:C29)</f>
        <v>9943</v>
      </c>
      <c r="D30" s="20">
        <f>SUM(D25:D29)</f>
        <v>4770406</v>
      </c>
      <c r="E30" s="20"/>
      <c r="F30" s="137" t="e">
        <f>SUM(F25:F29)</f>
        <v>#REF!</v>
      </c>
      <c r="G30" s="92"/>
      <c r="H30" s="1"/>
    </row>
    <row r="31" spans="1:10" x14ac:dyDescent="0.35">
      <c r="A31" s="1"/>
      <c r="B31" s="1"/>
      <c r="C31" s="1"/>
      <c r="D31" s="1"/>
      <c r="E31" s="1"/>
      <c r="F31" s="1"/>
      <c r="G31" s="1"/>
      <c r="H31" s="1"/>
    </row>
    <row r="32" spans="1:10" x14ac:dyDescent="0.35">
      <c r="A32" s="71" t="s">
        <v>127</v>
      </c>
      <c r="B32" s="1"/>
      <c r="C32" s="1"/>
      <c r="D32" s="1"/>
      <c r="E32" s="1"/>
      <c r="F32" s="1"/>
      <c r="G32" s="1"/>
      <c r="H32" s="1"/>
    </row>
    <row r="33" spans="1:9" ht="29" x14ac:dyDescent="0.35">
      <c r="A33" s="1"/>
      <c r="B33" s="1"/>
      <c r="C33" s="77" t="s">
        <v>23</v>
      </c>
      <c r="D33" s="88" t="s">
        <v>87</v>
      </c>
      <c r="E33" s="88" t="s">
        <v>25</v>
      </c>
      <c r="F33" s="88" t="s">
        <v>26</v>
      </c>
      <c r="G33" s="1"/>
      <c r="H33" s="1"/>
    </row>
    <row r="34" spans="1:9" x14ac:dyDescent="0.35">
      <c r="A34" s="1" t="s">
        <v>126</v>
      </c>
      <c r="B34" s="1"/>
      <c r="C34" s="18">
        <v>12</v>
      </c>
      <c r="D34" s="123">
        <v>384409.29</v>
      </c>
      <c r="E34" s="151">
        <f>Rates!F40</f>
        <v>2.11</v>
      </c>
      <c r="F34" s="125">
        <f>D34*E34</f>
        <v>811103.60189999989</v>
      </c>
      <c r="G34" s="77"/>
      <c r="H34" s="1"/>
      <c r="I34" s="1"/>
    </row>
    <row r="35" spans="1:9" s="72" customFormat="1" ht="14.5" x14ac:dyDescent="0.35">
      <c r="C35" s="93"/>
      <c r="D35" s="113"/>
      <c r="E35" s="94"/>
      <c r="F35" s="94"/>
      <c r="G35" s="94"/>
    </row>
    <row r="37" spans="1:9" x14ac:dyDescent="0.35">
      <c r="A37" s="135" t="s">
        <v>129</v>
      </c>
      <c r="B37" s="135"/>
      <c r="C37" s="135" t="s">
        <v>130</v>
      </c>
      <c r="D37" s="135"/>
      <c r="E37" s="135"/>
      <c r="F37" s="135"/>
      <c r="G37" s="135"/>
      <c r="H37" s="136"/>
    </row>
    <row r="38" spans="1:9" x14ac:dyDescent="0.35">
      <c r="A38" s="134"/>
      <c r="B38" s="134"/>
      <c r="C38" s="134"/>
      <c r="D38" s="134"/>
      <c r="E38" s="134"/>
      <c r="F38" s="134"/>
      <c r="G38" s="134"/>
    </row>
  </sheetData>
  <mergeCells count="3">
    <mergeCell ref="A1:H1"/>
    <mergeCell ref="A2:H2"/>
    <mergeCell ref="C4:F4"/>
  </mergeCells>
  <pageMargins left="0.7" right="0.7" top="0.75" bottom="0.75" header="0.3" footer="0.3"/>
  <pageSetup scale="8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dimension ref="A1:J33"/>
  <sheetViews>
    <sheetView workbookViewId="0">
      <selection activeCell="G27" sqref="G27"/>
    </sheetView>
  </sheetViews>
  <sheetFormatPr defaultColWidth="8.84375" defaultRowHeight="14.5" x14ac:dyDescent="0.35"/>
  <cols>
    <col min="1" max="1" width="20.61328125" style="1" customWidth="1"/>
    <col min="2" max="7" width="12.61328125" style="14" customWidth="1"/>
    <col min="8" max="8" width="8.84375" style="19"/>
    <col min="9" max="16384" width="8.84375" style="1"/>
  </cols>
  <sheetData>
    <row r="1" spans="1:10" x14ac:dyDescent="0.35">
      <c r="A1" s="1" t="s">
        <v>36</v>
      </c>
    </row>
    <row r="2" spans="1:10" x14ac:dyDescent="0.35">
      <c r="B2" s="74"/>
      <c r="C2" s="74"/>
      <c r="D2" s="74"/>
      <c r="E2" s="74"/>
      <c r="F2" s="74"/>
      <c r="G2" s="74" t="s">
        <v>2</v>
      </c>
      <c r="H2" s="19" t="s">
        <v>102</v>
      </c>
    </row>
    <row r="3" spans="1:10" x14ac:dyDescent="0.35">
      <c r="B3" s="74" t="s">
        <v>37</v>
      </c>
      <c r="C3" s="74" t="s">
        <v>37</v>
      </c>
      <c r="D3" s="74" t="s">
        <v>38</v>
      </c>
      <c r="E3" s="74" t="s">
        <v>37</v>
      </c>
      <c r="F3" s="74" t="s">
        <v>37</v>
      </c>
      <c r="G3" s="74" t="s">
        <v>37</v>
      </c>
      <c r="H3" s="19" t="s">
        <v>97</v>
      </c>
    </row>
    <row r="4" spans="1:10" x14ac:dyDescent="0.35">
      <c r="A4" s="1" t="s">
        <v>39</v>
      </c>
      <c r="B4" s="74" t="s">
        <v>40</v>
      </c>
      <c r="C4" s="74" t="s">
        <v>41</v>
      </c>
      <c r="D4" s="74" t="s">
        <v>42</v>
      </c>
      <c r="E4" s="74" t="s">
        <v>43</v>
      </c>
      <c r="F4" s="74" t="s">
        <v>44</v>
      </c>
      <c r="G4" s="74" t="s">
        <v>45</v>
      </c>
      <c r="H4" s="19" t="s">
        <v>98</v>
      </c>
    </row>
    <row r="5" spans="1:10" x14ac:dyDescent="0.35">
      <c r="A5" s="1" t="s">
        <v>112</v>
      </c>
      <c r="B5" s="7">
        <v>1040</v>
      </c>
      <c r="C5" s="7">
        <v>0</v>
      </c>
      <c r="D5" s="108">
        <v>28.05</v>
      </c>
      <c r="E5" s="14">
        <f>B5*D5</f>
        <v>29172</v>
      </c>
      <c r="F5" s="14">
        <f>C5*D5*1.5</f>
        <v>0</v>
      </c>
      <c r="G5" s="14">
        <f>E5+F5</f>
        <v>29172</v>
      </c>
    </row>
    <row r="6" spans="1:10" x14ac:dyDescent="0.35">
      <c r="A6" s="1" t="s">
        <v>113</v>
      </c>
      <c r="B6" s="7">
        <v>1040</v>
      </c>
      <c r="C6" s="7">
        <v>0</v>
      </c>
      <c r="D6" s="108">
        <v>16.64</v>
      </c>
      <c r="E6" s="14">
        <f t="shared" ref="E6:E14" si="0">B6*D6</f>
        <v>17305.600000000002</v>
      </c>
      <c r="F6" s="14">
        <f t="shared" ref="F6:F14" si="1">C6*D6*1.5</f>
        <v>0</v>
      </c>
      <c r="G6" s="14">
        <f t="shared" ref="G6:G14" si="2">E6+F6</f>
        <v>17305.600000000002</v>
      </c>
    </row>
    <row r="7" spans="1:10" x14ac:dyDescent="0.35">
      <c r="A7" s="1" t="s">
        <v>114</v>
      </c>
      <c r="B7" s="120">
        <v>56</v>
      </c>
      <c r="C7" s="120">
        <v>98</v>
      </c>
      <c r="D7" s="122">
        <v>21.5</v>
      </c>
      <c r="E7" s="14">
        <f t="shared" si="0"/>
        <v>1204</v>
      </c>
      <c r="F7" s="14">
        <f t="shared" si="1"/>
        <v>3160.5</v>
      </c>
      <c r="G7" s="14">
        <f t="shared" si="2"/>
        <v>4364.5</v>
      </c>
    </row>
    <row r="8" spans="1:10" x14ac:dyDescent="0.35">
      <c r="A8" s="1" t="s">
        <v>115</v>
      </c>
      <c r="B8" s="120">
        <v>1024</v>
      </c>
      <c r="C8" s="120">
        <v>330</v>
      </c>
      <c r="D8" s="108">
        <v>22.5</v>
      </c>
      <c r="E8" s="14">
        <f t="shared" si="0"/>
        <v>23040</v>
      </c>
      <c r="F8" s="14">
        <f t="shared" si="1"/>
        <v>11137.5</v>
      </c>
      <c r="G8" s="14">
        <f t="shared" si="2"/>
        <v>34177.5</v>
      </c>
      <c r="J8" s="76"/>
    </row>
    <row r="9" spans="1:10" x14ac:dyDescent="0.35">
      <c r="A9" s="1" t="s">
        <v>116</v>
      </c>
      <c r="B9" s="120">
        <v>2080</v>
      </c>
      <c r="C9" s="120">
        <v>508</v>
      </c>
      <c r="D9" s="108">
        <v>21.73</v>
      </c>
      <c r="E9" s="14">
        <f t="shared" si="0"/>
        <v>45198.400000000001</v>
      </c>
      <c r="F9" s="14">
        <f t="shared" si="1"/>
        <v>16558.260000000002</v>
      </c>
      <c r="G9" s="14">
        <f t="shared" si="2"/>
        <v>61756.66</v>
      </c>
    </row>
    <row r="10" spans="1:10" x14ac:dyDescent="0.35">
      <c r="A10" s="1" t="s">
        <v>117</v>
      </c>
      <c r="B10" s="120">
        <v>432</v>
      </c>
      <c r="C10" s="120">
        <v>336</v>
      </c>
      <c r="D10" s="108">
        <v>17.05</v>
      </c>
      <c r="E10" s="14">
        <f t="shared" si="0"/>
        <v>7365.6</v>
      </c>
      <c r="F10" s="14">
        <f t="shared" si="1"/>
        <v>8593.2000000000007</v>
      </c>
      <c r="G10" s="14">
        <f t="shared" si="2"/>
        <v>15958.800000000001</v>
      </c>
    </row>
    <row r="11" spans="1:10" x14ac:dyDescent="0.35">
      <c r="A11" s="1" t="s">
        <v>118</v>
      </c>
      <c r="B11" s="120">
        <v>1040</v>
      </c>
      <c r="C11" s="120">
        <v>261</v>
      </c>
      <c r="D11" s="108">
        <v>17.600000000000001</v>
      </c>
      <c r="E11" s="14">
        <f t="shared" si="0"/>
        <v>18304</v>
      </c>
      <c r="F11" s="14">
        <f t="shared" si="1"/>
        <v>6890.4000000000005</v>
      </c>
      <c r="G11" s="14">
        <f t="shared" si="2"/>
        <v>25194.400000000001</v>
      </c>
    </row>
    <row r="12" spans="1:10" x14ac:dyDescent="0.35">
      <c r="A12" s="1" t="s">
        <v>119</v>
      </c>
      <c r="B12" s="120">
        <v>2072</v>
      </c>
      <c r="C12" s="120">
        <v>445</v>
      </c>
      <c r="D12" s="108">
        <v>17.05</v>
      </c>
      <c r="E12" s="14">
        <f t="shared" si="0"/>
        <v>35327.599999999999</v>
      </c>
      <c r="F12" s="14">
        <f t="shared" si="1"/>
        <v>11380.875</v>
      </c>
      <c r="G12" s="14">
        <f t="shared" si="2"/>
        <v>46708.474999999999</v>
      </c>
    </row>
    <row r="13" spans="1:10" x14ac:dyDescent="0.35">
      <c r="A13" s="1" t="s">
        <v>120</v>
      </c>
      <c r="B13" s="120">
        <v>0</v>
      </c>
      <c r="C13" s="120">
        <v>84</v>
      </c>
      <c r="D13" s="122">
        <v>15</v>
      </c>
      <c r="E13" s="14">
        <f t="shared" si="0"/>
        <v>0</v>
      </c>
      <c r="F13" s="14">
        <f t="shared" si="1"/>
        <v>1890</v>
      </c>
      <c r="G13" s="14">
        <f t="shared" si="2"/>
        <v>1890</v>
      </c>
    </row>
    <row r="14" spans="1:10" x14ac:dyDescent="0.35">
      <c r="A14" s="1" t="s">
        <v>121</v>
      </c>
      <c r="B14" s="120">
        <v>74</v>
      </c>
      <c r="C14" s="121">
        <v>73</v>
      </c>
      <c r="D14" s="108">
        <v>18.98</v>
      </c>
      <c r="E14" s="16">
        <f t="shared" si="0"/>
        <v>1404.52</v>
      </c>
      <c r="F14" s="16">
        <f t="shared" si="1"/>
        <v>2078.31</v>
      </c>
      <c r="G14" s="16">
        <f t="shared" si="2"/>
        <v>3482.83</v>
      </c>
    </row>
    <row r="15" spans="1:10" x14ac:dyDescent="0.35">
      <c r="D15" s="108"/>
    </row>
    <row r="16" spans="1:10" x14ac:dyDescent="0.35">
      <c r="A16" s="1" t="s">
        <v>88</v>
      </c>
      <c r="B16" s="7">
        <f>SUM(B5:B14)</f>
        <v>8858</v>
      </c>
      <c r="C16" s="7">
        <f>SUM(C5:C14)</f>
        <v>2135</v>
      </c>
      <c r="D16" s="108"/>
      <c r="E16" s="14">
        <f>SUM(E5:E14)</f>
        <v>178321.72</v>
      </c>
      <c r="F16" s="14">
        <f>SUM(F5:F14)</f>
        <v>61689.045000000006</v>
      </c>
      <c r="G16" s="14">
        <f>SUM(G5:G14)</f>
        <v>240010.76499999998</v>
      </c>
    </row>
    <row r="18" spans="4:8" x14ac:dyDescent="0.35">
      <c r="G18" s="74" t="s">
        <v>15</v>
      </c>
    </row>
    <row r="19" spans="4:8" x14ac:dyDescent="0.35">
      <c r="D19" s="14" t="s">
        <v>46</v>
      </c>
      <c r="G19" s="14">
        <f>G16</f>
        <v>240010.76499999998</v>
      </c>
    </row>
    <row r="20" spans="4:8" x14ac:dyDescent="0.35">
      <c r="D20" s="14" t="s">
        <v>47</v>
      </c>
      <c r="G20" s="150">
        <f>-SAO!F16</f>
        <v>-187674.83</v>
      </c>
    </row>
    <row r="21" spans="4:8" x14ac:dyDescent="0.35">
      <c r="D21" s="14" t="s">
        <v>48</v>
      </c>
      <c r="G21" s="14">
        <f>G19+G20</f>
        <v>52335.934999999998</v>
      </c>
      <c r="H21" s="18"/>
    </row>
    <row r="22" spans="4:8" x14ac:dyDescent="0.35">
      <c r="G22" s="14" t="s">
        <v>49</v>
      </c>
      <c r="H22" s="18"/>
    </row>
    <row r="23" spans="4:8" x14ac:dyDescent="0.35">
      <c r="D23" s="14" t="s">
        <v>50</v>
      </c>
      <c r="G23" s="14">
        <f>G16</f>
        <v>240010.76499999998</v>
      </c>
      <c r="H23" s="18"/>
    </row>
    <row r="24" spans="4:8" x14ac:dyDescent="0.35">
      <c r="D24" s="14" t="s">
        <v>51</v>
      </c>
      <c r="G24" s="75">
        <v>7.6499999999999999E-2</v>
      </c>
      <c r="H24" s="18"/>
    </row>
    <row r="25" spans="4:8" x14ac:dyDescent="0.35">
      <c r="D25" s="14" t="s">
        <v>52</v>
      </c>
      <c r="G25" s="14">
        <f>G23*G24</f>
        <v>18360.823522499999</v>
      </c>
      <c r="H25" s="18"/>
    </row>
    <row r="26" spans="4:8" x14ac:dyDescent="0.35">
      <c r="D26" s="14" t="s">
        <v>53</v>
      </c>
      <c r="G26" s="150" t="e">
        <f>-SAO!#REF!</f>
        <v>#REF!</v>
      </c>
      <c r="H26" s="18"/>
    </row>
    <row r="27" spans="4:8" x14ac:dyDescent="0.35">
      <c r="D27" s="14" t="s">
        <v>54</v>
      </c>
      <c r="G27" s="14" t="e">
        <f>G25+G26</f>
        <v>#REF!</v>
      </c>
      <c r="H27" s="18"/>
    </row>
    <row r="28" spans="4:8" x14ac:dyDescent="0.35">
      <c r="H28" s="18"/>
    </row>
    <row r="29" spans="4:8" x14ac:dyDescent="0.35">
      <c r="D29" s="14" t="s">
        <v>50</v>
      </c>
      <c r="G29" s="14">
        <f>G16</f>
        <v>240010.76499999998</v>
      </c>
      <c r="H29" s="18"/>
    </row>
    <row r="30" spans="4:8" x14ac:dyDescent="0.35">
      <c r="D30" s="14" t="s">
        <v>123</v>
      </c>
      <c r="G30" s="75">
        <v>0.26790000000000003</v>
      </c>
      <c r="H30" s="18"/>
    </row>
    <row r="31" spans="4:8" x14ac:dyDescent="0.35">
      <c r="D31" s="14" t="s">
        <v>55</v>
      </c>
      <c r="G31" s="14">
        <f>G29*G30</f>
        <v>64298.883943500005</v>
      </c>
      <c r="H31" s="18"/>
    </row>
    <row r="32" spans="4:8" x14ac:dyDescent="0.35">
      <c r="D32" s="14" t="s">
        <v>56</v>
      </c>
      <c r="G32" s="150">
        <f>-56092.56-11383.61</f>
        <v>-67476.17</v>
      </c>
      <c r="H32" s="18"/>
    </row>
    <row r="33" spans="4:8" x14ac:dyDescent="0.35">
      <c r="D33" s="14" t="s">
        <v>57</v>
      </c>
      <c r="G33" s="14">
        <f>G31+G32</f>
        <v>-3177.2860564999937</v>
      </c>
      <c r="H33" s="18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6C8C-FB4C-4C6E-B40F-BB23CDA96461}">
  <sheetPr>
    <pageSetUpPr fitToPage="1"/>
  </sheetPr>
  <dimension ref="B2:M79"/>
  <sheetViews>
    <sheetView showGridLines="0" topLeftCell="A37" zoomScaleNormal="100" workbookViewId="0">
      <selection activeCell="L60" sqref="L60"/>
    </sheetView>
  </sheetViews>
  <sheetFormatPr defaultColWidth="8.765625" defaultRowHeight="14.5" x14ac:dyDescent="0.35"/>
  <cols>
    <col min="1" max="2" width="3.61328125" style="7" customWidth="1"/>
    <col min="3" max="3" width="3.69140625" style="7" customWidth="1"/>
    <col min="4" max="4" width="2.69140625" style="7" customWidth="1"/>
    <col min="5" max="5" width="29.4609375" style="7" customWidth="1"/>
    <col min="6" max="6" width="11.3046875" style="120" customWidth="1"/>
    <col min="7" max="7" width="11.53515625" style="120" customWidth="1"/>
    <col min="8" max="8" width="11.53515625" style="7" customWidth="1"/>
    <col min="9" max="9" width="3.53515625" style="7" customWidth="1"/>
    <col min="10" max="10" width="3.61328125" style="7" customWidth="1"/>
    <col min="11" max="12" width="11.3046875" style="7" customWidth="1"/>
    <col min="13" max="13" width="10.84375" style="7" customWidth="1"/>
    <col min="14" max="16384" width="8.765625" style="7"/>
  </cols>
  <sheetData>
    <row r="2" spans="2:13" x14ac:dyDescent="0.35">
      <c r="B2" s="8"/>
      <c r="C2" s="9"/>
      <c r="D2" s="9"/>
      <c r="E2" s="9"/>
      <c r="F2" s="238"/>
      <c r="G2" s="238"/>
      <c r="H2" s="9"/>
      <c r="I2" s="10"/>
    </row>
    <row r="3" spans="2:13" ht="18.5" x14ac:dyDescent="0.35">
      <c r="B3" s="11"/>
      <c r="C3" s="330" t="s">
        <v>208</v>
      </c>
      <c r="D3" s="330"/>
      <c r="E3" s="330"/>
      <c r="F3" s="330"/>
      <c r="G3" s="330"/>
      <c r="H3" s="330"/>
      <c r="I3" s="239"/>
      <c r="J3" s="47"/>
      <c r="K3" s="47"/>
      <c r="L3" s="47"/>
    </row>
    <row r="4" spans="2:13" ht="15.5" x14ac:dyDescent="0.35">
      <c r="B4" s="11"/>
      <c r="C4" s="240" t="s">
        <v>149</v>
      </c>
      <c r="D4" s="241"/>
      <c r="E4" s="241"/>
      <c r="F4" s="242"/>
      <c r="G4" s="242"/>
      <c r="H4" s="241"/>
      <c r="I4" s="239"/>
      <c r="J4" s="47"/>
      <c r="K4" s="47"/>
      <c r="L4" s="47"/>
      <c r="M4" s="47"/>
    </row>
    <row r="5" spans="2:13" x14ac:dyDescent="0.35">
      <c r="B5" s="11"/>
      <c r="C5" s="243"/>
      <c r="D5" s="241"/>
      <c r="E5" s="241"/>
      <c r="F5" s="242"/>
      <c r="G5" s="242"/>
      <c r="H5" s="241"/>
      <c r="I5" s="239"/>
      <c r="J5" s="47"/>
      <c r="K5" s="47"/>
      <c r="L5" s="47"/>
    </row>
    <row r="6" spans="2:13" ht="16" x14ac:dyDescent="0.35">
      <c r="B6" s="11"/>
      <c r="C6" s="244"/>
      <c r="D6" s="244"/>
      <c r="E6" s="244"/>
      <c r="F6" s="245" t="s">
        <v>14</v>
      </c>
      <c r="G6" s="245" t="s">
        <v>15</v>
      </c>
      <c r="H6" s="246" t="s">
        <v>16</v>
      </c>
      <c r="I6" s="239"/>
      <c r="J6" s="51"/>
      <c r="K6" s="47"/>
      <c r="L6" s="47"/>
    </row>
    <row r="7" spans="2:13" x14ac:dyDescent="0.35">
      <c r="B7" s="11"/>
      <c r="C7" s="247" t="s">
        <v>4</v>
      </c>
      <c r="D7" s="244"/>
      <c r="E7" s="244"/>
      <c r="F7" s="121"/>
      <c r="G7" s="121"/>
      <c r="H7" s="244"/>
      <c r="I7" s="239"/>
      <c r="K7" s="47"/>
      <c r="L7" s="47"/>
    </row>
    <row r="8" spans="2:13" x14ac:dyDescent="0.35">
      <c r="B8" s="11"/>
      <c r="C8" s="244"/>
      <c r="D8" s="244" t="s">
        <v>163</v>
      </c>
      <c r="E8" s="244"/>
      <c r="F8" s="248">
        <v>763556.17</v>
      </c>
      <c r="G8" s="248">
        <f>'Billing Analysis'!B9</f>
        <v>39817.144649999682</v>
      </c>
      <c r="H8" s="244">
        <f>F8+G8</f>
        <v>803373.31464999972</v>
      </c>
      <c r="I8" s="249"/>
      <c r="J8" s="47"/>
      <c r="K8" s="47"/>
      <c r="L8" s="47"/>
    </row>
    <row r="9" spans="2:13" x14ac:dyDescent="0.35">
      <c r="B9" s="11"/>
      <c r="C9" s="244"/>
      <c r="D9" s="244" t="s">
        <v>162</v>
      </c>
      <c r="E9" s="244"/>
      <c r="F9" s="248">
        <f>'[1]Billing Analysis'!$D$22</f>
        <v>122441.80335000002</v>
      </c>
      <c r="G9" s="248">
        <f>'[1]Billing Analysis'!$D$24</f>
        <v>62148.601077200365</v>
      </c>
      <c r="H9" s="244">
        <f t="shared" ref="H9:H11" si="0">F9+G9</f>
        <v>184590.40442720038</v>
      </c>
      <c r="I9" s="250"/>
      <c r="J9" s="46"/>
      <c r="K9" s="47"/>
      <c r="L9" s="47"/>
    </row>
    <row r="10" spans="2:13" x14ac:dyDescent="0.35">
      <c r="B10" s="11"/>
      <c r="C10" s="244"/>
      <c r="D10" s="244" t="s">
        <v>164</v>
      </c>
      <c r="E10" s="244"/>
      <c r="F10" s="248">
        <f>'[1]Billing Analysis'!$D$6</f>
        <v>853895.20200000005</v>
      </c>
      <c r="G10" s="248">
        <f>'[1]Billing Analysis'!$D$8</f>
        <v>433417.27105355822</v>
      </c>
      <c r="H10" s="244">
        <f t="shared" si="0"/>
        <v>1287312.4730535583</v>
      </c>
      <c r="I10" s="250"/>
      <c r="J10" s="46"/>
      <c r="K10" s="47"/>
      <c r="L10" s="47"/>
    </row>
    <row r="11" spans="2:13" ht="16" x14ac:dyDescent="0.35">
      <c r="B11" s="11"/>
      <c r="C11" s="244"/>
      <c r="D11" s="244" t="str">
        <f>'[2]Classified Detail Summary'!$F$200</f>
        <v>Misc</v>
      </c>
      <c r="E11" s="244"/>
      <c r="F11" s="230">
        <f>-'[2]Classified Detail Summary'!$I$200</f>
        <v>34814.39</v>
      </c>
      <c r="G11" s="230">
        <v>0</v>
      </c>
      <c r="H11" s="54">
        <f t="shared" si="0"/>
        <v>34814.39</v>
      </c>
      <c r="I11" s="251"/>
      <c r="J11" s="47"/>
      <c r="K11" s="47"/>
      <c r="L11" s="47"/>
    </row>
    <row r="12" spans="2:13" x14ac:dyDescent="0.35">
      <c r="B12" s="11"/>
      <c r="C12" s="252" t="s">
        <v>5</v>
      </c>
      <c r="D12" s="244"/>
      <c r="E12" s="244"/>
      <c r="F12" s="248">
        <f>SUM(F8:F11)</f>
        <v>1774707.56535</v>
      </c>
      <c r="G12" s="248">
        <f>SUM(G8:G11)</f>
        <v>535383.01678075828</v>
      </c>
      <c r="H12" s="244">
        <f>SUM(H8:H11)</f>
        <v>2310090.5821307586</v>
      </c>
      <c r="I12" s="251"/>
      <c r="K12" s="47"/>
      <c r="L12" s="47"/>
    </row>
    <row r="13" spans="2:13" x14ac:dyDescent="0.35">
      <c r="B13" s="11"/>
      <c r="C13" s="244"/>
      <c r="D13" s="244"/>
      <c r="E13" s="244"/>
      <c r="F13" s="248"/>
      <c r="G13" s="248"/>
      <c r="H13" s="244"/>
      <c r="I13" s="251"/>
      <c r="J13" s="47"/>
      <c r="K13" s="47"/>
      <c r="L13" s="47"/>
    </row>
    <row r="14" spans="2:13" x14ac:dyDescent="0.35">
      <c r="B14" s="11"/>
      <c r="C14" s="247" t="s">
        <v>161</v>
      </c>
      <c r="D14" s="244"/>
      <c r="E14" s="244"/>
      <c r="F14" s="248"/>
      <c r="G14" s="248"/>
      <c r="H14" s="244"/>
      <c r="I14" s="251"/>
      <c r="J14" s="47"/>
      <c r="K14" s="47"/>
      <c r="L14" s="47"/>
    </row>
    <row r="15" spans="2:13" x14ac:dyDescent="0.35">
      <c r="B15" s="11"/>
      <c r="C15" s="244"/>
      <c r="D15" s="252" t="str">
        <f>'[2]Classified Detail Summary'!$F$248</f>
        <v>Personal Services</v>
      </c>
      <c r="E15" s="244"/>
      <c r="F15" s="248"/>
      <c r="G15" s="248"/>
      <c r="H15" s="244"/>
      <c r="I15" s="251"/>
      <c r="J15" s="47"/>
      <c r="K15" s="47"/>
      <c r="L15" s="47"/>
    </row>
    <row r="16" spans="2:13" x14ac:dyDescent="0.35">
      <c r="B16" s="11"/>
      <c r="C16" s="244"/>
      <c r="D16" s="244"/>
      <c r="E16" s="244" t="str">
        <f>'[2]Classified Detail Summary'!$F$249</f>
        <v>Salaries/Wages Plant</v>
      </c>
      <c r="F16" s="248">
        <f>'[2]Classified Detail Summary'!$I$249</f>
        <v>187674.83</v>
      </c>
      <c r="G16" s="248">
        <f>215000-F16</f>
        <v>27325.170000000013</v>
      </c>
      <c r="H16" s="244">
        <f>F16+G16</f>
        <v>215000</v>
      </c>
      <c r="I16" s="249"/>
      <c r="J16" s="47"/>
      <c r="K16" s="47"/>
      <c r="L16" s="47"/>
    </row>
    <row r="17" spans="2:12" x14ac:dyDescent="0.35">
      <c r="B17" s="11"/>
      <c r="C17" s="244"/>
      <c r="D17" s="244"/>
      <c r="E17" s="244" t="str">
        <f>'[2]Classified Detail Summary'!$F$251</f>
        <v>Salaries/Wages Distribution</v>
      </c>
      <c r="F17" s="248">
        <f>'[2]Classified Detail Summary'!$I$251</f>
        <v>96437.48</v>
      </c>
      <c r="G17" s="248">
        <f>145000-F17</f>
        <v>48562.520000000004</v>
      </c>
      <c r="H17" s="244">
        <f t="shared" ref="H17:H34" si="1">F17+G17</f>
        <v>145000</v>
      </c>
      <c r="I17" s="249"/>
      <c r="J17" s="47"/>
      <c r="K17" s="47"/>
      <c r="L17" s="47"/>
    </row>
    <row r="18" spans="2:12" x14ac:dyDescent="0.35">
      <c r="B18" s="11"/>
      <c r="C18" s="244"/>
      <c r="D18" s="244"/>
      <c r="E18" s="244" t="str">
        <f>'[2]Classified Detail Summary'!$F$253</f>
        <v>Salaries Admin</v>
      </c>
      <c r="F18" s="248">
        <f>'[2]Classified Detail Summary'!$I$253</f>
        <v>63528.4</v>
      </c>
      <c r="G18" s="248">
        <f>100000-F18</f>
        <v>36471.599999999999</v>
      </c>
      <c r="H18" s="244">
        <f t="shared" si="1"/>
        <v>100000</v>
      </c>
      <c r="I18" s="253"/>
      <c r="K18" s="47"/>
      <c r="L18" s="47"/>
    </row>
    <row r="19" spans="2:12" x14ac:dyDescent="0.35">
      <c r="B19" s="11"/>
      <c r="C19" s="244"/>
      <c r="D19" s="244"/>
      <c r="E19" s="244" t="str">
        <f>'[2]Classified Detail Summary'!$F$255</f>
        <v>Empl Benef/Pension Raw Wa</v>
      </c>
      <c r="F19" s="248">
        <f>'[2]Classified Detail Summary'!$I$255</f>
        <v>0</v>
      </c>
      <c r="G19" s="248">
        <f>10000-F19</f>
        <v>10000</v>
      </c>
      <c r="H19" s="244">
        <f t="shared" si="1"/>
        <v>10000</v>
      </c>
      <c r="I19" s="253"/>
      <c r="K19" s="47"/>
      <c r="L19" s="47"/>
    </row>
    <row r="20" spans="2:12" x14ac:dyDescent="0.35">
      <c r="B20" s="11"/>
      <c r="C20" s="244"/>
      <c r="D20" s="244"/>
      <c r="E20" s="244" t="str">
        <f>'[2]Classified Detail Summary'!$F$256</f>
        <v>Empl Benef/Pension Plan</v>
      </c>
      <c r="F20" s="248">
        <f>'[2]Classified Detail Summary'!$I$256</f>
        <v>188999.83</v>
      </c>
      <c r="G20" s="248">
        <f>135000-F20</f>
        <v>-53999.829999999987</v>
      </c>
      <c r="H20" s="244">
        <f t="shared" si="1"/>
        <v>135000</v>
      </c>
      <c r="I20" s="253"/>
      <c r="K20" s="47"/>
      <c r="L20" s="47"/>
    </row>
    <row r="21" spans="2:12" x14ac:dyDescent="0.35">
      <c r="B21" s="11"/>
      <c r="C21" s="244"/>
      <c r="D21" s="244"/>
      <c r="E21" s="244" t="str">
        <f>'[2]Classified Detail Summary'!$F$261</f>
        <v>Empl Benef/Pension Dist</v>
      </c>
      <c r="F21" s="248">
        <f>'[2]Classified Detail Summary'!$I$261</f>
        <v>48761.29</v>
      </c>
      <c r="G21" s="248">
        <f>52000-F21</f>
        <v>3238.7099999999991</v>
      </c>
      <c r="H21" s="244">
        <f t="shared" si="1"/>
        <v>52000</v>
      </c>
      <c r="I21" s="253"/>
      <c r="K21" s="47"/>
      <c r="L21" s="47"/>
    </row>
    <row r="22" spans="2:12" x14ac:dyDescent="0.35">
      <c r="B22" s="11"/>
      <c r="C22" s="244"/>
      <c r="D22" s="244"/>
      <c r="E22" s="244" t="str">
        <f>'[2]Classified Detail Summary'!$F$264</f>
        <v>Empl Benef/Pension Admin</v>
      </c>
      <c r="F22" s="248">
        <f>'[2]Classified Detail Summary'!$I$264</f>
        <v>39640.11</v>
      </c>
      <c r="G22" s="248">
        <f>50000-F22</f>
        <v>10359.89</v>
      </c>
      <c r="H22" s="244">
        <f t="shared" si="1"/>
        <v>50000</v>
      </c>
      <c r="I22" s="249"/>
      <c r="J22" s="47"/>
      <c r="K22" s="47"/>
      <c r="L22" s="47"/>
    </row>
    <row r="23" spans="2:12" x14ac:dyDescent="0.35">
      <c r="B23" s="11"/>
      <c r="C23" s="244"/>
      <c r="D23" s="252" t="str">
        <f>'[2]Classified Detail Summary'!$F$269</f>
        <v>Contractual Services</v>
      </c>
      <c r="E23" s="244"/>
      <c r="F23" s="248"/>
      <c r="G23" s="248"/>
      <c r="H23" s="244"/>
      <c r="I23" s="249"/>
      <c r="J23" s="47"/>
      <c r="K23" s="47"/>
      <c r="L23" s="47"/>
    </row>
    <row r="24" spans="2:12" x14ac:dyDescent="0.35">
      <c r="B24" s="11"/>
      <c r="C24" s="244"/>
      <c r="D24" s="252"/>
      <c r="E24" s="244" t="str">
        <f>'[2]Classified Detail Summary'!$F$270</f>
        <v>Utilities Raw Water</v>
      </c>
      <c r="F24" s="248">
        <f>'[2]Classified Detail Summary'!$I$270</f>
        <v>216982.41</v>
      </c>
      <c r="G24" s="248">
        <f>245000-F24</f>
        <v>28017.589999999997</v>
      </c>
      <c r="H24" s="244">
        <f t="shared" ref="H24:H33" si="2">F24+G24</f>
        <v>245000</v>
      </c>
      <c r="I24" s="249"/>
      <c r="J24" s="47"/>
      <c r="K24" s="47"/>
      <c r="L24" s="47"/>
    </row>
    <row r="25" spans="2:12" x14ac:dyDescent="0.35">
      <c r="B25" s="11"/>
      <c r="C25" s="244"/>
      <c r="D25" s="252"/>
      <c r="E25" s="244" t="str">
        <f>'[2]Classified Detail Summary'!$F$271</f>
        <v>Utilities Plant</v>
      </c>
      <c r="F25" s="248">
        <f>'[2]Classified Detail Summary'!$I$271</f>
        <v>127253.07</v>
      </c>
      <c r="G25" s="248">
        <f>120000-F25</f>
        <v>-7253.070000000007</v>
      </c>
      <c r="H25" s="244">
        <f t="shared" si="2"/>
        <v>120000</v>
      </c>
      <c r="I25" s="249"/>
      <c r="J25" s="47"/>
      <c r="K25" s="47"/>
      <c r="L25" s="47"/>
    </row>
    <row r="26" spans="2:12" x14ac:dyDescent="0.35">
      <c r="B26" s="11"/>
      <c r="C26" s="244"/>
      <c r="D26" s="252"/>
      <c r="E26" s="244" t="str">
        <f>'[2]Classified Detail Summary'!$F$273</f>
        <v>Audit-Admin</v>
      </c>
      <c r="F26" s="248">
        <f>'[2]Classified Detail Summary'!$I$273</f>
        <v>4850</v>
      </c>
      <c r="G26" s="248">
        <f>3000-F26</f>
        <v>-1850</v>
      </c>
      <c r="H26" s="244">
        <f t="shared" si="2"/>
        <v>3000</v>
      </c>
      <c r="I26" s="249"/>
      <c r="J26" s="47"/>
      <c r="K26" s="47"/>
      <c r="L26" s="47"/>
    </row>
    <row r="27" spans="2:12" x14ac:dyDescent="0.35">
      <c r="B27" s="11"/>
      <c r="C27" s="244"/>
      <c r="D27" s="252"/>
      <c r="E27" s="244" t="str">
        <f>'[2]Classified Detail Summary'!$F$274</f>
        <v>Miscellaneous-Admin</v>
      </c>
      <c r="F27" s="248">
        <f>'[2]Classified Detail Summary'!$I$274</f>
        <v>9824.15</v>
      </c>
      <c r="G27" s="248">
        <f>0-F27</f>
        <v>-9824.15</v>
      </c>
      <c r="H27" s="244">
        <f t="shared" si="2"/>
        <v>0</v>
      </c>
      <c r="I27" s="249"/>
      <c r="J27" s="47"/>
      <c r="K27" s="47"/>
      <c r="L27" s="47"/>
    </row>
    <row r="28" spans="2:12" x14ac:dyDescent="0.35">
      <c r="B28" s="11"/>
      <c r="C28" s="244"/>
      <c r="D28" s="252"/>
      <c r="E28" s="244" t="str">
        <f>'[2]Classified Detail Summary'!$F$275</f>
        <v>Accounting Office Supplies</v>
      </c>
      <c r="F28" s="248">
        <f>'[2]Classified Detail Summary'!$I$275</f>
        <v>0</v>
      </c>
      <c r="G28" s="248">
        <f>0-F28</f>
        <v>0</v>
      </c>
      <c r="H28" s="244">
        <f t="shared" si="2"/>
        <v>0</v>
      </c>
      <c r="I28" s="249"/>
      <c r="J28" s="47"/>
      <c r="K28" s="47"/>
      <c r="L28" s="47"/>
    </row>
    <row r="29" spans="2:12" x14ac:dyDescent="0.35">
      <c r="B29" s="11"/>
      <c r="C29" s="244"/>
      <c r="D29" s="252"/>
      <c r="E29" s="244" t="str">
        <f>'[2]Classified Detail Summary'!$F$276</f>
        <v>Services-Raw Water</v>
      </c>
      <c r="F29" s="248">
        <f>'[2]Classified Detail Summary'!$I$276</f>
        <v>9853.6</v>
      </c>
      <c r="G29" s="248">
        <f>11000-F29</f>
        <v>1146.3999999999996</v>
      </c>
      <c r="H29" s="244">
        <f t="shared" si="2"/>
        <v>11000</v>
      </c>
      <c r="I29" s="249"/>
      <c r="J29" s="47"/>
      <c r="K29" s="47"/>
      <c r="L29" s="47"/>
    </row>
    <row r="30" spans="2:12" x14ac:dyDescent="0.35">
      <c r="B30" s="11"/>
      <c r="C30" s="244"/>
      <c r="D30" s="252"/>
      <c r="E30" s="244" t="str">
        <f>'[2]Classified Detail Summary'!$F$277</f>
        <v>Services-Treatment Plant</v>
      </c>
      <c r="F30" s="248">
        <f>'[2]Classified Detail Summary'!$I$277</f>
        <v>17328.419999999998</v>
      </c>
      <c r="G30" s="248">
        <f>33000-F30</f>
        <v>15671.580000000002</v>
      </c>
      <c r="H30" s="244">
        <f t="shared" si="2"/>
        <v>33000</v>
      </c>
      <c r="I30" s="249"/>
      <c r="J30" s="47"/>
      <c r="K30" s="47"/>
      <c r="L30" s="47"/>
    </row>
    <row r="31" spans="2:12" x14ac:dyDescent="0.35">
      <c r="B31" s="11"/>
      <c r="C31" s="244"/>
      <c r="D31" s="252"/>
      <c r="E31" s="244" t="str">
        <f>'[2]Classified Detail Summary'!$F$278</f>
        <v>Services-Storage</v>
      </c>
      <c r="F31" s="248">
        <f>'[2]Classified Detail Summary'!$I$278</f>
        <v>39548.14</v>
      </c>
      <c r="G31" s="248">
        <f>43000-F31</f>
        <v>3451.8600000000006</v>
      </c>
      <c r="H31" s="244">
        <f t="shared" si="2"/>
        <v>43000</v>
      </c>
      <c r="I31" s="249"/>
      <c r="J31" s="47"/>
      <c r="K31" s="47"/>
      <c r="L31" s="47"/>
    </row>
    <row r="32" spans="2:12" x14ac:dyDescent="0.35">
      <c r="B32" s="11"/>
      <c r="C32" s="244"/>
      <c r="D32" s="252"/>
      <c r="E32" s="244" t="str">
        <f>'[2]Classified Detail Summary'!$F$279</f>
        <v>Contract Services-Dist</v>
      </c>
      <c r="F32" s="248">
        <f>'[2]Classified Detail Summary'!$I$279</f>
        <v>3885</v>
      </c>
      <c r="G32" s="248">
        <f>6000-F32</f>
        <v>2115</v>
      </c>
      <c r="H32" s="244">
        <f t="shared" si="2"/>
        <v>6000</v>
      </c>
      <c r="I32" s="249"/>
      <c r="J32" s="47"/>
      <c r="K32" s="47"/>
      <c r="L32" s="47"/>
    </row>
    <row r="33" spans="2:12" x14ac:dyDescent="0.35">
      <c r="B33" s="11"/>
      <c r="C33" s="244"/>
      <c r="D33" s="244"/>
      <c r="E33" s="244" t="str">
        <f>'[2]Classified Detail Summary'!$F$280</f>
        <v>Services-Other Admin</v>
      </c>
      <c r="F33" s="248">
        <f>'[2]Classified Detail Summary'!$I$280</f>
        <v>16529.84</v>
      </c>
      <c r="G33" s="248">
        <f>8500-F33</f>
        <v>-8029.84</v>
      </c>
      <c r="H33" s="244">
        <f t="shared" si="2"/>
        <v>8500</v>
      </c>
      <c r="I33" s="251"/>
      <c r="J33" s="47"/>
      <c r="K33" s="47"/>
      <c r="L33" s="47"/>
    </row>
    <row r="34" spans="2:12" x14ac:dyDescent="0.35">
      <c r="B34" s="11"/>
      <c r="C34" s="244"/>
      <c r="D34" s="244"/>
      <c r="E34" s="244" t="str">
        <f>'[2]Classified Detail Summary'!$F$281</f>
        <v>Insurance</v>
      </c>
      <c r="F34" s="248">
        <f>'[2]Classified Detail Summary'!$I$281</f>
        <v>50038.93</v>
      </c>
      <c r="G34" s="248">
        <f>55000-F34</f>
        <v>4961.07</v>
      </c>
      <c r="H34" s="244">
        <f t="shared" si="1"/>
        <v>55000</v>
      </c>
      <c r="I34" s="251"/>
      <c r="J34" s="47"/>
      <c r="K34" s="47"/>
      <c r="L34" s="47"/>
    </row>
    <row r="35" spans="2:12" x14ac:dyDescent="0.35">
      <c r="B35" s="11"/>
      <c r="C35" s="244"/>
      <c r="D35" s="244"/>
      <c r="E35" s="244" t="str">
        <f>'[2]Classified Detail Summary'!$F$286</f>
        <v>Workmans Comp</v>
      </c>
      <c r="F35" s="248">
        <f>'[2]Classified Detail Summary'!$I$286</f>
        <v>5483.71</v>
      </c>
      <c r="G35" s="248">
        <f>10000-F35</f>
        <v>4516.29</v>
      </c>
      <c r="H35" s="244">
        <f>F35+G35</f>
        <v>10000</v>
      </c>
      <c r="I35" s="251"/>
      <c r="J35" s="47"/>
      <c r="K35" s="47"/>
      <c r="L35" s="47"/>
    </row>
    <row r="36" spans="2:12" x14ac:dyDescent="0.35">
      <c r="B36" s="11"/>
      <c r="C36" s="244"/>
      <c r="D36" s="244"/>
      <c r="E36" s="244" t="str">
        <f>'[2]Classified Detail Summary'!$F$289</f>
        <v>Telephone Raw Water</v>
      </c>
      <c r="F36" s="248">
        <f>'[2]Classified Detail Summary'!$I$289</f>
        <v>79.53</v>
      </c>
      <c r="G36" s="248">
        <f>0-F36</f>
        <v>-79.53</v>
      </c>
      <c r="H36" s="244">
        <f t="shared" ref="H36:H40" si="3">F36+G36</f>
        <v>0</v>
      </c>
      <c r="I36" s="251"/>
      <c r="J36" s="47"/>
      <c r="K36" s="47"/>
      <c r="L36" s="47"/>
    </row>
    <row r="37" spans="2:12" x14ac:dyDescent="0.35">
      <c r="B37" s="11"/>
      <c r="C37" s="244"/>
      <c r="D37" s="244"/>
      <c r="E37" s="244" t="str">
        <f>'[2]Classified Detail Summary'!$F$290</f>
        <v>Telephone</v>
      </c>
      <c r="F37" s="248">
        <f>'[2]Classified Detail Summary'!$I$290</f>
        <v>5074.2</v>
      </c>
      <c r="G37" s="248">
        <f>5000-F37</f>
        <v>-74.199999999999818</v>
      </c>
      <c r="H37" s="244">
        <f t="shared" si="3"/>
        <v>5000</v>
      </c>
      <c r="I37" s="251"/>
      <c r="J37" s="47"/>
      <c r="K37" s="47"/>
      <c r="L37" s="47"/>
    </row>
    <row r="38" spans="2:12" x14ac:dyDescent="0.35">
      <c r="B38" s="11"/>
      <c r="C38" s="244"/>
      <c r="D38" s="244"/>
      <c r="E38" s="244" t="str">
        <f>'[2]Classified Detail Summary'!$F$294</f>
        <v>Lab Analysis Plant</v>
      </c>
      <c r="F38" s="248">
        <f>'[2]Classified Detail Summary'!$I$294</f>
        <v>12067</v>
      </c>
      <c r="G38" s="248">
        <f>12000-F38</f>
        <v>-67</v>
      </c>
      <c r="H38" s="244">
        <f t="shared" si="3"/>
        <v>12000</v>
      </c>
      <c r="I38" s="251"/>
      <c r="J38" s="47"/>
      <c r="K38" s="47"/>
      <c r="L38" s="47"/>
    </row>
    <row r="39" spans="2:12" x14ac:dyDescent="0.35">
      <c r="B39" s="11"/>
      <c r="C39" s="244"/>
      <c r="D39" s="244"/>
      <c r="E39" s="244" t="str">
        <f>'[2]Classified Detail Summary'!$F$295</f>
        <v>Dues/Subscriptions Admin</v>
      </c>
      <c r="F39" s="248">
        <f>'[2]Classified Detail Summary'!$I$295</f>
        <v>561.79999999999995</v>
      </c>
      <c r="G39" s="248">
        <f>1500-F39</f>
        <v>938.2</v>
      </c>
      <c r="H39" s="244">
        <f t="shared" si="3"/>
        <v>1500</v>
      </c>
      <c r="I39" s="251"/>
      <c r="J39" s="47"/>
      <c r="K39" s="47"/>
      <c r="L39" s="47"/>
    </row>
    <row r="40" spans="2:12" x14ac:dyDescent="0.35">
      <c r="B40" s="11"/>
      <c r="C40" s="244"/>
      <c r="D40" s="244"/>
      <c r="E40" s="244" t="str">
        <f>'[2]Classified Detail Summary'!$F$296</f>
        <v>Kentucky River Fee Raw Water</v>
      </c>
      <c r="F40" s="248">
        <f>'[2]Classified Detail Summary'!$I$296</f>
        <v>160392.26999999999</v>
      </c>
      <c r="G40" s="248">
        <v>-160392</v>
      </c>
      <c r="H40" s="244">
        <f t="shared" si="3"/>
        <v>0.26999999998952262</v>
      </c>
      <c r="I40" s="251"/>
      <c r="J40" s="47"/>
      <c r="K40" s="47"/>
      <c r="L40" s="47"/>
    </row>
    <row r="41" spans="2:12" x14ac:dyDescent="0.35">
      <c r="B41" s="11"/>
      <c r="C41" s="244"/>
      <c r="D41" s="252" t="str">
        <f>'[2]Classified Detail Summary'!$F$304</f>
        <v>Materials &amp; Supplies</v>
      </c>
      <c r="E41" s="244"/>
      <c r="F41" s="248"/>
      <c r="G41" s="248"/>
      <c r="H41" s="244"/>
      <c r="I41" s="251"/>
      <c r="J41" s="47"/>
      <c r="K41" s="47"/>
      <c r="L41" s="47"/>
    </row>
    <row r="42" spans="2:12" x14ac:dyDescent="0.35">
      <c r="B42" s="11"/>
      <c r="C42" s="244"/>
      <c r="D42" s="244"/>
      <c r="E42" s="244" t="str">
        <f>'[2]Classified Detail Summary'!$F$305</f>
        <v>Chemicals</v>
      </c>
      <c r="F42" s="248">
        <f>'[2]Classified Detail Summary'!$I$305</f>
        <v>38805.730000000003</v>
      </c>
      <c r="G42" s="248">
        <f>60000-F42</f>
        <v>21194.269999999997</v>
      </c>
      <c r="H42" s="244">
        <f t="shared" ref="H42:H53" si="4">F42+G42</f>
        <v>60000</v>
      </c>
      <c r="I42" s="251"/>
      <c r="J42" s="47"/>
      <c r="K42" s="47"/>
      <c r="L42" s="47"/>
    </row>
    <row r="43" spans="2:12" x14ac:dyDescent="0.35">
      <c r="B43" s="11"/>
      <c r="C43" s="244"/>
      <c r="D43" s="244"/>
      <c r="E43" s="244" t="str">
        <f>'[2]Classified Detail Summary'!$F$306</f>
        <v>Chemicals Plant</v>
      </c>
      <c r="F43" s="248">
        <f>'[2]Classified Detail Summary'!$I$306</f>
        <v>156381.78</v>
      </c>
      <c r="G43" s="248">
        <f>200000-F43</f>
        <v>43618.22</v>
      </c>
      <c r="H43" s="244">
        <f t="shared" si="4"/>
        <v>200000</v>
      </c>
      <c r="I43" s="251"/>
      <c r="J43" s="47"/>
      <c r="K43" s="47"/>
      <c r="L43" s="47"/>
    </row>
    <row r="44" spans="2:12" x14ac:dyDescent="0.35">
      <c r="B44" s="11"/>
      <c r="C44" s="244"/>
      <c r="D44" s="244"/>
      <c r="E44" s="244" t="str">
        <f>'[2]Classified Detail Summary'!$F$308</f>
        <v>Materials/Supplies Raw Water</v>
      </c>
      <c r="F44" s="248">
        <f>'[2]Classified Detail Summary'!$I$308</f>
        <v>5095.99</v>
      </c>
      <c r="G44" s="248">
        <f>3000-F44</f>
        <v>-2095.9899999999998</v>
      </c>
      <c r="H44" s="244">
        <f t="shared" si="4"/>
        <v>3000</v>
      </c>
      <c r="I44" s="251"/>
      <c r="J44" s="47"/>
      <c r="K44" s="47"/>
      <c r="L44" s="47"/>
    </row>
    <row r="45" spans="2:12" x14ac:dyDescent="0.35">
      <c r="B45" s="11"/>
      <c r="C45" s="244"/>
      <c r="D45" s="244"/>
      <c r="E45" s="244" t="str">
        <f>'[2]Classified Detail Summary'!$F$309</f>
        <v>Materials/Supplies Plant</v>
      </c>
      <c r="F45" s="248">
        <f>'[2]Classified Detail Summary'!$I$309</f>
        <v>14906.69</v>
      </c>
      <c r="G45" s="248">
        <f>30000-F45</f>
        <v>15093.31</v>
      </c>
      <c r="H45" s="244">
        <f t="shared" si="4"/>
        <v>30000</v>
      </c>
      <c r="I45" s="251"/>
      <c r="J45" s="47"/>
      <c r="K45" s="47"/>
      <c r="L45" s="47"/>
    </row>
    <row r="46" spans="2:12" x14ac:dyDescent="0.35">
      <c r="B46" s="11"/>
      <c r="C46" s="244"/>
      <c r="D46" s="244"/>
      <c r="E46" s="244" t="str">
        <f>'[2]Classified Detail Summary'!$F$310</f>
        <v>Materials/Supplies Dist</v>
      </c>
      <c r="F46" s="248">
        <f>'[2]Classified Detail Summary'!$I$310</f>
        <v>43233.82</v>
      </c>
      <c r="G46" s="248">
        <f>30000-F46</f>
        <v>-13233.82</v>
      </c>
      <c r="H46" s="244">
        <f t="shared" si="4"/>
        <v>30000</v>
      </c>
      <c r="I46" s="251"/>
      <c r="J46" s="47"/>
      <c r="K46" s="47"/>
      <c r="L46" s="47"/>
    </row>
    <row r="47" spans="2:12" x14ac:dyDescent="0.35">
      <c r="B47" s="11"/>
      <c r="C47" s="244"/>
      <c r="D47" s="244"/>
      <c r="E47" s="244" t="str">
        <f>'[2]Classified Detail Summary'!$F$312</f>
        <v>Equipment Rental Raw Water</v>
      </c>
      <c r="F47" s="248">
        <f>'[2]Classified Detail Summary'!$I$312</f>
        <v>740</v>
      </c>
      <c r="G47" s="248">
        <f>500-F47</f>
        <v>-240</v>
      </c>
      <c r="H47" s="244">
        <f t="shared" si="4"/>
        <v>500</v>
      </c>
      <c r="I47" s="251"/>
      <c r="J47" s="47"/>
      <c r="K47" s="47"/>
      <c r="L47" s="47"/>
    </row>
    <row r="48" spans="2:12" x14ac:dyDescent="0.35">
      <c r="B48" s="11"/>
      <c r="C48" s="244"/>
      <c r="D48" s="244"/>
      <c r="E48" s="244" t="str">
        <f>'[2]Classified Detail Summary'!$F$314</f>
        <v>Vehicle Gas</v>
      </c>
      <c r="F48" s="248">
        <f>'[2]Classified Detail Summary'!$I$314</f>
        <v>6088.33</v>
      </c>
      <c r="G48" s="248">
        <f>1000-F48</f>
        <v>-5088.33</v>
      </c>
      <c r="H48" s="244">
        <f t="shared" si="4"/>
        <v>1000</v>
      </c>
      <c r="I48" s="251"/>
      <c r="J48" s="47"/>
      <c r="K48" s="47"/>
      <c r="L48" s="47"/>
    </row>
    <row r="49" spans="2:12" x14ac:dyDescent="0.35">
      <c r="B49" s="11"/>
      <c r="C49" s="244"/>
      <c r="D49" s="244"/>
      <c r="E49" s="244" t="str">
        <f>'[2]Classified Detail Summary'!$F$315</f>
        <v>Vehicle Gas Plant</v>
      </c>
      <c r="F49" s="248">
        <f>'[2]Classified Detail Summary'!$I$315</f>
        <v>831.09</v>
      </c>
      <c r="G49" s="248">
        <f>750-F49</f>
        <v>-81.090000000000032</v>
      </c>
      <c r="H49" s="244">
        <f t="shared" si="4"/>
        <v>750</v>
      </c>
      <c r="I49" s="251"/>
      <c r="J49" s="47"/>
      <c r="K49" s="47"/>
      <c r="L49" s="47"/>
    </row>
    <row r="50" spans="2:12" x14ac:dyDescent="0.35">
      <c r="B50" s="11"/>
      <c r="C50" s="244"/>
      <c r="D50" s="244"/>
      <c r="E50" s="244" t="str">
        <f>'[2]Classified Detail Summary'!$F$316</f>
        <v>Vehicle Gas Dist</v>
      </c>
      <c r="F50" s="248">
        <f>'[2]Classified Detail Summary'!$I$316</f>
        <v>9191.16</v>
      </c>
      <c r="G50" s="248">
        <f>13500-F50</f>
        <v>4308.84</v>
      </c>
      <c r="H50" s="244">
        <f t="shared" si="4"/>
        <v>13500</v>
      </c>
      <c r="I50" s="251"/>
      <c r="J50" s="47"/>
      <c r="K50" s="47"/>
      <c r="L50" s="47"/>
    </row>
    <row r="51" spans="2:12" x14ac:dyDescent="0.35">
      <c r="B51" s="11"/>
      <c r="C51" s="244"/>
      <c r="D51" s="244"/>
      <c r="E51" s="244" t="str">
        <f>'[2]Classified Detail Summary'!$F$318</f>
        <v>Vehicle Maint</v>
      </c>
      <c r="F51" s="248">
        <f>'[2]Classified Detail Summary'!$I$318</f>
        <v>6261.1</v>
      </c>
      <c r="G51" s="248">
        <f>9000-F51</f>
        <v>2738.8999999999996</v>
      </c>
      <c r="H51" s="244">
        <f t="shared" si="4"/>
        <v>9000</v>
      </c>
      <c r="I51" s="251"/>
      <c r="J51" s="47"/>
      <c r="K51" s="47"/>
      <c r="L51" s="47"/>
    </row>
    <row r="52" spans="2:12" x14ac:dyDescent="0.35">
      <c r="B52" s="11"/>
      <c r="C52" s="244"/>
      <c r="D52" s="244"/>
      <c r="E52" s="244" t="str">
        <f>'[2]Classified Detail Summary'!$F$319</f>
        <v>Postage Plant</v>
      </c>
      <c r="F52" s="248">
        <f>'[2]Classified Detail Summary'!$I$319</f>
        <v>0</v>
      </c>
      <c r="G52" s="248">
        <f>1000-F52</f>
        <v>1000</v>
      </c>
      <c r="H52" s="244">
        <f t="shared" si="4"/>
        <v>1000</v>
      </c>
      <c r="I52" s="251"/>
      <c r="J52" s="47"/>
      <c r="K52" s="47"/>
      <c r="L52" s="47"/>
    </row>
    <row r="53" spans="2:12" ht="16" x14ac:dyDescent="0.35">
      <c r="B53" s="11"/>
      <c r="C53" s="244"/>
      <c r="D53" s="244"/>
      <c r="E53" s="244" t="str">
        <f>'[2]Classified Detail Summary'!$F$320</f>
        <v>Postage Admin</v>
      </c>
      <c r="F53" s="230">
        <f>'[2]Classified Detail Summary'!$I$320</f>
        <v>941.74</v>
      </c>
      <c r="G53" s="230">
        <f>1000-F53</f>
        <v>58.259999999999991</v>
      </c>
      <c r="H53" s="54">
        <f t="shared" si="4"/>
        <v>1000</v>
      </c>
      <c r="I53" s="251"/>
      <c r="J53" s="47"/>
      <c r="K53" s="47"/>
      <c r="L53" s="47"/>
    </row>
    <row r="54" spans="2:12" x14ac:dyDescent="0.35">
      <c r="B54" s="11"/>
      <c r="C54" s="244"/>
      <c r="D54" s="244" t="s">
        <v>145</v>
      </c>
      <c r="E54" s="244"/>
      <c r="F54" s="248">
        <f>SUM(F16:F53)</f>
        <v>1587271.4400000004</v>
      </c>
      <c r="G54" s="248">
        <f>SUM(G16:G53)</f>
        <v>22478.829999999991</v>
      </c>
      <c r="H54" s="244">
        <f>SUM(H16:H53)</f>
        <v>1609750.27</v>
      </c>
      <c r="I54" s="251"/>
      <c r="J54" s="152"/>
      <c r="K54" s="47"/>
      <c r="L54" s="47"/>
    </row>
    <row r="55" spans="2:12" ht="16" x14ac:dyDescent="0.35">
      <c r="B55" s="11"/>
      <c r="C55" s="244"/>
      <c r="D55" s="244" t="s">
        <v>6</v>
      </c>
      <c r="E55" s="244"/>
      <c r="F55" s="230">
        <f>Depreciation!E50</f>
        <v>556056.69999999984</v>
      </c>
      <c r="G55" s="230">
        <f>-F55</f>
        <v>-556056.69999999984</v>
      </c>
      <c r="H55" s="54">
        <f>F55+G55</f>
        <v>0</v>
      </c>
      <c r="I55" s="251"/>
      <c r="J55" s="47"/>
      <c r="K55" s="47"/>
    </row>
    <row r="56" spans="2:12" ht="16" x14ac:dyDescent="0.35">
      <c r="B56" s="11"/>
      <c r="C56" s="252" t="s">
        <v>0</v>
      </c>
      <c r="D56" s="244"/>
      <c r="E56" s="244"/>
      <c r="F56" s="230">
        <f>SUM(F54:F55)</f>
        <v>2143328.14</v>
      </c>
      <c r="G56" s="230">
        <f>SUM(G54:G55)</f>
        <v>-533577.86999999988</v>
      </c>
      <c r="H56" s="54">
        <f>SUM(H54:H55)</f>
        <v>1609750.27</v>
      </c>
      <c r="I56" s="251"/>
      <c r="J56" s="47"/>
      <c r="K56" s="47"/>
      <c r="L56" s="47"/>
    </row>
    <row r="57" spans="2:12" ht="4" customHeight="1" x14ac:dyDescent="0.35">
      <c r="B57" s="11"/>
      <c r="C57" s="252"/>
      <c r="D57" s="244"/>
      <c r="E57" s="244"/>
      <c r="F57" s="230"/>
      <c r="G57" s="248"/>
      <c r="H57" s="244"/>
      <c r="I57" s="239"/>
      <c r="J57" s="47"/>
      <c r="K57" s="47"/>
      <c r="L57" s="47"/>
    </row>
    <row r="58" spans="2:12" x14ac:dyDescent="0.35">
      <c r="B58" s="11"/>
      <c r="C58" s="252" t="s">
        <v>17</v>
      </c>
      <c r="D58" s="244"/>
      <c r="E58" s="244"/>
      <c r="F58" s="248">
        <f>F12-F56</f>
        <v>-368620.57465000008</v>
      </c>
      <c r="G58" s="248">
        <f>G12-G56</f>
        <v>1068960.8867807582</v>
      </c>
      <c r="H58" s="244">
        <f>H12-H56</f>
        <v>700340.31213075854</v>
      </c>
      <c r="I58" s="239"/>
      <c r="J58" s="47"/>
      <c r="L58" s="47"/>
    </row>
    <row r="59" spans="2:12" x14ac:dyDescent="0.35">
      <c r="B59" s="11"/>
      <c r="C59" s="244"/>
      <c r="D59" s="244"/>
      <c r="E59" s="244"/>
      <c r="F59" s="248"/>
      <c r="G59" s="248"/>
      <c r="H59" s="244"/>
      <c r="I59" s="239"/>
      <c r="J59" s="47"/>
      <c r="K59" s="47"/>
      <c r="L59" s="47"/>
    </row>
    <row r="60" spans="2:12" ht="18.5" x14ac:dyDescent="0.35">
      <c r="B60" s="11"/>
      <c r="C60" s="330" t="s">
        <v>7</v>
      </c>
      <c r="D60" s="330"/>
      <c r="E60" s="330"/>
      <c r="F60" s="330"/>
      <c r="G60" s="330"/>
      <c r="H60" s="330"/>
      <c r="I60" s="239"/>
      <c r="J60" s="49"/>
      <c r="K60" s="50"/>
      <c r="L60" s="47"/>
    </row>
    <row r="61" spans="2:12" x14ac:dyDescent="0.35">
      <c r="B61" s="11"/>
      <c r="C61" s="252" t="s">
        <v>18</v>
      </c>
      <c r="D61" s="244"/>
      <c r="E61" s="244"/>
      <c r="F61" s="254"/>
      <c r="G61" s="248"/>
      <c r="H61" s="6">
        <f>H56</f>
        <v>1609750.27</v>
      </c>
      <c r="I61" s="239"/>
      <c r="K61" s="47"/>
      <c r="L61" s="47"/>
    </row>
    <row r="62" spans="2:12" x14ac:dyDescent="0.35">
      <c r="B62" s="11"/>
      <c r="C62" s="244" t="s">
        <v>8</v>
      </c>
      <c r="D62" s="244"/>
      <c r="E62" s="244" t="s">
        <v>58</v>
      </c>
      <c r="F62" s="254"/>
      <c r="G62" s="248"/>
      <c r="H62" s="121">
        <f>'Debt Service'!M20</f>
        <v>482350.79550000001</v>
      </c>
      <c r="I62" s="239"/>
      <c r="K62" s="47"/>
      <c r="L62" s="47"/>
    </row>
    <row r="63" spans="2:12" ht="16" x14ac:dyDescent="0.5">
      <c r="B63" s="11"/>
      <c r="C63" s="244"/>
      <c r="D63" s="244"/>
      <c r="E63" s="244" t="s">
        <v>59</v>
      </c>
      <c r="F63" s="254"/>
      <c r="G63" s="248"/>
      <c r="H63" s="255">
        <f>'Debt Service'!M22</f>
        <v>96470.159100000004</v>
      </c>
      <c r="I63" s="239"/>
      <c r="K63" s="47"/>
      <c r="L63" s="47"/>
    </row>
    <row r="64" spans="2:12" x14ac:dyDescent="0.35">
      <c r="B64" s="11"/>
      <c r="C64" s="252" t="s">
        <v>29</v>
      </c>
      <c r="D64" s="244"/>
      <c r="E64" s="244"/>
      <c r="F64" s="254"/>
      <c r="G64" s="248"/>
      <c r="H64" s="6">
        <f>H61+H62+H63</f>
        <v>2188571.2245999998</v>
      </c>
      <c r="I64" s="239"/>
      <c r="K64" s="47"/>
      <c r="L64" s="47"/>
    </row>
    <row r="65" spans="2:12" x14ac:dyDescent="0.35">
      <c r="B65" s="11"/>
      <c r="C65" s="244" t="s">
        <v>9</v>
      </c>
      <c r="D65" s="244"/>
      <c r="E65" s="244" t="str">
        <f>D10</f>
        <v>Garrard County Water District</v>
      </c>
      <c r="F65" s="254"/>
      <c r="G65" s="248"/>
      <c r="H65" s="121">
        <f>'[1]Billing Analysis'!$D$14</f>
        <v>1286036.6972999999</v>
      </c>
      <c r="I65" s="239"/>
      <c r="K65" s="47"/>
      <c r="L65" s="47"/>
    </row>
    <row r="66" spans="2:12" x14ac:dyDescent="0.35">
      <c r="B66" s="11"/>
      <c r="C66" s="244"/>
      <c r="D66" s="244"/>
      <c r="E66" s="244" t="s">
        <v>162</v>
      </c>
      <c r="F66" s="254"/>
      <c r="G66" s="248"/>
      <c r="H66" s="121">
        <f>'[1]Billing Analysis'!$D$28</f>
        <v>184400.30624999999</v>
      </c>
      <c r="I66" s="239"/>
      <c r="K66" s="47"/>
      <c r="L66" s="47"/>
    </row>
    <row r="67" spans="2:12" x14ac:dyDescent="0.35">
      <c r="B67" s="11"/>
      <c r="C67" s="244"/>
      <c r="D67" s="244"/>
      <c r="E67" s="244" t="str">
        <f>D11</f>
        <v>Misc</v>
      </c>
      <c r="F67" s="254"/>
      <c r="G67" s="248"/>
      <c r="H67" s="5">
        <f>H11</f>
        <v>34814.39</v>
      </c>
      <c r="I67" s="239"/>
      <c r="J67" s="30"/>
      <c r="K67" s="47"/>
      <c r="L67" s="47"/>
    </row>
    <row r="68" spans="2:12" x14ac:dyDescent="0.35">
      <c r="B68" s="11"/>
      <c r="C68" s="252" t="s">
        <v>178</v>
      </c>
      <c r="D68" s="244"/>
      <c r="E68" s="244"/>
      <c r="F68" s="254"/>
      <c r="G68" s="248"/>
      <c r="H68" s="6">
        <f>H64-H65-H66-H67</f>
        <v>683319.83104999992</v>
      </c>
      <c r="I68" s="239"/>
      <c r="K68" s="47"/>
      <c r="L68" s="47"/>
    </row>
    <row r="69" spans="2:12" x14ac:dyDescent="0.35">
      <c r="B69" s="11"/>
      <c r="C69" s="244" t="s">
        <v>9</v>
      </c>
      <c r="D69" s="244"/>
      <c r="E69" s="244" t="s">
        <v>165</v>
      </c>
      <c r="F69" s="254"/>
      <c r="G69" s="248"/>
      <c r="H69" s="5">
        <f>H8</f>
        <v>803373.31464999972</v>
      </c>
      <c r="I69" s="239"/>
      <c r="J69" s="30"/>
      <c r="K69" s="47"/>
      <c r="L69" s="47"/>
    </row>
    <row r="70" spans="2:12" x14ac:dyDescent="0.35">
      <c r="B70" s="11"/>
      <c r="C70" s="252" t="s">
        <v>30</v>
      </c>
      <c r="D70" s="244"/>
      <c r="E70" s="244"/>
      <c r="F70" s="254"/>
      <c r="G70" s="248"/>
      <c r="H70" s="244">
        <f>H68-H69</f>
        <v>-120053.4835999998</v>
      </c>
      <c r="I70" s="239"/>
      <c r="J70" s="47"/>
      <c r="K70" s="47"/>
      <c r="L70" s="47"/>
    </row>
    <row r="71" spans="2:12" x14ac:dyDescent="0.35">
      <c r="B71" s="11"/>
      <c r="C71" s="252" t="s">
        <v>146</v>
      </c>
      <c r="D71" s="244"/>
      <c r="E71" s="244"/>
      <c r="F71" s="254"/>
      <c r="G71" s="248"/>
      <c r="H71" s="256">
        <f>IF(H70&gt;0,H70/H69,0)</f>
        <v>0</v>
      </c>
      <c r="I71" s="239"/>
      <c r="J71" s="47"/>
      <c r="K71" s="47"/>
      <c r="L71" s="47"/>
    </row>
    <row r="72" spans="2:12" x14ac:dyDescent="0.35">
      <c r="B72" s="12"/>
      <c r="C72" s="5"/>
      <c r="D72" s="5"/>
      <c r="E72" s="5"/>
      <c r="F72" s="257"/>
      <c r="G72" s="257"/>
      <c r="H72" s="5"/>
      <c r="I72" s="13"/>
    </row>
    <row r="75" spans="2:12" x14ac:dyDescent="0.35">
      <c r="C75" s="161"/>
      <c r="H75" s="14"/>
      <c r="K75" s="14"/>
    </row>
    <row r="77" spans="2:12" x14ac:dyDescent="0.35">
      <c r="C77" s="48"/>
      <c r="D77" s="47"/>
      <c r="E77" s="47"/>
      <c r="F77" s="231"/>
      <c r="G77" s="229"/>
      <c r="H77" s="47"/>
      <c r="K77" s="14"/>
    </row>
    <row r="78" spans="2:12" x14ac:dyDescent="0.35">
      <c r="C78" s="47"/>
      <c r="D78" s="47"/>
      <c r="E78" s="47"/>
      <c r="F78" s="231"/>
      <c r="G78" s="229"/>
      <c r="H78" s="47"/>
    </row>
    <row r="79" spans="2:12" x14ac:dyDescent="0.35">
      <c r="C79" s="48"/>
      <c r="D79" s="47"/>
      <c r="E79" s="47"/>
      <c r="F79" s="231"/>
      <c r="G79" s="229"/>
      <c r="H79" s="47"/>
    </row>
  </sheetData>
  <mergeCells count="2">
    <mergeCell ref="C3:H3"/>
    <mergeCell ref="C60:H60"/>
  </mergeCells>
  <printOptions horizontalCentered="1"/>
  <pageMargins left="0.45" right="0.25" top="0.5" bottom="0.5" header="0.3" footer="0.3"/>
  <pageSetup scale="69" orientation="portrait" horizontalDpi="4294967293" r:id="rId1"/>
  <rowBreaks count="2" manualBreakCount="2">
    <brk id="58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O67"/>
  <sheetViews>
    <sheetView showGridLines="0" workbookViewId="0">
      <selection activeCell="G51" sqref="A1:G51"/>
    </sheetView>
  </sheetViews>
  <sheetFormatPr defaultRowHeight="15.5" x14ac:dyDescent="0.35"/>
  <cols>
    <col min="1" max="1" width="2" customWidth="1"/>
    <col min="2" max="2" width="1.84375" customWidth="1"/>
    <col min="3" max="3" width="1.765625" customWidth="1"/>
    <col min="4" max="4" width="27.4609375" style="1" customWidth="1"/>
    <col min="5" max="5" width="9.3046875" style="98" customWidth="1"/>
    <col min="6" max="6" width="6.07421875" customWidth="1"/>
    <col min="7" max="7" width="2.69140625" style="98" customWidth="1"/>
    <col min="8" max="8" width="10.69140625" customWidth="1"/>
    <col min="9" max="9" width="1.84375" customWidth="1"/>
    <col min="10" max="10" width="2.4609375" customWidth="1"/>
    <col min="12" max="15" width="8.84375" style="1"/>
  </cols>
  <sheetData>
    <row r="1" spans="1:15" x14ac:dyDescent="0.35">
      <c r="A1" s="1"/>
      <c r="B1" s="1"/>
      <c r="C1" s="3"/>
      <c r="D1" s="3"/>
      <c r="E1" s="17"/>
      <c r="F1" s="62"/>
      <c r="G1" s="17"/>
      <c r="H1" s="3"/>
      <c r="I1" s="3"/>
      <c r="J1" s="3"/>
    </row>
    <row r="2" spans="1:15" x14ac:dyDescent="0.35">
      <c r="A2" s="1"/>
      <c r="B2" s="55"/>
      <c r="C2" s="57"/>
      <c r="D2" s="57"/>
      <c r="E2" s="96"/>
      <c r="F2" s="63"/>
      <c r="G2" s="67"/>
      <c r="I2" s="1"/>
      <c r="J2" s="1"/>
      <c r="K2" s="1"/>
      <c r="M2"/>
      <c r="N2"/>
      <c r="O2"/>
    </row>
    <row r="3" spans="1:15" ht="18.5" x14ac:dyDescent="0.45">
      <c r="A3" s="1"/>
      <c r="B3" s="337" t="s">
        <v>12</v>
      </c>
      <c r="C3" s="338"/>
      <c r="D3" s="338"/>
      <c r="E3" s="338"/>
      <c r="F3" s="339"/>
      <c r="G3" s="67"/>
      <c r="I3" s="1"/>
      <c r="J3" s="1"/>
      <c r="K3" s="1"/>
      <c r="M3"/>
      <c r="N3"/>
      <c r="O3"/>
    </row>
    <row r="4" spans="1:15" ht="18.5" x14ac:dyDescent="0.45">
      <c r="A4" s="1"/>
      <c r="B4" s="334" t="s">
        <v>160</v>
      </c>
      <c r="C4" s="335"/>
      <c r="D4" s="335"/>
      <c r="E4" s="335"/>
      <c r="F4" s="336"/>
      <c r="G4" s="67"/>
      <c r="I4" s="1"/>
      <c r="J4" s="1"/>
      <c r="K4" s="1"/>
      <c r="M4"/>
      <c r="N4"/>
      <c r="O4"/>
    </row>
    <row r="5" spans="1:15" x14ac:dyDescent="0.35">
      <c r="A5" s="1"/>
      <c r="B5" s="331" t="s">
        <v>149</v>
      </c>
      <c r="C5" s="332"/>
      <c r="D5" s="332"/>
      <c r="E5" s="332"/>
      <c r="F5" s="333"/>
      <c r="G5" s="67"/>
      <c r="I5" s="1"/>
      <c r="J5" s="1"/>
      <c r="K5" s="1"/>
      <c r="M5"/>
      <c r="N5"/>
      <c r="O5"/>
    </row>
    <row r="6" spans="1:15" x14ac:dyDescent="0.35">
      <c r="A6" s="1"/>
      <c r="B6" s="45"/>
      <c r="C6" s="3"/>
      <c r="D6" s="3"/>
      <c r="E6" s="17"/>
      <c r="F6" s="64"/>
      <c r="G6" s="67"/>
      <c r="I6" s="1"/>
      <c r="J6" s="1"/>
      <c r="K6" s="1"/>
      <c r="M6"/>
      <c r="N6"/>
      <c r="O6"/>
    </row>
    <row r="7" spans="1:15" x14ac:dyDescent="0.35">
      <c r="A7" s="1"/>
      <c r="B7" s="45"/>
      <c r="C7" s="58"/>
      <c r="D7" s="58"/>
      <c r="E7" s="23"/>
      <c r="F7" s="65"/>
      <c r="G7" s="67"/>
      <c r="I7" s="1"/>
      <c r="J7" s="1"/>
      <c r="K7" s="1"/>
      <c r="M7"/>
      <c r="N7"/>
      <c r="O7"/>
    </row>
    <row r="8" spans="1:15" ht="17" x14ac:dyDescent="0.5">
      <c r="A8" s="1"/>
      <c r="B8" s="45"/>
      <c r="C8" s="59"/>
      <c r="D8" s="61" t="s">
        <v>72</v>
      </c>
      <c r="E8" s="97" t="s">
        <v>147</v>
      </c>
      <c r="F8" s="65"/>
      <c r="G8" s="67"/>
      <c r="I8" s="1"/>
      <c r="J8" s="1"/>
      <c r="K8" s="1"/>
      <c r="M8"/>
      <c r="N8"/>
      <c r="O8"/>
    </row>
    <row r="9" spans="1:15" x14ac:dyDescent="0.35">
      <c r="A9" s="1"/>
      <c r="B9" s="45"/>
      <c r="C9" s="3"/>
      <c r="D9" s="3"/>
      <c r="E9" s="90"/>
      <c r="F9" s="65"/>
      <c r="G9" s="67"/>
      <c r="I9" s="1"/>
      <c r="J9" s="1"/>
      <c r="K9" s="1"/>
      <c r="M9"/>
      <c r="N9"/>
      <c r="O9"/>
    </row>
    <row r="10" spans="1:15" x14ac:dyDescent="0.35">
      <c r="A10" s="1"/>
      <c r="B10" s="45"/>
      <c r="C10" s="60" t="s">
        <v>94</v>
      </c>
      <c r="D10" s="3"/>
      <c r="E10" s="90"/>
      <c r="F10" s="65"/>
      <c r="G10" s="67"/>
      <c r="I10" s="1"/>
      <c r="J10" s="1"/>
      <c r="K10" s="1"/>
      <c r="M10"/>
      <c r="N10"/>
      <c r="O10"/>
    </row>
    <row r="11" spans="1:15" x14ac:dyDescent="0.35">
      <c r="A11" s="1"/>
      <c r="B11" s="45"/>
      <c r="C11" s="60"/>
      <c r="D11" s="3" t="s">
        <v>73</v>
      </c>
      <c r="E11" s="90">
        <f>[1]Depreciation!$F$11</f>
        <v>46470.237142857142</v>
      </c>
      <c r="F11" s="65"/>
      <c r="G11" s="67"/>
      <c r="I11" s="1"/>
      <c r="J11" s="1"/>
      <c r="K11" s="1"/>
      <c r="M11"/>
      <c r="N11"/>
      <c r="O11"/>
    </row>
    <row r="12" spans="1:15" x14ac:dyDescent="0.35">
      <c r="A12" s="1"/>
      <c r="B12" s="45"/>
      <c r="C12" s="3"/>
      <c r="D12" s="3" t="s">
        <v>95</v>
      </c>
      <c r="E12" s="90"/>
      <c r="F12" s="65"/>
      <c r="G12" s="67"/>
      <c r="I12" s="1"/>
      <c r="J12" s="1"/>
      <c r="K12" s="1"/>
      <c r="M12"/>
      <c r="N12"/>
      <c r="O12"/>
    </row>
    <row r="13" spans="1:15" x14ac:dyDescent="0.35">
      <c r="A13" s="1"/>
      <c r="B13" s="45"/>
      <c r="C13" s="3"/>
      <c r="D13" s="3" t="s">
        <v>131</v>
      </c>
      <c r="E13" s="90"/>
      <c r="F13" s="65"/>
      <c r="G13" s="67"/>
      <c r="I13" s="1"/>
      <c r="J13" s="1"/>
      <c r="K13" s="1"/>
      <c r="M13"/>
      <c r="N13"/>
      <c r="O13"/>
    </row>
    <row r="14" spans="1:15" x14ac:dyDescent="0.35">
      <c r="A14" s="1"/>
      <c r="B14" s="45"/>
      <c r="C14" s="3"/>
      <c r="D14" s="3" t="s">
        <v>132</v>
      </c>
      <c r="E14" s="90"/>
      <c r="F14" s="65"/>
      <c r="G14" s="67"/>
      <c r="I14" s="1"/>
      <c r="J14" s="1"/>
      <c r="K14" s="1"/>
      <c r="M14"/>
      <c r="N14"/>
      <c r="O14"/>
    </row>
    <row r="15" spans="1:15" x14ac:dyDescent="0.35">
      <c r="A15" s="1"/>
      <c r="B15" s="45"/>
      <c r="C15" s="3"/>
      <c r="D15" s="3" t="s">
        <v>133</v>
      </c>
      <c r="E15" s="90"/>
      <c r="F15" s="65"/>
      <c r="G15" s="67"/>
      <c r="I15" s="1"/>
      <c r="J15" s="1"/>
      <c r="K15" s="1"/>
      <c r="M15"/>
      <c r="N15"/>
      <c r="O15"/>
    </row>
    <row r="16" spans="1:15" x14ac:dyDescent="0.35">
      <c r="A16" s="1"/>
      <c r="B16" s="45"/>
      <c r="C16" s="3"/>
      <c r="D16" s="3" t="s">
        <v>96</v>
      </c>
      <c r="E16" s="90"/>
      <c r="F16" s="65"/>
      <c r="G16" s="67"/>
      <c r="I16" s="1"/>
      <c r="J16" s="1"/>
      <c r="K16" s="1"/>
      <c r="M16"/>
      <c r="N16"/>
      <c r="O16"/>
    </row>
    <row r="17" spans="1:15" x14ac:dyDescent="0.35">
      <c r="A17" s="1"/>
      <c r="B17" s="45"/>
      <c r="C17" s="3"/>
      <c r="D17" s="3" t="s">
        <v>134</v>
      </c>
      <c r="E17" s="90"/>
      <c r="F17" s="65"/>
      <c r="G17" s="67"/>
      <c r="I17" s="1"/>
      <c r="J17" s="1"/>
      <c r="K17" s="1"/>
      <c r="M17"/>
      <c r="N17"/>
      <c r="O17"/>
    </row>
    <row r="18" spans="1:15" x14ac:dyDescent="0.35">
      <c r="A18" s="1"/>
      <c r="B18" s="45"/>
      <c r="C18" s="59"/>
      <c r="D18" s="59"/>
      <c r="E18" s="97"/>
      <c r="F18" s="65"/>
      <c r="G18" s="67"/>
      <c r="I18" s="1"/>
      <c r="J18" s="1"/>
      <c r="K18" s="1"/>
      <c r="M18"/>
      <c r="N18"/>
      <c r="O18"/>
    </row>
    <row r="19" spans="1:15" x14ac:dyDescent="0.35">
      <c r="A19" s="1"/>
      <c r="B19" s="45"/>
      <c r="C19" s="60" t="s">
        <v>68</v>
      </c>
      <c r="D19" s="3"/>
      <c r="E19" s="91"/>
      <c r="F19" s="65"/>
      <c r="G19" s="67"/>
      <c r="I19" s="1"/>
      <c r="J19" s="1"/>
      <c r="K19" s="1"/>
      <c r="M19"/>
      <c r="N19"/>
      <c r="O19"/>
    </row>
    <row r="20" spans="1:15" x14ac:dyDescent="0.35">
      <c r="A20" s="1"/>
      <c r="B20" s="45"/>
      <c r="C20" s="60"/>
      <c r="D20" s="3" t="s">
        <v>73</v>
      </c>
      <c r="E20" s="90"/>
      <c r="F20" s="65"/>
      <c r="G20" s="67"/>
      <c r="I20" s="1"/>
      <c r="J20" s="1"/>
      <c r="K20" s="1"/>
      <c r="M20"/>
      <c r="N20"/>
      <c r="O20"/>
    </row>
    <row r="21" spans="1:15" x14ac:dyDescent="0.35">
      <c r="A21" s="1"/>
      <c r="B21" s="45"/>
      <c r="C21" s="3"/>
      <c r="D21" s="3" t="s">
        <v>77</v>
      </c>
      <c r="E21" s="90"/>
      <c r="F21" s="65"/>
      <c r="G21" s="67"/>
      <c r="I21" s="1"/>
      <c r="J21" s="1"/>
      <c r="K21" s="1"/>
      <c r="M21"/>
      <c r="N21"/>
      <c r="O21"/>
    </row>
    <row r="22" spans="1:15" x14ac:dyDescent="0.35">
      <c r="A22" s="1"/>
      <c r="B22" s="45"/>
      <c r="C22" s="3"/>
      <c r="D22" s="3" t="s">
        <v>135</v>
      </c>
      <c r="E22" s="90"/>
      <c r="F22" s="65"/>
      <c r="G22" s="67"/>
      <c r="I22" s="1"/>
      <c r="J22" s="1"/>
      <c r="K22" s="1"/>
      <c r="M22"/>
      <c r="N22"/>
      <c r="O22"/>
    </row>
    <row r="23" spans="1:15" x14ac:dyDescent="0.35">
      <c r="A23" s="1"/>
      <c r="B23" s="45"/>
      <c r="C23" s="59"/>
      <c r="D23" s="59"/>
      <c r="E23" s="91"/>
      <c r="F23" s="65"/>
      <c r="G23" s="67"/>
      <c r="I23" s="1"/>
      <c r="J23" s="1"/>
      <c r="K23" s="1"/>
      <c r="M23"/>
      <c r="N23"/>
      <c r="O23"/>
    </row>
    <row r="24" spans="1:15" x14ac:dyDescent="0.35">
      <c r="A24" s="1"/>
      <c r="B24" s="45"/>
      <c r="C24" s="60" t="s">
        <v>71</v>
      </c>
      <c r="D24" s="3"/>
      <c r="E24" s="91"/>
      <c r="F24" s="65"/>
      <c r="G24" s="67"/>
      <c r="I24" s="1"/>
      <c r="J24" s="1"/>
      <c r="K24" s="1"/>
      <c r="M24"/>
      <c r="N24"/>
      <c r="O24"/>
    </row>
    <row r="25" spans="1:15" x14ac:dyDescent="0.35">
      <c r="A25" s="1"/>
      <c r="B25" s="45"/>
      <c r="C25" s="60"/>
      <c r="D25" s="1" t="s">
        <v>92</v>
      </c>
      <c r="E25" s="91">
        <f>[1]Depreciation!$F$12</f>
        <v>329710.4357142857</v>
      </c>
      <c r="F25" s="65"/>
      <c r="G25" s="67"/>
      <c r="I25" s="1"/>
      <c r="J25" s="1"/>
      <c r="K25" s="1"/>
      <c r="M25"/>
      <c r="N25"/>
      <c r="O25"/>
    </row>
    <row r="26" spans="1:15" x14ac:dyDescent="0.35">
      <c r="A26" s="1"/>
      <c r="B26" s="45"/>
      <c r="C26" s="60"/>
      <c r="D26" s="1" t="s">
        <v>93</v>
      </c>
      <c r="E26" s="91"/>
      <c r="F26" s="65"/>
      <c r="G26" s="67"/>
      <c r="I26" s="1"/>
      <c r="J26" s="1"/>
      <c r="K26" s="1"/>
      <c r="M26"/>
      <c r="N26"/>
      <c r="O26"/>
    </row>
    <row r="27" spans="1:15" x14ac:dyDescent="0.35">
      <c r="A27" s="1"/>
      <c r="B27" s="45"/>
      <c r="C27" s="60"/>
      <c r="E27" s="91"/>
      <c r="F27" s="65"/>
      <c r="G27" s="67"/>
      <c r="I27" s="1"/>
      <c r="J27" s="1"/>
      <c r="K27" s="1"/>
      <c r="M27"/>
      <c r="N27"/>
      <c r="O27"/>
    </row>
    <row r="28" spans="1:15" x14ac:dyDescent="0.35">
      <c r="A28" s="1"/>
      <c r="B28" s="45"/>
      <c r="C28" s="60" t="s">
        <v>69</v>
      </c>
      <c r="D28" s="3"/>
      <c r="E28" s="91"/>
      <c r="F28" s="65"/>
      <c r="G28" s="67"/>
      <c r="I28" s="1"/>
      <c r="J28" s="1"/>
      <c r="K28" s="1"/>
      <c r="M28"/>
      <c r="N28"/>
      <c r="O28"/>
    </row>
    <row r="29" spans="1:15" x14ac:dyDescent="0.35">
      <c r="A29" s="1"/>
      <c r="B29" s="45"/>
      <c r="C29" s="60"/>
      <c r="D29" s="3" t="s">
        <v>73</v>
      </c>
      <c r="F29" s="65"/>
      <c r="G29" s="67"/>
      <c r="I29" s="1"/>
      <c r="J29" s="1"/>
      <c r="K29" s="1"/>
      <c r="M29"/>
      <c r="N29"/>
      <c r="O29"/>
    </row>
    <row r="30" spans="1:15" x14ac:dyDescent="0.35">
      <c r="A30" s="1"/>
      <c r="B30" s="45"/>
      <c r="C30" s="60"/>
      <c r="D30" s="3" t="s">
        <v>81</v>
      </c>
      <c r="E30" s="90">
        <f>[1]Depreciation!$F$14</f>
        <v>32260.957142857143</v>
      </c>
      <c r="F30" s="65"/>
      <c r="G30" s="67"/>
      <c r="I30" s="1"/>
      <c r="J30" s="1"/>
      <c r="K30" s="1"/>
      <c r="M30"/>
      <c r="N30"/>
      <c r="O30"/>
    </row>
    <row r="31" spans="1:15" x14ac:dyDescent="0.35">
      <c r="A31" s="1"/>
      <c r="B31" s="45"/>
      <c r="C31" s="60"/>
      <c r="D31" s="3" t="s">
        <v>141</v>
      </c>
      <c r="E31" s="90"/>
      <c r="F31" s="65"/>
      <c r="G31" s="67"/>
      <c r="I31" s="1"/>
      <c r="J31" s="1"/>
      <c r="K31" s="1"/>
      <c r="M31"/>
      <c r="N31"/>
      <c r="O31"/>
    </row>
    <row r="32" spans="1:15" x14ac:dyDescent="0.35">
      <c r="A32" s="1"/>
      <c r="B32" s="45"/>
      <c r="C32" s="60"/>
      <c r="D32" s="3" t="s">
        <v>142</v>
      </c>
      <c r="E32" s="90">
        <f>[1]Depreciation!$F$16</f>
        <v>132485.38</v>
      </c>
      <c r="F32" s="65"/>
      <c r="G32" s="67"/>
      <c r="I32" s="1"/>
      <c r="J32" s="1"/>
      <c r="K32" s="1"/>
      <c r="M32"/>
      <c r="N32"/>
      <c r="O32"/>
    </row>
    <row r="33" spans="1:15" x14ac:dyDescent="0.35">
      <c r="A33" s="1"/>
      <c r="B33" s="45"/>
      <c r="C33" s="60"/>
      <c r="D33" s="3" t="s">
        <v>143</v>
      </c>
      <c r="E33" s="90"/>
      <c r="F33" s="65"/>
      <c r="G33" s="67"/>
      <c r="I33" s="1"/>
      <c r="J33" s="1"/>
      <c r="K33" s="1"/>
      <c r="M33"/>
      <c r="N33"/>
      <c r="O33"/>
    </row>
    <row r="34" spans="1:15" x14ac:dyDescent="0.35">
      <c r="A34" s="1"/>
      <c r="B34" s="45"/>
      <c r="C34" s="60"/>
      <c r="D34" s="3" t="s">
        <v>136</v>
      </c>
      <c r="E34" s="90"/>
      <c r="F34" s="65"/>
      <c r="G34" s="67"/>
      <c r="I34" s="1"/>
      <c r="J34" s="1"/>
      <c r="K34" s="1"/>
      <c r="M34"/>
      <c r="N34"/>
      <c r="O34"/>
    </row>
    <row r="35" spans="1:15" x14ac:dyDescent="0.35">
      <c r="A35" s="1"/>
      <c r="B35" s="45"/>
      <c r="C35" s="60"/>
      <c r="D35" s="3" t="s">
        <v>80</v>
      </c>
      <c r="E35" s="90"/>
      <c r="F35" s="65"/>
      <c r="G35" s="67"/>
      <c r="I35" s="1"/>
      <c r="J35" s="1"/>
      <c r="K35" s="1"/>
      <c r="M35"/>
      <c r="N35"/>
      <c r="O35"/>
    </row>
    <row r="36" spans="1:15" x14ac:dyDescent="0.35">
      <c r="A36" s="1"/>
      <c r="B36" s="45"/>
      <c r="C36" s="60"/>
      <c r="D36" s="3" t="s">
        <v>137</v>
      </c>
      <c r="E36" s="90">
        <f>[1]Depreciation!$F$19</f>
        <v>6191.58</v>
      </c>
      <c r="F36" s="65"/>
      <c r="G36" s="67"/>
      <c r="I36" s="1"/>
      <c r="J36" s="1"/>
      <c r="K36" s="1"/>
      <c r="M36"/>
      <c r="N36"/>
      <c r="O36"/>
    </row>
    <row r="37" spans="1:15" x14ac:dyDescent="0.35">
      <c r="A37" s="1"/>
      <c r="B37" s="45"/>
      <c r="C37" s="60"/>
      <c r="D37" s="3" t="s">
        <v>79</v>
      </c>
      <c r="E37" s="90"/>
      <c r="F37" s="65"/>
      <c r="G37" s="67"/>
      <c r="I37" s="1"/>
      <c r="J37" s="1"/>
      <c r="K37" s="1"/>
      <c r="M37"/>
      <c r="N37"/>
      <c r="O37"/>
    </row>
    <row r="38" spans="1:15" x14ac:dyDescent="0.35">
      <c r="A38" s="1"/>
      <c r="B38" s="45"/>
      <c r="C38" s="60"/>
      <c r="D38" s="3" t="s">
        <v>78</v>
      </c>
      <c r="E38" s="90"/>
      <c r="F38" s="65"/>
      <c r="G38" s="67"/>
      <c r="I38" s="1"/>
      <c r="J38" s="1"/>
      <c r="K38" s="1"/>
      <c r="M38"/>
      <c r="N38"/>
      <c r="O38"/>
    </row>
    <row r="39" spans="1:15" x14ac:dyDescent="0.35">
      <c r="A39" s="1"/>
      <c r="B39" s="45"/>
      <c r="C39" s="60"/>
      <c r="D39" s="3"/>
      <c r="E39" s="90"/>
      <c r="F39" s="65"/>
      <c r="G39" s="67"/>
      <c r="I39" s="1"/>
      <c r="J39" s="1"/>
      <c r="K39" s="1"/>
      <c r="M39"/>
      <c r="N39"/>
      <c r="O39"/>
    </row>
    <row r="40" spans="1:15" x14ac:dyDescent="0.35">
      <c r="A40" s="1"/>
      <c r="B40" s="45"/>
      <c r="C40" s="60" t="s">
        <v>67</v>
      </c>
      <c r="E40" s="91"/>
      <c r="F40" s="65"/>
      <c r="G40" s="67"/>
      <c r="I40" s="1"/>
      <c r="J40" s="1"/>
      <c r="K40" s="1"/>
      <c r="M40"/>
      <c r="N40"/>
      <c r="O40"/>
    </row>
    <row r="41" spans="1:15" x14ac:dyDescent="0.35">
      <c r="A41" s="1"/>
      <c r="B41" s="45"/>
      <c r="C41" s="60"/>
      <c r="D41" s="3" t="s">
        <v>73</v>
      </c>
      <c r="E41" s="90"/>
      <c r="F41" s="65"/>
      <c r="G41" s="67"/>
      <c r="I41" s="1"/>
      <c r="J41" s="1"/>
      <c r="K41" s="1"/>
      <c r="M41"/>
      <c r="N41"/>
      <c r="O41"/>
    </row>
    <row r="42" spans="1:15" x14ac:dyDescent="0.35">
      <c r="A42" s="1"/>
      <c r="B42" s="45"/>
      <c r="C42" s="3"/>
      <c r="D42" s="3" t="s">
        <v>74</v>
      </c>
      <c r="E42" s="90">
        <f>[1]Depreciation!$F$21</f>
        <v>439.94</v>
      </c>
      <c r="F42" s="65"/>
      <c r="G42" s="67"/>
      <c r="I42" s="1"/>
      <c r="J42" s="1"/>
      <c r="K42" s="1"/>
      <c r="M42"/>
      <c r="N42"/>
      <c r="O42"/>
    </row>
    <row r="43" spans="1:15" x14ac:dyDescent="0.35">
      <c r="A43" s="1"/>
      <c r="B43" s="45"/>
      <c r="C43" s="3"/>
      <c r="D43" s="1" t="s">
        <v>70</v>
      </c>
      <c r="E43" s="91">
        <f>[1]Depreciation!$F$22</f>
        <v>7319.6</v>
      </c>
      <c r="F43" s="65"/>
      <c r="G43" s="67"/>
      <c r="I43" s="1"/>
      <c r="J43" s="1"/>
      <c r="K43" s="1"/>
      <c r="M43"/>
      <c r="N43"/>
      <c r="O43"/>
    </row>
    <row r="44" spans="1:15" x14ac:dyDescent="0.35">
      <c r="A44" s="1"/>
      <c r="B44" s="45"/>
      <c r="C44" s="3"/>
      <c r="D44" s="1" t="s">
        <v>138</v>
      </c>
      <c r="E44" s="91"/>
      <c r="F44" s="65"/>
      <c r="G44" s="67"/>
      <c r="I44" s="1"/>
      <c r="J44" s="1"/>
      <c r="K44" s="1"/>
      <c r="M44"/>
      <c r="N44"/>
      <c r="O44"/>
    </row>
    <row r="45" spans="1:15" x14ac:dyDescent="0.35">
      <c r="A45" s="1"/>
      <c r="B45" s="45"/>
      <c r="C45" s="3"/>
      <c r="D45" s="3" t="s">
        <v>76</v>
      </c>
      <c r="E45" s="90">
        <f>[1]Depreciation!$F$23</f>
        <v>1178.57</v>
      </c>
      <c r="F45" s="65"/>
      <c r="G45" s="67"/>
      <c r="I45" s="1"/>
      <c r="J45" s="1"/>
      <c r="K45" s="1"/>
      <c r="M45"/>
      <c r="N45"/>
      <c r="O45"/>
    </row>
    <row r="46" spans="1:15" x14ac:dyDescent="0.35">
      <c r="A46" s="1"/>
      <c r="B46" s="45"/>
      <c r="C46" s="3"/>
      <c r="D46" s="3" t="s">
        <v>139</v>
      </c>
      <c r="E46" s="90"/>
      <c r="F46" s="65"/>
      <c r="G46" s="67"/>
      <c r="I46" s="1"/>
      <c r="J46" s="1"/>
      <c r="K46" s="1"/>
      <c r="M46"/>
      <c r="N46"/>
      <c r="O46"/>
    </row>
    <row r="47" spans="1:15" x14ac:dyDescent="0.35">
      <c r="A47" s="1"/>
      <c r="B47" s="45"/>
      <c r="C47" s="3"/>
      <c r="D47" s="3" t="s">
        <v>75</v>
      </c>
      <c r="E47" s="90"/>
      <c r="F47" s="65"/>
      <c r="G47" s="67"/>
      <c r="I47" s="1"/>
      <c r="J47" s="1"/>
      <c r="K47" s="1"/>
      <c r="M47"/>
      <c r="N47"/>
      <c r="O47"/>
    </row>
    <row r="48" spans="1:15" x14ac:dyDescent="0.35">
      <c r="A48" s="1"/>
      <c r="B48" s="45"/>
      <c r="C48" s="3"/>
      <c r="D48" s="3" t="s">
        <v>140</v>
      </c>
      <c r="E48" s="90"/>
      <c r="F48" s="65"/>
      <c r="G48" s="67"/>
      <c r="I48" s="1"/>
      <c r="J48" s="1"/>
      <c r="K48" s="1"/>
      <c r="M48"/>
      <c r="N48"/>
      <c r="O48"/>
    </row>
    <row r="49" spans="1:15" x14ac:dyDescent="0.35">
      <c r="A49" s="1"/>
      <c r="B49" s="45"/>
      <c r="C49" s="3"/>
      <c r="D49" s="3"/>
      <c r="E49" s="90"/>
      <c r="F49" s="65"/>
      <c r="G49" s="67"/>
      <c r="H49" s="18"/>
      <c r="I49" s="1"/>
      <c r="J49" s="1"/>
      <c r="K49" s="1"/>
      <c r="M49"/>
      <c r="N49"/>
      <c r="O49"/>
    </row>
    <row r="50" spans="1:15" x14ac:dyDescent="0.35">
      <c r="A50" s="1"/>
      <c r="B50" s="56"/>
      <c r="C50" s="142" t="s">
        <v>34</v>
      </c>
      <c r="D50" s="143"/>
      <c r="E50" s="144">
        <f>SUM(E11:E48)</f>
        <v>556056.69999999984</v>
      </c>
      <c r="F50" s="66"/>
      <c r="G50" s="68"/>
      <c r="I50" s="1"/>
      <c r="J50" s="1"/>
      <c r="K50" s="1"/>
      <c r="M50"/>
      <c r="N50"/>
      <c r="O50"/>
    </row>
    <row r="51" spans="1:15" x14ac:dyDescent="0.35">
      <c r="A51" s="1"/>
      <c r="B51" s="1"/>
      <c r="C51" s="3"/>
      <c r="D51" s="3"/>
      <c r="E51" s="99"/>
      <c r="F51" s="3"/>
      <c r="G51" s="99"/>
      <c r="H51" s="3"/>
      <c r="I51" s="3"/>
      <c r="J51" s="3"/>
    </row>
    <row r="52" spans="1:15" x14ac:dyDescent="0.35">
      <c r="A52" s="3"/>
      <c r="B52" s="1"/>
      <c r="C52" s="100"/>
      <c r="E52"/>
      <c r="G52"/>
      <c r="I52" s="1"/>
      <c r="J52" s="1"/>
      <c r="K52" s="1"/>
      <c r="M52"/>
      <c r="N52"/>
      <c r="O52"/>
    </row>
    <row r="53" spans="1:15" s="119" customFormat="1" ht="14.5" x14ac:dyDescent="0.35">
      <c r="E53" s="145"/>
      <c r="G53" s="145"/>
    </row>
    <row r="54" spans="1:15" s="119" customFormat="1" ht="14.5" x14ac:dyDescent="0.35">
      <c r="D54" s="148" t="s">
        <v>148</v>
      </c>
      <c r="E54" s="149">
        <f>[1]Depreciation!$F$25</f>
        <v>556056.69999999995</v>
      </c>
      <c r="G54" s="145"/>
    </row>
    <row r="55" spans="1:15" s="119" customFormat="1" ht="14.5" x14ac:dyDescent="0.35">
      <c r="E55" s="226" t="str">
        <f>IF(E54=E50,"OK","Out of Balance")</f>
        <v>OK</v>
      </c>
      <c r="G55" s="145"/>
    </row>
    <row r="56" spans="1:15" s="119" customFormat="1" ht="14.5" x14ac:dyDescent="0.35">
      <c r="E56" s="146"/>
      <c r="G56" s="145"/>
    </row>
    <row r="57" spans="1:15" s="119" customFormat="1" ht="14.5" x14ac:dyDescent="0.35">
      <c r="E57" s="146"/>
      <c r="G57" s="145"/>
    </row>
    <row r="58" spans="1:15" s="119" customFormat="1" ht="14.5" x14ac:dyDescent="0.35">
      <c r="E58" s="146"/>
      <c r="G58" s="145"/>
    </row>
    <row r="59" spans="1:15" s="119" customFormat="1" ht="14.5" x14ac:dyDescent="0.35">
      <c r="E59" s="146"/>
      <c r="G59" s="145"/>
    </row>
    <row r="60" spans="1:15" s="119" customFormat="1" ht="14.5" x14ac:dyDescent="0.35">
      <c r="E60" s="146"/>
      <c r="G60" s="145"/>
    </row>
    <row r="61" spans="1:15" s="119" customFormat="1" ht="14.5" x14ac:dyDescent="0.35">
      <c r="D61" s="148"/>
      <c r="E61" s="160"/>
      <c r="G61" s="145"/>
    </row>
    <row r="62" spans="1:15" s="119" customFormat="1" ht="14.5" x14ac:dyDescent="0.35">
      <c r="E62" s="146"/>
      <c r="G62" s="145"/>
    </row>
    <row r="63" spans="1:15" s="119" customFormat="1" ht="14.5" x14ac:dyDescent="0.35">
      <c r="D63" s="148"/>
      <c r="E63" s="149"/>
      <c r="G63" s="145"/>
    </row>
    <row r="64" spans="1:15" s="119" customFormat="1" ht="14.5" x14ac:dyDescent="0.35">
      <c r="E64" s="146"/>
      <c r="G64" s="145"/>
    </row>
    <row r="65" spans="5:7" s="119" customFormat="1" ht="14.5" x14ac:dyDescent="0.35">
      <c r="E65" s="146"/>
      <c r="G65" s="145"/>
    </row>
    <row r="66" spans="5:7" s="119" customFormat="1" ht="14.5" x14ac:dyDescent="0.35">
      <c r="E66" s="146"/>
      <c r="G66" s="145"/>
    </row>
    <row r="67" spans="5:7" x14ac:dyDescent="0.35">
      <c r="E67" s="147"/>
    </row>
  </sheetData>
  <mergeCells count="3">
    <mergeCell ref="B5:F5"/>
    <mergeCell ref="B4:F4"/>
    <mergeCell ref="B3:F3"/>
  </mergeCells>
  <printOptions horizontalCentered="1" verticalCentered="1"/>
  <pageMargins left="0.7" right="0.7" top="0.75" bottom="0.75" header="0.3" footer="0.3"/>
  <pageSetup scale="87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Q25"/>
  <sheetViews>
    <sheetView showGridLines="0" workbookViewId="0">
      <selection activeCell="O24" sqref="A1:O24"/>
    </sheetView>
  </sheetViews>
  <sheetFormatPr defaultColWidth="8.84375" defaultRowHeight="14.5" x14ac:dyDescent="0.35"/>
  <cols>
    <col min="1" max="1" width="1.765625" style="119" customWidth="1"/>
    <col min="2" max="2" width="18.69140625" style="119" customWidth="1"/>
    <col min="3" max="12" width="7.765625" style="119" customWidth="1"/>
    <col min="13" max="13" width="10.69140625" style="119" customWidth="1"/>
    <col min="14" max="14" width="0.765625" style="119" customWidth="1"/>
    <col min="15" max="15" width="2.3046875" style="119" customWidth="1"/>
    <col min="16" max="16" width="9.69140625" style="119" customWidth="1"/>
    <col min="17" max="17" width="8.84375" style="225"/>
    <col min="18" max="16384" width="8.84375" style="119"/>
  </cols>
  <sheetData>
    <row r="1" spans="2:16" x14ac:dyDescent="0.35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x14ac:dyDescent="0.35"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2"/>
      <c r="P2" s="162"/>
    </row>
    <row r="3" spans="2:16" x14ac:dyDescent="0.35">
      <c r="B3" s="208" t="s">
        <v>60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2"/>
      <c r="P3" s="162"/>
    </row>
    <row r="4" spans="2:16" x14ac:dyDescent="0.35">
      <c r="B4" s="209" t="s">
        <v>61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7"/>
      <c r="O4" s="162"/>
      <c r="P4" s="162"/>
    </row>
    <row r="5" spans="2:16" x14ac:dyDescent="0.35">
      <c r="B5" s="227" t="s">
        <v>149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2"/>
      <c r="P5" s="162"/>
    </row>
    <row r="6" spans="2:16" x14ac:dyDescent="0.35">
      <c r="B6" s="170" t="s">
        <v>106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7"/>
      <c r="O6" s="162"/>
      <c r="P6" s="162"/>
    </row>
    <row r="7" spans="2:16" x14ac:dyDescent="0.35">
      <c r="B7" s="170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7"/>
      <c r="O7" s="162"/>
      <c r="P7" s="162"/>
    </row>
    <row r="8" spans="2:16" x14ac:dyDescent="0.35">
      <c r="B8" s="171"/>
      <c r="C8" s="172"/>
      <c r="D8" s="173"/>
      <c r="E8" s="172"/>
      <c r="F8" s="174"/>
      <c r="G8" s="172"/>
      <c r="H8" s="174"/>
      <c r="I8" s="172"/>
      <c r="J8" s="174"/>
      <c r="K8" s="172"/>
      <c r="L8" s="174"/>
      <c r="M8" s="173"/>
      <c r="N8" s="165"/>
      <c r="O8" s="162"/>
      <c r="P8" s="162"/>
    </row>
    <row r="9" spans="2:16" x14ac:dyDescent="0.35">
      <c r="B9" s="175"/>
      <c r="C9" s="340" t="s">
        <v>107</v>
      </c>
      <c r="D9" s="341"/>
      <c r="E9" s="340" t="s">
        <v>108</v>
      </c>
      <c r="F9" s="341"/>
      <c r="G9" s="340" t="s">
        <v>109</v>
      </c>
      <c r="H9" s="341"/>
      <c r="I9" s="340" t="s">
        <v>110</v>
      </c>
      <c r="J9" s="341"/>
      <c r="K9" s="340" t="s">
        <v>111</v>
      </c>
      <c r="L9" s="341"/>
      <c r="M9" s="162"/>
      <c r="N9" s="167"/>
      <c r="O9" s="162"/>
      <c r="P9" s="162"/>
    </row>
    <row r="10" spans="2:16" ht="16" x14ac:dyDescent="0.35">
      <c r="B10" s="175"/>
      <c r="C10" s="177"/>
      <c r="D10" s="176" t="s">
        <v>62</v>
      </c>
      <c r="E10" s="178"/>
      <c r="F10" s="176" t="s">
        <v>62</v>
      </c>
      <c r="G10" s="178"/>
      <c r="H10" s="176" t="s">
        <v>62</v>
      </c>
      <c r="I10" s="178"/>
      <c r="J10" s="176" t="s">
        <v>62</v>
      </c>
      <c r="K10" s="178"/>
      <c r="L10" s="176" t="s">
        <v>62</v>
      </c>
      <c r="M10" s="162"/>
      <c r="N10" s="167"/>
      <c r="O10" s="162"/>
      <c r="P10" s="162"/>
    </row>
    <row r="11" spans="2:16" x14ac:dyDescent="0.35">
      <c r="B11" s="175"/>
      <c r="C11" s="179" t="s">
        <v>63</v>
      </c>
      <c r="D11" s="180" t="s">
        <v>64</v>
      </c>
      <c r="E11" s="181" t="s">
        <v>63</v>
      </c>
      <c r="F11" s="180" t="s">
        <v>64</v>
      </c>
      <c r="G11" s="181" t="s">
        <v>63</v>
      </c>
      <c r="H11" s="180" t="s">
        <v>64</v>
      </c>
      <c r="I11" s="181" t="s">
        <v>63</v>
      </c>
      <c r="J11" s="180" t="s">
        <v>64</v>
      </c>
      <c r="K11" s="181" t="s">
        <v>63</v>
      </c>
      <c r="L11" s="180" t="s">
        <v>64</v>
      </c>
      <c r="M11" s="181" t="s">
        <v>34</v>
      </c>
      <c r="N11" s="167"/>
      <c r="O11" s="162"/>
      <c r="P11" s="162"/>
    </row>
    <row r="12" spans="2:16" ht="15.4" customHeight="1" x14ac:dyDescent="0.35">
      <c r="B12" s="182" t="str">
        <f>'[1]Debt Service'!B12</f>
        <v>KIA F18-017</v>
      </c>
      <c r="C12" s="182">
        <f>'[1]Debt Service'!C12</f>
        <v>105858.06</v>
      </c>
      <c r="D12" s="182">
        <f>'[1]Debt Service'!D12</f>
        <v>24514.729999999996</v>
      </c>
      <c r="E12" s="182">
        <f>'[1]Debt Service'!E12</f>
        <v>106388.01999999999</v>
      </c>
      <c r="F12" s="182">
        <f>'[1]Debt Service'!F12</f>
        <v>23719.8</v>
      </c>
      <c r="G12" s="182">
        <f>'[1]Debt Service'!G12</f>
        <v>106920.62</v>
      </c>
      <c r="H12" s="182">
        <f>'[1]Debt Service'!H12</f>
        <v>22920.899999999998</v>
      </c>
      <c r="I12" s="182">
        <f>'[1]Debt Service'!I12</f>
        <v>107455.89</v>
      </c>
      <c r="J12" s="182">
        <f>'[1]Debt Service'!J12</f>
        <v>22118</v>
      </c>
      <c r="K12" s="182">
        <f>'[1]Debt Service'!K12</f>
        <v>107993.85</v>
      </c>
      <c r="L12" s="182">
        <f>'[1]Debt Service'!L12</f>
        <v>21311.06</v>
      </c>
      <c r="M12" s="183">
        <f t="shared" ref="M12:M16" si="0">SUM(C12:L12)</f>
        <v>649200.93000000005</v>
      </c>
      <c r="N12" s="167"/>
      <c r="O12" s="162"/>
      <c r="P12" s="162"/>
    </row>
    <row r="13" spans="2:16" ht="15.4" customHeight="1" x14ac:dyDescent="0.35">
      <c r="B13" s="182" t="str">
        <f>'[1]Debt Service'!B13</f>
        <v>RD 91-14</v>
      </c>
      <c r="C13" s="182">
        <f>'[1]Debt Service'!C13</f>
        <v>85500</v>
      </c>
      <c r="D13" s="182">
        <f>'[1]Debt Service'!D13</f>
        <v>64990</v>
      </c>
      <c r="E13" s="182">
        <f>'[1]Debt Service'!E13</f>
        <v>86500</v>
      </c>
      <c r="F13" s="182">
        <f>'[1]Debt Service'!F13</f>
        <v>63710</v>
      </c>
      <c r="G13" s="182">
        <f>'[1]Debt Service'!G13</f>
        <v>88000</v>
      </c>
      <c r="H13" s="182">
        <f>'[1]Debt Service'!H13</f>
        <v>62410</v>
      </c>
      <c r="I13" s="182">
        <f>'[1]Debt Service'!I13</f>
        <v>89500</v>
      </c>
      <c r="J13" s="182">
        <f>'[1]Debt Service'!J13</f>
        <v>61090</v>
      </c>
      <c r="K13" s="182">
        <f>'[1]Debt Service'!K13</f>
        <v>90500</v>
      </c>
      <c r="L13" s="182">
        <f>'[1]Debt Service'!L13</f>
        <v>59750</v>
      </c>
      <c r="M13" s="183">
        <f t="shared" si="0"/>
        <v>751950</v>
      </c>
      <c r="N13" s="167"/>
      <c r="O13" s="162"/>
      <c r="P13" s="162"/>
    </row>
    <row r="14" spans="2:16" ht="15.4" customHeight="1" x14ac:dyDescent="0.35">
      <c r="B14" s="182" t="str">
        <f>'[1]Debt Service'!B14</f>
        <v>RD 91-08</v>
      </c>
      <c r="C14" s="182">
        <f>'[1]Debt Service'!C14</f>
        <v>22000</v>
      </c>
      <c r="D14" s="182">
        <f>'[1]Debt Service'!D14</f>
        <v>18680</v>
      </c>
      <c r="E14" s="182">
        <f>'[1]Debt Service'!E14</f>
        <v>22500</v>
      </c>
      <c r="F14" s="182">
        <f>'[1]Debt Service'!F14</f>
        <v>18160</v>
      </c>
      <c r="G14" s="182">
        <f>'[1]Debt Service'!G14</f>
        <v>23000</v>
      </c>
      <c r="H14" s="182">
        <f>'[1]Debt Service'!H14</f>
        <v>17630</v>
      </c>
      <c r="I14" s="182">
        <f>'[1]Debt Service'!I14</f>
        <v>24000</v>
      </c>
      <c r="J14" s="182">
        <f>'[1]Debt Service'!J14</f>
        <v>17080</v>
      </c>
      <c r="K14" s="182">
        <f>'[1]Debt Service'!K14</f>
        <v>24500</v>
      </c>
      <c r="L14" s="182">
        <f>'[1]Debt Service'!L14</f>
        <v>16510</v>
      </c>
      <c r="M14" s="183">
        <f t="shared" si="0"/>
        <v>204060</v>
      </c>
      <c r="N14" s="167"/>
      <c r="O14" s="162"/>
      <c r="P14" s="162"/>
    </row>
    <row r="15" spans="2:16" ht="15.4" customHeight="1" x14ac:dyDescent="0.35">
      <c r="B15" s="182" t="str">
        <f>'[1]Debt Service'!B15</f>
        <v>RD 93-10</v>
      </c>
      <c r="C15" s="182">
        <f>'[1]Debt Service'!C15</f>
        <v>34000</v>
      </c>
      <c r="D15" s="182">
        <f>'[1]Debt Service'!D15</f>
        <v>33640</v>
      </c>
      <c r="E15" s="182">
        <f>'[1]Debt Service'!E15</f>
        <v>34500</v>
      </c>
      <c r="F15" s="182">
        <f>'[1]Debt Service'!F15</f>
        <v>32790</v>
      </c>
      <c r="G15" s="182">
        <f>'[1]Debt Service'!G15</f>
        <v>35500</v>
      </c>
      <c r="H15" s="182">
        <f>'[1]Debt Service'!H15</f>
        <v>31930</v>
      </c>
      <c r="I15" s="182">
        <f>'[1]Debt Service'!I15</f>
        <v>36500</v>
      </c>
      <c r="J15" s="182">
        <f>'[1]Debt Service'!J15</f>
        <v>31040</v>
      </c>
      <c r="K15" s="182">
        <f>'[1]Debt Service'!K15</f>
        <v>37500</v>
      </c>
      <c r="L15" s="182">
        <f>'[1]Debt Service'!L15</f>
        <v>30130</v>
      </c>
      <c r="M15" s="183">
        <f t="shared" si="0"/>
        <v>337530</v>
      </c>
      <c r="N15" s="167"/>
      <c r="O15" s="162"/>
      <c r="P15" s="162"/>
    </row>
    <row r="16" spans="2:16" ht="15.4" customHeight="1" x14ac:dyDescent="0.35">
      <c r="B16" s="182" t="str">
        <f>'[1]Debt Service'!B16</f>
        <v>KLOC KBC W75/S25</v>
      </c>
      <c r="C16" s="232">
        <f>'[1]Debt Service'!C16</f>
        <v>76562.482499999998</v>
      </c>
      <c r="D16" s="232">
        <f>'[1]Debt Service'!D16</f>
        <v>21978.667500000003</v>
      </c>
      <c r="E16" s="232">
        <f>'[1]Debt Service'!E16</f>
        <v>78750</v>
      </c>
      <c r="F16" s="232">
        <f>'[1]Debt Service'!F16</f>
        <v>20067.195</v>
      </c>
      <c r="G16" s="232">
        <f>'[1]Debt Service'!G16</f>
        <v>80312.512500000012</v>
      </c>
      <c r="H16" s="232">
        <f>'[1]Debt Service'!H16</f>
        <v>18098.407500000001</v>
      </c>
      <c r="I16" s="232">
        <f>'[1]Debt Service'!I16</f>
        <v>82500.03</v>
      </c>
      <c r="J16" s="232">
        <f>'[1]Debt Service'!J16</f>
        <v>16090.619999999999</v>
      </c>
      <c r="K16" s="232">
        <f>'[1]Debt Service'!K16</f>
        <v>60625.042499999996</v>
      </c>
      <c r="L16" s="232">
        <f>'[1]Debt Service'!L16</f>
        <v>14028.090000000002</v>
      </c>
      <c r="M16" s="184">
        <f t="shared" si="0"/>
        <v>469013.04750000004</v>
      </c>
      <c r="N16" s="185"/>
      <c r="O16" s="162"/>
      <c r="P16" s="162"/>
    </row>
    <row r="17" spans="2:17" x14ac:dyDescent="0.35">
      <c r="B17" s="186" t="s">
        <v>34</v>
      </c>
      <c r="C17" s="187">
        <f t="shared" ref="C17:M17" si="1">SUM(C12:C16)</f>
        <v>323920.54249999998</v>
      </c>
      <c r="D17" s="188">
        <f t="shared" si="1"/>
        <v>163803.39749999999</v>
      </c>
      <c r="E17" s="189">
        <f t="shared" si="1"/>
        <v>328638.02</v>
      </c>
      <c r="F17" s="188">
        <f t="shared" si="1"/>
        <v>158446.995</v>
      </c>
      <c r="G17" s="189">
        <f t="shared" si="1"/>
        <v>333733.13250000001</v>
      </c>
      <c r="H17" s="188">
        <f t="shared" si="1"/>
        <v>152989.3075</v>
      </c>
      <c r="I17" s="189">
        <f t="shared" si="1"/>
        <v>339955.92000000004</v>
      </c>
      <c r="J17" s="188">
        <f t="shared" si="1"/>
        <v>147418.62</v>
      </c>
      <c r="K17" s="189">
        <f t="shared" si="1"/>
        <v>321118.89250000002</v>
      </c>
      <c r="L17" s="188">
        <f t="shared" si="1"/>
        <v>141729.15</v>
      </c>
      <c r="M17" s="189">
        <f t="shared" si="1"/>
        <v>2411753.9775</v>
      </c>
      <c r="N17" s="167"/>
      <c r="O17" s="162"/>
      <c r="P17" s="162">
        <f>SUM(C17:L17)</f>
        <v>2411753.9775</v>
      </c>
      <c r="Q17" s="225" t="str">
        <f>IF(P17=M17,"OK","Out of Balance")</f>
        <v>OK</v>
      </c>
    </row>
    <row r="18" spans="2:17" x14ac:dyDescent="0.35">
      <c r="B18" s="190"/>
      <c r="C18" s="191"/>
      <c r="D18" s="192"/>
      <c r="E18" s="191"/>
      <c r="F18" s="193"/>
      <c r="G18" s="191"/>
      <c r="H18" s="193"/>
      <c r="I18" s="191"/>
      <c r="J18" s="194"/>
      <c r="K18" s="191"/>
      <c r="L18" s="193"/>
      <c r="M18" s="192"/>
      <c r="N18" s="185"/>
      <c r="O18" s="162"/>
      <c r="P18" s="162"/>
    </row>
    <row r="19" spans="2:17" x14ac:dyDescent="0.35">
      <c r="B19" s="195"/>
      <c r="C19" s="196"/>
      <c r="D19" s="196"/>
      <c r="E19" s="196"/>
      <c r="F19" s="196"/>
      <c r="G19" s="196"/>
      <c r="H19" s="196"/>
      <c r="I19" s="196"/>
      <c r="J19" s="197"/>
      <c r="K19" s="197"/>
      <c r="L19" s="197"/>
      <c r="M19" s="196"/>
      <c r="N19" s="167"/>
      <c r="O19" s="162"/>
      <c r="P19" s="162"/>
    </row>
    <row r="20" spans="2:17" x14ac:dyDescent="0.35">
      <c r="B20" s="198"/>
      <c r="C20" s="199"/>
      <c r="D20" s="200"/>
      <c r="E20" s="199"/>
      <c r="F20" s="199"/>
      <c r="G20" s="199"/>
      <c r="H20" s="199"/>
      <c r="I20" s="200" t="s">
        <v>65</v>
      </c>
      <c r="J20" s="162"/>
      <c r="K20" s="201"/>
      <c r="L20" s="202"/>
      <c r="M20" s="199">
        <f>M17/5</f>
        <v>482350.79550000001</v>
      </c>
      <c r="N20" s="167"/>
      <c r="O20" s="162"/>
      <c r="P20" s="162">
        <f>'[1]Debt Service'!$M$17</f>
        <v>482350.79550000001</v>
      </c>
      <c r="Q20" s="225" t="str">
        <f t="shared" ref="Q20:Q22" si="2">IF(P20=M20,"OK","Out of Balance")</f>
        <v>OK</v>
      </c>
    </row>
    <row r="21" spans="2:17" x14ac:dyDescent="0.35">
      <c r="B21" s="203"/>
      <c r="C21" s="200"/>
      <c r="D21" s="162"/>
      <c r="E21" s="200"/>
      <c r="F21" s="200"/>
      <c r="G21" s="200"/>
      <c r="H21" s="200"/>
      <c r="I21" s="200"/>
      <c r="J21" s="162"/>
      <c r="K21" s="204"/>
      <c r="L21" s="201"/>
      <c r="M21" s="205"/>
      <c r="N21" s="167"/>
      <c r="O21" s="162"/>
      <c r="P21" s="162"/>
    </row>
    <row r="22" spans="2:17" x14ac:dyDescent="0.35">
      <c r="B22" s="198"/>
      <c r="C22" s="200"/>
      <c r="D22" s="200"/>
      <c r="E22" s="200"/>
      <c r="F22" s="200"/>
      <c r="G22" s="200"/>
      <c r="H22" s="200"/>
      <c r="I22" s="200" t="s">
        <v>66</v>
      </c>
      <c r="J22" s="162"/>
      <c r="K22" s="201"/>
      <c r="L22" s="200"/>
      <c r="M22" s="199">
        <f>M20*0.2</f>
        <v>96470.159100000004</v>
      </c>
      <c r="N22" s="167"/>
      <c r="O22" s="162"/>
      <c r="P22" s="162">
        <f>'[1]Debt Service'!$N$17</f>
        <v>96470.159100000019</v>
      </c>
      <c r="Q22" s="225" t="str">
        <f t="shared" si="2"/>
        <v>OK</v>
      </c>
    </row>
    <row r="23" spans="2:17" x14ac:dyDescent="0.35"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185"/>
      <c r="O23" s="162"/>
      <c r="P23" s="162"/>
    </row>
    <row r="25" spans="2:17" x14ac:dyDescent="0.35">
      <c r="I25" s="148"/>
      <c r="M25" s="210"/>
      <c r="P25" s="225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1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I49"/>
  <sheetViews>
    <sheetView showGridLines="0" topLeftCell="A12" workbookViewId="0">
      <selection activeCell="B37" sqref="B37:J40"/>
    </sheetView>
  </sheetViews>
  <sheetFormatPr defaultColWidth="8.84375" defaultRowHeight="14.5" x14ac:dyDescent="0.35"/>
  <cols>
    <col min="1" max="1" width="2.84375" style="24" customWidth="1"/>
    <col min="2" max="2" width="2.765625" style="24" customWidth="1"/>
    <col min="3" max="3" width="22.61328125" style="24" bestFit="1" customWidth="1"/>
    <col min="4" max="4" width="8.4609375" style="27" customWidth="1"/>
    <col min="5" max="5" width="22.61328125" style="27" bestFit="1" customWidth="1"/>
    <col min="6" max="6" width="9.69140625" style="24" customWidth="1"/>
    <col min="7" max="7" width="9.69140625" style="24" hidden="1" customWidth="1"/>
    <col min="8" max="8" width="9.69140625" style="24" customWidth="1"/>
    <col min="9" max="9" width="9.69140625" style="213" customWidth="1"/>
    <col min="10" max="10" width="2.765625" style="24" customWidth="1"/>
    <col min="11" max="11" width="2" style="24" customWidth="1"/>
    <col min="12" max="12" width="9.69140625" style="101" customWidth="1"/>
    <col min="13" max="191" width="9.69140625" style="24" customWidth="1"/>
    <col min="192" max="16384" width="8.84375" style="16"/>
  </cols>
  <sheetData>
    <row r="2" spans="2:12" ht="18" customHeight="1" x14ac:dyDescent="0.45">
      <c r="B2" s="345"/>
      <c r="C2" s="346"/>
      <c r="D2" s="346"/>
      <c r="E2" s="346"/>
      <c r="F2" s="346"/>
      <c r="G2" s="346"/>
      <c r="H2" s="346"/>
      <c r="I2" s="346"/>
      <c r="J2" s="347"/>
    </row>
    <row r="3" spans="2:12" ht="18" customHeight="1" x14ac:dyDescent="0.5">
      <c r="B3" s="358" t="s">
        <v>103</v>
      </c>
      <c r="C3" s="359"/>
      <c r="D3" s="359"/>
      <c r="E3" s="359"/>
      <c r="F3" s="359"/>
      <c r="G3" s="359"/>
      <c r="H3" s="359"/>
      <c r="I3" s="359"/>
      <c r="J3" s="360"/>
    </row>
    <row r="4" spans="2:12" ht="21" x14ac:dyDescent="0.5">
      <c r="B4" s="103"/>
      <c r="C4" s="342" t="s">
        <v>27</v>
      </c>
      <c r="D4" s="342"/>
      <c r="E4" s="342"/>
      <c r="F4" s="342"/>
      <c r="G4" s="342"/>
      <c r="H4" s="342"/>
      <c r="I4" s="342"/>
      <c r="J4" s="155"/>
    </row>
    <row r="5" spans="2:12" ht="18" customHeight="1" x14ac:dyDescent="0.35">
      <c r="B5" s="348" t="s">
        <v>149</v>
      </c>
      <c r="C5" s="349"/>
      <c r="D5" s="349"/>
      <c r="E5" s="349"/>
      <c r="F5" s="349"/>
      <c r="G5" s="349"/>
      <c r="H5" s="349"/>
      <c r="I5" s="349"/>
      <c r="J5" s="350"/>
    </row>
    <row r="6" spans="2:12" x14ac:dyDescent="0.35">
      <c r="B6" s="103"/>
      <c r="J6" s="104"/>
      <c r="K6" s="103"/>
    </row>
    <row r="7" spans="2:12" ht="18.5" x14ac:dyDescent="0.45">
      <c r="B7" s="352" t="s">
        <v>219</v>
      </c>
      <c r="C7" s="353"/>
      <c r="D7" s="353"/>
      <c r="E7" s="353"/>
      <c r="F7" s="353"/>
      <c r="G7" s="353"/>
      <c r="H7" s="353"/>
      <c r="I7" s="353"/>
      <c r="J7" s="354"/>
    </row>
    <row r="8" spans="2:12" ht="19" x14ac:dyDescent="0.5">
      <c r="B8" s="25"/>
      <c r="C8" s="364" t="s">
        <v>28</v>
      </c>
      <c r="D8" s="364"/>
      <c r="E8" s="351" t="s">
        <v>1</v>
      </c>
      <c r="F8" s="351"/>
      <c r="G8" s="26"/>
      <c r="H8" s="351" t="s">
        <v>31</v>
      </c>
      <c r="I8" s="351"/>
      <c r="J8" s="116"/>
      <c r="L8" s="131"/>
    </row>
    <row r="9" spans="2:12" ht="29" x14ac:dyDescent="0.45">
      <c r="B9" s="103"/>
      <c r="C9" s="218" t="s">
        <v>217</v>
      </c>
      <c r="D9" s="219">
        <v>14.3</v>
      </c>
      <c r="E9" s="218" t="s">
        <v>217</v>
      </c>
      <c r="F9" s="28">
        <f>ROUND(D9*(1+SAO!$H$71),2)</f>
        <v>22.06</v>
      </c>
      <c r="G9" s="28" t="e">
        <f>#REF!*(1+#REF!)</f>
        <v>#REF!</v>
      </c>
      <c r="H9" s="28">
        <f t="shared" ref="H9:H10" si="0">F9-D9</f>
        <v>7.759999999999998</v>
      </c>
      <c r="I9" s="220">
        <f t="shared" ref="I9:I10" si="1">H9/D9</f>
        <v>0.54265734265734245</v>
      </c>
      <c r="J9" s="116"/>
      <c r="L9" s="130"/>
    </row>
    <row r="10" spans="2:12" ht="18.5" x14ac:dyDescent="0.45">
      <c r="B10" s="117"/>
      <c r="C10" s="223" t="s">
        <v>154</v>
      </c>
      <c r="D10" s="219">
        <v>7.21</v>
      </c>
      <c r="E10" s="223" t="s">
        <v>154</v>
      </c>
      <c r="F10" s="28">
        <f>ROUND(D10*(1+SAO!$H$71),2)</f>
        <v>11.12</v>
      </c>
      <c r="G10" s="28" t="e">
        <f>#REF!*(1+#REF!)</f>
        <v>#REF!</v>
      </c>
      <c r="H10" s="28">
        <f t="shared" si="0"/>
        <v>3.9099999999999993</v>
      </c>
      <c r="I10" s="220">
        <f t="shared" si="1"/>
        <v>0.54230235783633829</v>
      </c>
      <c r="J10" s="116"/>
      <c r="L10" s="129"/>
    </row>
    <row r="11" spans="2:12" ht="18.5" x14ac:dyDescent="0.45">
      <c r="B11" s="117"/>
      <c r="C11" s="223" t="s">
        <v>155</v>
      </c>
      <c r="D11" s="219">
        <v>6.78</v>
      </c>
      <c r="E11" s="223" t="s">
        <v>155</v>
      </c>
      <c r="F11" s="28">
        <f>ROUND(D11*(1+SAO!$H$71),2)</f>
        <v>10.46</v>
      </c>
      <c r="G11" s="28"/>
      <c r="H11" s="28">
        <f t="shared" ref="H11:H15" si="2">F11-D11</f>
        <v>3.6800000000000006</v>
      </c>
      <c r="I11" s="220">
        <f t="shared" ref="I11:I15" si="3">H11/D11</f>
        <v>0.54277286135693226</v>
      </c>
      <c r="J11" s="116"/>
      <c r="L11" s="129"/>
    </row>
    <row r="12" spans="2:12" ht="18.5" x14ac:dyDescent="0.45">
      <c r="B12" s="117"/>
      <c r="C12" s="223" t="s">
        <v>156</v>
      </c>
      <c r="D12" s="219">
        <v>6.58</v>
      </c>
      <c r="E12" s="223" t="s">
        <v>156</v>
      </c>
      <c r="F12" s="28">
        <f>ROUND(D12*(1+SAO!$H$71),2)</f>
        <v>10.15</v>
      </c>
      <c r="G12" s="28"/>
      <c r="H12" s="28">
        <f t="shared" si="2"/>
        <v>3.5700000000000003</v>
      </c>
      <c r="I12" s="220">
        <f t="shared" si="3"/>
        <v>0.54255319148936176</v>
      </c>
      <c r="J12" s="116"/>
      <c r="L12" s="129"/>
    </row>
    <row r="13" spans="2:12" ht="18.5" x14ac:dyDescent="0.45">
      <c r="B13" s="117"/>
      <c r="C13" s="223" t="s">
        <v>157</v>
      </c>
      <c r="D13" s="219">
        <v>5.82</v>
      </c>
      <c r="E13" s="223" t="s">
        <v>157</v>
      </c>
      <c r="F13" s="28">
        <f>ROUND(D13*(1+SAO!$H$71),2)</f>
        <v>8.98</v>
      </c>
      <c r="G13" s="28"/>
      <c r="H13" s="28">
        <f t="shared" si="2"/>
        <v>3.16</v>
      </c>
      <c r="I13" s="220">
        <f t="shared" si="3"/>
        <v>0.54295532646048106</v>
      </c>
      <c r="J13" s="116"/>
      <c r="L13" s="129"/>
    </row>
    <row r="14" spans="2:12" ht="18.5" x14ac:dyDescent="0.45">
      <c r="B14" s="117"/>
      <c r="C14" s="228" t="s">
        <v>158</v>
      </c>
      <c r="D14" s="219">
        <v>5.41</v>
      </c>
      <c r="E14" s="228" t="s">
        <v>211</v>
      </c>
      <c r="F14" s="28">
        <f>ROUND(D14*(1+SAO!$H$71),2)</f>
        <v>8.35</v>
      </c>
      <c r="G14" s="28"/>
      <c r="H14" s="28">
        <f t="shared" si="2"/>
        <v>2.9399999999999995</v>
      </c>
      <c r="I14" s="220">
        <f t="shared" si="3"/>
        <v>0.54343807763401097</v>
      </c>
      <c r="J14" s="116"/>
      <c r="L14" s="129"/>
    </row>
    <row r="15" spans="2:12" ht="18.5" x14ac:dyDescent="0.45">
      <c r="B15" s="117"/>
      <c r="C15" s="228" t="s">
        <v>159</v>
      </c>
      <c r="D15" s="219">
        <v>3.53</v>
      </c>
      <c r="E15" s="228" t="s">
        <v>212</v>
      </c>
      <c r="F15" s="28">
        <f>ROUND(D15*(1+SAO!$H$71),2)</f>
        <v>5.45</v>
      </c>
      <c r="G15" s="28"/>
      <c r="H15" s="28">
        <f t="shared" si="2"/>
        <v>1.9200000000000004</v>
      </c>
      <c r="I15" s="220">
        <f t="shared" si="3"/>
        <v>0.54390934844192651</v>
      </c>
      <c r="J15" s="116"/>
      <c r="L15" s="129"/>
    </row>
    <row r="16" spans="2:12" x14ac:dyDescent="0.35">
      <c r="B16" s="115"/>
      <c r="C16" s="217"/>
      <c r="D16" s="28"/>
      <c r="E16" s="28"/>
      <c r="F16" s="102"/>
      <c r="G16" s="102"/>
      <c r="H16" s="102"/>
      <c r="I16" s="220"/>
      <c r="J16" s="104"/>
    </row>
    <row r="17" spans="2:12" ht="18.5" x14ac:dyDescent="0.45">
      <c r="B17" s="352" t="s">
        <v>220</v>
      </c>
      <c r="C17" s="353"/>
      <c r="D17" s="353"/>
      <c r="E17" s="353"/>
      <c r="F17" s="353"/>
      <c r="G17" s="353"/>
      <c r="H17" s="353"/>
      <c r="I17" s="353"/>
      <c r="J17" s="354"/>
    </row>
    <row r="18" spans="2:12" ht="19" x14ac:dyDescent="0.5">
      <c r="B18" s="25"/>
      <c r="C18" s="364" t="s">
        <v>28</v>
      </c>
      <c r="D18" s="364"/>
      <c r="E18" s="351" t="s">
        <v>1</v>
      </c>
      <c r="F18" s="351"/>
      <c r="G18" s="26"/>
      <c r="H18" s="351" t="s">
        <v>31</v>
      </c>
      <c r="I18" s="351"/>
      <c r="J18" s="116"/>
      <c r="L18" s="131"/>
    </row>
    <row r="19" spans="2:12" ht="29" x14ac:dyDescent="0.45">
      <c r="B19" s="103"/>
      <c r="C19" s="218" t="s">
        <v>217</v>
      </c>
      <c r="D19" s="219">
        <v>21.32</v>
      </c>
      <c r="E19" s="218" t="s">
        <v>217</v>
      </c>
      <c r="F19" s="28">
        <f>ROUND(D19*(1+SAO!$H$71),2)</f>
        <v>32.89</v>
      </c>
      <c r="G19" s="28" t="e">
        <f>#REF!*(1+#REF!)</f>
        <v>#REF!</v>
      </c>
      <c r="H19" s="28">
        <f t="shared" ref="H19:H25" si="4">F19-D19</f>
        <v>11.57</v>
      </c>
      <c r="I19" s="220">
        <f t="shared" ref="I19:I25" si="5">H19/D19</f>
        <v>0.54268292682926833</v>
      </c>
      <c r="J19" s="116"/>
      <c r="L19" s="130"/>
    </row>
    <row r="20" spans="2:12" ht="18.5" x14ac:dyDescent="0.45">
      <c r="B20" s="117"/>
      <c r="C20" s="223" t="s">
        <v>154</v>
      </c>
      <c r="D20" s="219">
        <v>10.79</v>
      </c>
      <c r="E20" s="223" t="s">
        <v>154</v>
      </c>
      <c r="F20" s="28">
        <f>ROUND(D20*(1+SAO!$H$71),2)</f>
        <v>16.649999999999999</v>
      </c>
      <c r="G20" s="28" t="e">
        <f>#REF!*(1+#REF!)</f>
        <v>#REF!</v>
      </c>
      <c r="H20" s="28">
        <f t="shared" si="4"/>
        <v>5.8599999999999994</v>
      </c>
      <c r="I20" s="220">
        <f t="shared" si="5"/>
        <v>0.54309545875810938</v>
      </c>
      <c r="J20" s="116"/>
      <c r="L20" s="129"/>
    </row>
    <row r="21" spans="2:12" ht="18.5" x14ac:dyDescent="0.45">
      <c r="B21" s="117"/>
      <c r="C21" s="223" t="s">
        <v>155</v>
      </c>
      <c r="D21" s="219">
        <v>10.17</v>
      </c>
      <c r="E21" s="223" t="s">
        <v>155</v>
      </c>
      <c r="F21" s="28">
        <f>ROUND(D21*(1+SAO!$H$71),2)</f>
        <v>15.69</v>
      </c>
      <c r="G21" s="28"/>
      <c r="H21" s="28">
        <f t="shared" si="4"/>
        <v>5.52</v>
      </c>
      <c r="I21" s="220">
        <f t="shared" si="5"/>
        <v>0.54277286135693215</v>
      </c>
      <c r="J21" s="116"/>
      <c r="L21" s="129"/>
    </row>
    <row r="22" spans="2:12" ht="18.5" x14ac:dyDescent="0.45">
      <c r="B22" s="117"/>
      <c r="C22" s="223" t="s">
        <v>156</v>
      </c>
      <c r="D22" s="219">
        <v>9.86</v>
      </c>
      <c r="E22" s="223" t="s">
        <v>156</v>
      </c>
      <c r="F22" s="28">
        <f>ROUND(D22*(1+SAO!$H$71),2)</f>
        <v>15.21</v>
      </c>
      <c r="G22" s="28"/>
      <c r="H22" s="28">
        <f t="shared" si="4"/>
        <v>5.3500000000000014</v>
      </c>
      <c r="I22" s="220">
        <f t="shared" si="5"/>
        <v>0.54259634888438146</v>
      </c>
      <c r="J22" s="116"/>
      <c r="L22" s="129"/>
    </row>
    <row r="23" spans="2:12" ht="18.5" x14ac:dyDescent="0.45">
      <c r="B23" s="117"/>
      <c r="C23" s="223" t="s">
        <v>157</v>
      </c>
      <c r="D23" s="219">
        <v>8.7200000000000006</v>
      </c>
      <c r="E23" s="223" t="s">
        <v>157</v>
      </c>
      <c r="F23" s="28">
        <f>ROUND(D23*(1+SAO!$H$71),2)</f>
        <v>13.45</v>
      </c>
      <c r="G23" s="28"/>
      <c r="H23" s="28">
        <f t="shared" si="4"/>
        <v>4.7299999999999986</v>
      </c>
      <c r="I23" s="220">
        <f t="shared" si="5"/>
        <v>0.54243119266055029</v>
      </c>
      <c r="J23" s="116"/>
      <c r="L23" s="129"/>
    </row>
    <row r="24" spans="2:12" ht="18.5" x14ac:dyDescent="0.45">
      <c r="B24" s="117"/>
      <c r="C24" s="228" t="s">
        <v>158</v>
      </c>
      <c r="D24" s="219">
        <v>8.1</v>
      </c>
      <c r="E24" s="228" t="s">
        <v>211</v>
      </c>
      <c r="F24" s="28">
        <f>ROUND(D24*(1+SAO!$H$71),2)</f>
        <v>12.5</v>
      </c>
      <c r="G24" s="28"/>
      <c r="H24" s="28">
        <f t="shared" si="4"/>
        <v>4.4000000000000004</v>
      </c>
      <c r="I24" s="220">
        <f t="shared" si="5"/>
        <v>0.54320987654320996</v>
      </c>
      <c r="J24" s="116"/>
      <c r="L24" s="129"/>
    </row>
    <row r="25" spans="2:12" ht="18.5" x14ac:dyDescent="0.45">
      <c r="B25" s="117"/>
      <c r="C25" s="228" t="s">
        <v>159</v>
      </c>
      <c r="D25" s="219">
        <v>5.3</v>
      </c>
      <c r="E25" s="228" t="s">
        <v>212</v>
      </c>
      <c r="F25" s="28">
        <f>ROUND(D25*(1+SAO!$H$71),2)</f>
        <v>8.18</v>
      </c>
      <c r="G25" s="28"/>
      <c r="H25" s="28">
        <f t="shared" si="4"/>
        <v>2.88</v>
      </c>
      <c r="I25" s="220">
        <f t="shared" si="5"/>
        <v>0.54339622641509433</v>
      </c>
      <c r="J25" s="116"/>
      <c r="L25" s="129"/>
    </row>
    <row r="26" spans="2:12" x14ac:dyDescent="0.35">
      <c r="B26" s="115"/>
      <c r="C26" s="217"/>
      <c r="D26" s="28"/>
      <c r="E26" s="28"/>
      <c r="F26" s="102"/>
      <c r="G26" s="102"/>
      <c r="H26" s="102"/>
      <c r="I26" s="220"/>
      <c r="J26" s="104"/>
    </row>
    <row r="27" spans="2:12" ht="18.5" x14ac:dyDescent="0.45">
      <c r="B27" s="352" t="s">
        <v>221</v>
      </c>
      <c r="C27" s="353"/>
      <c r="D27" s="353"/>
      <c r="E27" s="353"/>
      <c r="F27" s="353"/>
      <c r="G27" s="353"/>
      <c r="H27" s="353"/>
      <c r="I27" s="353"/>
      <c r="J27" s="354"/>
    </row>
    <row r="28" spans="2:12" ht="19" x14ac:dyDescent="0.5">
      <c r="B28" s="25"/>
      <c r="C28" s="364" t="s">
        <v>28</v>
      </c>
      <c r="D28" s="364"/>
      <c r="E28" s="351" t="s">
        <v>1</v>
      </c>
      <c r="F28" s="351"/>
      <c r="G28" s="26"/>
      <c r="H28" s="351" t="s">
        <v>31</v>
      </c>
      <c r="I28" s="351"/>
      <c r="J28" s="116"/>
      <c r="L28" s="131"/>
    </row>
    <row r="29" spans="2:12" ht="29" x14ac:dyDescent="0.45">
      <c r="B29" s="103"/>
      <c r="C29" s="218" t="s">
        <v>217</v>
      </c>
      <c r="D29" s="219">
        <v>14.12</v>
      </c>
      <c r="E29" s="218" t="s">
        <v>217</v>
      </c>
      <c r="F29" s="28">
        <f>F9</f>
        <v>22.06</v>
      </c>
      <c r="G29" s="28" t="e">
        <f>#REF!*(1+#REF!)</f>
        <v>#REF!</v>
      </c>
      <c r="H29" s="28">
        <f t="shared" ref="H29:H35" si="6">F29-D29</f>
        <v>7.9399999999999995</v>
      </c>
      <c r="I29" s="220">
        <f t="shared" ref="I29:I35" si="7">H29/D29</f>
        <v>0.56232294617563738</v>
      </c>
      <c r="J29" s="116"/>
      <c r="L29" s="130"/>
    </row>
    <row r="30" spans="2:12" ht="18.5" x14ac:dyDescent="0.45">
      <c r="B30" s="117"/>
      <c r="C30" s="223" t="s">
        <v>154</v>
      </c>
      <c r="D30" s="219">
        <v>7.12</v>
      </c>
      <c r="E30" s="223" t="s">
        <v>154</v>
      </c>
      <c r="F30" s="28">
        <f t="shared" ref="F30:F35" si="8">F10</f>
        <v>11.12</v>
      </c>
      <c r="G30" s="28" t="e">
        <f>#REF!*(1+#REF!)</f>
        <v>#REF!</v>
      </c>
      <c r="H30" s="28">
        <f t="shared" si="6"/>
        <v>3.9999999999999991</v>
      </c>
      <c r="I30" s="220">
        <f t="shared" si="7"/>
        <v>0.56179775280898858</v>
      </c>
      <c r="J30" s="116"/>
      <c r="L30" s="129"/>
    </row>
    <row r="31" spans="2:12" ht="18.5" x14ac:dyDescent="0.45">
      <c r="B31" s="117"/>
      <c r="C31" s="223" t="s">
        <v>155</v>
      </c>
      <c r="D31" s="219">
        <v>6.7</v>
      </c>
      <c r="E31" s="223" t="s">
        <v>155</v>
      </c>
      <c r="F31" s="28">
        <f t="shared" si="8"/>
        <v>10.46</v>
      </c>
      <c r="G31" s="28"/>
      <c r="H31" s="28">
        <f t="shared" si="6"/>
        <v>3.7600000000000007</v>
      </c>
      <c r="I31" s="220">
        <f t="shared" si="7"/>
        <v>0.5611940298507464</v>
      </c>
      <c r="J31" s="116"/>
      <c r="L31" s="129"/>
    </row>
    <row r="32" spans="2:12" ht="18.5" x14ac:dyDescent="0.45">
      <c r="B32" s="117"/>
      <c r="C32" s="223" t="s">
        <v>156</v>
      </c>
      <c r="D32" s="219">
        <v>6.5</v>
      </c>
      <c r="E32" s="223" t="s">
        <v>156</v>
      </c>
      <c r="F32" s="28">
        <f t="shared" si="8"/>
        <v>10.15</v>
      </c>
      <c r="G32" s="28"/>
      <c r="H32" s="28">
        <f t="shared" si="6"/>
        <v>3.6500000000000004</v>
      </c>
      <c r="I32" s="220">
        <f t="shared" si="7"/>
        <v>0.56153846153846154</v>
      </c>
      <c r="J32" s="116"/>
      <c r="L32" s="129"/>
    </row>
    <row r="33" spans="2:12" ht="18.5" x14ac:dyDescent="0.45">
      <c r="B33" s="117"/>
      <c r="C33" s="223" t="s">
        <v>157</v>
      </c>
      <c r="D33" s="219">
        <v>5.75</v>
      </c>
      <c r="E33" s="223" t="s">
        <v>157</v>
      </c>
      <c r="F33" s="28">
        <f t="shared" si="8"/>
        <v>8.98</v>
      </c>
      <c r="G33" s="28"/>
      <c r="H33" s="28">
        <f t="shared" si="6"/>
        <v>3.2300000000000004</v>
      </c>
      <c r="I33" s="220">
        <f t="shared" si="7"/>
        <v>0.56173913043478263</v>
      </c>
      <c r="J33" s="116"/>
      <c r="L33" s="129"/>
    </row>
    <row r="34" spans="2:12" ht="18.5" x14ac:dyDescent="0.45">
      <c r="B34" s="117"/>
      <c r="C34" s="228" t="s">
        <v>158</v>
      </c>
      <c r="D34" s="219">
        <v>5.34</v>
      </c>
      <c r="E34" s="228" t="s">
        <v>211</v>
      </c>
      <c r="F34" s="28">
        <f t="shared" si="8"/>
        <v>8.35</v>
      </c>
      <c r="G34" s="28"/>
      <c r="H34" s="28">
        <f t="shared" si="6"/>
        <v>3.01</v>
      </c>
      <c r="I34" s="220">
        <f t="shared" si="7"/>
        <v>0.56367041198501866</v>
      </c>
      <c r="J34" s="116"/>
      <c r="L34" s="129"/>
    </row>
    <row r="35" spans="2:12" ht="18.5" x14ac:dyDescent="0.45">
      <c r="B35" s="117"/>
      <c r="C35" s="228" t="s">
        <v>159</v>
      </c>
      <c r="D35" s="219">
        <v>3.49</v>
      </c>
      <c r="E35" s="228" t="s">
        <v>212</v>
      </c>
      <c r="F35" s="28">
        <f t="shared" si="8"/>
        <v>5.45</v>
      </c>
      <c r="G35" s="28"/>
      <c r="H35" s="28">
        <f t="shared" si="6"/>
        <v>1.96</v>
      </c>
      <c r="I35" s="220">
        <f t="shared" si="7"/>
        <v>0.56160458452722062</v>
      </c>
      <c r="J35" s="116"/>
      <c r="L35" s="129"/>
    </row>
    <row r="36" spans="2:12" x14ac:dyDescent="0.35">
      <c r="B36" s="115"/>
      <c r="C36" s="217"/>
      <c r="D36" s="28"/>
      <c r="E36" s="28"/>
      <c r="F36" s="102"/>
      <c r="G36" s="102"/>
      <c r="H36" s="102"/>
      <c r="I36" s="220"/>
      <c r="J36" s="104"/>
    </row>
    <row r="37" spans="2:12" ht="18.5" x14ac:dyDescent="0.45">
      <c r="B37" s="355" t="s">
        <v>122</v>
      </c>
      <c r="C37" s="356"/>
      <c r="D37" s="356"/>
      <c r="E37" s="356"/>
      <c r="F37" s="356"/>
      <c r="G37" s="356"/>
      <c r="H37" s="356"/>
      <c r="I37" s="356"/>
      <c r="J37" s="357"/>
    </row>
    <row r="38" spans="2:12" ht="16" x14ac:dyDescent="0.5">
      <c r="B38" s="103"/>
      <c r="C38" s="26"/>
      <c r="D38" s="156" t="s">
        <v>28</v>
      </c>
      <c r="E38" s="156"/>
      <c r="F38" s="26" t="s">
        <v>1</v>
      </c>
      <c r="H38" s="351" t="s">
        <v>31</v>
      </c>
      <c r="I38" s="351"/>
      <c r="J38" s="104"/>
    </row>
    <row r="39" spans="2:12" ht="35" customHeight="1" x14ac:dyDescent="0.5">
      <c r="B39" s="118"/>
      <c r="C39" s="211" t="s">
        <v>218</v>
      </c>
      <c r="D39" s="219">
        <v>2.4900000000000002</v>
      </c>
      <c r="E39" s="211" t="s">
        <v>218</v>
      </c>
      <c r="F39" s="233">
        <f>'[1]Revenue Required Computation'!$H$56</f>
        <v>3.75</v>
      </c>
      <c r="G39" s="102"/>
      <c r="H39" s="28">
        <f>F39-D39</f>
        <v>1.2599999999999998</v>
      </c>
      <c r="I39" s="131">
        <f>H39/D39</f>
        <v>0.50602409638554202</v>
      </c>
      <c r="J39" s="104"/>
    </row>
    <row r="40" spans="2:12" ht="35" customHeight="1" x14ac:dyDescent="0.5">
      <c r="B40" s="118"/>
      <c r="C40" s="212" t="s">
        <v>215</v>
      </c>
      <c r="D40" s="28">
        <v>1.4</v>
      </c>
      <c r="E40" s="212" t="s">
        <v>216</v>
      </c>
      <c r="F40" s="233">
        <f>'[1]Revenue Required Computation'!$H$57</f>
        <v>2.11</v>
      </c>
      <c r="G40" s="102"/>
      <c r="H40" s="28">
        <f>F40-D40</f>
        <v>0.71</v>
      </c>
      <c r="I40" s="131">
        <f>H40/D40</f>
        <v>0.50714285714285712</v>
      </c>
      <c r="J40" s="104"/>
    </row>
    <row r="41" spans="2:12" ht="16" x14ac:dyDescent="0.5">
      <c r="B41" s="118"/>
      <c r="C41" s="44"/>
      <c r="F41" s="153"/>
      <c r="H41" s="27"/>
      <c r="I41" s="131"/>
      <c r="J41" s="104"/>
    </row>
    <row r="42" spans="2:12" ht="18.5" x14ac:dyDescent="0.45">
      <c r="B42" s="361" t="s">
        <v>150</v>
      </c>
      <c r="C42" s="362"/>
      <c r="D42" s="362"/>
      <c r="E42" s="362"/>
      <c r="F42" s="362"/>
      <c r="G42" s="362"/>
      <c r="H42" s="362"/>
      <c r="I42" s="362"/>
      <c r="J42" s="363"/>
    </row>
    <row r="43" spans="2:12" ht="16" x14ac:dyDescent="0.5">
      <c r="B43" s="118"/>
      <c r="C43" s="44"/>
      <c r="D43" s="156" t="s">
        <v>28</v>
      </c>
      <c r="E43" s="156"/>
      <c r="F43" s="26" t="s">
        <v>1</v>
      </c>
      <c r="H43" s="351" t="s">
        <v>31</v>
      </c>
      <c r="I43" s="351"/>
      <c r="J43" s="104"/>
    </row>
    <row r="44" spans="2:12" ht="16" x14ac:dyDescent="0.5">
      <c r="B44" s="118"/>
      <c r="C44" s="217" t="s">
        <v>152</v>
      </c>
      <c r="D44" s="215">
        <v>2.9000000000000001E-2</v>
      </c>
      <c r="E44" s="217" t="s">
        <v>152</v>
      </c>
      <c r="F44" s="215">
        <v>2.9000000000000001E-2</v>
      </c>
      <c r="G44" s="214"/>
      <c r="H44" s="28">
        <f t="shared" ref="H44:H48" si="9">F44-D44</f>
        <v>0</v>
      </c>
      <c r="I44" s="220">
        <f t="shared" ref="I44:I48" si="10">H44/D44</f>
        <v>0</v>
      </c>
      <c r="J44" s="104"/>
    </row>
    <row r="45" spans="2:12" ht="16" x14ac:dyDescent="0.5">
      <c r="B45" s="118"/>
      <c r="C45" s="217" t="s">
        <v>153</v>
      </c>
      <c r="D45" s="216">
        <v>0.22</v>
      </c>
      <c r="E45" s="217" t="s">
        <v>153</v>
      </c>
      <c r="F45" s="216">
        <v>0.22</v>
      </c>
      <c r="G45" s="214"/>
      <c r="H45" s="224">
        <f t="shared" si="9"/>
        <v>0</v>
      </c>
      <c r="I45" s="221">
        <f t="shared" si="10"/>
        <v>0</v>
      </c>
      <c r="J45" s="104"/>
    </row>
    <row r="46" spans="2:12" ht="16" x14ac:dyDescent="0.5">
      <c r="B46" s="118"/>
      <c r="C46" s="217" t="s">
        <v>151</v>
      </c>
      <c r="D46" s="215">
        <v>0.249</v>
      </c>
      <c r="E46" s="217" t="s">
        <v>151</v>
      </c>
      <c r="F46" s="215">
        <v>0.249</v>
      </c>
      <c r="G46" s="214"/>
      <c r="H46" s="28">
        <f t="shared" si="9"/>
        <v>0</v>
      </c>
      <c r="I46" s="220">
        <f t="shared" si="10"/>
        <v>0</v>
      </c>
      <c r="J46" s="104"/>
    </row>
    <row r="47" spans="2:12" ht="43.5" x14ac:dyDescent="0.5">
      <c r="B47" s="118"/>
      <c r="C47" s="218" t="s">
        <v>214</v>
      </c>
      <c r="D47" s="216">
        <v>3.1E-2</v>
      </c>
      <c r="E47" s="218" t="s">
        <v>214</v>
      </c>
      <c r="F47" s="216">
        <v>3.1E-2</v>
      </c>
      <c r="G47" s="214"/>
      <c r="H47" s="224">
        <f t="shared" si="9"/>
        <v>0</v>
      </c>
      <c r="I47" s="221">
        <f t="shared" si="10"/>
        <v>0</v>
      </c>
      <c r="J47" s="104"/>
    </row>
    <row r="48" spans="2:12" ht="29" x14ac:dyDescent="0.5">
      <c r="B48" s="118"/>
      <c r="C48" s="218" t="s">
        <v>213</v>
      </c>
      <c r="D48" s="215">
        <v>0.28000000000000003</v>
      </c>
      <c r="E48" s="218" t="s">
        <v>213</v>
      </c>
      <c r="F48" s="215">
        <v>0.28000000000000003</v>
      </c>
      <c r="G48" s="214"/>
      <c r="H48" s="28">
        <f t="shared" si="9"/>
        <v>0</v>
      </c>
      <c r="I48" s="220">
        <f t="shared" si="10"/>
        <v>0</v>
      </c>
      <c r="J48" s="104"/>
    </row>
    <row r="49" spans="2:10" x14ac:dyDescent="0.35">
      <c r="B49" s="343"/>
      <c r="C49" s="344"/>
      <c r="D49" s="157"/>
      <c r="E49" s="157"/>
      <c r="F49" s="105"/>
      <c r="G49" s="106"/>
      <c r="H49" s="157"/>
      <c r="I49" s="222"/>
      <c r="J49" s="107"/>
    </row>
  </sheetData>
  <mergeCells count="21">
    <mergeCell ref="H18:I18"/>
    <mergeCell ref="B27:J27"/>
    <mergeCell ref="C28:D28"/>
    <mergeCell ref="E28:F28"/>
    <mergeCell ref="H28:I28"/>
    <mergeCell ref="C4:I4"/>
    <mergeCell ref="B49:C49"/>
    <mergeCell ref="B2:J2"/>
    <mergeCell ref="B5:J5"/>
    <mergeCell ref="H38:I38"/>
    <mergeCell ref="B7:J7"/>
    <mergeCell ref="B37:J37"/>
    <mergeCell ref="B3:J3"/>
    <mergeCell ref="H8:I8"/>
    <mergeCell ref="B42:J42"/>
    <mergeCell ref="H43:I43"/>
    <mergeCell ref="C8:D8"/>
    <mergeCell ref="E8:F8"/>
    <mergeCell ref="B17:J17"/>
    <mergeCell ref="C18:D18"/>
    <mergeCell ref="E18:F18"/>
  </mergeCells>
  <printOptions horizontalCentered="1"/>
  <pageMargins left="0.25" right="0.25" top="0.25" bottom="0.25" header="0.3" footer="0.3"/>
  <pageSetup scale="80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65B2-B426-4A7B-B1B5-795B69180106}">
  <sheetPr>
    <pageSetUpPr fitToPage="1"/>
  </sheetPr>
  <dimension ref="A2:GI133"/>
  <sheetViews>
    <sheetView topLeftCell="A86" workbookViewId="0">
      <selection activeCell="A91" sqref="A91:K134"/>
    </sheetView>
  </sheetViews>
  <sheetFormatPr defaultColWidth="8.84375" defaultRowHeight="14.5" x14ac:dyDescent="0.35"/>
  <cols>
    <col min="1" max="1" width="2.84375" style="24" customWidth="1"/>
    <col min="2" max="2" width="2.765625" style="24" customWidth="1"/>
    <col min="3" max="3" width="22.61328125" style="24" bestFit="1" customWidth="1"/>
    <col min="4" max="4" width="8.4609375" style="27" customWidth="1"/>
    <col min="5" max="5" width="22.61328125" style="27" bestFit="1" customWidth="1"/>
    <col min="6" max="6" width="9.69140625" style="24" customWidth="1"/>
    <col min="7" max="7" width="9.69140625" style="24" hidden="1" customWidth="1"/>
    <col min="8" max="8" width="9.69140625" style="24" customWidth="1"/>
    <col min="9" max="9" width="9.69140625" style="213" customWidth="1"/>
    <col min="10" max="10" width="2.765625" style="24" customWidth="1"/>
    <col min="11" max="11" width="2" style="24" customWidth="1"/>
    <col min="12" max="12" width="9.69140625" style="101" customWidth="1"/>
    <col min="13" max="191" width="9.69140625" style="24" customWidth="1"/>
    <col min="192" max="16384" width="8.84375" style="16"/>
  </cols>
  <sheetData>
    <row r="2" spans="2:12" x14ac:dyDescent="0.35">
      <c r="B2" s="300"/>
      <c r="C2" s="301"/>
      <c r="D2" s="302"/>
      <c r="E2" s="302"/>
      <c r="F2" s="301"/>
      <c r="G2" s="301"/>
      <c r="H2" s="301"/>
      <c r="I2" s="303"/>
      <c r="J2" s="304"/>
    </row>
    <row r="3" spans="2:12" ht="18" customHeight="1" x14ac:dyDescent="0.45">
      <c r="B3" s="361" t="s">
        <v>222</v>
      </c>
      <c r="C3" s="362"/>
      <c r="D3" s="362"/>
      <c r="E3" s="362"/>
      <c r="F3" s="362"/>
      <c r="G3" s="362"/>
      <c r="H3" s="362"/>
      <c r="I3" s="362"/>
      <c r="J3" s="363"/>
    </row>
    <row r="4" spans="2:12" x14ac:dyDescent="0.35">
      <c r="B4" s="103"/>
      <c r="J4" s="104"/>
      <c r="K4" s="103"/>
    </row>
    <row r="5" spans="2:12" ht="18.5" x14ac:dyDescent="0.45">
      <c r="B5" s="352" t="s">
        <v>219</v>
      </c>
      <c r="C5" s="353"/>
      <c r="D5" s="353"/>
      <c r="E5" s="353"/>
      <c r="F5" s="353"/>
      <c r="G5" s="353"/>
      <c r="H5" s="353"/>
      <c r="I5" s="353"/>
      <c r="J5" s="354"/>
    </row>
    <row r="6" spans="2:12" ht="19" x14ac:dyDescent="0.5">
      <c r="B6" s="25"/>
      <c r="C6" s="364" t="s">
        <v>210</v>
      </c>
      <c r="D6" s="364"/>
      <c r="E6" s="351" t="s">
        <v>209</v>
      </c>
      <c r="F6" s="351"/>
      <c r="G6" s="26"/>
      <c r="H6" s="351" t="s">
        <v>31</v>
      </c>
      <c r="I6" s="351"/>
      <c r="J6" s="116"/>
      <c r="L6" s="131"/>
    </row>
    <row r="7" spans="2:12" ht="29" x14ac:dyDescent="0.45">
      <c r="B7" s="103"/>
      <c r="C7" s="218" t="s">
        <v>217</v>
      </c>
      <c r="D7" s="219">
        <v>14.3</v>
      </c>
      <c r="E7" s="218" t="s">
        <v>217</v>
      </c>
      <c r="F7" s="28">
        <f>ROUND(D7*(1+SAO!$H$71/3),2)</f>
        <v>16.89</v>
      </c>
      <c r="G7" s="28" t="e">
        <f>#REF!*(1+#REF!)</f>
        <v>#REF!</v>
      </c>
      <c r="H7" s="28">
        <f t="shared" ref="H7:H13" si="0">F7-D7</f>
        <v>2.59</v>
      </c>
      <c r="I7" s="220">
        <f t="shared" ref="I7:I13" si="1">H7/D7</f>
        <v>0.18111888111888111</v>
      </c>
      <c r="J7" s="116"/>
      <c r="L7" s="130"/>
    </row>
    <row r="8" spans="2:12" ht="18.5" x14ac:dyDescent="0.45">
      <c r="B8" s="117"/>
      <c r="C8" s="223" t="s">
        <v>154</v>
      </c>
      <c r="D8" s="219">
        <v>7.21</v>
      </c>
      <c r="E8" s="223" t="s">
        <v>154</v>
      </c>
      <c r="F8" s="28">
        <f>ROUND(D8*(1+SAO!$H$71/3),2)</f>
        <v>8.51</v>
      </c>
      <c r="G8" s="28" t="e">
        <f>#REF!*(1+#REF!)</f>
        <v>#REF!</v>
      </c>
      <c r="H8" s="28">
        <f t="shared" si="0"/>
        <v>1.2999999999999998</v>
      </c>
      <c r="I8" s="220">
        <f t="shared" si="1"/>
        <v>0.18030513176144242</v>
      </c>
      <c r="J8" s="116"/>
      <c r="L8" s="129"/>
    </row>
    <row r="9" spans="2:12" ht="18.5" x14ac:dyDescent="0.45">
      <c r="B9" s="117"/>
      <c r="C9" s="223" t="s">
        <v>155</v>
      </c>
      <c r="D9" s="219">
        <v>6.78</v>
      </c>
      <c r="E9" s="223" t="s">
        <v>155</v>
      </c>
      <c r="F9" s="28">
        <f>ROUND(D9*(1+SAO!$H$71/3),2)</f>
        <v>8.01</v>
      </c>
      <c r="G9" s="28"/>
      <c r="H9" s="28">
        <f t="shared" si="0"/>
        <v>1.2299999999999995</v>
      </c>
      <c r="I9" s="220">
        <f t="shared" si="1"/>
        <v>0.18141592920353974</v>
      </c>
      <c r="J9" s="116"/>
      <c r="L9" s="129"/>
    </row>
    <row r="10" spans="2:12" ht="18.5" x14ac:dyDescent="0.45">
      <c r="B10" s="117"/>
      <c r="C10" s="223" t="s">
        <v>156</v>
      </c>
      <c r="D10" s="219">
        <v>6.58</v>
      </c>
      <c r="E10" s="223" t="s">
        <v>156</v>
      </c>
      <c r="F10" s="28">
        <f>ROUND(D10*(1+SAO!$H$71/3),2)</f>
        <v>7.77</v>
      </c>
      <c r="G10" s="28"/>
      <c r="H10" s="28">
        <f t="shared" si="0"/>
        <v>1.1899999999999995</v>
      </c>
      <c r="I10" s="220">
        <f t="shared" si="1"/>
        <v>0.18085106382978716</v>
      </c>
      <c r="J10" s="116"/>
      <c r="L10" s="129"/>
    </row>
    <row r="11" spans="2:12" ht="18.5" x14ac:dyDescent="0.45">
      <c r="B11" s="117"/>
      <c r="C11" s="223" t="s">
        <v>157</v>
      </c>
      <c r="D11" s="219">
        <v>5.82</v>
      </c>
      <c r="E11" s="223" t="s">
        <v>157</v>
      </c>
      <c r="F11" s="28">
        <f>ROUND(D11*(1+SAO!$H$71/3),2)</f>
        <v>6.87</v>
      </c>
      <c r="G11" s="28"/>
      <c r="H11" s="28">
        <f t="shared" si="0"/>
        <v>1.0499999999999998</v>
      </c>
      <c r="I11" s="220">
        <f t="shared" si="1"/>
        <v>0.18041237113402059</v>
      </c>
      <c r="J11" s="116"/>
      <c r="L11" s="129"/>
    </row>
    <row r="12" spans="2:12" ht="18.5" x14ac:dyDescent="0.45">
      <c r="B12" s="117"/>
      <c r="C12" s="228" t="s">
        <v>158</v>
      </c>
      <c r="D12" s="219">
        <v>5.41</v>
      </c>
      <c r="E12" s="228" t="s">
        <v>211</v>
      </c>
      <c r="F12" s="28">
        <f>ROUND(D12*(1+SAO!$H$71/3),2)</f>
        <v>6.39</v>
      </c>
      <c r="G12" s="28"/>
      <c r="H12" s="28">
        <f t="shared" si="0"/>
        <v>0.97999999999999954</v>
      </c>
      <c r="I12" s="220">
        <f t="shared" si="1"/>
        <v>0.1811460258780036</v>
      </c>
      <c r="J12" s="116"/>
      <c r="L12" s="129"/>
    </row>
    <row r="13" spans="2:12" ht="18.5" x14ac:dyDescent="0.45">
      <c r="B13" s="117"/>
      <c r="C13" s="228" t="s">
        <v>159</v>
      </c>
      <c r="D13" s="219">
        <v>3.53</v>
      </c>
      <c r="E13" s="228" t="s">
        <v>212</v>
      </c>
      <c r="F13" s="28">
        <f>ROUND(D13*(1+SAO!$H$71/3),2)</f>
        <v>4.17</v>
      </c>
      <c r="G13" s="28"/>
      <c r="H13" s="28">
        <f t="shared" si="0"/>
        <v>0.64000000000000012</v>
      </c>
      <c r="I13" s="220">
        <f t="shared" si="1"/>
        <v>0.18130311614730882</v>
      </c>
      <c r="J13" s="116"/>
      <c r="L13" s="129"/>
    </row>
    <row r="14" spans="2:12" x14ac:dyDescent="0.35">
      <c r="B14" s="115"/>
      <c r="C14" s="217"/>
      <c r="D14" s="28"/>
      <c r="E14" s="28"/>
      <c r="F14" s="102"/>
      <c r="G14" s="102"/>
      <c r="H14" s="102"/>
      <c r="I14" s="220"/>
      <c r="J14" s="104"/>
    </row>
    <row r="15" spans="2:12" ht="18.5" x14ac:dyDescent="0.45">
      <c r="B15" s="352" t="s">
        <v>220</v>
      </c>
      <c r="C15" s="353"/>
      <c r="D15" s="353"/>
      <c r="E15" s="353"/>
      <c r="F15" s="353"/>
      <c r="G15" s="353"/>
      <c r="H15" s="353"/>
      <c r="I15" s="353"/>
      <c r="J15" s="354"/>
    </row>
    <row r="16" spans="2:12" ht="19" x14ac:dyDescent="0.5">
      <c r="B16" s="25"/>
      <c r="C16" s="364" t="s">
        <v>210</v>
      </c>
      <c r="D16" s="364"/>
      <c r="E16" s="351" t="s">
        <v>209</v>
      </c>
      <c r="F16" s="351"/>
      <c r="G16" s="26"/>
      <c r="H16" s="351" t="s">
        <v>31</v>
      </c>
      <c r="I16" s="351"/>
      <c r="J16" s="116"/>
      <c r="L16" s="131"/>
    </row>
    <row r="17" spans="2:12" ht="29" x14ac:dyDescent="0.45">
      <c r="B17" s="103"/>
      <c r="C17" s="218" t="s">
        <v>217</v>
      </c>
      <c r="D17" s="219">
        <v>21.32</v>
      </c>
      <c r="E17" s="218" t="s">
        <v>217</v>
      </c>
      <c r="F17" s="28">
        <f>ROUND(D17*(1+SAO!$H$71/3),2)</f>
        <v>25.18</v>
      </c>
      <c r="G17" s="28" t="e">
        <f>#REF!*(1+#REF!)</f>
        <v>#REF!</v>
      </c>
      <c r="H17" s="28">
        <f t="shared" ref="H17:H23" si="2">F17-D17</f>
        <v>3.8599999999999994</v>
      </c>
      <c r="I17" s="220">
        <f t="shared" ref="I17:I23" si="3">H17/D17</f>
        <v>0.18105065666041273</v>
      </c>
      <c r="J17" s="116"/>
      <c r="L17" s="130"/>
    </row>
    <row r="18" spans="2:12" ht="18.5" x14ac:dyDescent="0.45">
      <c r="B18" s="117"/>
      <c r="C18" s="223" t="s">
        <v>154</v>
      </c>
      <c r="D18" s="219">
        <v>10.79</v>
      </c>
      <c r="E18" s="223" t="s">
        <v>154</v>
      </c>
      <c r="F18" s="28">
        <f>ROUND(D18*(1+SAO!$H$71/3),2)</f>
        <v>12.74</v>
      </c>
      <c r="G18" s="28" t="e">
        <f>#REF!*(1+#REF!)</f>
        <v>#REF!</v>
      </c>
      <c r="H18" s="28">
        <f t="shared" si="2"/>
        <v>1.9500000000000011</v>
      </c>
      <c r="I18" s="220">
        <f t="shared" si="3"/>
        <v>0.18072289156626517</v>
      </c>
      <c r="J18" s="116"/>
      <c r="L18" s="129"/>
    </row>
    <row r="19" spans="2:12" ht="18.5" x14ac:dyDescent="0.45">
      <c r="B19" s="117"/>
      <c r="C19" s="223" t="s">
        <v>155</v>
      </c>
      <c r="D19" s="219">
        <v>10.17</v>
      </c>
      <c r="E19" s="223" t="s">
        <v>155</v>
      </c>
      <c r="F19" s="28">
        <f>ROUND(D19*(1+SAO!$H$71/3),2)</f>
        <v>12.01</v>
      </c>
      <c r="G19" s="28"/>
      <c r="H19" s="28">
        <f t="shared" si="2"/>
        <v>1.8399999999999999</v>
      </c>
      <c r="I19" s="220">
        <f t="shared" si="3"/>
        <v>0.18092428711897737</v>
      </c>
      <c r="J19" s="116"/>
      <c r="L19" s="129"/>
    </row>
    <row r="20" spans="2:12" ht="18.5" x14ac:dyDescent="0.45">
      <c r="B20" s="117"/>
      <c r="C20" s="223" t="s">
        <v>156</v>
      </c>
      <c r="D20" s="219">
        <v>9.86</v>
      </c>
      <c r="E20" s="223" t="s">
        <v>156</v>
      </c>
      <c r="F20" s="28">
        <f>ROUND(D20*(1+SAO!$H$71/3),2)</f>
        <v>11.64</v>
      </c>
      <c r="G20" s="28"/>
      <c r="H20" s="28">
        <f t="shared" si="2"/>
        <v>1.7800000000000011</v>
      </c>
      <c r="I20" s="220">
        <f t="shared" si="3"/>
        <v>0.18052738336714008</v>
      </c>
      <c r="J20" s="116"/>
      <c r="L20" s="129"/>
    </row>
    <row r="21" spans="2:12" ht="18.5" x14ac:dyDescent="0.45">
      <c r="B21" s="117"/>
      <c r="C21" s="223" t="s">
        <v>157</v>
      </c>
      <c r="D21" s="219">
        <v>8.7200000000000006</v>
      </c>
      <c r="E21" s="223" t="s">
        <v>157</v>
      </c>
      <c r="F21" s="28">
        <f>ROUND(D21*(1+SAO!$H$71/3),2)</f>
        <v>10.3</v>
      </c>
      <c r="G21" s="28"/>
      <c r="H21" s="28">
        <f t="shared" si="2"/>
        <v>1.58</v>
      </c>
      <c r="I21" s="220">
        <f t="shared" si="3"/>
        <v>0.18119266055045871</v>
      </c>
      <c r="J21" s="116"/>
      <c r="L21" s="129"/>
    </row>
    <row r="22" spans="2:12" ht="18.5" x14ac:dyDescent="0.45">
      <c r="B22" s="117"/>
      <c r="C22" s="228" t="s">
        <v>158</v>
      </c>
      <c r="D22" s="219">
        <v>8.1</v>
      </c>
      <c r="E22" s="228" t="s">
        <v>211</v>
      </c>
      <c r="F22" s="28">
        <f>ROUND(D22*(1+SAO!$H$71/3),2)</f>
        <v>9.57</v>
      </c>
      <c r="G22" s="28"/>
      <c r="H22" s="28">
        <f t="shared" si="2"/>
        <v>1.4700000000000006</v>
      </c>
      <c r="I22" s="220">
        <f t="shared" si="3"/>
        <v>0.18148148148148158</v>
      </c>
      <c r="J22" s="116"/>
      <c r="L22" s="129"/>
    </row>
    <row r="23" spans="2:12" ht="18.5" x14ac:dyDescent="0.45">
      <c r="B23" s="117"/>
      <c r="C23" s="228" t="s">
        <v>159</v>
      </c>
      <c r="D23" s="219">
        <v>5.3</v>
      </c>
      <c r="E23" s="228" t="s">
        <v>212</v>
      </c>
      <c r="F23" s="28">
        <f>ROUND(D23*(1+SAO!$H$71/3),2)</f>
        <v>6.26</v>
      </c>
      <c r="G23" s="28"/>
      <c r="H23" s="28">
        <f t="shared" si="2"/>
        <v>0.96</v>
      </c>
      <c r="I23" s="220">
        <f t="shared" si="3"/>
        <v>0.1811320754716981</v>
      </c>
      <c r="J23" s="116"/>
      <c r="L23" s="129"/>
    </row>
    <row r="24" spans="2:12" x14ac:dyDescent="0.35">
      <c r="B24" s="115"/>
      <c r="C24" s="217"/>
      <c r="D24" s="28"/>
      <c r="E24" s="28"/>
      <c r="F24" s="102"/>
      <c r="G24" s="102"/>
      <c r="H24" s="102"/>
      <c r="I24" s="220"/>
      <c r="J24" s="104"/>
    </row>
    <row r="25" spans="2:12" ht="18.5" x14ac:dyDescent="0.45">
      <c r="B25" s="352" t="s">
        <v>221</v>
      </c>
      <c r="C25" s="353"/>
      <c r="D25" s="353"/>
      <c r="E25" s="353"/>
      <c r="F25" s="353"/>
      <c r="G25" s="353"/>
      <c r="H25" s="353"/>
      <c r="I25" s="353"/>
      <c r="J25" s="354"/>
    </row>
    <row r="26" spans="2:12" ht="19" x14ac:dyDescent="0.5">
      <c r="B26" s="25"/>
      <c r="C26" s="364" t="s">
        <v>210</v>
      </c>
      <c r="D26" s="364"/>
      <c r="E26" s="351" t="s">
        <v>209</v>
      </c>
      <c r="F26" s="351"/>
      <c r="G26" s="26"/>
      <c r="H26" s="351" t="s">
        <v>31</v>
      </c>
      <c r="I26" s="351"/>
      <c r="J26" s="116"/>
      <c r="L26" s="131"/>
    </row>
    <row r="27" spans="2:12" ht="29" x14ac:dyDescent="0.45">
      <c r="B27" s="103"/>
      <c r="C27" s="218" t="s">
        <v>217</v>
      </c>
      <c r="D27" s="219">
        <v>14.12</v>
      </c>
      <c r="E27" s="218" t="s">
        <v>217</v>
      </c>
      <c r="F27" s="28">
        <f>F7</f>
        <v>16.89</v>
      </c>
      <c r="G27" s="28" t="e">
        <f>#REF!*(1+#REF!)</f>
        <v>#REF!</v>
      </c>
      <c r="H27" s="28">
        <f t="shared" ref="H27:H33" si="4">F27-D27</f>
        <v>2.7700000000000014</v>
      </c>
      <c r="I27" s="220">
        <f t="shared" ref="I27:I33" si="5">H27/D27</f>
        <v>0.19617563739376781</v>
      </c>
      <c r="J27" s="116"/>
      <c r="L27" s="130"/>
    </row>
    <row r="28" spans="2:12" ht="18.5" x14ac:dyDescent="0.45">
      <c r="B28" s="117"/>
      <c r="C28" s="223" t="s">
        <v>154</v>
      </c>
      <c r="D28" s="219">
        <v>7.12</v>
      </c>
      <c r="E28" s="223" t="s">
        <v>154</v>
      </c>
      <c r="F28" s="28">
        <f t="shared" ref="F28:F33" si="6">F8</f>
        <v>8.51</v>
      </c>
      <c r="G28" s="28" t="e">
        <f>#REF!*(1+#REF!)</f>
        <v>#REF!</v>
      </c>
      <c r="H28" s="28">
        <f t="shared" si="4"/>
        <v>1.3899999999999997</v>
      </c>
      <c r="I28" s="220">
        <f t="shared" si="5"/>
        <v>0.19522471910112354</v>
      </c>
      <c r="J28" s="116"/>
      <c r="L28" s="129"/>
    </row>
    <row r="29" spans="2:12" ht="18.5" x14ac:dyDescent="0.45">
      <c r="B29" s="117"/>
      <c r="C29" s="223" t="s">
        <v>155</v>
      </c>
      <c r="D29" s="219">
        <v>6.7</v>
      </c>
      <c r="E29" s="223" t="s">
        <v>155</v>
      </c>
      <c r="F29" s="28">
        <f t="shared" si="6"/>
        <v>8.01</v>
      </c>
      <c r="G29" s="28"/>
      <c r="H29" s="28">
        <f t="shared" si="4"/>
        <v>1.3099999999999996</v>
      </c>
      <c r="I29" s="220">
        <f t="shared" si="5"/>
        <v>0.19552238805970143</v>
      </c>
      <c r="J29" s="116"/>
      <c r="L29" s="129"/>
    </row>
    <row r="30" spans="2:12" ht="18.5" x14ac:dyDescent="0.45">
      <c r="B30" s="117"/>
      <c r="C30" s="223" t="s">
        <v>156</v>
      </c>
      <c r="D30" s="219">
        <v>6.5</v>
      </c>
      <c r="E30" s="223" t="s">
        <v>156</v>
      </c>
      <c r="F30" s="28">
        <f t="shared" si="6"/>
        <v>7.77</v>
      </c>
      <c r="G30" s="28"/>
      <c r="H30" s="28">
        <f t="shared" si="4"/>
        <v>1.2699999999999996</v>
      </c>
      <c r="I30" s="220">
        <f t="shared" si="5"/>
        <v>0.19538461538461532</v>
      </c>
      <c r="J30" s="116"/>
      <c r="L30" s="129"/>
    </row>
    <row r="31" spans="2:12" ht="18.5" x14ac:dyDescent="0.45">
      <c r="B31" s="117"/>
      <c r="C31" s="223" t="s">
        <v>157</v>
      </c>
      <c r="D31" s="219">
        <v>5.75</v>
      </c>
      <c r="E31" s="223" t="s">
        <v>157</v>
      </c>
      <c r="F31" s="28">
        <f t="shared" si="6"/>
        <v>6.87</v>
      </c>
      <c r="G31" s="28"/>
      <c r="H31" s="28">
        <f t="shared" si="4"/>
        <v>1.1200000000000001</v>
      </c>
      <c r="I31" s="220">
        <f t="shared" si="5"/>
        <v>0.1947826086956522</v>
      </c>
      <c r="J31" s="116"/>
      <c r="L31" s="129"/>
    </row>
    <row r="32" spans="2:12" ht="18.5" x14ac:dyDescent="0.45">
      <c r="B32" s="117"/>
      <c r="C32" s="228" t="s">
        <v>158</v>
      </c>
      <c r="D32" s="219">
        <v>5.34</v>
      </c>
      <c r="E32" s="228" t="s">
        <v>211</v>
      </c>
      <c r="F32" s="28">
        <f t="shared" si="6"/>
        <v>6.39</v>
      </c>
      <c r="G32" s="28"/>
      <c r="H32" s="28">
        <f t="shared" si="4"/>
        <v>1.0499999999999998</v>
      </c>
      <c r="I32" s="220">
        <f t="shared" si="5"/>
        <v>0.19662921348314605</v>
      </c>
      <c r="J32" s="116"/>
      <c r="L32" s="129"/>
    </row>
    <row r="33" spans="2:12" ht="18.5" x14ac:dyDescent="0.45">
      <c r="B33" s="117"/>
      <c r="C33" s="228" t="s">
        <v>159</v>
      </c>
      <c r="D33" s="219">
        <v>3.49</v>
      </c>
      <c r="E33" s="228" t="s">
        <v>212</v>
      </c>
      <c r="F33" s="28">
        <f t="shared" si="6"/>
        <v>4.17</v>
      </c>
      <c r="G33" s="28"/>
      <c r="H33" s="28">
        <f t="shared" si="4"/>
        <v>0.67999999999999972</v>
      </c>
      <c r="I33" s="220">
        <f t="shared" si="5"/>
        <v>0.19484240687679075</v>
      </c>
      <c r="J33" s="116"/>
      <c r="L33" s="129"/>
    </row>
    <row r="34" spans="2:12" x14ac:dyDescent="0.35">
      <c r="B34" s="115"/>
      <c r="C34" s="217"/>
      <c r="D34" s="28"/>
      <c r="E34" s="28"/>
      <c r="F34" s="102"/>
      <c r="G34" s="102"/>
      <c r="H34" s="102"/>
      <c r="I34" s="220"/>
      <c r="J34" s="104"/>
    </row>
    <row r="35" spans="2:12" ht="18.5" x14ac:dyDescent="0.45">
      <c r="B35" s="355" t="s">
        <v>122</v>
      </c>
      <c r="C35" s="356"/>
      <c r="D35" s="356"/>
      <c r="E35" s="356"/>
      <c r="F35" s="356"/>
      <c r="G35" s="356"/>
      <c r="H35" s="356"/>
      <c r="I35" s="356"/>
      <c r="J35" s="357"/>
    </row>
    <row r="36" spans="2:12" ht="17.649999999999999" customHeight="1" x14ac:dyDescent="0.5">
      <c r="B36" s="103"/>
      <c r="C36" s="364" t="s">
        <v>210</v>
      </c>
      <c r="D36" s="364"/>
      <c r="E36" s="351" t="s">
        <v>209</v>
      </c>
      <c r="F36" s="351"/>
      <c r="H36" s="351" t="s">
        <v>31</v>
      </c>
      <c r="I36" s="351"/>
      <c r="J36" s="104"/>
    </row>
    <row r="37" spans="2:12" ht="35" customHeight="1" x14ac:dyDescent="0.5">
      <c r="B37" s="118"/>
      <c r="C37" s="211" t="s">
        <v>218</v>
      </c>
      <c r="D37" s="219">
        <v>2.4900000000000002</v>
      </c>
      <c r="E37" s="211" t="s">
        <v>218</v>
      </c>
      <c r="F37" s="28">
        <f>ROUND(D37*(1+0.506/3),2)</f>
        <v>2.91</v>
      </c>
      <c r="G37" s="102"/>
      <c r="H37" s="28">
        <f>F37-D37</f>
        <v>0.41999999999999993</v>
      </c>
      <c r="I37" s="220">
        <f>H37/D37</f>
        <v>0.16867469879518068</v>
      </c>
      <c r="J37" s="104"/>
    </row>
    <row r="38" spans="2:12" ht="35" customHeight="1" x14ac:dyDescent="0.5">
      <c r="B38" s="118"/>
      <c r="C38" s="212" t="s">
        <v>215</v>
      </c>
      <c r="D38" s="28">
        <v>1.4</v>
      </c>
      <c r="E38" s="212" t="s">
        <v>216</v>
      </c>
      <c r="F38" s="28">
        <f>ROUND(D38*(1+0.5071/3),2)</f>
        <v>1.64</v>
      </c>
      <c r="G38" s="102"/>
      <c r="H38" s="28">
        <f>F38-D38</f>
        <v>0.24</v>
      </c>
      <c r="I38" s="220">
        <f>H38/D38</f>
        <v>0.17142857142857143</v>
      </c>
      <c r="J38" s="104"/>
    </row>
    <row r="39" spans="2:12" ht="18" customHeight="1" x14ac:dyDescent="0.5">
      <c r="B39" s="118"/>
      <c r="C39" s="212"/>
      <c r="D39" s="28"/>
      <c r="E39" s="212"/>
      <c r="F39" s="233"/>
      <c r="G39" s="102"/>
      <c r="H39" s="28"/>
      <c r="I39" s="131"/>
      <c r="J39" s="104"/>
    </row>
    <row r="40" spans="2:12" ht="18" customHeight="1" x14ac:dyDescent="0.45">
      <c r="B40" s="365" t="s">
        <v>223</v>
      </c>
      <c r="C40" s="366"/>
      <c r="D40" s="366"/>
      <c r="E40" s="366"/>
      <c r="F40" s="366"/>
      <c r="G40" s="366"/>
      <c r="H40" s="366"/>
      <c r="I40" s="366"/>
      <c r="J40" s="367"/>
    </row>
    <row r="41" spans="2:12" ht="19" x14ac:dyDescent="0.5">
      <c r="B41" s="305"/>
      <c r="C41" s="364" t="s">
        <v>210</v>
      </c>
      <c r="D41" s="364"/>
      <c r="E41" s="351" t="s">
        <v>209</v>
      </c>
      <c r="F41" s="351"/>
      <c r="H41" s="351" t="s">
        <v>31</v>
      </c>
      <c r="I41" s="351"/>
      <c r="J41" s="306"/>
    </row>
    <row r="42" spans="2:12" ht="18" customHeight="1" x14ac:dyDescent="0.35">
      <c r="B42" s="308"/>
      <c r="C42" s="307" t="str">
        <f>[3]RatesS!$C$10</f>
        <v>All Usage</v>
      </c>
      <c r="D42" s="307">
        <f>[3]RatesS!$D$10</f>
        <v>10.31</v>
      </c>
      <c r="E42" s="307" t="str">
        <f>[3]RatesS!$G$10</f>
        <v>All Usage</v>
      </c>
      <c r="F42" s="28">
        <f>ROUND(D42*(1+0.5519/3),2)</f>
        <v>12.21</v>
      </c>
      <c r="G42" s="307"/>
      <c r="H42" s="28">
        <f t="shared" ref="H42" si="7">F42-D42</f>
        <v>1.9000000000000004</v>
      </c>
      <c r="I42" s="220">
        <f t="shared" ref="I42" si="8">H42/D42</f>
        <v>0.18428709990300682</v>
      </c>
      <c r="J42" s="309"/>
    </row>
    <row r="43" spans="2:12" x14ac:dyDescent="0.35">
      <c r="B43" s="343"/>
      <c r="C43" s="344"/>
      <c r="D43" s="157"/>
      <c r="E43" s="157"/>
      <c r="F43" s="105"/>
      <c r="G43" s="106"/>
      <c r="H43" s="157"/>
      <c r="I43" s="222"/>
      <c r="J43" s="107"/>
    </row>
    <row r="48" spans="2:12" x14ac:dyDescent="0.35">
      <c r="B48" s="300"/>
      <c r="C48" s="301"/>
      <c r="D48" s="302"/>
      <c r="E48" s="302"/>
      <c r="F48" s="301"/>
      <c r="G48" s="301"/>
      <c r="H48" s="301"/>
      <c r="I48" s="303"/>
      <c r="J48" s="304"/>
    </row>
    <row r="49" spans="2:11" ht="18.5" x14ac:dyDescent="0.45">
      <c r="B49" s="361" t="s">
        <v>224</v>
      </c>
      <c r="C49" s="362"/>
      <c r="D49" s="362"/>
      <c r="E49" s="362"/>
      <c r="F49" s="362"/>
      <c r="G49" s="362"/>
      <c r="H49" s="362"/>
      <c r="I49" s="362"/>
      <c r="J49" s="363"/>
    </row>
    <row r="50" spans="2:11" x14ac:dyDescent="0.35">
      <c r="B50" s="103"/>
      <c r="J50" s="104"/>
      <c r="K50" s="103"/>
    </row>
    <row r="51" spans="2:11" ht="18.5" x14ac:dyDescent="0.45">
      <c r="B51" s="352" t="s">
        <v>219</v>
      </c>
      <c r="C51" s="353"/>
      <c r="D51" s="353"/>
      <c r="E51" s="353"/>
      <c r="F51" s="353"/>
      <c r="G51" s="353"/>
      <c r="H51" s="353"/>
      <c r="I51" s="353"/>
      <c r="J51" s="354"/>
    </row>
    <row r="52" spans="2:11" ht="19" x14ac:dyDescent="0.5">
      <c r="B52" s="25"/>
      <c r="C52" s="364" t="s">
        <v>210</v>
      </c>
      <c r="D52" s="364"/>
      <c r="E52" s="351" t="s">
        <v>209</v>
      </c>
      <c r="F52" s="351"/>
      <c r="G52" s="26"/>
      <c r="H52" s="351" t="s">
        <v>31</v>
      </c>
      <c r="I52" s="351"/>
      <c r="J52" s="116"/>
    </row>
    <row r="53" spans="2:11" ht="29" x14ac:dyDescent="0.45">
      <c r="B53" s="103"/>
      <c r="C53" s="218" t="s">
        <v>217</v>
      </c>
      <c r="D53" s="219">
        <f>F7</f>
        <v>16.89</v>
      </c>
      <c r="E53" s="218" t="s">
        <v>217</v>
      </c>
      <c r="F53" s="28">
        <f>ROUND(D53*(1+SAO!$H$71/3),2)</f>
        <v>19.95</v>
      </c>
      <c r="G53" s="28" t="e">
        <f>#REF!*(1+#REF!)</f>
        <v>#REF!</v>
      </c>
      <c r="H53" s="28">
        <f t="shared" ref="H53:H59" si="9">F53-D53</f>
        <v>3.0599999999999987</v>
      </c>
      <c r="I53" s="220">
        <f t="shared" ref="I53:I59" si="10">H53/D53</f>
        <v>0.18117229129662513</v>
      </c>
      <c r="J53" s="116"/>
    </row>
    <row r="54" spans="2:11" ht="18.5" x14ac:dyDescent="0.45">
      <c r="B54" s="117"/>
      <c r="C54" s="223" t="s">
        <v>154</v>
      </c>
      <c r="D54" s="219">
        <f t="shared" ref="D54:D59" si="11">F8</f>
        <v>8.51</v>
      </c>
      <c r="E54" s="223" t="s">
        <v>154</v>
      </c>
      <c r="F54" s="28">
        <f>ROUND(D54*(1+SAO!$H$71/3),2)</f>
        <v>10.050000000000001</v>
      </c>
      <c r="G54" s="28" t="e">
        <f>#REF!*(1+#REF!)</f>
        <v>#REF!</v>
      </c>
      <c r="H54" s="28">
        <f t="shared" si="9"/>
        <v>1.5400000000000009</v>
      </c>
      <c r="I54" s="220">
        <f t="shared" si="10"/>
        <v>0.1809635722679202</v>
      </c>
      <c r="J54" s="116"/>
    </row>
    <row r="55" spans="2:11" ht="18.5" x14ac:dyDescent="0.45">
      <c r="B55" s="117"/>
      <c r="C55" s="223" t="s">
        <v>155</v>
      </c>
      <c r="D55" s="219">
        <f t="shared" si="11"/>
        <v>8.01</v>
      </c>
      <c r="E55" s="223" t="s">
        <v>155</v>
      </c>
      <c r="F55" s="28">
        <f>ROUND(D55*(1+SAO!$H$71/3),2)</f>
        <v>9.4600000000000009</v>
      </c>
      <c r="G55" s="28"/>
      <c r="H55" s="28">
        <f t="shared" si="9"/>
        <v>1.4500000000000011</v>
      </c>
      <c r="I55" s="220">
        <f t="shared" si="10"/>
        <v>0.18102372034956318</v>
      </c>
      <c r="J55" s="116"/>
    </row>
    <row r="56" spans="2:11" ht="18.5" x14ac:dyDescent="0.45">
      <c r="B56" s="117"/>
      <c r="C56" s="223" t="s">
        <v>156</v>
      </c>
      <c r="D56" s="219">
        <f t="shared" si="11"/>
        <v>7.77</v>
      </c>
      <c r="E56" s="223" t="s">
        <v>156</v>
      </c>
      <c r="F56" s="28">
        <f>ROUND(D56*(1+SAO!$H$71/3),2)</f>
        <v>9.18</v>
      </c>
      <c r="G56" s="28"/>
      <c r="H56" s="28">
        <f t="shared" si="9"/>
        <v>1.4100000000000001</v>
      </c>
      <c r="I56" s="220">
        <f t="shared" si="10"/>
        <v>0.18146718146718149</v>
      </c>
      <c r="J56" s="116"/>
    </row>
    <row r="57" spans="2:11" ht="18.5" x14ac:dyDescent="0.45">
      <c r="B57" s="117"/>
      <c r="C57" s="223" t="s">
        <v>157</v>
      </c>
      <c r="D57" s="219">
        <f t="shared" si="11"/>
        <v>6.87</v>
      </c>
      <c r="E57" s="223" t="s">
        <v>157</v>
      </c>
      <c r="F57" s="28">
        <f>ROUND(D57*(1+SAO!$H$71/3),2)</f>
        <v>8.11</v>
      </c>
      <c r="G57" s="28"/>
      <c r="H57" s="28">
        <f t="shared" si="9"/>
        <v>1.2399999999999993</v>
      </c>
      <c r="I57" s="220">
        <f t="shared" si="10"/>
        <v>0.18049490538573498</v>
      </c>
      <c r="J57" s="116"/>
    </row>
    <row r="58" spans="2:11" ht="18.5" x14ac:dyDescent="0.45">
      <c r="B58" s="117"/>
      <c r="C58" s="228" t="s">
        <v>211</v>
      </c>
      <c r="D58" s="219">
        <f t="shared" si="11"/>
        <v>6.39</v>
      </c>
      <c r="E58" s="228" t="s">
        <v>211</v>
      </c>
      <c r="F58" s="28">
        <f>ROUND(D58*(1+SAO!$H$71/3),2)</f>
        <v>7.55</v>
      </c>
      <c r="G58" s="28"/>
      <c r="H58" s="28">
        <f t="shared" si="9"/>
        <v>1.1600000000000001</v>
      </c>
      <c r="I58" s="220">
        <f t="shared" si="10"/>
        <v>0.18153364632237876</v>
      </c>
      <c r="J58" s="116"/>
    </row>
    <row r="59" spans="2:11" ht="18.5" x14ac:dyDescent="0.45">
      <c r="B59" s="117"/>
      <c r="C59" s="228" t="s">
        <v>212</v>
      </c>
      <c r="D59" s="219">
        <f t="shared" si="11"/>
        <v>4.17</v>
      </c>
      <c r="E59" s="228" t="s">
        <v>212</v>
      </c>
      <c r="F59" s="28">
        <f>ROUND(D59*(1+SAO!$H$71/3),2)</f>
        <v>4.92</v>
      </c>
      <c r="G59" s="28"/>
      <c r="H59" s="28">
        <f t="shared" si="9"/>
        <v>0.75</v>
      </c>
      <c r="I59" s="220">
        <f t="shared" si="10"/>
        <v>0.17985611510791366</v>
      </c>
      <c r="J59" s="116"/>
    </row>
    <row r="60" spans="2:11" x14ac:dyDescent="0.35">
      <c r="B60" s="115"/>
      <c r="C60" s="217"/>
      <c r="D60" s="28"/>
      <c r="E60" s="28"/>
      <c r="F60" s="102"/>
      <c r="G60" s="102"/>
      <c r="H60" s="102"/>
      <c r="I60" s="220"/>
      <c r="J60" s="104"/>
    </row>
    <row r="61" spans="2:11" ht="18.5" x14ac:dyDescent="0.45">
      <c r="B61" s="352" t="s">
        <v>220</v>
      </c>
      <c r="C61" s="353"/>
      <c r="D61" s="353"/>
      <c r="E61" s="353"/>
      <c r="F61" s="353"/>
      <c r="G61" s="353"/>
      <c r="H61" s="353"/>
      <c r="I61" s="353"/>
      <c r="J61" s="354"/>
    </row>
    <row r="62" spans="2:11" ht="19" x14ac:dyDescent="0.5">
      <c r="B62" s="25"/>
      <c r="C62" s="364" t="s">
        <v>210</v>
      </c>
      <c r="D62" s="364"/>
      <c r="E62" s="351" t="s">
        <v>209</v>
      </c>
      <c r="F62" s="351"/>
      <c r="G62" s="26"/>
      <c r="H62" s="351" t="s">
        <v>31</v>
      </c>
      <c r="I62" s="351"/>
      <c r="J62" s="116"/>
    </row>
    <row r="63" spans="2:11" ht="29" x14ac:dyDescent="0.45">
      <c r="B63" s="103"/>
      <c r="C63" s="218" t="s">
        <v>217</v>
      </c>
      <c r="D63" s="219">
        <f t="shared" ref="D63:D69" si="12">F17</f>
        <v>25.18</v>
      </c>
      <c r="E63" s="218" t="s">
        <v>217</v>
      </c>
      <c r="F63" s="28">
        <f>ROUND(D63*(1+SAO!$H$71/3),2)</f>
        <v>29.74</v>
      </c>
      <c r="G63" s="28" t="e">
        <f>#REF!*(1+#REF!)</f>
        <v>#REF!</v>
      </c>
      <c r="H63" s="28">
        <f t="shared" ref="H63:H69" si="13">F63-D63</f>
        <v>4.5599999999999987</v>
      </c>
      <c r="I63" s="220">
        <f t="shared" ref="I63:I69" si="14">H63/D63</f>
        <v>0.18109610802223983</v>
      </c>
      <c r="J63" s="116"/>
    </row>
    <row r="64" spans="2:11" ht="18.5" x14ac:dyDescent="0.45">
      <c r="B64" s="117"/>
      <c r="C64" s="223" t="s">
        <v>154</v>
      </c>
      <c r="D64" s="219">
        <f t="shared" si="12"/>
        <v>12.74</v>
      </c>
      <c r="E64" s="223" t="s">
        <v>154</v>
      </c>
      <c r="F64" s="28">
        <f>ROUND(D64*(1+SAO!$H$71/3),2)</f>
        <v>15.04</v>
      </c>
      <c r="G64" s="28" t="e">
        <f>#REF!*(1+#REF!)</f>
        <v>#REF!</v>
      </c>
      <c r="H64" s="28">
        <f t="shared" si="13"/>
        <v>2.2999999999999989</v>
      </c>
      <c r="I64" s="220">
        <f t="shared" si="14"/>
        <v>0.1805337519623233</v>
      </c>
      <c r="J64" s="116"/>
    </row>
    <row r="65" spans="2:10" ht="18.5" x14ac:dyDescent="0.45">
      <c r="B65" s="117"/>
      <c r="C65" s="223" t="s">
        <v>155</v>
      </c>
      <c r="D65" s="219">
        <f t="shared" si="12"/>
        <v>12.01</v>
      </c>
      <c r="E65" s="223" t="s">
        <v>155</v>
      </c>
      <c r="F65" s="28">
        <f>ROUND(D65*(1+SAO!$H$71/3),2)</f>
        <v>14.18</v>
      </c>
      <c r="G65" s="28"/>
      <c r="H65" s="28">
        <f t="shared" si="13"/>
        <v>2.17</v>
      </c>
      <c r="I65" s="220">
        <f t="shared" si="14"/>
        <v>0.1806827643630308</v>
      </c>
      <c r="J65" s="116"/>
    </row>
    <row r="66" spans="2:10" ht="18.5" x14ac:dyDescent="0.45">
      <c r="B66" s="117"/>
      <c r="C66" s="223" t="s">
        <v>156</v>
      </c>
      <c r="D66" s="219">
        <f t="shared" si="12"/>
        <v>11.64</v>
      </c>
      <c r="E66" s="223" t="s">
        <v>156</v>
      </c>
      <c r="F66" s="28">
        <f>ROUND(D66*(1+SAO!$H$71/3),2)</f>
        <v>13.75</v>
      </c>
      <c r="G66" s="28"/>
      <c r="H66" s="28">
        <f t="shared" si="13"/>
        <v>2.1099999999999994</v>
      </c>
      <c r="I66" s="220">
        <f t="shared" si="14"/>
        <v>0.18127147766323018</v>
      </c>
      <c r="J66" s="116"/>
    </row>
    <row r="67" spans="2:10" ht="18.5" x14ac:dyDescent="0.45">
      <c r="B67" s="117"/>
      <c r="C67" s="223" t="s">
        <v>157</v>
      </c>
      <c r="D67" s="219">
        <f t="shared" si="12"/>
        <v>10.3</v>
      </c>
      <c r="E67" s="223" t="s">
        <v>157</v>
      </c>
      <c r="F67" s="28">
        <f>ROUND(D67*(1+SAO!$H$71/3),2)</f>
        <v>12.16</v>
      </c>
      <c r="G67" s="28"/>
      <c r="H67" s="28">
        <f t="shared" si="13"/>
        <v>1.8599999999999994</v>
      </c>
      <c r="I67" s="220">
        <f t="shared" si="14"/>
        <v>0.1805825242718446</v>
      </c>
      <c r="J67" s="116"/>
    </row>
    <row r="68" spans="2:10" ht="18.5" x14ac:dyDescent="0.45">
      <c r="B68" s="117"/>
      <c r="C68" s="228" t="s">
        <v>211</v>
      </c>
      <c r="D68" s="219">
        <f t="shared" si="12"/>
        <v>9.57</v>
      </c>
      <c r="E68" s="228" t="s">
        <v>211</v>
      </c>
      <c r="F68" s="28">
        <f>ROUND(D68*(1+SAO!$H$71/3),2)</f>
        <v>11.3</v>
      </c>
      <c r="G68" s="28"/>
      <c r="H68" s="28">
        <f t="shared" si="13"/>
        <v>1.7300000000000004</v>
      </c>
      <c r="I68" s="220">
        <f t="shared" si="14"/>
        <v>0.18077324973876702</v>
      </c>
      <c r="J68" s="116"/>
    </row>
    <row r="69" spans="2:10" ht="18.5" x14ac:dyDescent="0.45">
      <c r="B69" s="117"/>
      <c r="C69" s="228" t="s">
        <v>212</v>
      </c>
      <c r="D69" s="219">
        <f t="shared" si="12"/>
        <v>6.26</v>
      </c>
      <c r="E69" s="228" t="s">
        <v>212</v>
      </c>
      <c r="F69" s="28">
        <f>ROUND(D69*(1+SAO!$H$71/3),2)</f>
        <v>7.39</v>
      </c>
      <c r="G69" s="28"/>
      <c r="H69" s="28">
        <f t="shared" si="13"/>
        <v>1.1299999999999999</v>
      </c>
      <c r="I69" s="220">
        <f t="shared" si="14"/>
        <v>0.18051118210862618</v>
      </c>
      <c r="J69" s="116"/>
    </row>
    <row r="70" spans="2:10" x14ac:dyDescent="0.35">
      <c r="B70" s="115"/>
      <c r="C70" s="217"/>
      <c r="D70" s="28"/>
      <c r="E70" s="28"/>
      <c r="F70" s="102"/>
      <c r="G70" s="102"/>
      <c r="H70" s="102"/>
      <c r="I70" s="220"/>
      <c r="J70" s="104"/>
    </row>
    <row r="71" spans="2:10" ht="18.5" x14ac:dyDescent="0.45">
      <c r="B71" s="352" t="s">
        <v>221</v>
      </c>
      <c r="C71" s="353"/>
      <c r="D71" s="353"/>
      <c r="E71" s="353"/>
      <c r="F71" s="353"/>
      <c r="G71" s="353"/>
      <c r="H71" s="353"/>
      <c r="I71" s="353"/>
      <c r="J71" s="354"/>
    </row>
    <row r="72" spans="2:10" ht="19" x14ac:dyDescent="0.5">
      <c r="B72" s="25"/>
      <c r="C72" s="364" t="s">
        <v>210</v>
      </c>
      <c r="D72" s="364"/>
      <c r="E72" s="351" t="s">
        <v>209</v>
      </c>
      <c r="F72" s="351"/>
      <c r="G72" s="26"/>
      <c r="H72" s="351" t="s">
        <v>31</v>
      </c>
      <c r="I72" s="351"/>
      <c r="J72" s="116"/>
    </row>
    <row r="73" spans="2:10" ht="29" x14ac:dyDescent="0.45">
      <c r="B73" s="103"/>
      <c r="C73" s="218" t="s">
        <v>217</v>
      </c>
      <c r="D73" s="219">
        <f t="shared" ref="D73:D79" si="15">F27</f>
        <v>16.89</v>
      </c>
      <c r="E73" s="218" t="s">
        <v>217</v>
      </c>
      <c r="F73" s="28">
        <f>F53</f>
        <v>19.95</v>
      </c>
      <c r="G73" s="28" t="e">
        <f>#REF!*(1+#REF!)</f>
        <v>#REF!</v>
      </c>
      <c r="H73" s="28">
        <f t="shared" ref="H73:H79" si="16">F73-D73</f>
        <v>3.0599999999999987</v>
      </c>
      <c r="I73" s="220">
        <f t="shared" ref="I73:I79" si="17">H73/D73</f>
        <v>0.18117229129662513</v>
      </c>
      <c r="J73" s="116"/>
    </row>
    <row r="74" spans="2:10" ht="18.5" x14ac:dyDescent="0.45">
      <c r="B74" s="117"/>
      <c r="C74" s="223" t="s">
        <v>154</v>
      </c>
      <c r="D74" s="219">
        <f t="shared" si="15"/>
        <v>8.51</v>
      </c>
      <c r="E74" s="223" t="s">
        <v>154</v>
      </c>
      <c r="F74" s="28">
        <f t="shared" ref="F74:F79" si="18">F54</f>
        <v>10.050000000000001</v>
      </c>
      <c r="G74" s="28" t="e">
        <f>#REF!*(1+#REF!)</f>
        <v>#REF!</v>
      </c>
      <c r="H74" s="28">
        <f t="shared" si="16"/>
        <v>1.5400000000000009</v>
      </c>
      <c r="I74" s="220">
        <f t="shared" si="17"/>
        <v>0.1809635722679202</v>
      </c>
      <c r="J74" s="116"/>
    </row>
    <row r="75" spans="2:10" ht="18.5" x14ac:dyDescent="0.45">
      <c r="B75" s="117"/>
      <c r="C75" s="223" t="s">
        <v>155</v>
      </c>
      <c r="D75" s="219">
        <f t="shared" si="15"/>
        <v>8.01</v>
      </c>
      <c r="E75" s="223" t="s">
        <v>155</v>
      </c>
      <c r="F75" s="28">
        <f t="shared" si="18"/>
        <v>9.4600000000000009</v>
      </c>
      <c r="G75" s="28"/>
      <c r="H75" s="28">
        <f t="shared" si="16"/>
        <v>1.4500000000000011</v>
      </c>
      <c r="I75" s="220">
        <f t="shared" si="17"/>
        <v>0.18102372034956318</v>
      </c>
      <c r="J75" s="116"/>
    </row>
    <row r="76" spans="2:10" ht="18.5" x14ac:dyDescent="0.45">
      <c r="B76" s="117"/>
      <c r="C76" s="223" t="s">
        <v>156</v>
      </c>
      <c r="D76" s="219">
        <f t="shared" si="15"/>
        <v>7.77</v>
      </c>
      <c r="E76" s="223" t="s">
        <v>156</v>
      </c>
      <c r="F76" s="28">
        <f t="shared" si="18"/>
        <v>9.18</v>
      </c>
      <c r="G76" s="28"/>
      <c r="H76" s="28">
        <f t="shared" si="16"/>
        <v>1.4100000000000001</v>
      </c>
      <c r="I76" s="220">
        <f t="shared" si="17"/>
        <v>0.18146718146718149</v>
      </c>
      <c r="J76" s="116"/>
    </row>
    <row r="77" spans="2:10" ht="18.5" x14ac:dyDescent="0.45">
      <c r="B77" s="117"/>
      <c r="C77" s="223" t="s">
        <v>157</v>
      </c>
      <c r="D77" s="219">
        <f t="shared" si="15"/>
        <v>6.87</v>
      </c>
      <c r="E77" s="223" t="s">
        <v>157</v>
      </c>
      <c r="F77" s="28">
        <f t="shared" si="18"/>
        <v>8.11</v>
      </c>
      <c r="G77" s="28"/>
      <c r="H77" s="28">
        <f t="shared" si="16"/>
        <v>1.2399999999999993</v>
      </c>
      <c r="I77" s="220">
        <f t="shared" si="17"/>
        <v>0.18049490538573498</v>
      </c>
      <c r="J77" s="116"/>
    </row>
    <row r="78" spans="2:10" ht="18.5" x14ac:dyDescent="0.45">
      <c r="B78" s="117"/>
      <c r="C78" s="228" t="s">
        <v>211</v>
      </c>
      <c r="D78" s="219">
        <f t="shared" si="15"/>
        <v>6.39</v>
      </c>
      <c r="E78" s="228" t="s">
        <v>211</v>
      </c>
      <c r="F78" s="28">
        <f t="shared" si="18"/>
        <v>7.55</v>
      </c>
      <c r="G78" s="28"/>
      <c r="H78" s="28">
        <f t="shared" si="16"/>
        <v>1.1600000000000001</v>
      </c>
      <c r="I78" s="220">
        <f t="shared" si="17"/>
        <v>0.18153364632237876</v>
      </c>
      <c r="J78" s="116"/>
    </row>
    <row r="79" spans="2:10" ht="18.5" x14ac:dyDescent="0.45">
      <c r="B79" s="117"/>
      <c r="C79" s="228" t="s">
        <v>212</v>
      </c>
      <c r="D79" s="219">
        <f t="shared" si="15"/>
        <v>4.17</v>
      </c>
      <c r="E79" s="228" t="s">
        <v>212</v>
      </c>
      <c r="F79" s="28">
        <f t="shared" si="18"/>
        <v>4.92</v>
      </c>
      <c r="G79" s="28"/>
      <c r="H79" s="28">
        <f t="shared" si="16"/>
        <v>0.75</v>
      </c>
      <c r="I79" s="220">
        <f t="shared" si="17"/>
        <v>0.17985611510791366</v>
      </c>
      <c r="J79" s="116"/>
    </row>
    <row r="80" spans="2:10" x14ac:dyDescent="0.35">
      <c r="B80" s="115"/>
      <c r="C80" s="217"/>
      <c r="D80" s="28"/>
      <c r="E80" s="28"/>
      <c r="F80" s="102"/>
      <c r="G80" s="102"/>
      <c r="H80" s="102"/>
      <c r="I80" s="220"/>
      <c r="J80" s="104"/>
    </row>
    <row r="81" spans="2:11" ht="18.5" x14ac:dyDescent="0.45">
      <c r="B81" s="355" t="s">
        <v>122</v>
      </c>
      <c r="C81" s="356"/>
      <c r="D81" s="356"/>
      <c r="E81" s="356"/>
      <c r="F81" s="356"/>
      <c r="G81" s="356"/>
      <c r="H81" s="356"/>
      <c r="I81" s="356"/>
      <c r="J81" s="357"/>
    </row>
    <row r="82" spans="2:11" ht="16" x14ac:dyDescent="0.5">
      <c r="B82" s="103"/>
      <c r="C82" s="364" t="s">
        <v>210</v>
      </c>
      <c r="D82" s="364"/>
      <c r="E82" s="351" t="s">
        <v>209</v>
      </c>
      <c r="F82" s="351"/>
      <c r="H82" s="351" t="s">
        <v>31</v>
      </c>
      <c r="I82" s="351"/>
      <c r="J82" s="104"/>
    </row>
    <row r="83" spans="2:11" ht="34.9" customHeight="1" x14ac:dyDescent="0.5">
      <c r="B83" s="118"/>
      <c r="C83" s="211" t="s">
        <v>218</v>
      </c>
      <c r="D83" s="219">
        <f t="shared" ref="D83:D84" si="19">F37</f>
        <v>2.91</v>
      </c>
      <c r="E83" s="211" t="s">
        <v>218</v>
      </c>
      <c r="F83" s="28">
        <f>ROUND(D83*(1+0.506/3),2)</f>
        <v>3.4</v>
      </c>
      <c r="G83" s="102"/>
      <c r="H83" s="28">
        <f>F83-D83</f>
        <v>0.48999999999999977</v>
      </c>
      <c r="I83" s="220">
        <f>H83/D83</f>
        <v>0.16838487972508581</v>
      </c>
      <c r="J83" s="104"/>
    </row>
    <row r="84" spans="2:11" ht="34.9" customHeight="1" x14ac:dyDescent="0.5">
      <c r="B84" s="118"/>
      <c r="C84" s="212" t="s">
        <v>215</v>
      </c>
      <c r="D84" s="219">
        <f t="shared" si="19"/>
        <v>1.64</v>
      </c>
      <c r="E84" s="212" t="s">
        <v>216</v>
      </c>
      <c r="F84" s="28">
        <f>ROUND(D84*(1+0.5071/3),2)</f>
        <v>1.92</v>
      </c>
      <c r="G84" s="102"/>
      <c r="H84" s="28">
        <f>F84-D84</f>
        <v>0.28000000000000003</v>
      </c>
      <c r="I84" s="220">
        <f>H84/D84</f>
        <v>0.17073170731707318</v>
      </c>
      <c r="J84" s="104"/>
    </row>
    <row r="85" spans="2:11" ht="16" x14ac:dyDescent="0.5">
      <c r="B85" s="118"/>
      <c r="C85" s="212"/>
      <c r="D85" s="28"/>
      <c r="E85" s="212"/>
      <c r="F85" s="233"/>
      <c r="G85" s="102"/>
      <c r="H85" s="28"/>
      <c r="I85" s="131"/>
      <c r="J85" s="104"/>
    </row>
    <row r="86" spans="2:11" ht="18.5" x14ac:dyDescent="0.45">
      <c r="B86" s="365" t="s">
        <v>223</v>
      </c>
      <c r="C86" s="366"/>
      <c r="D86" s="366"/>
      <c r="E86" s="366"/>
      <c r="F86" s="366"/>
      <c r="G86" s="366"/>
      <c r="H86" s="366"/>
      <c r="I86" s="366"/>
      <c r="J86" s="367"/>
    </row>
    <row r="87" spans="2:11" ht="19" x14ac:dyDescent="0.5">
      <c r="B87" s="305"/>
      <c r="C87" s="364" t="s">
        <v>210</v>
      </c>
      <c r="D87" s="364"/>
      <c r="E87" s="351" t="s">
        <v>209</v>
      </c>
      <c r="F87" s="351"/>
      <c r="H87" s="351" t="s">
        <v>31</v>
      </c>
      <c r="I87" s="351"/>
      <c r="J87" s="306"/>
    </row>
    <row r="88" spans="2:11" x14ac:dyDescent="0.35">
      <c r="B88" s="308"/>
      <c r="C88" s="307" t="str">
        <f>[3]RatesS!$C$10</f>
        <v>All Usage</v>
      </c>
      <c r="D88" s="219">
        <f>F42</f>
        <v>12.21</v>
      </c>
      <c r="E88" s="307" t="str">
        <f>[3]RatesS!$G$10</f>
        <v>All Usage</v>
      </c>
      <c r="F88" s="28">
        <f>ROUND(D88*(1+0.5519/3),2)</f>
        <v>14.46</v>
      </c>
      <c r="G88" s="307"/>
      <c r="H88" s="28">
        <f t="shared" ref="H88" si="20">F88-D88</f>
        <v>2.25</v>
      </c>
      <c r="I88" s="220">
        <f t="shared" ref="I88" si="21">H88/D88</f>
        <v>0.18427518427518427</v>
      </c>
      <c r="J88" s="309"/>
    </row>
    <row r="89" spans="2:11" x14ac:dyDescent="0.35">
      <c r="B89" s="343"/>
      <c r="C89" s="344"/>
      <c r="D89" s="157"/>
      <c r="E89" s="157"/>
      <c r="F89" s="105"/>
      <c r="G89" s="106"/>
      <c r="H89" s="157"/>
      <c r="I89" s="222"/>
      <c r="J89" s="107"/>
    </row>
    <row r="92" spans="2:11" x14ac:dyDescent="0.35">
      <c r="B92" s="300"/>
      <c r="C92" s="301"/>
      <c r="D92" s="302"/>
      <c r="E92" s="302"/>
      <c r="F92" s="301"/>
      <c r="G92" s="301"/>
      <c r="H92" s="301"/>
      <c r="I92" s="303"/>
      <c r="J92" s="304"/>
    </row>
    <row r="93" spans="2:11" ht="18.5" x14ac:dyDescent="0.45">
      <c r="B93" s="361" t="s">
        <v>225</v>
      </c>
      <c r="C93" s="362"/>
      <c r="D93" s="362"/>
      <c r="E93" s="362"/>
      <c r="F93" s="362"/>
      <c r="G93" s="362"/>
      <c r="H93" s="362"/>
      <c r="I93" s="362"/>
      <c r="J93" s="363"/>
    </row>
    <row r="94" spans="2:11" x14ac:dyDescent="0.35">
      <c r="B94" s="103"/>
      <c r="J94" s="104"/>
      <c r="K94" s="103"/>
    </row>
    <row r="95" spans="2:11" ht="18.5" x14ac:dyDescent="0.45">
      <c r="B95" s="352" t="s">
        <v>219</v>
      </c>
      <c r="C95" s="353"/>
      <c r="D95" s="353"/>
      <c r="E95" s="353"/>
      <c r="F95" s="353"/>
      <c r="G95" s="353"/>
      <c r="H95" s="353"/>
      <c r="I95" s="353"/>
      <c r="J95" s="354"/>
    </row>
    <row r="96" spans="2:11" ht="19" x14ac:dyDescent="0.5">
      <c r="B96" s="25"/>
      <c r="C96" s="364" t="s">
        <v>210</v>
      </c>
      <c r="D96" s="364"/>
      <c r="E96" s="351" t="s">
        <v>209</v>
      </c>
      <c r="F96" s="351"/>
      <c r="G96" s="26"/>
      <c r="H96" s="351" t="s">
        <v>31</v>
      </c>
      <c r="I96" s="351"/>
      <c r="J96" s="116"/>
    </row>
    <row r="97" spans="2:10" ht="29" x14ac:dyDescent="0.45">
      <c r="B97" s="103"/>
      <c r="C97" s="218" t="s">
        <v>217</v>
      </c>
      <c r="D97" s="219">
        <f>F53</f>
        <v>19.95</v>
      </c>
      <c r="E97" s="218" t="s">
        <v>217</v>
      </c>
      <c r="F97" s="28">
        <f>ROUND(D97*(1+SAO!$H$71/3),2)</f>
        <v>23.56</v>
      </c>
      <c r="G97" s="28" t="e">
        <f>#REF!*(1+#REF!)</f>
        <v>#REF!</v>
      </c>
      <c r="H97" s="28">
        <f t="shared" ref="H97:H103" si="22">F97-D97</f>
        <v>3.6099999999999994</v>
      </c>
      <c r="I97" s="220">
        <f t="shared" ref="I97:I103" si="23">H97/D97</f>
        <v>0.18095238095238092</v>
      </c>
      <c r="J97" s="116"/>
    </row>
    <row r="98" spans="2:10" ht="18.5" x14ac:dyDescent="0.45">
      <c r="B98" s="117"/>
      <c r="C98" s="223" t="s">
        <v>154</v>
      </c>
      <c r="D98" s="219">
        <f t="shared" ref="D98:D103" si="24">F54</f>
        <v>10.050000000000001</v>
      </c>
      <c r="E98" s="223" t="s">
        <v>154</v>
      </c>
      <c r="F98" s="28">
        <f>ROUND(D98*(1+SAO!$H$71/3),2)</f>
        <v>11.87</v>
      </c>
      <c r="G98" s="28" t="e">
        <f>#REF!*(1+#REF!)</f>
        <v>#REF!</v>
      </c>
      <c r="H98" s="28">
        <f t="shared" si="22"/>
        <v>1.8199999999999985</v>
      </c>
      <c r="I98" s="220">
        <f t="shared" si="23"/>
        <v>0.1810945273631839</v>
      </c>
      <c r="J98" s="116"/>
    </row>
    <row r="99" spans="2:10" ht="18.5" x14ac:dyDescent="0.45">
      <c r="B99" s="117"/>
      <c r="C99" s="223" t="s">
        <v>155</v>
      </c>
      <c r="D99" s="219">
        <f t="shared" si="24"/>
        <v>9.4600000000000009</v>
      </c>
      <c r="E99" s="223" t="s">
        <v>155</v>
      </c>
      <c r="F99" s="28">
        <f>ROUND(D99*(1+SAO!$H$71/3),2)</f>
        <v>11.17</v>
      </c>
      <c r="G99" s="28"/>
      <c r="H99" s="28">
        <f t="shared" si="22"/>
        <v>1.7099999999999991</v>
      </c>
      <c r="I99" s="220">
        <f t="shared" si="23"/>
        <v>0.18076109936575041</v>
      </c>
      <c r="J99" s="116"/>
    </row>
    <row r="100" spans="2:10" ht="18.5" x14ac:dyDescent="0.45">
      <c r="B100" s="117"/>
      <c r="C100" s="223" t="s">
        <v>156</v>
      </c>
      <c r="D100" s="219">
        <f t="shared" si="24"/>
        <v>9.18</v>
      </c>
      <c r="E100" s="223" t="s">
        <v>156</v>
      </c>
      <c r="F100" s="28">
        <f>ROUND(D100*(1+SAO!$H$71/3),2)</f>
        <v>10.84</v>
      </c>
      <c r="G100" s="28"/>
      <c r="H100" s="28">
        <f t="shared" si="22"/>
        <v>1.6600000000000001</v>
      </c>
      <c r="I100" s="220">
        <f t="shared" si="23"/>
        <v>0.18082788671023967</v>
      </c>
      <c r="J100" s="116"/>
    </row>
    <row r="101" spans="2:10" ht="18.5" x14ac:dyDescent="0.45">
      <c r="B101" s="117"/>
      <c r="C101" s="223" t="s">
        <v>157</v>
      </c>
      <c r="D101" s="219">
        <f t="shared" si="24"/>
        <v>8.11</v>
      </c>
      <c r="E101" s="223" t="s">
        <v>157</v>
      </c>
      <c r="F101" s="28">
        <f>ROUND(D101*(1+SAO!$H$71/3),2)</f>
        <v>9.58</v>
      </c>
      <c r="G101" s="28"/>
      <c r="H101" s="28">
        <f t="shared" si="22"/>
        <v>1.4700000000000006</v>
      </c>
      <c r="I101" s="220">
        <f t="shared" si="23"/>
        <v>0.18125770653514189</v>
      </c>
      <c r="J101" s="116"/>
    </row>
    <row r="102" spans="2:10" ht="18.5" x14ac:dyDescent="0.45">
      <c r="B102" s="117"/>
      <c r="C102" s="228" t="s">
        <v>211</v>
      </c>
      <c r="D102" s="219">
        <f t="shared" si="24"/>
        <v>7.55</v>
      </c>
      <c r="E102" s="228" t="s">
        <v>211</v>
      </c>
      <c r="F102" s="28">
        <f>ROUND(D102*(1+SAO!$H$71/3),2)</f>
        <v>8.92</v>
      </c>
      <c r="G102" s="28"/>
      <c r="H102" s="28">
        <f t="shared" si="22"/>
        <v>1.37</v>
      </c>
      <c r="I102" s="220">
        <f t="shared" si="23"/>
        <v>0.18145695364238412</v>
      </c>
      <c r="J102" s="116"/>
    </row>
    <row r="103" spans="2:10" ht="18.5" x14ac:dyDescent="0.45">
      <c r="B103" s="117"/>
      <c r="C103" s="228" t="s">
        <v>212</v>
      </c>
      <c r="D103" s="219">
        <f t="shared" si="24"/>
        <v>4.92</v>
      </c>
      <c r="E103" s="228" t="s">
        <v>212</v>
      </c>
      <c r="F103" s="28">
        <f>ROUND(D103*(1+SAO!$H$71/3),2)</f>
        <v>5.81</v>
      </c>
      <c r="G103" s="28"/>
      <c r="H103" s="28">
        <f t="shared" si="22"/>
        <v>0.88999999999999968</v>
      </c>
      <c r="I103" s="220">
        <f t="shared" si="23"/>
        <v>0.18089430894308936</v>
      </c>
      <c r="J103" s="116"/>
    </row>
    <row r="104" spans="2:10" x14ac:dyDescent="0.35">
      <c r="B104" s="115"/>
      <c r="C104" s="217"/>
      <c r="D104" s="28"/>
      <c r="E104" s="28"/>
      <c r="F104" s="102"/>
      <c r="G104" s="102"/>
      <c r="H104" s="102"/>
      <c r="I104" s="220"/>
      <c r="J104" s="104"/>
    </row>
    <row r="105" spans="2:10" ht="18.5" x14ac:dyDescent="0.45">
      <c r="B105" s="352" t="s">
        <v>220</v>
      </c>
      <c r="C105" s="353"/>
      <c r="D105" s="353"/>
      <c r="E105" s="353"/>
      <c r="F105" s="353"/>
      <c r="G105" s="353"/>
      <c r="H105" s="353"/>
      <c r="I105" s="353"/>
      <c r="J105" s="354"/>
    </row>
    <row r="106" spans="2:10" ht="19" x14ac:dyDescent="0.5">
      <c r="B106" s="25"/>
      <c r="C106" s="364" t="s">
        <v>210</v>
      </c>
      <c r="D106" s="364"/>
      <c r="E106" s="351" t="s">
        <v>209</v>
      </c>
      <c r="F106" s="351"/>
      <c r="G106" s="26"/>
      <c r="H106" s="351" t="s">
        <v>31</v>
      </c>
      <c r="I106" s="351"/>
      <c r="J106" s="116"/>
    </row>
    <row r="107" spans="2:10" ht="29" x14ac:dyDescent="0.45">
      <c r="B107" s="103"/>
      <c r="C107" s="218" t="s">
        <v>217</v>
      </c>
      <c r="D107" s="219">
        <f t="shared" ref="D107:D113" si="25">F63</f>
        <v>29.74</v>
      </c>
      <c r="E107" s="218" t="s">
        <v>217</v>
      </c>
      <c r="F107" s="28">
        <f>ROUND(D107*(1+SAO!$H$71/3),2)</f>
        <v>35.119999999999997</v>
      </c>
      <c r="G107" s="28" t="e">
        <f>#REF!*(1+#REF!)</f>
        <v>#REF!</v>
      </c>
      <c r="H107" s="28">
        <f t="shared" ref="H107:H113" si="26">F107-D107</f>
        <v>5.379999999999999</v>
      </c>
      <c r="I107" s="220">
        <f t="shared" ref="I107:I113" si="27">H107/D107</f>
        <v>0.18090114324142567</v>
      </c>
      <c r="J107" s="116"/>
    </row>
    <row r="108" spans="2:10" ht="18.5" x14ac:dyDescent="0.45">
      <c r="B108" s="117"/>
      <c r="C108" s="223" t="s">
        <v>154</v>
      </c>
      <c r="D108" s="219">
        <f t="shared" si="25"/>
        <v>15.04</v>
      </c>
      <c r="E108" s="223" t="s">
        <v>154</v>
      </c>
      <c r="F108" s="28">
        <f>ROUND(D108*(1+SAO!$H$71/3),2)</f>
        <v>17.760000000000002</v>
      </c>
      <c r="G108" s="28" t="e">
        <f>#REF!*(1+#REF!)</f>
        <v>#REF!</v>
      </c>
      <c r="H108" s="28">
        <f t="shared" si="26"/>
        <v>2.7200000000000024</v>
      </c>
      <c r="I108" s="220">
        <f t="shared" si="27"/>
        <v>0.18085106382978741</v>
      </c>
      <c r="J108" s="116"/>
    </row>
    <row r="109" spans="2:10" ht="18.5" x14ac:dyDescent="0.45">
      <c r="B109" s="117"/>
      <c r="C109" s="223" t="s">
        <v>155</v>
      </c>
      <c r="D109" s="219">
        <f t="shared" si="25"/>
        <v>14.18</v>
      </c>
      <c r="E109" s="223" t="s">
        <v>155</v>
      </c>
      <c r="F109" s="28">
        <f>ROUND(D109*(1+SAO!$H$71/3),2)</f>
        <v>16.75</v>
      </c>
      <c r="G109" s="28"/>
      <c r="H109" s="28">
        <f t="shared" si="26"/>
        <v>2.5700000000000003</v>
      </c>
      <c r="I109" s="220">
        <f t="shared" si="27"/>
        <v>0.18124118476727788</v>
      </c>
      <c r="J109" s="116"/>
    </row>
    <row r="110" spans="2:10" ht="18.5" x14ac:dyDescent="0.45">
      <c r="B110" s="117"/>
      <c r="C110" s="223" t="s">
        <v>156</v>
      </c>
      <c r="D110" s="219">
        <f t="shared" si="25"/>
        <v>13.75</v>
      </c>
      <c r="E110" s="223" t="s">
        <v>156</v>
      </c>
      <c r="F110" s="28">
        <f>ROUND(D110*(1+SAO!$H$71/3),2)</f>
        <v>16.239999999999998</v>
      </c>
      <c r="G110" s="28"/>
      <c r="H110" s="28">
        <f t="shared" si="26"/>
        <v>2.4899999999999984</v>
      </c>
      <c r="I110" s="220">
        <f t="shared" si="27"/>
        <v>0.18109090909090897</v>
      </c>
      <c r="J110" s="116"/>
    </row>
    <row r="111" spans="2:10" ht="18.5" x14ac:dyDescent="0.45">
      <c r="B111" s="117"/>
      <c r="C111" s="223" t="s">
        <v>157</v>
      </c>
      <c r="D111" s="219">
        <f t="shared" si="25"/>
        <v>12.16</v>
      </c>
      <c r="E111" s="223" t="s">
        <v>157</v>
      </c>
      <c r="F111" s="28">
        <f>ROUND(D111*(1+SAO!$H$71/3),2)</f>
        <v>14.36</v>
      </c>
      <c r="G111" s="28"/>
      <c r="H111" s="28">
        <f t="shared" si="26"/>
        <v>2.1999999999999993</v>
      </c>
      <c r="I111" s="220">
        <f t="shared" si="27"/>
        <v>0.1809210526315789</v>
      </c>
      <c r="J111" s="116"/>
    </row>
    <row r="112" spans="2:10" ht="18.5" x14ac:dyDescent="0.45">
      <c r="B112" s="117"/>
      <c r="C112" s="228" t="s">
        <v>211</v>
      </c>
      <c r="D112" s="219">
        <f t="shared" si="25"/>
        <v>11.3</v>
      </c>
      <c r="E112" s="228" t="s">
        <v>211</v>
      </c>
      <c r="F112" s="28">
        <f>ROUND(D112*(1+SAO!$H$71/3),2)</f>
        <v>13.34</v>
      </c>
      <c r="G112" s="28"/>
      <c r="H112" s="28">
        <f t="shared" si="26"/>
        <v>2.0399999999999991</v>
      </c>
      <c r="I112" s="220">
        <f t="shared" si="27"/>
        <v>0.18053097345132735</v>
      </c>
      <c r="J112" s="116"/>
    </row>
    <row r="113" spans="2:10" ht="18.5" x14ac:dyDescent="0.45">
      <c r="B113" s="117"/>
      <c r="C113" s="228" t="s">
        <v>212</v>
      </c>
      <c r="D113" s="219">
        <f t="shared" si="25"/>
        <v>7.39</v>
      </c>
      <c r="E113" s="228" t="s">
        <v>212</v>
      </c>
      <c r="F113" s="28">
        <f>ROUND(D113*(1+SAO!$H$71/3),2)</f>
        <v>8.73</v>
      </c>
      <c r="G113" s="28"/>
      <c r="H113" s="28">
        <f t="shared" si="26"/>
        <v>1.3400000000000007</v>
      </c>
      <c r="I113" s="220">
        <f t="shared" si="27"/>
        <v>0.18132611637347779</v>
      </c>
      <c r="J113" s="116"/>
    </row>
    <row r="114" spans="2:10" x14ac:dyDescent="0.35">
      <c r="B114" s="115"/>
      <c r="C114" s="217"/>
      <c r="D114" s="28"/>
      <c r="E114" s="28"/>
      <c r="F114" s="102"/>
      <c r="G114" s="102"/>
      <c r="H114" s="102"/>
      <c r="I114" s="220"/>
      <c r="J114" s="104"/>
    </row>
    <row r="115" spans="2:10" ht="18.5" x14ac:dyDescent="0.45">
      <c r="B115" s="352" t="s">
        <v>221</v>
      </c>
      <c r="C115" s="353"/>
      <c r="D115" s="353"/>
      <c r="E115" s="353"/>
      <c r="F115" s="353"/>
      <c r="G115" s="353"/>
      <c r="H115" s="353"/>
      <c r="I115" s="353"/>
      <c r="J115" s="354"/>
    </row>
    <row r="116" spans="2:10" ht="19" x14ac:dyDescent="0.5">
      <c r="B116" s="25"/>
      <c r="C116" s="364" t="s">
        <v>210</v>
      </c>
      <c r="D116" s="364"/>
      <c r="E116" s="351" t="s">
        <v>209</v>
      </c>
      <c r="F116" s="351"/>
      <c r="G116" s="26"/>
      <c r="H116" s="351" t="s">
        <v>31</v>
      </c>
      <c r="I116" s="351"/>
      <c r="J116" s="116"/>
    </row>
    <row r="117" spans="2:10" ht="29" x14ac:dyDescent="0.45">
      <c r="B117" s="103"/>
      <c r="C117" s="218" t="s">
        <v>217</v>
      </c>
      <c r="D117" s="219">
        <f t="shared" ref="D117:D123" si="28">F73</f>
        <v>19.95</v>
      </c>
      <c r="E117" s="218" t="s">
        <v>217</v>
      </c>
      <c r="F117" s="28">
        <f>F97</f>
        <v>23.56</v>
      </c>
      <c r="G117" s="28" t="e">
        <f>#REF!*(1+#REF!)</f>
        <v>#REF!</v>
      </c>
      <c r="H117" s="28">
        <f t="shared" ref="H117:H123" si="29">F117-D117</f>
        <v>3.6099999999999994</v>
      </c>
      <c r="I117" s="220">
        <f t="shared" ref="I117:I123" si="30">H117/D117</f>
        <v>0.18095238095238092</v>
      </c>
      <c r="J117" s="116"/>
    </row>
    <row r="118" spans="2:10" ht="18.5" x14ac:dyDescent="0.45">
      <c r="B118" s="117"/>
      <c r="C118" s="223" t="s">
        <v>154</v>
      </c>
      <c r="D118" s="219">
        <f t="shared" si="28"/>
        <v>10.050000000000001</v>
      </c>
      <c r="E118" s="223" t="s">
        <v>154</v>
      </c>
      <c r="F118" s="28">
        <f t="shared" ref="F118:F123" si="31">F98</f>
        <v>11.87</v>
      </c>
      <c r="G118" s="28" t="e">
        <f>#REF!*(1+#REF!)</f>
        <v>#REF!</v>
      </c>
      <c r="H118" s="28">
        <f t="shared" si="29"/>
        <v>1.8199999999999985</v>
      </c>
      <c r="I118" s="220">
        <f t="shared" si="30"/>
        <v>0.1810945273631839</v>
      </c>
      <c r="J118" s="116"/>
    </row>
    <row r="119" spans="2:10" ht="18.5" x14ac:dyDescent="0.45">
      <c r="B119" s="117"/>
      <c r="C119" s="223" t="s">
        <v>155</v>
      </c>
      <c r="D119" s="219">
        <f t="shared" si="28"/>
        <v>9.4600000000000009</v>
      </c>
      <c r="E119" s="223" t="s">
        <v>155</v>
      </c>
      <c r="F119" s="28">
        <f t="shared" si="31"/>
        <v>11.17</v>
      </c>
      <c r="G119" s="28"/>
      <c r="H119" s="28">
        <f t="shared" si="29"/>
        <v>1.7099999999999991</v>
      </c>
      <c r="I119" s="220">
        <f t="shared" si="30"/>
        <v>0.18076109936575041</v>
      </c>
      <c r="J119" s="116"/>
    </row>
    <row r="120" spans="2:10" ht="18.5" x14ac:dyDescent="0.45">
      <c r="B120" s="117"/>
      <c r="C120" s="223" t="s">
        <v>156</v>
      </c>
      <c r="D120" s="219">
        <f t="shared" si="28"/>
        <v>9.18</v>
      </c>
      <c r="E120" s="223" t="s">
        <v>156</v>
      </c>
      <c r="F120" s="28">
        <f t="shared" si="31"/>
        <v>10.84</v>
      </c>
      <c r="G120" s="28"/>
      <c r="H120" s="28">
        <f t="shared" si="29"/>
        <v>1.6600000000000001</v>
      </c>
      <c r="I120" s="220">
        <f t="shared" si="30"/>
        <v>0.18082788671023967</v>
      </c>
      <c r="J120" s="116"/>
    </row>
    <row r="121" spans="2:10" ht="18.5" x14ac:dyDescent="0.45">
      <c r="B121" s="117"/>
      <c r="C121" s="223" t="s">
        <v>157</v>
      </c>
      <c r="D121" s="219">
        <f t="shared" si="28"/>
        <v>8.11</v>
      </c>
      <c r="E121" s="223" t="s">
        <v>157</v>
      </c>
      <c r="F121" s="28">
        <f t="shared" si="31"/>
        <v>9.58</v>
      </c>
      <c r="G121" s="28"/>
      <c r="H121" s="28">
        <f t="shared" si="29"/>
        <v>1.4700000000000006</v>
      </c>
      <c r="I121" s="220">
        <f t="shared" si="30"/>
        <v>0.18125770653514189</v>
      </c>
      <c r="J121" s="116"/>
    </row>
    <row r="122" spans="2:10" ht="18.5" x14ac:dyDescent="0.45">
      <c r="B122" s="117"/>
      <c r="C122" s="228" t="s">
        <v>211</v>
      </c>
      <c r="D122" s="219">
        <f t="shared" si="28"/>
        <v>7.55</v>
      </c>
      <c r="E122" s="228" t="s">
        <v>211</v>
      </c>
      <c r="F122" s="28">
        <f t="shared" si="31"/>
        <v>8.92</v>
      </c>
      <c r="G122" s="28"/>
      <c r="H122" s="28">
        <f t="shared" si="29"/>
        <v>1.37</v>
      </c>
      <c r="I122" s="220">
        <f t="shared" si="30"/>
        <v>0.18145695364238412</v>
      </c>
      <c r="J122" s="116"/>
    </row>
    <row r="123" spans="2:10" ht="18.5" x14ac:dyDescent="0.45">
      <c r="B123" s="117"/>
      <c r="C123" s="228" t="s">
        <v>212</v>
      </c>
      <c r="D123" s="219">
        <f t="shared" si="28"/>
        <v>4.92</v>
      </c>
      <c r="E123" s="228" t="s">
        <v>212</v>
      </c>
      <c r="F123" s="28">
        <f t="shared" si="31"/>
        <v>5.81</v>
      </c>
      <c r="G123" s="28"/>
      <c r="H123" s="28">
        <f t="shared" si="29"/>
        <v>0.88999999999999968</v>
      </c>
      <c r="I123" s="220">
        <f t="shared" si="30"/>
        <v>0.18089430894308936</v>
      </c>
      <c r="J123" s="116"/>
    </row>
    <row r="124" spans="2:10" x14ac:dyDescent="0.35">
      <c r="B124" s="115"/>
      <c r="C124" s="217"/>
      <c r="D124" s="28"/>
      <c r="E124" s="28"/>
      <c r="F124" s="102"/>
      <c r="G124" s="102"/>
      <c r="H124" s="102"/>
      <c r="I124" s="220"/>
      <c r="J124" s="104"/>
    </row>
    <row r="125" spans="2:10" ht="18.5" x14ac:dyDescent="0.45">
      <c r="B125" s="355" t="s">
        <v>122</v>
      </c>
      <c r="C125" s="356"/>
      <c r="D125" s="356"/>
      <c r="E125" s="356"/>
      <c r="F125" s="356"/>
      <c r="G125" s="356"/>
      <c r="H125" s="356"/>
      <c r="I125" s="356"/>
      <c r="J125" s="357"/>
    </row>
    <row r="126" spans="2:10" ht="16" x14ac:dyDescent="0.5">
      <c r="B126" s="103"/>
      <c r="C126" s="364" t="s">
        <v>210</v>
      </c>
      <c r="D126" s="364"/>
      <c r="E126" s="351" t="s">
        <v>209</v>
      </c>
      <c r="F126" s="351"/>
      <c r="H126" s="351" t="s">
        <v>31</v>
      </c>
      <c r="I126" s="351"/>
      <c r="J126" s="104"/>
    </row>
    <row r="127" spans="2:10" ht="34.9" customHeight="1" x14ac:dyDescent="0.5">
      <c r="B127" s="118"/>
      <c r="C127" s="211" t="s">
        <v>218</v>
      </c>
      <c r="D127" s="219">
        <f t="shared" ref="D127:D128" si="32">F83</f>
        <v>3.4</v>
      </c>
      <c r="E127" s="211" t="s">
        <v>218</v>
      </c>
      <c r="F127" s="28">
        <f>ROUND(D127*(1+0.506/3),2)</f>
        <v>3.97</v>
      </c>
      <c r="G127" s="102"/>
      <c r="H127" s="28">
        <f>F127-D127</f>
        <v>0.57000000000000028</v>
      </c>
      <c r="I127" s="220">
        <f>H127/D127</f>
        <v>0.16764705882352951</v>
      </c>
      <c r="J127" s="104"/>
    </row>
    <row r="128" spans="2:10" ht="34.9" customHeight="1" x14ac:dyDescent="0.5">
      <c r="B128" s="118"/>
      <c r="C128" s="212" t="s">
        <v>215</v>
      </c>
      <c r="D128" s="219">
        <f t="shared" si="32"/>
        <v>1.92</v>
      </c>
      <c r="E128" s="212" t="s">
        <v>216</v>
      </c>
      <c r="F128" s="28">
        <f>ROUND(D128*(1+0.5071/3),2)</f>
        <v>2.2400000000000002</v>
      </c>
      <c r="G128" s="102"/>
      <c r="H128" s="28">
        <f>F128-D128</f>
        <v>0.32000000000000028</v>
      </c>
      <c r="I128" s="220">
        <f>H128/D128</f>
        <v>0.16666666666666682</v>
      </c>
      <c r="J128" s="104"/>
    </row>
    <row r="129" spans="2:10" ht="16" x14ac:dyDescent="0.5">
      <c r="B129" s="118"/>
      <c r="C129" s="212"/>
      <c r="D129" s="28"/>
      <c r="E129" s="212"/>
      <c r="F129" s="233"/>
      <c r="G129" s="102"/>
      <c r="H129" s="28"/>
      <c r="I129" s="131"/>
      <c r="J129" s="104"/>
    </row>
    <row r="130" spans="2:10" ht="18.5" x14ac:dyDescent="0.45">
      <c r="B130" s="365" t="s">
        <v>223</v>
      </c>
      <c r="C130" s="366"/>
      <c r="D130" s="366"/>
      <c r="E130" s="366"/>
      <c r="F130" s="366"/>
      <c r="G130" s="366"/>
      <c r="H130" s="366"/>
      <c r="I130" s="366"/>
      <c r="J130" s="367"/>
    </row>
    <row r="131" spans="2:10" ht="19" x14ac:dyDescent="0.5">
      <c r="B131" s="305"/>
      <c r="C131" s="364" t="s">
        <v>210</v>
      </c>
      <c r="D131" s="364"/>
      <c r="E131" s="351" t="s">
        <v>209</v>
      </c>
      <c r="F131" s="351"/>
      <c r="H131" s="351" t="s">
        <v>31</v>
      </c>
      <c r="I131" s="351"/>
      <c r="J131" s="306"/>
    </row>
    <row r="132" spans="2:10" x14ac:dyDescent="0.35">
      <c r="B132" s="308"/>
      <c r="C132" s="307" t="str">
        <f>[3]RatesS!$C$10</f>
        <v>All Usage</v>
      </c>
      <c r="D132" s="219">
        <f>F88</f>
        <v>14.46</v>
      </c>
      <c r="E132" s="307" t="str">
        <f>[3]RatesS!$G$10</f>
        <v>All Usage</v>
      </c>
      <c r="F132" s="28">
        <f>ROUND(D132*(1+0.5519/3),2)</f>
        <v>17.12</v>
      </c>
      <c r="G132" s="307"/>
      <c r="H132" s="28">
        <f t="shared" ref="H132" si="33">F132-D132</f>
        <v>2.66</v>
      </c>
      <c r="I132" s="220">
        <f t="shared" ref="I132" si="34">H132/D132</f>
        <v>0.1839557399723375</v>
      </c>
      <c r="J132" s="309"/>
    </row>
    <row r="133" spans="2:10" x14ac:dyDescent="0.35">
      <c r="B133" s="343"/>
      <c r="C133" s="344"/>
      <c r="D133" s="157"/>
      <c r="E133" s="157"/>
      <c r="F133" s="105"/>
      <c r="G133" s="106"/>
      <c r="H133" s="157"/>
      <c r="I133" s="222"/>
      <c r="J133" s="107"/>
    </row>
  </sheetData>
  <mergeCells count="66">
    <mergeCell ref="B133:C133"/>
    <mergeCell ref="B93:J93"/>
    <mergeCell ref="B95:J95"/>
    <mergeCell ref="C96:D96"/>
    <mergeCell ref="E96:F96"/>
    <mergeCell ref="H96:I96"/>
    <mergeCell ref="B105:J105"/>
    <mergeCell ref="C106:D106"/>
    <mergeCell ref="E106:F106"/>
    <mergeCell ref="H106:I106"/>
    <mergeCell ref="B115:J115"/>
    <mergeCell ref="C116:D116"/>
    <mergeCell ref="E116:F116"/>
    <mergeCell ref="H116:I116"/>
    <mergeCell ref="B125:J125"/>
    <mergeCell ref="C126:D126"/>
    <mergeCell ref="B130:J130"/>
    <mergeCell ref="C131:D131"/>
    <mergeCell ref="E131:F131"/>
    <mergeCell ref="H131:I131"/>
    <mergeCell ref="E126:F126"/>
    <mergeCell ref="H126:I126"/>
    <mergeCell ref="B89:C89"/>
    <mergeCell ref="B61:J61"/>
    <mergeCell ref="C62:D62"/>
    <mergeCell ref="E62:F62"/>
    <mergeCell ref="H62:I62"/>
    <mergeCell ref="B71:J71"/>
    <mergeCell ref="C72:D72"/>
    <mergeCell ref="E72:F72"/>
    <mergeCell ref="H72:I72"/>
    <mergeCell ref="B81:J81"/>
    <mergeCell ref="C82:D82"/>
    <mergeCell ref="E82:F82"/>
    <mergeCell ref="H82:I82"/>
    <mergeCell ref="B86:J86"/>
    <mergeCell ref="C87:D87"/>
    <mergeCell ref="E87:F87"/>
    <mergeCell ref="B15:J15"/>
    <mergeCell ref="C16:D16"/>
    <mergeCell ref="E16:F16"/>
    <mergeCell ref="H16:I16"/>
    <mergeCell ref="B25:J25"/>
    <mergeCell ref="B3:J3"/>
    <mergeCell ref="B5:J5"/>
    <mergeCell ref="C6:D6"/>
    <mergeCell ref="E6:F6"/>
    <mergeCell ref="H6:I6"/>
    <mergeCell ref="C26:D26"/>
    <mergeCell ref="E26:F26"/>
    <mergeCell ref="H26:I26"/>
    <mergeCell ref="B35:J35"/>
    <mergeCell ref="H36:I36"/>
    <mergeCell ref="B43:C43"/>
    <mergeCell ref="B40:J40"/>
    <mergeCell ref="C36:D36"/>
    <mergeCell ref="E36:F36"/>
    <mergeCell ref="H41:I41"/>
    <mergeCell ref="C41:D41"/>
    <mergeCell ref="E41:F41"/>
    <mergeCell ref="H87:I87"/>
    <mergeCell ref="B49:J49"/>
    <mergeCell ref="B51:J51"/>
    <mergeCell ref="C52:D52"/>
    <mergeCell ref="E52:F52"/>
    <mergeCell ref="H52:I52"/>
  </mergeCells>
  <pageMargins left="0.25" right="0.25" top="0.25" bottom="0.25" header="0.3" footer="0.3"/>
  <pageSetup scale="91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0A55-25BC-461B-8FAD-3E54EBC682A3}">
  <sheetPr>
    <pageSetUpPr fitToPage="1"/>
  </sheetPr>
  <dimension ref="A2:GI133"/>
  <sheetViews>
    <sheetView topLeftCell="A73" workbookViewId="0">
      <selection activeCell="B81" sqref="B81:J85"/>
    </sheetView>
  </sheetViews>
  <sheetFormatPr defaultColWidth="8.84375" defaultRowHeight="14.5" x14ac:dyDescent="0.35"/>
  <cols>
    <col min="1" max="1" width="2.84375" style="24" customWidth="1"/>
    <col min="2" max="2" width="2.765625" style="24" customWidth="1"/>
    <col min="3" max="3" width="22.61328125" style="24" bestFit="1" customWidth="1"/>
    <col min="4" max="4" width="8.4609375" style="27" customWidth="1"/>
    <col min="5" max="5" width="22.61328125" style="27" bestFit="1" customWidth="1"/>
    <col min="6" max="6" width="9.69140625" style="24" customWidth="1"/>
    <col min="7" max="7" width="9.69140625" style="24" hidden="1" customWidth="1"/>
    <col min="8" max="8" width="9.69140625" style="24" customWidth="1"/>
    <col min="9" max="9" width="9.69140625" style="213" customWidth="1"/>
    <col min="10" max="10" width="2.765625" style="24" customWidth="1"/>
    <col min="11" max="11" width="2" style="24" customWidth="1"/>
    <col min="12" max="12" width="9.69140625" style="101" customWidth="1"/>
    <col min="13" max="191" width="9.69140625" style="24" customWidth="1"/>
    <col min="192" max="16384" width="8.84375" style="16"/>
  </cols>
  <sheetData>
    <row r="2" spans="2:12" x14ac:dyDescent="0.35">
      <c r="B2" s="300"/>
      <c r="C2" s="301"/>
      <c r="D2" s="302"/>
      <c r="E2" s="302"/>
      <c r="F2" s="301"/>
      <c r="G2" s="301"/>
      <c r="H2" s="301"/>
      <c r="I2" s="303"/>
      <c r="J2" s="304"/>
    </row>
    <row r="3" spans="2:12" ht="18" customHeight="1" x14ac:dyDescent="0.45">
      <c r="B3" s="361" t="s">
        <v>222</v>
      </c>
      <c r="C3" s="362"/>
      <c r="D3" s="362"/>
      <c r="E3" s="362"/>
      <c r="F3" s="362"/>
      <c r="G3" s="362"/>
      <c r="H3" s="362"/>
      <c r="I3" s="362"/>
      <c r="J3" s="363"/>
    </row>
    <row r="4" spans="2:12" x14ac:dyDescent="0.35">
      <c r="B4" s="103"/>
      <c r="J4" s="104"/>
      <c r="K4" s="103"/>
    </row>
    <row r="5" spans="2:12" ht="18.5" x14ac:dyDescent="0.45">
      <c r="B5" s="352" t="s">
        <v>219</v>
      </c>
      <c r="C5" s="353"/>
      <c r="D5" s="353"/>
      <c r="E5" s="353"/>
      <c r="F5" s="353"/>
      <c r="G5" s="353"/>
      <c r="H5" s="353"/>
      <c r="I5" s="353"/>
      <c r="J5" s="354"/>
    </row>
    <row r="6" spans="2:12" ht="19" x14ac:dyDescent="0.5">
      <c r="B6" s="25"/>
      <c r="C6" s="364" t="s">
        <v>210</v>
      </c>
      <c r="D6" s="364"/>
      <c r="E6" s="351" t="s">
        <v>209</v>
      </c>
      <c r="F6" s="351"/>
      <c r="G6" s="26"/>
      <c r="H6" s="351" t="s">
        <v>31</v>
      </c>
      <c r="I6" s="351"/>
      <c r="J6" s="116"/>
      <c r="L6" s="131"/>
    </row>
    <row r="7" spans="2:12" ht="29" x14ac:dyDescent="0.45">
      <c r="B7" s="103"/>
      <c r="C7" s="218" t="s">
        <v>217</v>
      </c>
      <c r="D7" s="219">
        <v>14.3</v>
      </c>
      <c r="E7" s="218" t="s">
        <v>217</v>
      </c>
      <c r="F7" s="28">
        <f>ROUND(D7*1.015,2)</f>
        <v>14.51</v>
      </c>
      <c r="G7" s="28" t="e">
        <f>#REF!*(1+#REF!)</f>
        <v>#REF!</v>
      </c>
      <c r="H7" s="28">
        <f t="shared" ref="H7:H13" si="0">F7-D7</f>
        <v>0.20999999999999908</v>
      </c>
      <c r="I7" s="220">
        <f t="shared" ref="I7:I13" si="1">H7/D7</f>
        <v>1.4685314685314621E-2</v>
      </c>
      <c r="J7" s="116"/>
      <c r="L7" s="130"/>
    </row>
    <row r="8" spans="2:12" ht="18.5" x14ac:dyDescent="0.45">
      <c r="B8" s="117"/>
      <c r="C8" s="223" t="s">
        <v>154</v>
      </c>
      <c r="D8" s="219">
        <v>7.21</v>
      </c>
      <c r="E8" s="223" t="s">
        <v>154</v>
      </c>
      <c r="F8" s="28">
        <f t="shared" ref="F8:F13" si="2">ROUND(D8*1.015,2)</f>
        <v>7.32</v>
      </c>
      <c r="G8" s="28" t="e">
        <f>#REF!*(1+#REF!)</f>
        <v>#REF!</v>
      </c>
      <c r="H8" s="28">
        <f t="shared" si="0"/>
        <v>0.11000000000000032</v>
      </c>
      <c r="I8" s="220">
        <f t="shared" si="1"/>
        <v>1.5256588072122098E-2</v>
      </c>
      <c r="J8" s="116"/>
      <c r="L8" s="129"/>
    </row>
    <row r="9" spans="2:12" ht="18.5" x14ac:dyDescent="0.45">
      <c r="B9" s="117"/>
      <c r="C9" s="223" t="s">
        <v>155</v>
      </c>
      <c r="D9" s="219">
        <v>6.78</v>
      </c>
      <c r="E9" s="223" t="s">
        <v>155</v>
      </c>
      <c r="F9" s="28">
        <f t="shared" si="2"/>
        <v>6.88</v>
      </c>
      <c r="G9" s="28"/>
      <c r="H9" s="28">
        <f t="shared" si="0"/>
        <v>9.9999999999999645E-2</v>
      </c>
      <c r="I9" s="220">
        <f t="shared" si="1"/>
        <v>1.4749262536873104E-2</v>
      </c>
      <c r="J9" s="116"/>
      <c r="L9" s="129"/>
    </row>
    <row r="10" spans="2:12" ht="18.5" x14ac:dyDescent="0.45">
      <c r="B10" s="117"/>
      <c r="C10" s="223" t="s">
        <v>156</v>
      </c>
      <c r="D10" s="219">
        <v>6.58</v>
      </c>
      <c r="E10" s="223" t="s">
        <v>156</v>
      </c>
      <c r="F10" s="28">
        <f t="shared" si="2"/>
        <v>6.68</v>
      </c>
      <c r="G10" s="28"/>
      <c r="H10" s="28">
        <f t="shared" si="0"/>
        <v>9.9999999999999645E-2</v>
      </c>
      <c r="I10" s="220">
        <f t="shared" si="1"/>
        <v>1.5197568389057697E-2</v>
      </c>
      <c r="J10" s="116"/>
      <c r="L10" s="129"/>
    </row>
    <row r="11" spans="2:12" ht="18.5" x14ac:dyDescent="0.45">
      <c r="B11" s="117"/>
      <c r="C11" s="223" t="s">
        <v>157</v>
      </c>
      <c r="D11" s="219">
        <v>5.82</v>
      </c>
      <c r="E11" s="223" t="s">
        <v>157</v>
      </c>
      <c r="F11" s="28">
        <f t="shared" si="2"/>
        <v>5.91</v>
      </c>
      <c r="G11" s="28"/>
      <c r="H11" s="28">
        <f t="shared" si="0"/>
        <v>8.9999999999999858E-2</v>
      </c>
      <c r="I11" s="220">
        <f t="shared" si="1"/>
        <v>1.546391752577317E-2</v>
      </c>
      <c r="J11" s="116"/>
      <c r="L11" s="129"/>
    </row>
    <row r="12" spans="2:12" ht="18.5" x14ac:dyDescent="0.45">
      <c r="B12" s="117"/>
      <c r="C12" s="228" t="s">
        <v>158</v>
      </c>
      <c r="D12" s="219">
        <v>5.41</v>
      </c>
      <c r="E12" s="228" t="s">
        <v>211</v>
      </c>
      <c r="F12" s="28">
        <f t="shared" si="2"/>
        <v>5.49</v>
      </c>
      <c r="G12" s="28"/>
      <c r="H12" s="28">
        <f t="shared" si="0"/>
        <v>8.0000000000000071E-2</v>
      </c>
      <c r="I12" s="220">
        <f t="shared" si="1"/>
        <v>1.4787430683918681E-2</v>
      </c>
      <c r="J12" s="116"/>
      <c r="L12" s="129"/>
    </row>
    <row r="13" spans="2:12" ht="18.5" x14ac:dyDescent="0.45">
      <c r="B13" s="117"/>
      <c r="C13" s="228" t="s">
        <v>159</v>
      </c>
      <c r="D13" s="219">
        <v>3.53</v>
      </c>
      <c r="E13" s="228" t="s">
        <v>212</v>
      </c>
      <c r="F13" s="28">
        <f t="shared" si="2"/>
        <v>3.58</v>
      </c>
      <c r="G13" s="28"/>
      <c r="H13" s="28">
        <f t="shared" si="0"/>
        <v>5.0000000000000266E-2</v>
      </c>
      <c r="I13" s="220">
        <f t="shared" si="1"/>
        <v>1.4164305949008575E-2</v>
      </c>
      <c r="J13" s="116"/>
      <c r="L13" s="129"/>
    </row>
    <row r="14" spans="2:12" x14ac:dyDescent="0.35">
      <c r="B14" s="115"/>
      <c r="C14" s="217"/>
      <c r="D14" s="28"/>
      <c r="E14" s="28"/>
      <c r="F14" s="102"/>
      <c r="G14" s="102"/>
      <c r="H14" s="102"/>
      <c r="I14" s="220"/>
      <c r="J14" s="104"/>
    </row>
    <row r="15" spans="2:12" ht="18.5" x14ac:dyDescent="0.45">
      <c r="B15" s="352" t="s">
        <v>220</v>
      </c>
      <c r="C15" s="353"/>
      <c r="D15" s="353"/>
      <c r="E15" s="353"/>
      <c r="F15" s="353"/>
      <c r="G15" s="353"/>
      <c r="H15" s="353"/>
      <c r="I15" s="353"/>
      <c r="J15" s="354"/>
    </row>
    <row r="16" spans="2:12" ht="19" x14ac:dyDescent="0.5">
      <c r="B16" s="25"/>
      <c r="C16" s="364" t="s">
        <v>210</v>
      </c>
      <c r="D16" s="364"/>
      <c r="E16" s="351" t="s">
        <v>209</v>
      </c>
      <c r="F16" s="351"/>
      <c r="G16" s="26"/>
      <c r="H16" s="351" t="s">
        <v>31</v>
      </c>
      <c r="I16" s="351"/>
      <c r="J16" s="116"/>
      <c r="L16" s="131"/>
    </row>
    <row r="17" spans="2:12" ht="29" x14ac:dyDescent="0.45">
      <c r="B17" s="103"/>
      <c r="C17" s="218" t="s">
        <v>217</v>
      </c>
      <c r="D17" s="219">
        <v>21.32</v>
      </c>
      <c r="E17" s="218" t="s">
        <v>217</v>
      </c>
      <c r="F17" s="28">
        <f t="shared" ref="F17:F23" si="3">ROUND(D17*1.015,2)</f>
        <v>21.64</v>
      </c>
      <c r="G17" s="28" t="e">
        <f>#REF!*(1+#REF!)</f>
        <v>#REF!</v>
      </c>
      <c r="H17" s="28">
        <f t="shared" ref="H17:H23" si="4">F17-D17</f>
        <v>0.32000000000000028</v>
      </c>
      <c r="I17" s="220">
        <f t="shared" ref="I17:I23" si="5">H17/D17</f>
        <v>1.5009380863039413E-2</v>
      </c>
      <c r="J17" s="116"/>
      <c r="L17" s="130"/>
    </row>
    <row r="18" spans="2:12" ht="18.5" x14ac:dyDescent="0.45">
      <c r="B18" s="117"/>
      <c r="C18" s="223" t="s">
        <v>154</v>
      </c>
      <c r="D18" s="219">
        <v>10.79</v>
      </c>
      <c r="E18" s="223" t="s">
        <v>154</v>
      </c>
      <c r="F18" s="28">
        <f t="shared" si="3"/>
        <v>10.95</v>
      </c>
      <c r="G18" s="28" t="e">
        <f>#REF!*(1+#REF!)</f>
        <v>#REF!</v>
      </c>
      <c r="H18" s="28">
        <f t="shared" si="4"/>
        <v>0.16000000000000014</v>
      </c>
      <c r="I18" s="220">
        <f t="shared" si="5"/>
        <v>1.4828544949026891E-2</v>
      </c>
      <c r="J18" s="116"/>
      <c r="L18" s="129"/>
    </row>
    <row r="19" spans="2:12" ht="18.5" x14ac:dyDescent="0.45">
      <c r="B19" s="117"/>
      <c r="C19" s="223" t="s">
        <v>155</v>
      </c>
      <c r="D19" s="219">
        <v>10.17</v>
      </c>
      <c r="E19" s="223" t="s">
        <v>155</v>
      </c>
      <c r="F19" s="28">
        <f t="shared" si="3"/>
        <v>10.32</v>
      </c>
      <c r="G19" s="28"/>
      <c r="H19" s="28">
        <f t="shared" si="4"/>
        <v>0.15000000000000036</v>
      </c>
      <c r="I19" s="220">
        <f t="shared" si="5"/>
        <v>1.4749262536873191E-2</v>
      </c>
      <c r="J19" s="116"/>
      <c r="L19" s="129"/>
    </row>
    <row r="20" spans="2:12" ht="18.5" x14ac:dyDescent="0.45">
      <c r="B20" s="117"/>
      <c r="C20" s="223" t="s">
        <v>156</v>
      </c>
      <c r="D20" s="219">
        <v>9.86</v>
      </c>
      <c r="E20" s="223" t="s">
        <v>156</v>
      </c>
      <c r="F20" s="28">
        <f t="shared" si="3"/>
        <v>10.01</v>
      </c>
      <c r="G20" s="28"/>
      <c r="H20" s="28">
        <f t="shared" si="4"/>
        <v>0.15000000000000036</v>
      </c>
      <c r="I20" s="220">
        <f t="shared" si="5"/>
        <v>1.5212981744421943E-2</v>
      </c>
      <c r="J20" s="116"/>
      <c r="L20" s="129"/>
    </row>
    <row r="21" spans="2:12" ht="18.5" x14ac:dyDescent="0.45">
      <c r="B21" s="117"/>
      <c r="C21" s="223" t="s">
        <v>157</v>
      </c>
      <c r="D21" s="219">
        <v>8.7200000000000006</v>
      </c>
      <c r="E21" s="223" t="s">
        <v>157</v>
      </c>
      <c r="F21" s="28">
        <f t="shared" si="3"/>
        <v>8.85</v>
      </c>
      <c r="G21" s="28"/>
      <c r="H21" s="28">
        <f t="shared" si="4"/>
        <v>0.12999999999999901</v>
      </c>
      <c r="I21" s="220">
        <f t="shared" si="5"/>
        <v>1.490825688073383E-2</v>
      </c>
      <c r="J21" s="116"/>
      <c r="L21" s="129"/>
    </row>
    <row r="22" spans="2:12" ht="18.5" x14ac:dyDescent="0.45">
      <c r="B22" s="117"/>
      <c r="C22" s="228" t="s">
        <v>158</v>
      </c>
      <c r="D22" s="219">
        <v>8.1</v>
      </c>
      <c r="E22" s="228" t="s">
        <v>211</v>
      </c>
      <c r="F22" s="28">
        <f t="shared" si="3"/>
        <v>8.2200000000000006</v>
      </c>
      <c r="G22" s="28"/>
      <c r="H22" s="28">
        <f t="shared" si="4"/>
        <v>0.12000000000000099</v>
      </c>
      <c r="I22" s="220">
        <f t="shared" si="5"/>
        <v>1.4814814814814939E-2</v>
      </c>
      <c r="J22" s="116"/>
      <c r="L22" s="129"/>
    </row>
    <row r="23" spans="2:12" ht="18.5" x14ac:dyDescent="0.45">
      <c r="B23" s="117"/>
      <c r="C23" s="228" t="s">
        <v>159</v>
      </c>
      <c r="D23" s="219">
        <v>5.3</v>
      </c>
      <c r="E23" s="228" t="s">
        <v>212</v>
      </c>
      <c r="F23" s="28">
        <f t="shared" si="3"/>
        <v>5.38</v>
      </c>
      <c r="G23" s="28"/>
      <c r="H23" s="28">
        <f t="shared" si="4"/>
        <v>8.0000000000000071E-2</v>
      </c>
      <c r="I23" s="220">
        <f t="shared" si="5"/>
        <v>1.5094339622641523E-2</v>
      </c>
      <c r="J23" s="116"/>
      <c r="L23" s="129"/>
    </row>
    <row r="24" spans="2:12" x14ac:dyDescent="0.35">
      <c r="B24" s="115"/>
      <c r="C24" s="217"/>
      <c r="D24" s="28"/>
      <c r="E24" s="28"/>
      <c r="F24" s="102"/>
      <c r="G24" s="102"/>
      <c r="H24" s="102"/>
      <c r="I24" s="220"/>
      <c r="J24" s="104"/>
    </row>
    <row r="25" spans="2:12" ht="18.5" x14ac:dyDescent="0.45">
      <c r="B25" s="352" t="s">
        <v>221</v>
      </c>
      <c r="C25" s="353"/>
      <c r="D25" s="353"/>
      <c r="E25" s="353"/>
      <c r="F25" s="353"/>
      <c r="G25" s="353"/>
      <c r="H25" s="353"/>
      <c r="I25" s="353"/>
      <c r="J25" s="354"/>
    </row>
    <row r="26" spans="2:12" ht="19" x14ac:dyDescent="0.5">
      <c r="B26" s="25"/>
      <c r="C26" s="364" t="s">
        <v>210</v>
      </c>
      <c r="D26" s="364"/>
      <c r="E26" s="351" t="s">
        <v>209</v>
      </c>
      <c r="F26" s="351"/>
      <c r="G26" s="26"/>
      <c r="H26" s="351" t="s">
        <v>31</v>
      </c>
      <c r="I26" s="351"/>
      <c r="J26" s="116"/>
      <c r="L26" s="131"/>
    </row>
    <row r="27" spans="2:12" ht="29" x14ac:dyDescent="0.45">
      <c r="B27" s="103"/>
      <c r="C27" s="218" t="s">
        <v>217</v>
      </c>
      <c r="D27" s="219">
        <v>14.12</v>
      </c>
      <c r="E27" s="218" t="s">
        <v>217</v>
      </c>
      <c r="F27" s="28">
        <f>F7</f>
        <v>14.51</v>
      </c>
      <c r="G27" s="28" t="e">
        <f>#REF!*(1+#REF!)</f>
        <v>#REF!</v>
      </c>
      <c r="H27" s="28">
        <f t="shared" ref="H27:H33" si="6">F27-D27</f>
        <v>0.39000000000000057</v>
      </c>
      <c r="I27" s="220">
        <f t="shared" ref="I27:I33" si="7">H27/D27</f>
        <v>2.7620396600566616E-2</v>
      </c>
      <c r="J27" s="116"/>
      <c r="L27" s="130"/>
    </row>
    <row r="28" spans="2:12" ht="18.5" x14ac:dyDescent="0.45">
      <c r="B28" s="117"/>
      <c r="C28" s="223" t="s">
        <v>154</v>
      </c>
      <c r="D28" s="219">
        <v>7.12</v>
      </c>
      <c r="E28" s="223" t="s">
        <v>154</v>
      </c>
      <c r="F28" s="28">
        <f t="shared" ref="F28:F33" si="8">F8</f>
        <v>7.32</v>
      </c>
      <c r="G28" s="28" t="e">
        <f>#REF!*(1+#REF!)</f>
        <v>#REF!</v>
      </c>
      <c r="H28" s="28">
        <f t="shared" si="6"/>
        <v>0.20000000000000018</v>
      </c>
      <c r="I28" s="220">
        <f t="shared" si="7"/>
        <v>2.8089887640449462E-2</v>
      </c>
      <c r="J28" s="116"/>
      <c r="L28" s="129"/>
    </row>
    <row r="29" spans="2:12" ht="18.5" x14ac:dyDescent="0.45">
      <c r="B29" s="117"/>
      <c r="C29" s="223" t="s">
        <v>155</v>
      </c>
      <c r="D29" s="219">
        <v>6.7</v>
      </c>
      <c r="E29" s="223" t="s">
        <v>155</v>
      </c>
      <c r="F29" s="28">
        <f t="shared" si="8"/>
        <v>6.88</v>
      </c>
      <c r="G29" s="28"/>
      <c r="H29" s="28">
        <f t="shared" si="6"/>
        <v>0.17999999999999972</v>
      </c>
      <c r="I29" s="220">
        <f t="shared" si="7"/>
        <v>2.6865671641791003E-2</v>
      </c>
      <c r="J29" s="116"/>
      <c r="L29" s="129"/>
    </row>
    <row r="30" spans="2:12" ht="18.5" x14ac:dyDescent="0.45">
      <c r="B30" s="117"/>
      <c r="C30" s="223" t="s">
        <v>156</v>
      </c>
      <c r="D30" s="219">
        <v>6.5</v>
      </c>
      <c r="E30" s="223" t="s">
        <v>156</v>
      </c>
      <c r="F30" s="28">
        <f t="shared" si="8"/>
        <v>6.68</v>
      </c>
      <c r="G30" s="28"/>
      <c r="H30" s="28">
        <f t="shared" si="6"/>
        <v>0.17999999999999972</v>
      </c>
      <c r="I30" s="220">
        <f t="shared" si="7"/>
        <v>2.7692307692307648E-2</v>
      </c>
      <c r="J30" s="116"/>
      <c r="L30" s="129"/>
    </row>
    <row r="31" spans="2:12" ht="18.5" x14ac:dyDescent="0.45">
      <c r="B31" s="117"/>
      <c r="C31" s="223" t="s">
        <v>157</v>
      </c>
      <c r="D31" s="219">
        <v>5.75</v>
      </c>
      <c r="E31" s="223" t="s">
        <v>157</v>
      </c>
      <c r="F31" s="28">
        <f t="shared" si="8"/>
        <v>5.91</v>
      </c>
      <c r="G31" s="28"/>
      <c r="H31" s="28">
        <f t="shared" si="6"/>
        <v>0.16000000000000014</v>
      </c>
      <c r="I31" s="220">
        <f t="shared" si="7"/>
        <v>2.7826086956521764E-2</v>
      </c>
      <c r="J31" s="116"/>
      <c r="L31" s="129"/>
    </row>
    <row r="32" spans="2:12" ht="18.5" x14ac:dyDescent="0.45">
      <c r="B32" s="117"/>
      <c r="C32" s="228" t="s">
        <v>158</v>
      </c>
      <c r="D32" s="219">
        <v>5.34</v>
      </c>
      <c r="E32" s="228" t="s">
        <v>211</v>
      </c>
      <c r="F32" s="28">
        <f t="shared" si="8"/>
        <v>5.49</v>
      </c>
      <c r="G32" s="28"/>
      <c r="H32" s="28">
        <f t="shared" si="6"/>
        <v>0.15000000000000036</v>
      </c>
      <c r="I32" s="220">
        <f t="shared" si="7"/>
        <v>2.8089887640449507E-2</v>
      </c>
      <c r="J32" s="116"/>
      <c r="L32" s="129"/>
    </row>
    <row r="33" spans="2:12" ht="18.5" x14ac:dyDescent="0.45">
      <c r="B33" s="117"/>
      <c r="C33" s="228" t="s">
        <v>159</v>
      </c>
      <c r="D33" s="219">
        <v>3.49</v>
      </c>
      <c r="E33" s="228" t="s">
        <v>212</v>
      </c>
      <c r="F33" s="28">
        <f t="shared" si="8"/>
        <v>3.58</v>
      </c>
      <c r="G33" s="28"/>
      <c r="H33" s="28">
        <f t="shared" si="6"/>
        <v>8.9999999999999858E-2</v>
      </c>
      <c r="I33" s="220">
        <f t="shared" si="7"/>
        <v>2.5787965616045804E-2</v>
      </c>
      <c r="J33" s="116"/>
      <c r="L33" s="129"/>
    </row>
    <row r="34" spans="2:12" x14ac:dyDescent="0.35">
      <c r="B34" s="321"/>
      <c r="C34" s="322"/>
      <c r="D34" s="323"/>
      <c r="E34" s="323"/>
      <c r="F34" s="324"/>
      <c r="G34" s="324"/>
      <c r="H34" s="324"/>
      <c r="I34" s="325"/>
      <c r="J34" s="304"/>
    </row>
    <row r="35" spans="2:12" ht="18.5" x14ac:dyDescent="0.45">
      <c r="B35" s="355" t="s">
        <v>122</v>
      </c>
      <c r="C35" s="356"/>
      <c r="D35" s="356"/>
      <c r="E35" s="356"/>
      <c r="F35" s="356"/>
      <c r="G35" s="356"/>
      <c r="H35" s="356"/>
      <c r="I35" s="356"/>
      <c r="J35" s="357"/>
    </row>
    <row r="36" spans="2:12" ht="17.649999999999999" customHeight="1" x14ac:dyDescent="0.5">
      <c r="B36" s="103"/>
      <c r="C36" s="364" t="s">
        <v>210</v>
      </c>
      <c r="D36" s="364"/>
      <c r="E36" s="351" t="s">
        <v>209</v>
      </c>
      <c r="F36" s="351"/>
      <c r="H36" s="351" t="s">
        <v>31</v>
      </c>
      <c r="I36" s="351"/>
      <c r="J36" s="104"/>
    </row>
    <row r="37" spans="2:12" ht="35" customHeight="1" x14ac:dyDescent="0.5">
      <c r="B37" s="118"/>
      <c r="C37" s="211" t="s">
        <v>218</v>
      </c>
      <c r="D37" s="219">
        <v>2.4900000000000002</v>
      </c>
      <c r="E37" s="211" t="s">
        <v>218</v>
      </c>
      <c r="F37" s="28">
        <f>ROUND(D37*(1+0.506/3),2)</f>
        <v>2.91</v>
      </c>
      <c r="G37" s="102"/>
      <c r="H37" s="28">
        <f>F37-D37</f>
        <v>0.41999999999999993</v>
      </c>
      <c r="I37" s="220">
        <f>H37/D37</f>
        <v>0.16867469879518068</v>
      </c>
      <c r="J37" s="104"/>
    </row>
    <row r="38" spans="2:12" ht="35" customHeight="1" x14ac:dyDescent="0.5">
      <c r="B38" s="118"/>
      <c r="C38" s="212" t="s">
        <v>215</v>
      </c>
      <c r="D38" s="28">
        <v>1.4</v>
      </c>
      <c r="E38" s="212" t="s">
        <v>216</v>
      </c>
      <c r="F38" s="28">
        <f>ROUND(D38*(1+0.5071/3),2)</f>
        <v>1.64</v>
      </c>
      <c r="G38" s="102"/>
      <c r="H38" s="28">
        <f>F38-D38</f>
        <v>0.24</v>
      </c>
      <c r="I38" s="220">
        <f>H38/D38</f>
        <v>0.17142857142857143</v>
      </c>
      <c r="J38" s="104"/>
    </row>
    <row r="39" spans="2:12" ht="18" customHeight="1" x14ac:dyDescent="0.5">
      <c r="B39" s="326"/>
      <c r="C39" s="327"/>
      <c r="D39" s="224"/>
      <c r="E39" s="327"/>
      <c r="F39" s="328"/>
      <c r="G39" s="329"/>
      <c r="H39" s="224"/>
      <c r="I39" s="222"/>
      <c r="J39" s="107"/>
    </row>
    <row r="40" spans="2:12" ht="18" customHeight="1" x14ac:dyDescent="0.45">
      <c r="B40" s="365" t="s">
        <v>223</v>
      </c>
      <c r="C40" s="366"/>
      <c r="D40" s="366"/>
      <c r="E40" s="366"/>
      <c r="F40" s="366"/>
      <c r="G40" s="366"/>
      <c r="H40" s="366"/>
      <c r="I40" s="366"/>
      <c r="J40" s="367"/>
    </row>
    <row r="41" spans="2:12" ht="19" x14ac:dyDescent="0.5">
      <c r="B41" s="305"/>
      <c r="C41" s="364" t="s">
        <v>210</v>
      </c>
      <c r="D41" s="364"/>
      <c r="E41" s="351" t="s">
        <v>209</v>
      </c>
      <c r="F41" s="351"/>
      <c r="H41" s="351" t="s">
        <v>31</v>
      </c>
      <c r="I41" s="351"/>
      <c r="J41" s="306"/>
    </row>
    <row r="42" spans="2:12" ht="18" customHeight="1" x14ac:dyDescent="0.35">
      <c r="B42" s="308"/>
      <c r="C42" s="307" t="str">
        <f>[3]RatesS!$C$10</f>
        <v>All Usage</v>
      </c>
      <c r="D42" s="307">
        <f>[3]RatesS!$D$10</f>
        <v>10.31</v>
      </c>
      <c r="E42" s="307" t="str">
        <f>[3]RatesS!$G$10</f>
        <v>All Usage</v>
      </c>
      <c r="F42" s="28">
        <f>ROUND(D42*(1+0.3129/3),2)</f>
        <v>11.39</v>
      </c>
      <c r="G42" s="307"/>
      <c r="H42" s="28">
        <f t="shared" ref="H42" si="9">F42-D42</f>
        <v>1.08</v>
      </c>
      <c r="I42" s="220">
        <f t="shared" ref="I42" si="10">H42/D42</f>
        <v>0.10475266731328807</v>
      </c>
      <c r="J42" s="309"/>
    </row>
    <row r="43" spans="2:12" x14ac:dyDescent="0.35">
      <c r="B43" s="343"/>
      <c r="C43" s="344"/>
      <c r="D43" s="157"/>
      <c r="E43" s="157"/>
      <c r="F43" s="105"/>
      <c r="G43" s="106"/>
      <c r="H43" s="157"/>
      <c r="I43" s="222"/>
      <c r="J43" s="107"/>
    </row>
    <row r="48" spans="2:12" x14ac:dyDescent="0.35">
      <c r="B48" s="300"/>
      <c r="C48" s="301"/>
      <c r="D48" s="302"/>
      <c r="E48" s="302"/>
      <c r="F48" s="301"/>
      <c r="G48" s="301"/>
      <c r="H48" s="301"/>
      <c r="I48" s="303"/>
      <c r="J48" s="304"/>
    </row>
    <row r="49" spans="2:11" ht="18.5" x14ac:dyDescent="0.45">
      <c r="B49" s="361" t="s">
        <v>224</v>
      </c>
      <c r="C49" s="362"/>
      <c r="D49" s="362"/>
      <c r="E49" s="362"/>
      <c r="F49" s="362"/>
      <c r="G49" s="362"/>
      <c r="H49" s="362"/>
      <c r="I49" s="362"/>
      <c r="J49" s="363"/>
    </row>
    <row r="50" spans="2:11" x14ac:dyDescent="0.35">
      <c r="B50" s="103"/>
      <c r="J50" s="104"/>
      <c r="K50" s="103"/>
    </row>
    <row r="51" spans="2:11" ht="18.5" x14ac:dyDescent="0.45">
      <c r="B51" s="352" t="s">
        <v>219</v>
      </c>
      <c r="C51" s="353"/>
      <c r="D51" s="353"/>
      <c r="E51" s="353"/>
      <c r="F51" s="353"/>
      <c r="G51" s="353"/>
      <c r="H51" s="353"/>
      <c r="I51" s="353"/>
      <c r="J51" s="354"/>
    </row>
    <row r="52" spans="2:11" ht="19" x14ac:dyDescent="0.5">
      <c r="B52" s="25"/>
      <c r="C52" s="364" t="s">
        <v>210</v>
      </c>
      <c r="D52" s="364"/>
      <c r="E52" s="351" t="s">
        <v>209</v>
      </c>
      <c r="F52" s="351"/>
      <c r="G52" s="26"/>
      <c r="H52" s="351" t="s">
        <v>31</v>
      </c>
      <c r="I52" s="351"/>
      <c r="J52" s="116"/>
    </row>
    <row r="53" spans="2:11" ht="29" x14ac:dyDescent="0.45">
      <c r="B53" s="103"/>
      <c r="C53" s="218" t="s">
        <v>217</v>
      </c>
      <c r="D53" s="219">
        <f>F7</f>
        <v>14.51</v>
      </c>
      <c r="E53" s="218" t="s">
        <v>217</v>
      </c>
      <c r="F53" s="28">
        <f t="shared" ref="F53:F59" si="11">ROUND(D53*1.015,2)</f>
        <v>14.73</v>
      </c>
      <c r="G53" s="28" t="e">
        <f>#REF!*(1+#REF!)</f>
        <v>#REF!</v>
      </c>
      <c r="H53" s="28">
        <f t="shared" ref="H53:H59" si="12">F53-D53</f>
        <v>0.22000000000000064</v>
      </c>
      <c r="I53" s="220">
        <f t="shared" ref="I53:I59" si="13">H53/D53</f>
        <v>1.5161957270847735E-2</v>
      </c>
      <c r="J53" s="116"/>
    </row>
    <row r="54" spans="2:11" ht="18.5" x14ac:dyDescent="0.45">
      <c r="B54" s="117"/>
      <c r="C54" s="223" t="s">
        <v>154</v>
      </c>
      <c r="D54" s="219">
        <f t="shared" ref="D54:D59" si="14">F8</f>
        <v>7.32</v>
      </c>
      <c r="E54" s="223" t="s">
        <v>154</v>
      </c>
      <c r="F54" s="28">
        <f t="shared" si="11"/>
        <v>7.43</v>
      </c>
      <c r="G54" s="28" t="e">
        <f>#REF!*(1+#REF!)</f>
        <v>#REF!</v>
      </c>
      <c r="H54" s="28">
        <f t="shared" si="12"/>
        <v>0.10999999999999943</v>
      </c>
      <c r="I54" s="220">
        <f t="shared" si="13"/>
        <v>1.5027322404371506E-2</v>
      </c>
      <c r="J54" s="116"/>
    </row>
    <row r="55" spans="2:11" ht="18.5" x14ac:dyDescent="0.45">
      <c r="B55" s="117"/>
      <c r="C55" s="223" t="s">
        <v>155</v>
      </c>
      <c r="D55" s="219">
        <f t="shared" si="14"/>
        <v>6.88</v>
      </c>
      <c r="E55" s="223" t="s">
        <v>155</v>
      </c>
      <c r="F55" s="28">
        <f t="shared" si="11"/>
        <v>6.98</v>
      </c>
      <c r="G55" s="28"/>
      <c r="H55" s="28">
        <f t="shared" si="12"/>
        <v>0.10000000000000053</v>
      </c>
      <c r="I55" s="220">
        <f t="shared" si="13"/>
        <v>1.453488372093031E-2</v>
      </c>
      <c r="J55" s="116"/>
    </row>
    <row r="56" spans="2:11" ht="18.5" x14ac:dyDescent="0.45">
      <c r="B56" s="117"/>
      <c r="C56" s="223" t="s">
        <v>156</v>
      </c>
      <c r="D56" s="219">
        <f t="shared" si="14"/>
        <v>6.68</v>
      </c>
      <c r="E56" s="223" t="s">
        <v>156</v>
      </c>
      <c r="F56" s="28">
        <f t="shared" si="11"/>
        <v>6.78</v>
      </c>
      <c r="G56" s="28"/>
      <c r="H56" s="28">
        <f t="shared" si="12"/>
        <v>0.10000000000000053</v>
      </c>
      <c r="I56" s="220">
        <f t="shared" si="13"/>
        <v>1.4970059880239601E-2</v>
      </c>
      <c r="J56" s="116"/>
    </row>
    <row r="57" spans="2:11" ht="18.5" x14ac:dyDescent="0.45">
      <c r="B57" s="117"/>
      <c r="C57" s="223" t="s">
        <v>157</v>
      </c>
      <c r="D57" s="219">
        <f t="shared" si="14"/>
        <v>5.91</v>
      </c>
      <c r="E57" s="223" t="s">
        <v>157</v>
      </c>
      <c r="F57" s="28">
        <f t="shared" si="11"/>
        <v>6</v>
      </c>
      <c r="G57" s="28"/>
      <c r="H57" s="28">
        <f t="shared" si="12"/>
        <v>8.9999999999999858E-2</v>
      </c>
      <c r="I57" s="220">
        <f t="shared" si="13"/>
        <v>1.5228426395939063E-2</v>
      </c>
      <c r="J57" s="116"/>
    </row>
    <row r="58" spans="2:11" ht="18.5" x14ac:dyDescent="0.45">
      <c r="B58" s="117"/>
      <c r="C58" s="228" t="s">
        <v>211</v>
      </c>
      <c r="D58" s="219">
        <f t="shared" si="14"/>
        <v>5.49</v>
      </c>
      <c r="E58" s="228" t="s">
        <v>211</v>
      </c>
      <c r="F58" s="28">
        <f t="shared" si="11"/>
        <v>5.57</v>
      </c>
      <c r="G58" s="28"/>
      <c r="H58" s="28">
        <f t="shared" si="12"/>
        <v>8.0000000000000071E-2</v>
      </c>
      <c r="I58" s="220">
        <f t="shared" si="13"/>
        <v>1.4571948998178519E-2</v>
      </c>
      <c r="J58" s="116"/>
    </row>
    <row r="59" spans="2:11" ht="18.5" x14ac:dyDescent="0.45">
      <c r="B59" s="117"/>
      <c r="C59" s="228" t="s">
        <v>212</v>
      </c>
      <c r="D59" s="219">
        <f t="shared" si="14"/>
        <v>3.58</v>
      </c>
      <c r="E59" s="228" t="s">
        <v>212</v>
      </c>
      <c r="F59" s="28">
        <f t="shared" si="11"/>
        <v>3.63</v>
      </c>
      <c r="G59" s="28"/>
      <c r="H59" s="28">
        <f t="shared" si="12"/>
        <v>4.9999999999999822E-2</v>
      </c>
      <c r="I59" s="220">
        <f t="shared" si="13"/>
        <v>1.3966480446927325E-2</v>
      </c>
      <c r="J59" s="116"/>
    </row>
    <row r="60" spans="2:11" x14ac:dyDescent="0.35">
      <c r="B60" s="115"/>
      <c r="C60" s="217"/>
      <c r="D60" s="28"/>
      <c r="E60" s="28"/>
      <c r="F60" s="102"/>
      <c r="G60" s="102"/>
      <c r="H60" s="102"/>
      <c r="I60" s="220"/>
      <c r="J60" s="104"/>
    </row>
    <row r="61" spans="2:11" ht="18.5" x14ac:dyDescent="0.45">
      <c r="B61" s="352" t="s">
        <v>220</v>
      </c>
      <c r="C61" s="353"/>
      <c r="D61" s="353"/>
      <c r="E61" s="353"/>
      <c r="F61" s="353"/>
      <c r="G61" s="353"/>
      <c r="H61" s="353"/>
      <c r="I61" s="353"/>
      <c r="J61" s="354"/>
    </row>
    <row r="62" spans="2:11" ht="19" x14ac:dyDescent="0.5">
      <c r="B62" s="25"/>
      <c r="C62" s="364" t="s">
        <v>210</v>
      </c>
      <c r="D62" s="364"/>
      <c r="E62" s="351" t="s">
        <v>209</v>
      </c>
      <c r="F62" s="351"/>
      <c r="G62" s="26"/>
      <c r="H62" s="351" t="s">
        <v>31</v>
      </c>
      <c r="I62" s="351"/>
      <c r="J62" s="116"/>
    </row>
    <row r="63" spans="2:11" ht="29" x14ac:dyDescent="0.45">
      <c r="B63" s="103"/>
      <c r="C63" s="218" t="s">
        <v>217</v>
      </c>
      <c r="D63" s="219">
        <f t="shared" ref="D63:D69" si="15">F17</f>
        <v>21.64</v>
      </c>
      <c r="E63" s="218" t="s">
        <v>217</v>
      </c>
      <c r="F63" s="28">
        <f t="shared" ref="F63:F69" si="16">ROUND(D63*1.015,2)</f>
        <v>21.96</v>
      </c>
      <c r="G63" s="28" t="e">
        <f>#REF!*(1+#REF!)</f>
        <v>#REF!</v>
      </c>
      <c r="H63" s="28">
        <f t="shared" ref="H63:H69" si="17">F63-D63</f>
        <v>0.32000000000000028</v>
      </c>
      <c r="I63" s="220">
        <f t="shared" ref="I63:I69" si="18">H63/D63</f>
        <v>1.4787430683918681E-2</v>
      </c>
      <c r="J63" s="116"/>
    </row>
    <row r="64" spans="2:11" ht="18.5" x14ac:dyDescent="0.45">
      <c r="B64" s="117"/>
      <c r="C64" s="223" t="s">
        <v>154</v>
      </c>
      <c r="D64" s="219">
        <f t="shared" si="15"/>
        <v>10.95</v>
      </c>
      <c r="E64" s="223" t="s">
        <v>154</v>
      </c>
      <c r="F64" s="28">
        <f t="shared" si="16"/>
        <v>11.11</v>
      </c>
      <c r="G64" s="28" t="e">
        <f>#REF!*(1+#REF!)</f>
        <v>#REF!</v>
      </c>
      <c r="H64" s="28">
        <f t="shared" si="17"/>
        <v>0.16000000000000014</v>
      </c>
      <c r="I64" s="220">
        <f t="shared" si="18"/>
        <v>1.4611872146118735E-2</v>
      </c>
      <c r="J64" s="116"/>
    </row>
    <row r="65" spans="2:10" ht="18.5" x14ac:dyDescent="0.45">
      <c r="B65" s="117"/>
      <c r="C65" s="223" t="s">
        <v>155</v>
      </c>
      <c r="D65" s="219">
        <f t="shared" si="15"/>
        <v>10.32</v>
      </c>
      <c r="E65" s="223" t="s">
        <v>155</v>
      </c>
      <c r="F65" s="28">
        <f t="shared" si="16"/>
        <v>10.47</v>
      </c>
      <c r="G65" s="28"/>
      <c r="H65" s="28">
        <f t="shared" si="17"/>
        <v>0.15000000000000036</v>
      </c>
      <c r="I65" s="220">
        <f t="shared" si="18"/>
        <v>1.4534883720930267E-2</v>
      </c>
      <c r="J65" s="116"/>
    </row>
    <row r="66" spans="2:10" ht="18.5" x14ac:dyDescent="0.45">
      <c r="B66" s="117"/>
      <c r="C66" s="223" t="s">
        <v>156</v>
      </c>
      <c r="D66" s="219">
        <f t="shared" si="15"/>
        <v>10.01</v>
      </c>
      <c r="E66" s="223" t="s">
        <v>156</v>
      </c>
      <c r="F66" s="28">
        <f t="shared" si="16"/>
        <v>10.16</v>
      </c>
      <c r="G66" s="28"/>
      <c r="H66" s="28">
        <f t="shared" si="17"/>
        <v>0.15000000000000036</v>
      </c>
      <c r="I66" s="220">
        <f t="shared" si="18"/>
        <v>1.4985014985015021E-2</v>
      </c>
      <c r="J66" s="116"/>
    </row>
    <row r="67" spans="2:10" ht="18.5" x14ac:dyDescent="0.45">
      <c r="B67" s="117"/>
      <c r="C67" s="223" t="s">
        <v>157</v>
      </c>
      <c r="D67" s="219">
        <f t="shared" si="15"/>
        <v>8.85</v>
      </c>
      <c r="E67" s="223" t="s">
        <v>157</v>
      </c>
      <c r="F67" s="28">
        <f t="shared" si="16"/>
        <v>8.98</v>
      </c>
      <c r="G67" s="28"/>
      <c r="H67" s="28">
        <f t="shared" si="17"/>
        <v>0.13000000000000078</v>
      </c>
      <c r="I67" s="220">
        <f t="shared" si="18"/>
        <v>1.4689265536723253E-2</v>
      </c>
      <c r="J67" s="116"/>
    </row>
    <row r="68" spans="2:10" ht="18.5" x14ac:dyDescent="0.45">
      <c r="B68" s="117"/>
      <c r="C68" s="228" t="s">
        <v>211</v>
      </c>
      <c r="D68" s="219">
        <f t="shared" si="15"/>
        <v>8.2200000000000006</v>
      </c>
      <c r="E68" s="228" t="s">
        <v>211</v>
      </c>
      <c r="F68" s="28">
        <f t="shared" si="16"/>
        <v>8.34</v>
      </c>
      <c r="G68" s="28"/>
      <c r="H68" s="28">
        <f t="shared" si="17"/>
        <v>0.11999999999999922</v>
      </c>
      <c r="I68" s="220">
        <f t="shared" si="18"/>
        <v>1.4598540145985306E-2</v>
      </c>
      <c r="J68" s="116"/>
    </row>
    <row r="69" spans="2:10" ht="18.5" x14ac:dyDescent="0.45">
      <c r="B69" s="117"/>
      <c r="C69" s="228" t="s">
        <v>212</v>
      </c>
      <c r="D69" s="219">
        <f t="shared" si="15"/>
        <v>5.38</v>
      </c>
      <c r="E69" s="228" t="s">
        <v>212</v>
      </c>
      <c r="F69" s="28">
        <f t="shared" si="16"/>
        <v>5.46</v>
      </c>
      <c r="G69" s="28"/>
      <c r="H69" s="28">
        <f t="shared" si="17"/>
        <v>8.0000000000000071E-2</v>
      </c>
      <c r="I69" s="220">
        <f t="shared" si="18"/>
        <v>1.4869888475836444E-2</v>
      </c>
      <c r="J69" s="116"/>
    </row>
    <row r="70" spans="2:10" x14ac:dyDescent="0.35">
      <c r="B70" s="115"/>
      <c r="C70" s="217"/>
      <c r="D70" s="28"/>
      <c r="E70" s="28"/>
      <c r="F70" s="102"/>
      <c r="G70" s="102"/>
      <c r="H70" s="102"/>
      <c r="I70" s="220"/>
      <c r="J70" s="104"/>
    </row>
    <row r="71" spans="2:10" ht="18.5" x14ac:dyDescent="0.45">
      <c r="B71" s="352" t="s">
        <v>221</v>
      </c>
      <c r="C71" s="353"/>
      <c r="D71" s="353"/>
      <c r="E71" s="353"/>
      <c r="F71" s="353"/>
      <c r="G71" s="353"/>
      <c r="H71" s="353"/>
      <c r="I71" s="353"/>
      <c r="J71" s="354"/>
    </row>
    <row r="72" spans="2:10" ht="19" x14ac:dyDescent="0.5">
      <c r="B72" s="25"/>
      <c r="C72" s="364" t="s">
        <v>210</v>
      </c>
      <c r="D72" s="364"/>
      <c r="E72" s="351" t="s">
        <v>209</v>
      </c>
      <c r="F72" s="351"/>
      <c r="G72" s="26"/>
      <c r="H72" s="351" t="s">
        <v>31</v>
      </c>
      <c r="I72" s="351"/>
      <c r="J72" s="116"/>
    </row>
    <row r="73" spans="2:10" ht="29" x14ac:dyDescent="0.45">
      <c r="B73" s="103"/>
      <c r="C73" s="218" t="s">
        <v>217</v>
      </c>
      <c r="D73" s="219">
        <f t="shared" ref="D73:D79" si="19">F27</f>
        <v>14.51</v>
      </c>
      <c r="E73" s="218" t="s">
        <v>217</v>
      </c>
      <c r="F73" s="28">
        <f t="shared" ref="F73:F79" si="20">ROUND(D73*1.015,2)</f>
        <v>14.73</v>
      </c>
      <c r="G73" s="28" t="e">
        <f>#REF!*(1+#REF!)</f>
        <v>#REF!</v>
      </c>
      <c r="H73" s="28">
        <f t="shared" ref="H73:H79" si="21">F73-D73</f>
        <v>0.22000000000000064</v>
      </c>
      <c r="I73" s="220">
        <f t="shared" ref="I73:I79" si="22">H73/D73</f>
        <v>1.5161957270847735E-2</v>
      </c>
      <c r="J73" s="116"/>
    </row>
    <row r="74" spans="2:10" ht="18.5" x14ac:dyDescent="0.45">
      <c r="B74" s="117"/>
      <c r="C74" s="223" t="s">
        <v>154</v>
      </c>
      <c r="D74" s="219">
        <f t="shared" si="19"/>
        <v>7.32</v>
      </c>
      <c r="E74" s="223" t="s">
        <v>154</v>
      </c>
      <c r="F74" s="28">
        <f t="shared" si="20"/>
        <v>7.43</v>
      </c>
      <c r="G74" s="28" t="e">
        <f>#REF!*(1+#REF!)</f>
        <v>#REF!</v>
      </c>
      <c r="H74" s="28">
        <f t="shared" si="21"/>
        <v>0.10999999999999943</v>
      </c>
      <c r="I74" s="220">
        <f t="shared" si="22"/>
        <v>1.5027322404371506E-2</v>
      </c>
      <c r="J74" s="116"/>
    </row>
    <row r="75" spans="2:10" ht="18.5" x14ac:dyDescent="0.45">
      <c r="B75" s="117"/>
      <c r="C75" s="223" t="s">
        <v>155</v>
      </c>
      <c r="D75" s="219">
        <f t="shared" si="19"/>
        <v>6.88</v>
      </c>
      <c r="E75" s="223" t="s">
        <v>155</v>
      </c>
      <c r="F75" s="28">
        <f t="shared" si="20"/>
        <v>6.98</v>
      </c>
      <c r="G75" s="28"/>
      <c r="H75" s="28">
        <f t="shared" si="21"/>
        <v>0.10000000000000053</v>
      </c>
      <c r="I75" s="220">
        <f t="shared" si="22"/>
        <v>1.453488372093031E-2</v>
      </c>
      <c r="J75" s="116"/>
    </row>
    <row r="76" spans="2:10" ht="18.5" x14ac:dyDescent="0.45">
      <c r="B76" s="117"/>
      <c r="C76" s="223" t="s">
        <v>156</v>
      </c>
      <c r="D76" s="219">
        <f t="shared" si="19"/>
        <v>6.68</v>
      </c>
      <c r="E76" s="223" t="s">
        <v>156</v>
      </c>
      <c r="F76" s="28">
        <f t="shared" si="20"/>
        <v>6.78</v>
      </c>
      <c r="G76" s="28"/>
      <c r="H76" s="28">
        <f t="shared" si="21"/>
        <v>0.10000000000000053</v>
      </c>
      <c r="I76" s="220">
        <f t="shared" si="22"/>
        <v>1.4970059880239601E-2</v>
      </c>
      <c r="J76" s="116"/>
    </row>
    <row r="77" spans="2:10" ht="18.5" x14ac:dyDescent="0.45">
      <c r="B77" s="117"/>
      <c r="C77" s="223" t="s">
        <v>157</v>
      </c>
      <c r="D77" s="219">
        <f t="shared" si="19"/>
        <v>5.91</v>
      </c>
      <c r="E77" s="223" t="s">
        <v>157</v>
      </c>
      <c r="F77" s="28">
        <f t="shared" si="20"/>
        <v>6</v>
      </c>
      <c r="G77" s="28"/>
      <c r="H77" s="28">
        <f t="shared" si="21"/>
        <v>8.9999999999999858E-2</v>
      </c>
      <c r="I77" s="220">
        <f t="shared" si="22"/>
        <v>1.5228426395939063E-2</v>
      </c>
      <c r="J77" s="116"/>
    </row>
    <row r="78" spans="2:10" ht="18.5" x14ac:dyDescent="0.45">
      <c r="B78" s="117"/>
      <c r="C78" s="228" t="s">
        <v>211</v>
      </c>
      <c r="D78" s="219">
        <f t="shared" si="19"/>
        <v>5.49</v>
      </c>
      <c r="E78" s="228" t="s">
        <v>211</v>
      </c>
      <c r="F78" s="28">
        <f t="shared" si="20"/>
        <v>5.57</v>
      </c>
      <c r="G78" s="28"/>
      <c r="H78" s="28">
        <f t="shared" si="21"/>
        <v>8.0000000000000071E-2</v>
      </c>
      <c r="I78" s="220">
        <f t="shared" si="22"/>
        <v>1.4571948998178519E-2</v>
      </c>
      <c r="J78" s="116"/>
    </row>
    <row r="79" spans="2:10" ht="18.5" x14ac:dyDescent="0.45">
      <c r="B79" s="117"/>
      <c r="C79" s="228" t="s">
        <v>212</v>
      </c>
      <c r="D79" s="219">
        <f t="shared" si="19"/>
        <v>3.58</v>
      </c>
      <c r="E79" s="228" t="s">
        <v>212</v>
      </c>
      <c r="F79" s="28">
        <f t="shared" si="20"/>
        <v>3.63</v>
      </c>
      <c r="G79" s="28"/>
      <c r="H79" s="28">
        <f t="shared" si="21"/>
        <v>4.9999999999999822E-2</v>
      </c>
      <c r="I79" s="220">
        <f t="shared" si="22"/>
        <v>1.3966480446927325E-2</v>
      </c>
      <c r="J79" s="116"/>
    </row>
    <row r="80" spans="2:10" x14ac:dyDescent="0.35">
      <c r="B80" s="321"/>
      <c r="C80" s="322"/>
      <c r="D80" s="323"/>
      <c r="E80" s="323"/>
      <c r="F80" s="324"/>
      <c r="G80" s="324"/>
      <c r="H80" s="324"/>
      <c r="I80" s="325"/>
      <c r="J80" s="304"/>
    </row>
    <row r="81" spans="2:11" ht="18.5" x14ac:dyDescent="0.45">
      <c r="B81" s="355" t="s">
        <v>122</v>
      </c>
      <c r="C81" s="356"/>
      <c r="D81" s="356"/>
      <c r="E81" s="356"/>
      <c r="F81" s="356"/>
      <c r="G81" s="356"/>
      <c r="H81" s="356"/>
      <c r="I81" s="356"/>
      <c r="J81" s="357"/>
    </row>
    <row r="82" spans="2:11" ht="16" x14ac:dyDescent="0.5">
      <c r="B82" s="103"/>
      <c r="C82" s="364" t="s">
        <v>210</v>
      </c>
      <c r="D82" s="364"/>
      <c r="E82" s="351" t="s">
        <v>209</v>
      </c>
      <c r="F82" s="351"/>
      <c r="H82" s="351" t="s">
        <v>31</v>
      </c>
      <c r="I82" s="351"/>
      <c r="J82" s="104"/>
    </row>
    <row r="83" spans="2:11" ht="34.9" customHeight="1" x14ac:dyDescent="0.5">
      <c r="B83" s="118"/>
      <c r="C83" s="211" t="s">
        <v>218</v>
      </c>
      <c r="D83" s="219">
        <f t="shared" ref="D83:D84" si="23">F37</f>
        <v>2.91</v>
      </c>
      <c r="E83" s="211" t="s">
        <v>218</v>
      </c>
      <c r="F83" s="28">
        <f>ROUND(D83*(1+0.506/3),2)</f>
        <v>3.4</v>
      </c>
      <c r="G83" s="102"/>
      <c r="H83" s="28">
        <f>F83-D83</f>
        <v>0.48999999999999977</v>
      </c>
      <c r="I83" s="220">
        <f>H83/D83</f>
        <v>0.16838487972508581</v>
      </c>
      <c r="J83" s="104"/>
    </row>
    <row r="84" spans="2:11" ht="34.9" customHeight="1" x14ac:dyDescent="0.5">
      <c r="B84" s="118"/>
      <c r="C84" s="212" t="s">
        <v>215</v>
      </c>
      <c r="D84" s="219">
        <f t="shared" si="23"/>
        <v>1.64</v>
      </c>
      <c r="E84" s="212" t="s">
        <v>216</v>
      </c>
      <c r="F84" s="28">
        <f>ROUND(D84*(1+0.5071/3),2)</f>
        <v>1.92</v>
      </c>
      <c r="G84" s="102"/>
      <c r="H84" s="28">
        <f>F84-D84</f>
        <v>0.28000000000000003</v>
      </c>
      <c r="I84" s="220">
        <f>H84/D84</f>
        <v>0.17073170731707318</v>
      </c>
      <c r="J84" s="104"/>
    </row>
    <row r="85" spans="2:11" ht="16" x14ac:dyDescent="0.5">
      <c r="B85" s="326"/>
      <c r="C85" s="327"/>
      <c r="D85" s="224"/>
      <c r="E85" s="327"/>
      <c r="F85" s="328"/>
      <c r="G85" s="329"/>
      <c r="H85" s="224"/>
      <c r="I85" s="222"/>
      <c r="J85" s="107"/>
    </row>
    <row r="86" spans="2:11" ht="18.5" x14ac:dyDescent="0.45">
      <c r="B86" s="365" t="s">
        <v>223</v>
      </c>
      <c r="C86" s="366"/>
      <c r="D86" s="366"/>
      <c r="E86" s="366"/>
      <c r="F86" s="366"/>
      <c r="G86" s="366"/>
      <c r="H86" s="366"/>
      <c r="I86" s="366"/>
      <c r="J86" s="367"/>
    </row>
    <row r="87" spans="2:11" ht="19" x14ac:dyDescent="0.5">
      <c r="B87" s="305"/>
      <c r="C87" s="364" t="s">
        <v>210</v>
      </c>
      <c r="D87" s="364"/>
      <c r="E87" s="351" t="s">
        <v>209</v>
      </c>
      <c r="F87" s="351"/>
      <c r="H87" s="351" t="s">
        <v>31</v>
      </c>
      <c r="I87" s="351"/>
      <c r="J87" s="306"/>
    </row>
    <row r="88" spans="2:11" x14ac:dyDescent="0.35">
      <c r="B88" s="308"/>
      <c r="C88" s="307" t="str">
        <f>[3]RatesS!$C$10</f>
        <v>All Usage</v>
      </c>
      <c r="D88" s="219">
        <f>F42</f>
        <v>11.39</v>
      </c>
      <c r="E88" s="307" t="str">
        <f>[3]RatesS!$G$10</f>
        <v>All Usage</v>
      </c>
      <c r="F88" s="28">
        <f>ROUND(D88*(1+0.3129/3),2)</f>
        <v>12.58</v>
      </c>
      <c r="G88" s="307"/>
      <c r="H88" s="28">
        <f t="shared" ref="H88" si="24">F88-D88</f>
        <v>1.1899999999999995</v>
      </c>
      <c r="I88" s="220">
        <f t="shared" ref="I88" si="25">H88/D88</f>
        <v>0.10447761194029846</v>
      </c>
      <c r="J88" s="309"/>
    </row>
    <row r="89" spans="2:11" x14ac:dyDescent="0.35">
      <c r="B89" s="343"/>
      <c r="C89" s="344"/>
      <c r="D89" s="157"/>
      <c r="E89" s="157"/>
      <c r="F89" s="105"/>
      <c r="G89" s="106"/>
      <c r="H89" s="157"/>
      <c r="I89" s="222"/>
      <c r="J89" s="107"/>
    </row>
    <row r="92" spans="2:11" x14ac:dyDescent="0.35">
      <c r="B92" s="300"/>
      <c r="C92" s="301"/>
      <c r="D92" s="302"/>
      <c r="E92" s="302"/>
      <c r="F92" s="301"/>
      <c r="G92" s="301"/>
      <c r="H92" s="301"/>
      <c r="I92" s="303"/>
      <c r="J92" s="304"/>
    </row>
    <row r="93" spans="2:11" ht="18.5" x14ac:dyDescent="0.45">
      <c r="B93" s="361" t="s">
        <v>225</v>
      </c>
      <c r="C93" s="362"/>
      <c r="D93" s="362"/>
      <c r="E93" s="362"/>
      <c r="F93" s="362"/>
      <c r="G93" s="362"/>
      <c r="H93" s="362"/>
      <c r="I93" s="362"/>
      <c r="J93" s="363"/>
    </row>
    <row r="94" spans="2:11" x14ac:dyDescent="0.35">
      <c r="B94" s="103"/>
      <c r="J94" s="104"/>
      <c r="K94" s="103"/>
    </row>
    <row r="95" spans="2:11" ht="18.5" x14ac:dyDescent="0.45">
      <c r="B95" s="352" t="s">
        <v>219</v>
      </c>
      <c r="C95" s="353"/>
      <c r="D95" s="353"/>
      <c r="E95" s="353"/>
      <c r="F95" s="353"/>
      <c r="G95" s="353"/>
      <c r="H95" s="353"/>
      <c r="I95" s="353"/>
      <c r="J95" s="354"/>
    </row>
    <row r="96" spans="2:11" ht="19" x14ac:dyDescent="0.5">
      <c r="B96" s="25"/>
      <c r="C96" s="364" t="s">
        <v>210</v>
      </c>
      <c r="D96" s="364"/>
      <c r="E96" s="351" t="s">
        <v>209</v>
      </c>
      <c r="F96" s="351"/>
      <c r="G96" s="26"/>
      <c r="H96" s="351" t="s">
        <v>31</v>
      </c>
      <c r="I96" s="351"/>
      <c r="J96" s="116"/>
    </row>
    <row r="97" spans="2:10" ht="29" x14ac:dyDescent="0.45">
      <c r="B97" s="103"/>
      <c r="C97" s="218" t="s">
        <v>217</v>
      </c>
      <c r="D97" s="219">
        <f>F53</f>
        <v>14.73</v>
      </c>
      <c r="E97" s="218" t="s">
        <v>217</v>
      </c>
      <c r="F97" s="28">
        <f t="shared" ref="F97:F103" si="26">ROUND(D97*1.015,2)</f>
        <v>14.95</v>
      </c>
      <c r="G97" s="28" t="e">
        <f>#REF!*(1+#REF!)</f>
        <v>#REF!</v>
      </c>
      <c r="H97" s="28">
        <f t="shared" ref="H97:H103" si="27">F97-D97</f>
        <v>0.21999999999999886</v>
      </c>
      <c r="I97" s="220">
        <f t="shared" ref="I97:I103" si="28">H97/D97</f>
        <v>1.4935505770536242E-2</v>
      </c>
      <c r="J97" s="116"/>
    </row>
    <row r="98" spans="2:10" ht="18.5" x14ac:dyDescent="0.45">
      <c r="B98" s="117"/>
      <c r="C98" s="223" t="s">
        <v>154</v>
      </c>
      <c r="D98" s="219">
        <f t="shared" ref="D98:D103" si="29">F54</f>
        <v>7.43</v>
      </c>
      <c r="E98" s="223" t="s">
        <v>154</v>
      </c>
      <c r="F98" s="28">
        <f t="shared" si="26"/>
        <v>7.54</v>
      </c>
      <c r="G98" s="28" t="e">
        <f>#REF!*(1+#REF!)</f>
        <v>#REF!</v>
      </c>
      <c r="H98" s="28">
        <f t="shared" si="27"/>
        <v>0.11000000000000032</v>
      </c>
      <c r="I98" s="220">
        <f t="shared" si="28"/>
        <v>1.4804845222072722E-2</v>
      </c>
      <c r="J98" s="116"/>
    </row>
    <row r="99" spans="2:10" ht="18.5" x14ac:dyDescent="0.45">
      <c r="B99" s="117"/>
      <c r="C99" s="223" t="s">
        <v>155</v>
      </c>
      <c r="D99" s="219">
        <f t="shared" si="29"/>
        <v>6.98</v>
      </c>
      <c r="E99" s="223" t="s">
        <v>155</v>
      </c>
      <c r="F99" s="28">
        <f t="shared" si="26"/>
        <v>7.08</v>
      </c>
      <c r="G99" s="28"/>
      <c r="H99" s="28">
        <f t="shared" si="27"/>
        <v>9.9999999999999645E-2</v>
      </c>
      <c r="I99" s="220">
        <f t="shared" si="28"/>
        <v>1.4326647564469863E-2</v>
      </c>
      <c r="J99" s="116"/>
    </row>
    <row r="100" spans="2:10" ht="18.5" x14ac:dyDescent="0.45">
      <c r="B100" s="117"/>
      <c r="C100" s="223" t="s">
        <v>156</v>
      </c>
      <c r="D100" s="219">
        <f t="shared" si="29"/>
        <v>6.78</v>
      </c>
      <c r="E100" s="223" t="s">
        <v>156</v>
      </c>
      <c r="F100" s="28">
        <f t="shared" si="26"/>
        <v>6.88</v>
      </c>
      <c r="G100" s="28"/>
      <c r="H100" s="28">
        <f t="shared" si="27"/>
        <v>9.9999999999999645E-2</v>
      </c>
      <c r="I100" s="220">
        <f t="shared" si="28"/>
        <v>1.4749262536873104E-2</v>
      </c>
      <c r="J100" s="116"/>
    </row>
    <row r="101" spans="2:10" ht="18.5" x14ac:dyDescent="0.45">
      <c r="B101" s="117"/>
      <c r="C101" s="223" t="s">
        <v>157</v>
      </c>
      <c r="D101" s="219">
        <f t="shared" si="29"/>
        <v>6</v>
      </c>
      <c r="E101" s="223" t="s">
        <v>157</v>
      </c>
      <c r="F101" s="28">
        <f t="shared" si="26"/>
        <v>6.09</v>
      </c>
      <c r="G101" s="28"/>
      <c r="H101" s="28">
        <f t="shared" si="27"/>
        <v>8.9999999999999858E-2</v>
      </c>
      <c r="I101" s="220">
        <f t="shared" si="28"/>
        <v>1.4999999999999977E-2</v>
      </c>
      <c r="J101" s="116"/>
    </row>
    <row r="102" spans="2:10" ht="18.5" x14ac:dyDescent="0.45">
      <c r="B102" s="117"/>
      <c r="C102" s="228" t="s">
        <v>211</v>
      </c>
      <c r="D102" s="219">
        <f t="shared" si="29"/>
        <v>5.57</v>
      </c>
      <c r="E102" s="228" t="s">
        <v>211</v>
      </c>
      <c r="F102" s="28">
        <f t="shared" si="26"/>
        <v>5.65</v>
      </c>
      <c r="G102" s="28"/>
      <c r="H102" s="28">
        <f t="shared" si="27"/>
        <v>8.0000000000000071E-2</v>
      </c>
      <c r="I102" s="220">
        <f t="shared" si="28"/>
        <v>1.4362657091561952E-2</v>
      </c>
      <c r="J102" s="116"/>
    </row>
    <row r="103" spans="2:10" ht="18.5" x14ac:dyDescent="0.45">
      <c r="B103" s="117"/>
      <c r="C103" s="228" t="s">
        <v>212</v>
      </c>
      <c r="D103" s="219">
        <f t="shared" si="29"/>
        <v>3.63</v>
      </c>
      <c r="E103" s="228" t="s">
        <v>212</v>
      </c>
      <c r="F103" s="28">
        <f t="shared" si="26"/>
        <v>3.68</v>
      </c>
      <c r="G103" s="28"/>
      <c r="H103" s="28">
        <f t="shared" si="27"/>
        <v>5.0000000000000266E-2</v>
      </c>
      <c r="I103" s="220">
        <f t="shared" si="28"/>
        <v>1.3774104683195666E-2</v>
      </c>
      <c r="J103" s="116"/>
    </row>
    <row r="104" spans="2:10" x14ac:dyDescent="0.35">
      <c r="B104" s="115"/>
      <c r="C104" s="217"/>
      <c r="D104" s="28"/>
      <c r="E104" s="28"/>
      <c r="F104" s="102"/>
      <c r="G104" s="102"/>
      <c r="H104" s="102"/>
      <c r="I104" s="220"/>
      <c r="J104" s="104"/>
    </row>
    <row r="105" spans="2:10" ht="18.5" x14ac:dyDescent="0.45">
      <c r="B105" s="352" t="s">
        <v>220</v>
      </c>
      <c r="C105" s="353"/>
      <c r="D105" s="353"/>
      <c r="E105" s="353"/>
      <c r="F105" s="353"/>
      <c r="G105" s="353"/>
      <c r="H105" s="353"/>
      <c r="I105" s="353"/>
      <c r="J105" s="354"/>
    </row>
    <row r="106" spans="2:10" ht="19" x14ac:dyDescent="0.5">
      <c r="B106" s="25"/>
      <c r="C106" s="364" t="s">
        <v>210</v>
      </c>
      <c r="D106" s="364"/>
      <c r="E106" s="351" t="s">
        <v>209</v>
      </c>
      <c r="F106" s="351"/>
      <c r="G106" s="26"/>
      <c r="H106" s="351" t="s">
        <v>31</v>
      </c>
      <c r="I106" s="351"/>
      <c r="J106" s="116"/>
    </row>
    <row r="107" spans="2:10" ht="29" x14ac:dyDescent="0.45">
      <c r="B107" s="103"/>
      <c r="C107" s="218" t="s">
        <v>217</v>
      </c>
      <c r="D107" s="219">
        <f t="shared" ref="D107:D113" si="30">F63</f>
        <v>21.96</v>
      </c>
      <c r="E107" s="218" t="s">
        <v>217</v>
      </c>
      <c r="F107" s="28">
        <f t="shared" ref="F107:F113" si="31">ROUND(D107*1.015,2)</f>
        <v>22.29</v>
      </c>
      <c r="G107" s="28" t="e">
        <f>#REF!*(1+#REF!)</f>
        <v>#REF!</v>
      </c>
      <c r="H107" s="28">
        <f t="shared" ref="H107:H113" si="32">F107-D107</f>
        <v>0.32999999999999829</v>
      </c>
      <c r="I107" s="220">
        <f t="shared" ref="I107:I113" si="33">H107/D107</f>
        <v>1.5027322404371506E-2</v>
      </c>
      <c r="J107" s="116"/>
    </row>
    <row r="108" spans="2:10" ht="18.5" x14ac:dyDescent="0.45">
      <c r="B108" s="117"/>
      <c r="C108" s="223" t="s">
        <v>154</v>
      </c>
      <c r="D108" s="219">
        <f t="shared" si="30"/>
        <v>11.11</v>
      </c>
      <c r="E108" s="223" t="s">
        <v>154</v>
      </c>
      <c r="F108" s="28">
        <f t="shared" si="31"/>
        <v>11.28</v>
      </c>
      <c r="G108" s="28" t="e">
        <f>#REF!*(1+#REF!)</f>
        <v>#REF!</v>
      </c>
      <c r="H108" s="28">
        <f t="shared" si="32"/>
        <v>0.16999999999999993</v>
      </c>
      <c r="I108" s="220">
        <f t="shared" si="33"/>
        <v>1.5301530153015296E-2</v>
      </c>
      <c r="J108" s="116"/>
    </row>
    <row r="109" spans="2:10" ht="18.5" x14ac:dyDescent="0.45">
      <c r="B109" s="117"/>
      <c r="C109" s="223" t="s">
        <v>155</v>
      </c>
      <c r="D109" s="219">
        <f t="shared" si="30"/>
        <v>10.47</v>
      </c>
      <c r="E109" s="223" t="s">
        <v>155</v>
      </c>
      <c r="F109" s="28">
        <f t="shared" si="31"/>
        <v>10.63</v>
      </c>
      <c r="G109" s="28"/>
      <c r="H109" s="28">
        <f t="shared" si="32"/>
        <v>0.16000000000000014</v>
      </c>
      <c r="I109" s="220">
        <f t="shared" si="33"/>
        <v>1.5281757402101255E-2</v>
      </c>
      <c r="J109" s="116"/>
    </row>
    <row r="110" spans="2:10" ht="18.5" x14ac:dyDescent="0.45">
      <c r="B110" s="117"/>
      <c r="C110" s="223" t="s">
        <v>156</v>
      </c>
      <c r="D110" s="219">
        <f t="shared" si="30"/>
        <v>10.16</v>
      </c>
      <c r="E110" s="223" t="s">
        <v>156</v>
      </c>
      <c r="F110" s="28">
        <f t="shared" si="31"/>
        <v>10.31</v>
      </c>
      <c r="G110" s="28"/>
      <c r="H110" s="28">
        <f t="shared" si="32"/>
        <v>0.15000000000000036</v>
      </c>
      <c r="I110" s="220">
        <f t="shared" si="33"/>
        <v>1.476377952755909E-2</v>
      </c>
      <c r="J110" s="116"/>
    </row>
    <row r="111" spans="2:10" ht="18.5" x14ac:dyDescent="0.45">
      <c r="B111" s="117"/>
      <c r="C111" s="223" t="s">
        <v>157</v>
      </c>
      <c r="D111" s="219">
        <f t="shared" si="30"/>
        <v>8.98</v>
      </c>
      <c r="E111" s="223" t="s">
        <v>157</v>
      </c>
      <c r="F111" s="28">
        <f t="shared" si="31"/>
        <v>9.11</v>
      </c>
      <c r="G111" s="28"/>
      <c r="H111" s="28">
        <f t="shared" si="32"/>
        <v>0.12999999999999901</v>
      </c>
      <c r="I111" s="220">
        <f t="shared" si="33"/>
        <v>1.4476614699331737E-2</v>
      </c>
      <c r="J111" s="116"/>
    </row>
    <row r="112" spans="2:10" ht="18.5" x14ac:dyDescent="0.45">
      <c r="B112" s="117"/>
      <c r="C112" s="228" t="s">
        <v>211</v>
      </c>
      <c r="D112" s="219">
        <f t="shared" si="30"/>
        <v>8.34</v>
      </c>
      <c r="E112" s="228" t="s">
        <v>211</v>
      </c>
      <c r="F112" s="28">
        <f t="shared" si="31"/>
        <v>8.4700000000000006</v>
      </c>
      <c r="G112" s="28"/>
      <c r="H112" s="28">
        <f t="shared" si="32"/>
        <v>0.13000000000000078</v>
      </c>
      <c r="I112" s="220">
        <f t="shared" si="33"/>
        <v>1.5587529976019279E-2</v>
      </c>
      <c r="J112" s="116"/>
    </row>
    <row r="113" spans="2:10" ht="18.5" x14ac:dyDescent="0.45">
      <c r="B113" s="117"/>
      <c r="C113" s="228" t="s">
        <v>212</v>
      </c>
      <c r="D113" s="219">
        <f t="shared" si="30"/>
        <v>5.46</v>
      </c>
      <c r="E113" s="228" t="s">
        <v>212</v>
      </c>
      <c r="F113" s="28">
        <f t="shared" si="31"/>
        <v>5.54</v>
      </c>
      <c r="G113" s="28"/>
      <c r="H113" s="28">
        <f t="shared" si="32"/>
        <v>8.0000000000000071E-2</v>
      </c>
      <c r="I113" s="220">
        <f t="shared" si="33"/>
        <v>1.4652014652014666E-2</v>
      </c>
      <c r="J113" s="116"/>
    </row>
    <row r="114" spans="2:10" x14ac:dyDescent="0.35">
      <c r="B114" s="115"/>
      <c r="C114" s="217"/>
      <c r="D114" s="28"/>
      <c r="E114" s="28"/>
      <c r="F114" s="102"/>
      <c r="G114" s="102"/>
      <c r="H114" s="102"/>
      <c r="I114" s="220"/>
      <c r="J114" s="104"/>
    </row>
    <row r="115" spans="2:10" ht="18.5" x14ac:dyDescent="0.45">
      <c r="B115" s="352" t="s">
        <v>221</v>
      </c>
      <c r="C115" s="353"/>
      <c r="D115" s="353"/>
      <c r="E115" s="353"/>
      <c r="F115" s="353"/>
      <c r="G115" s="353"/>
      <c r="H115" s="353"/>
      <c r="I115" s="353"/>
      <c r="J115" s="354"/>
    </row>
    <row r="116" spans="2:10" ht="19" x14ac:dyDescent="0.5">
      <c r="B116" s="25"/>
      <c r="C116" s="364" t="s">
        <v>210</v>
      </c>
      <c r="D116" s="364"/>
      <c r="E116" s="351" t="s">
        <v>209</v>
      </c>
      <c r="F116" s="351"/>
      <c r="G116" s="26"/>
      <c r="H116" s="351" t="s">
        <v>31</v>
      </c>
      <c r="I116" s="351"/>
      <c r="J116" s="116"/>
    </row>
    <row r="117" spans="2:10" ht="29" x14ac:dyDescent="0.45">
      <c r="B117" s="103"/>
      <c r="C117" s="218" t="s">
        <v>217</v>
      </c>
      <c r="D117" s="219">
        <f t="shared" ref="D117:D123" si="34">F73</f>
        <v>14.73</v>
      </c>
      <c r="E117" s="218" t="s">
        <v>217</v>
      </c>
      <c r="F117" s="28">
        <f t="shared" ref="F117:F123" si="35">ROUND(D117*1.015,2)</f>
        <v>14.95</v>
      </c>
      <c r="G117" s="28" t="e">
        <f>#REF!*(1+#REF!)</f>
        <v>#REF!</v>
      </c>
      <c r="H117" s="28">
        <f t="shared" ref="H117:H123" si="36">F117-D117</f>
        <v>0.21999999999999886</v>
      </c>
      <c r="I117" s="220">
        <f t="shared" ref="I117:I123" si="37">H117/D117</f>
        <v>1.4935505770536242E-2</v>
      </c>
      <c r="J117" s="116"/>
    </row>
    <row r="118" spans="2:10" ht="18.5" x14ac:dyDescent="0.45">
      <c r="B118" s="117"/>
      <c r="C118" s="223" t="s">
        <v>154</v>
      </c>
      <c r="D118" s="219">
        <f t="shared" si="34"/>
        <v>7.43</v>
      </c>
      <c r="E118" s="223" t="s">
        <v>154</v>
      </c>
      <c r="F118" s="28">
        <f t="shared" si="35"/>
        <v>7.54</v>
      </c>
      <c r="G118" s="28" t="e">
        <f>#REF!*(1+#REF!)</f>
        <v>#REF!</v>
      </c>
      <c r="H118" s="28">
        <f t="shared" si="36"/>
        <v>0.11000000000000032</v>
      </c>
      <c r="I118" s="220">
        <f t="shared" si="37"/>
        <v>1.4804845222072722E-2</v>
      </c>
      <c r="J118" s="116"/>
    </row>
    <row r="119" spans="2:10" ht="18.5" x14ac:dyDescent="0.45">
      <c r="B119" s="117"/>
      <c r="C119" s="223" t="s">
        <v>155</v>
      </c>
      <c r="D119" s="219">
        <f t="shared" si="34"/>
        <v>6.98</v>
      </c>
      <c r="E119" s="223" t="s">
        <v>155</v>
      </c>
      <c r="F119" s="28">
        <f t="shared" si="35"/>
        <v>7.08</v>
      </c>
      <c r="G119" s="28"/>
      <c r="H119" s="28">
        <f t="shared" si="36"/>
        <v>9.9999999999999645E-2</v>
      </c>
      <c r="I119" s="220">
        <f t="shared" si="37"/>
        <v>1.4326647564469863E-2</v>
      </c>
      <c r="J119" s="116"/>
    </row>
    <row r="120" spans="2:10" ht="18.5" x14ac:dyDescent="0.45">
      <c r="B120" s="117"/>
      <c r="C120" s="223" t="s">
        <v>156</v>
      </c>
      <c r="D120" s="219">
        <f t="shared" si="34"/>
        <v>6.78</v>
      </c>
      <c r="E120" s="223" t="s">
        <v>156</v>
      </c>
      <c r="F120" s="28">
        <f t="shared" si="35"/>
        <v>6.88</v>
      </c>
      <c r="G120" s="28"/>
      <c r="H120" s="28">
        <f t="shared" si="36"/>
        <v>9.9999999999999645E-2</v>
      </c>
      <c r="I120" s="220">
        <f t="shared" si="37"/>
        <v>1.4749262536873104E-2</v>
      </c>
      <c r="J120" s="116"/>
    </row>
    <row r="121" spans="2:10" ht="18.5" x14ac:dyDescent="0.45">
      <c r="B121" s="117"/>
      <c r="C121" s="223" t="s">
        <v>157</v>
      </c>
      <c r="D121" s="219">
        <f t="shared" si="34"/>
        <v>6</v>
      </c>
      <c r="E121" s="223" t="s">
        <v>157</v>
      </c>
      <c r="F121" s="28">
        <f t="shared" si="35"/>
        <v>6.09</v>
      </c>
      <c r="G121" s="28"/>
      <c r="H121" s="28">
        <f t="shared" si="36"/>
        <v>8.9999999999999858E-2</v>
      </c>
      <c r="I121" s="220">
        <f t="shared" si="37"/>
        <v>1.4999999999999977E-2</v>
      </c>
      <c r="J121" s="116"/>
    </row>
    <row r="122" spans="2:10" ht="18.5" x14ac:dyDescent="0.45">
      <c r="B122" s="117"/>
      <c r="C122" s="228" t="s">
        <v>211</v>
      </c>
      <c r="D122" s="219">
        <f t="shared" si="34"/>
        <v>5.57</v>
      </c>
      <c r="E122" s="228" t="s">
        <v>211</v>
      </c>
      <c r="F122" s="28">
        <f t="shared" si="35"/>
        <v>5.65</v>
      </c>
      <c r="G122" s="28"/>
      <c r="H122" s="28">
        <f t="shared" si="36"/>
        <v>8.0000000000000071E-2</v>
      </c>
      <c r="I122" s="220">
        <f t="shared" si="37"/>
        <v>1.4362657091561952E-2</v>
      </c>
      <c r="J122" s="116"/>
    </row>
    <row r="123" spans="2:10" ht="18.5" x14ac:dyDescent="0.45">
      <c r="B123" s="117"/>
      <c r="C123" s="228" t="s">
        <v>212</v>
      </c>
      <c r="D123" s="219">
        <f t="shared" si="34"/>
        <v>3.63</v>
      </c>
      <c r="E123" s="228" t="s">
        <v>212</v>
      </c>
      <c r="F123" s="28">
        <f t="shared" si="35"/>
        <v>3.68</v>
      </c>
      <c r="G123" s="28"/>
      <c r="H123" s="28">
        <f t="shared" si="36"/>
        <v>5.0000000000000266E-2</v>
      </c>
      <c r="I123" s="220">
        <f t="shared" si="37"/>
        <v>1.3774104683195666E-2</v>
      </c>
      <c r="J123" s="116"/>
    </row>
    <row r="124" spans="2:10" x14ac:dyDescent="0.35">
      <c r="B124" s="321"/>
      <c r="C124" s="322"/>
      <c r="D124" s="323"/>
      <c r="E124" s="323"/>
      <c r="F124" s="324"/>
      <c r="G124" s="324"/>
      <c r="H124" s="324"/>
      <c r="I124" s="325"/>
      <c r="J124" s="304"/>
    </row>
    <row r="125" spans="2:10" ht="18.5" x14ac:dyDescent="0.45">
      <c r="B125" s="355" t="s">
        <v>122</v>
      </c>
      <c r="C125" s="356"/>
      <c r="D125" s="356"/>
      <c r="E125" s="356"/>
      <c r="F125" s="356"/>
      <c r="G125" s="356"/>
      <c r="H125" s="356"/>
      <c r="I125" s="356"/>
      <c r="J125" s="357"/>
    </row>
    <row r="126" spans="2:10" ht="16" x14ac:dyDescent="0.5">
      <c r="B126" s="103"/>
      <c r="C126" s="364" t="s">
        <v>210</v>
      </c>
      <c r="D126" s="364"/>
      <c r="E126" s="351" t="s">
        <v>209</v>
      </c>
      <c r="F126" s="351"/>
      <c r="H126" s="351" t="s">
        <v>31</v>
      </c>
      <c r="I126" s="351"/>
      <c r="J126" s="104"/>
    </row>
    <row r="127" spans="2:10" ht="34.9" customHeight="1" x14ac:dyDescent="0.5">
      <c r="B127" s="118"/>
      <c r="C127" s="211" t="s">
        <v>218</v>
      </c>
      <c r="D127" s="219">
        <f t="shared" ref="D127:D128" si="38">F83</f>
        <v>3.4</v>
      </c>
      <c r="E127" s="211" t="s">
        <v>218</v>
      </c>
      <c r="F127" s="28">
        <f>ROUND(D127*(1+0.506/3),2)</f>
        <v>3.97</v>
      </c>
      <c r="G127" s="102"/>
      <c r="H127" s="28">
        <f>F127-D127</f>
        <v>0.57000000000000028</v>
      </c>
      <c r="I127" s="220">
        <f>H127/D127</f>
        <v>0.16764705882352951</v>
      </c>
      <c r="J127" s="104"/>
    </row>
    <row r="128" spans="2:10" ht="34.9" customHeight="1" x14ac:dyDescent="0.5">
      <c r="B128" s="118"/>
      <c r="C128" s="212" t="s">
        <v>215</v>
      </c>
      <c r="D128" s="219">
        <f t="shared" si="38"/>
        <v>1.92</v>
      </c>
      <c r="E128" s="212" t="s">
        <v>216</v>
      </c>
      <c r="F128" s="28">
        <f>ROUND(D128*(1+0.5071/3),2)</f>
        <v>2.2400000000000002</v>
      </c>
      <c r="G128" s="102"/>
      <c r="H128" s="28">
        <f>F128-D128</f>
        <v>0.32000000000000028</v>
      </c>
      <c r="I128" s="220">
        <f>H128/D128</f>
        <v>0.16666666666666682</v>
      </c>
      <c r="J128" s="104"/>
    </row>
    <row r="129" spans="2:10" ht="16" x14ac:dyDescent="0.5">
      <c r="B129" s="326"/>
      <c r="C129" s="327"/>
      <c r="D129" s="224"/>
      <c r="E129" s="327"/>
      <c r="F129" s="328"/>
      <c r="G129" s="329"/>
      <c r="H129" s="224"/>
      <c r="I129" s="222"/>
      <c r="J129" s="107"/>
    </row>
    <row r="130" spans="2:10" ht="18.5" x14ac:dyDescent="0.45">
      <c r="B130" s="365" t="s">
        <v>223</v>
      </c>
      <c r="C130" s="366"/>
      <c r="D130" s="366"/>
      <c r="E130" s="366"/>
      <c r="F130" s="366"/>
      <c r="G130" s="366"/>
      <c r="H130" s="366"/>
      <c r="I130" s="366"/>
      <c r="J130" s="367"/>
    </row>
    <row r="131" spans="2:10" ht="19" x14ac:dyDescent="0.5">
      <c r="B131" s="305"/>
      <c r="C131" s="364" t="s">
        <v>210</v>
      </c>
      <c r="D131" s="364"/>
      <c r="E131" s="351" t="s">
        <v>209</v>
      </c>
      <c r="F131" s="351"/>
      <c r="H131" s="351" t="s">
        <v>31</v>
      </c>
      <c r="I131" s="351"/>
      <c r="J131" s="306"/>
    </row>
    <row r="132" spans="2:10" x14ac:dyDescent="0.35">
      <c r="B132" s="308"/>
      <c r="C132" s="307" t="str">
        <f>[3]RatesS!$C$10</f>
        <v>All Usage</v>
      </c>
      <c r="D132" s="219">
        <f>F88</f>
        <v>12.58</v>
      </c>
      <c r="E132" s="307" t="str">
        <f>[3]RatesS!$G$10</f>
        <v>All Usage</v>
      </c>
      <c r="F132" s="28">
        <f>ROUND(D132*(1+0.3129/3),2)</f>
        <v>13.89</v>
      </c>
      <c r="G132" s="307"/>
      <c r="H132" s="28">
        <f t="shared" ref="H132" si="39">F132-D132</f>
        <v>1.3100000000000005</v>
      </c>
      <c r="I132" s="220">
        <f t="shared" ref="I132" si="40">H132/D132</f>
        <v>0.10413354531001594</v>
      </c>
      <c r="J132" s="309"/>
    </row>
    <row r="133" spans="2:10" x14ac:dyDescent="0.35">
      <c r="B133" s="343"/>
      <c r="C133" s="344"/>
      <c r="D133" s="157"/>
      <c r="E133" s="157"/>
      <c r="F133" s="105"/>
      <c r="G133" s="106"/>
      <c r="H133" s="157"/>
      <c r="I133" s="222"/>
      <c r="J133" s="107"/>
    </row>
  </sheetData>
  <mergeCells count="66">
    <mergeCell ref="B133:C133"/>
    <mergeCell ref="B125:J125"/>
    <mergeCell ref="C126:D126"/>
    <mergeCell ref="E126:F126"/>
    <mergeCell ref="H126:I126"/>
    <mergeCell ref="B130:J130"/>
    <mergeCell ref="C131:D131"/>
    <mergeCell ref="E131:F131"/>
    <mergeCell ref="H131:I131"/>
    <mergeCell ref="C116:D116"/>
    <mergeCell ref="E116:F116"/>
    <mergeCell ref="H116:I116"/>
    <mergeCell ref="B89:C89"/>
    <mergeCell ref="B93:J93"/>
    <mergeCell ref="B95:J95"/>
    <mergeCell ref="C96:D96"/>
    <mergeCell ref="E96:F96"/>
    <mergeCell ref="H96:I96"/>
    <mergeCell ref="B105:J105"/>
    <mergeCell ref="C106:D106"/>
    <mergeCell ref="E106:F106"/>
    <mergeCell ref="H106:I106"/>
    <mergeCell ref="B115:J115"/>
    <mergeCell ref="C87:D87"/>
    <mergeCell ref="E87:F87"/>
    <mergeCell ref="H87:I87"/>
    <mergeCell ref="B61:J61"/>
    <mergeCell ref="C62:D62"/>
    <mergeCell ref="E62:F62"/>
    <mergeCell ref="H62:I62"/>
    <mergeCell ref="B71:J71"/>
    <mergeCell ref="C72:D72"/>
    <mergeCell ref="E72:F72"/>
    <mergeCell ref="H72:I72"/>
    <mergeCell ref="B81:J81"/>
    <mergeCell ref="C82:D82"/>
    <mergeCell ref="E82:F82"/>
    <mergeCell ref="H82:I82"/>
    <mergeCell ref="B86:J86"/>
    <mergeCell ref="B43:C43"/>
    <mergeCell ref="B49:J49"/>
    <mergeCell ref="B51:J51"/>
    <mergeCell ref="C52:D52"/>
    <mergeCell ref="E52:F52"/>
    <mergeCell ref="H52:I52"/>
    <mergeCell ref="C41:D41"/>
    <mergeCell ref="E41:F41"/>
    <mergeCell ref="H41:I41"/>
    <mergeCell ref="C16:D16"/>
    <mergeCell ref="E16:F16"/>
    <mergeCell ref="H16:I16"/>
    <mergeCell ref="B25:J25"/>
    <mergeCell ref="C26:D26"/>
    <mergeCell ref="E26:F26"/>
    <mergeCell ref="H26:I26"/>
    <mergeCell ref="B35:J35"/>
    <mergeCell ref="C36:D36"/>
    <mergeCell ref="E36:F36"/>
    <mergeCell ref="H36:I36"/>
    <mergeCell ref="B40:J40"/>
    <mergeCell ref="B15:J15"/>
    <mergeCell ref="B3:J3"/>
    <mergeCell ref="B5:J5"/>
    <mergeCell ref="C6:D6"/>
    <mergeCell ref="E6:F6"/>
    <mergeCell ref="H6:I6"/>
  </mergeCells>
  <pageMargins left="0.25" right="0.25" top="0.25" bottom="0.25" header="0.3" footer="0.3"/>
  <pageSetup scale="91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55"/>
  <sheetViews>
    <sheetView showGridLines="0" topLeftCell="A29" workbookViewId="0">
      <selection activeCell="E53" sqref="E53"/>
    </sheetView>
  </sheetViews>
  <sheetFormatPr defaultColWidth="8.84375" defaultRowHeight="14.5" x14ac:dyDescent="0.35"/>
  <cols>
    <col min="1" max="1" width="3.07421875" style="7" customWidth="1"/>
    <col min="2" max="2" width="1.765625" style="7" customWidth="1"/>
    <col min="3" max="7" width="9.765625" style="7" customWidth="1"/>
    <col min="8" max="8" width="1.765625" style="7" customWidth="1"/>
    <col min="9" max="9" width="2.84375" style="7" customWidth="1"/>
    <col min="10" max="16384" width="8.84375" style="7"/>
  </cols>
  <sheetData>
    <row r="1" spans="2:10" x14ac:dyDescent="0.35">
      <c r="B1" s="8"/>
      <c r="C1" s="9"/>
      <c r="D1" s="9"/>
      <c r="E1" s="9"/>
      <c r="F1" s="9"/>
      <c r="G1" s="9"/>
      <c r="H1" s="10"/>
    </row>
    <row r="2" spans="2:10" ht="18.5" x14ac:dyDescent="0.45">
      <c r="B2" s="368" t="s">
        <v>99</v>
      </c>
      <c r="C2" s="369"/>
      <c r="D2" s="369"/>
      <c r="E2" s="369"/>
      <c r="F2" s="369"/>
      <c r="G2" s="369"/>
      <c r="H2" s="370"/>
    </row>
    <row r="3" spans="2:10" ht="18.5" x14ac:dyDescent="0.45">
      <c r="B3" s="371" t="s">
        <v>100</v>
      </c>
      <c r="C3" s="372"/>
      <c r="D3" s="372"/>
      <c r="E3" s="372"/>
      <c r="F3" s="372"/>
      <c r="G3" s="372"/>
      <c r="H3" s="373"/>
    </row>
    <row r="4" spans="2:10" ht="18.5" x14ac:dyDescent="0.35">
      <c r="B4" s="348" t="s">
        <v>149</v>
      </c>
      <c r="C4" s="349"/>
      <c r="D4" s="349"/>
      <c r="E4" s="349"/>
      <c r="F4" s="349"/>
      <c r="G4" s="349"/>
      <c r="H4" s="350"/>
    </row>
    <row r="5" spans="2:10" ht="6" customHeight="1" x14ac:dyDescent="0.35">
      <c r="B5" s="11"/>
      <c r="C5" s="6"/>
      <c r="D5" s="33"/>
      <c r="E5" s="33"/>
      <c r="F5" s="33"/>
      <c r="G5" s="33"/>
      <c r="H5" s="34"/>
      <c r="I5" s="32"/>
      <c r="J5" s="32"/>
    </row>
    <row r="6" spans="2:10" ht="16" x14ac:dyDescent="0.5">
      <c r="B6" s="11"/>
      <c r="C6" s="31" t="s">
        <v>3</v>
      </c>
      <c r="D6" s="35" t="s">
        <v>10</v>
      </c>
      <c r="E6" s="15" t="s">
        <v>1</v>
      </c>
      <c r="F6" s="15"/>
      <c r="G6" s="15"/>
      <c r="H6" s="31"/>
    </row>
    <row r="7" spans="2:10" ht="16" x14ac:dyDescent="0.5">
      <c r="B7" s="11"/>
      <c r="C7" s="31" t="s">
        <v>124</v>
      </c>
      <c r="D7" s="35" t="s">
        <v>32</v>
      </c>
      <c r="E7" s="15" t="s">
        <v>32</v>
      </c>
      <c r="F7" s="15" t="s">
        <v>11</v>
      </c>
      <c r="G7" s="15" t="s">
        <v>33</v>
      </c>
      <c r="H7" s="31"/>
    </row>
    <row r="8" spans="2:10" x14ac:dyDescent="0.35">
      <c r="B8" s="11"/>
      <c r="C8" s="16">
        <v>0</v>
      </c>
      <c r="D8" s="158">
        <f>Rates!$D$9</f>
        <v>14.3</v>
      </c>
      <c r="E8" s="158">
        <f>Rates!$F$9</f>
        <v>22.06</v>
      </c>
      <c r="F8" s="42">
        <f>E8-D8</f>
        <v>7.759999999999998</v>
      </c>
      <c r="G8" s="52">
        <f>F8/D8</f>
        <v>0.54265734265734245</v>
      </c>
      <c r="H8" s="38"/>
    </row>
    <row r="9" spans="2:10" x14ac:dyDescent="0.35">
      <c r="B9" s="11"/>
      <c r="C9" s="6">
        <v>2000</v>
      </c>
      <c r="D9" s="25">
        <f>Rates!$D$9+(C9-1000)/1000*Rates!$D$10</f>
        <v>21.51</v>
      </c>
      <c r="E9" s="25">
        <f>Rates!$F$9+Rates!$F$10</f>
        <v>33.18</v>
      </c>
      <c r="F9" s="16">
        <f t="shared" ref="F9:F16" si="0">E9-D9</f>
        <v>11.669999999999998</v>
      </c>
      <c r="G9" s="52">
        <f t="shared" ref="G9:G23" si="1">F9/D9</f>
        <v>0.54253835425383534</v>
      </c>
      <c r="H9" s="38"/>
    </row>
    <row r="10" spans="2:10" x14ac:dyDescent="0.35">
      <c r="B10" s="11"/>
      <c r="C10" s="39">
        <v>4000</v>
      </c>
      <c r="D10" s="154">
        <f>Rates!$D$9+Rates!$D$10+(C10-2000)/1000*Rates!$D$11</f>
        <v>35.07</v>
      </c>
      <c r="E10" s="154">
        <f>Rates!$F$9+Rates!$F$10+(C10-2000)/1000*Rates!$F$11</f>
        <v>54.1</v>
      </c>
      <c r="F10" s="40">
        <f t="shared" si="0"/>
        <v>19.03</v>
      </c>
      <c r="G10" s="53">
        <f t="shared" si="1"/>
        <v>0.54262902765896781</v>
      </c>
      <c r="H10" s="41"/>
    </row>
    <row r="11" spans="2:10" x14ac:dyDescent="0.35">
      <c r="B11" s="11"/>
      <c r="C11" s="6">
        <v>6000</v>
      </c>
      <c r="D11" s="159">
        <f>Rates!$D$9+Rates!$D$10+(C11-2000)/1000*Rates!$D$11</f>
        <v>48.63</v>
      </c>
      <c r="E11" s="159">
        <f>Rates!$F$9+Rates!$F$10+(C11-2000)/1000*Rates!$F$11</f>
        <v>75.02000000000001</v>
      </c>
      <c r="F11" s="16">
        <f t="shared" si="0"/>
        <v>26.390000000000008</v>
      </c>
      <c r="G11" s="52">
        <f t="shared" si="1"/>
        <v>0.54266913427925167</v>
      </c>
      <c r="H11" s="38"/>
    </row>
    <row r="12" spans="2:10" x14ac:dyDescent="0.35">
      <c r="B12" s="11"/>
      <c r="C12" s="6">
        <v>8000</v>
      </c>
      <c r="D12" s="159">
        <f>Rates!$D$9+Rates!$D$10+(C12-2000)/1000*Rates!$D$11</f>
        <v>62.19</v>
      </c>
      <c r="E12" s="159">
        <f>Rates!$F$9+Rates!$F$10+(C12-2000)/1000*Rates!$F$11</f>
        <v>95.94</v>
      </c>
      <c r="F12" s="16">
        <f t="shared" si="0"/>
        <v>33.75</v>
      </c>
      <c r="G12" s="52">
        <f t="shared" si="1"/>
        <v>0.54269175108538348</v>
      </c>
      <c r="H12" s="38"/>
    </row>
    <row r="13" spans="2:10" x14ac:dyDescent="0.35">
      <c r="B13" s="11"/>
      <c r="C13" s="6">
        <v>10000</v>
      </c>
      <c r="D13" s="159">
        <f>Rates!$D$9+Rates!$D$10+(C13-2000)/1000*Rates!$D$11</f>
        <v>75.75</v>
      </c>
      <c r="E13" s="159">
        <f>Rates!$F$9+Rates!$F$10+(C13-2000)/1000*Rates!$F$11</f>
        <v>116.86000000000001</v>
      </c>
      <c r="F13" s="16">
        <f t="shared" si="0"/>
        <v>41.110000000000014</v>
      </c>
      <c r="G13" s="52">
        <f t="shared" si="1"/>
        <v>0.54270627062706289</v>
      </c>
      <c r="H13" s="38"/>
    </row>
    <row r="14" spans="2:10" x14ac:dyDescent="0.35">
      <c r="B14" s="11"/>
      <c r="C14" s="6">
        <v>15000</v>
      </c>
      <c r="D14" s="159">
        <f>Rates!$D$9+Rates!$D$10+10*Rates!$D$11+(C14-12000)/1000*Rates!$D$12</f>
        <v>109.05000000000001</v>
      </c>
      <c r="E14" s="159">
        <f>Rates!$F$9+Rates!$F$10+10*Rates!$F$11+(C14-12000)/1000*Rates!$F$12</f>
        <v>168.23000000000002</v>
      </c>
      <c r="F14" s="16">
        <f t="shared" si="0"/>
        <v>59.180000000000007</v>
      </c>
      <c r="G14" s="52">
        <f t="shared" si="1"/>
        <v>0.54268684089867036</v>
      </c>
      <c r="H14" s="38"/>
    </row>
    <row r="15" spans="2:10" x14ac:dyDescent="0.35">
      <c r="B15" s="11"/>
      <c r="C15" s="6">
        <v>20000</v>
      </c>
      <c r="D15" s="159">
        <f>Rates!$D$9+Rates!$D$10+10*Rates!$D$11+(C15-12000)/1000*Rates!$D$12</f>
        <v>141.94999999999999</v>
      </c>
      <c r="E15" s="159">
        <f>Rates!$F$9+Rates!$F$10+10*Rates!$F$11+(C15-12000)/1000*Rates!$F$12</f>
        <v>218.98000000000002</v>
      </c>
      <c r="F15" s="16">
        <f t="shared" si="0"/>
        <v>77.03000000000003</v>
      </c>
      <c r="G15" s="52">
        <f t="shared" si="1"/>
        <v>0.54265586474110628</v>
      </c>
      <c r="H15" s="38"/>
    </row>
    <row r="16" spans="2:10" x14ac:dyDescent="0.35">
      <c r="B16" s="11"/>
      <c r="C16" s="6">
        <v>25000</v>
      </c>
      <c r="D16" s="159">
        <f>Rates!$D$9+Rates!$D$10+10*Rates!$D$11+(C16-12000)/1000*Rates!$D$12</f>
        <v>174.85000000000002</v>
      </c>
      <c r="E16" s="159">
        <f>Rates!$F$9+Rates!$F$10+10*Rates!$F$11+(C16-12000)/1000*Rates!$F$12</f>
        <v>269.73</v>
      </c>
      <c r="F16" s="16">
        <f t="shared" si="0"/>
        <v>94.88</v>
      </c>
      <c r="G16" s="52">
        <f t="shared" si="1"/>
        <v>0.54263654561052321</v>
      </c>
      <c r="H16" s="38"/>
    </row>
    <row r="17" spans="2:14" x14ac:dyDescent="0.35">
      <c r="B17" s="11"/>
      <c r="C17" s="6">
        <v>30000</v>
      </c>
      <c r="D17" s="159">
        <f>Rates!$D$9+Rates!$D$10+10*Rates!$D$11+14*Rates!$D$12+(C17-26000)/1000*Rates!$D$13</f>
        <v>204.71</v>
      </c>
      <c r="E17" s="159">
        <f>Rates!$F$9+Rates!$F$10+10*Rates!$F$11+14*Rates!$F$12+(C17-26000)/1000*Rates!$F$13</f>
        <v>315.8</v>
      </c>
      <c r="F17" s="16">
        <f t="shared" ref="F17:F23" si="2">E17-D17</f>
        <v>111.09</v>
      </c>
      <c r="G17" s="52">
        <f t="shared" si="1"/>
        <v>0.54267011870450876</v>
      </c>
      <c r="H17" s="38"/>
      <c r="N17" s="6"/>
    </row>
    <row r="18" spans="2:14" x14ac:dyDescent="0.35">
      <c r="B18" s="11"/>
      <c r="C18" s="6">
        <v>40000</v>
      </c>
      <c r="D18" s="159">
        <f>Rates!$D$9+Rates!$D$10+10*Rates!$D$11+14*Rates!$D$12+(C18-26000)/1000*Rates!$D$13</f>
        <v>262.91000000000003</v>
      </c>
      <c r="E18" s="159">
        <f>Rates!$F$9+Rates!$F$10+10*Rates!$F$11+14*Rates!$F$12+(C18-26000)/1000*Rates!$F$13</f>
        <v>405.6</v>
      </c>
      <c r="F18" s="16">
        <f t="shared" si="2"/>
        <v>142.69</v>
      </c>
      <c r="G18" s="52">
        <f t="shared" si="1"/>
        <v>0.5427332547259518</v>
      </c>
      <c r="H18" s="38"/>
    </row>
    <row r="19" spans="2:14" x14ac:dyDescent="0.35">
      <c r="B19" s="11"/>
      <c r="C19" s="6">
        <v>50000</v>
      </c>
      <c r="D19" s="159">
        <f>Rates!$D$9+Rates!$D$10+10*Rates!$D$11+14*Rates!$D$12+(C19-26000)/1000*Rates!$D$13</f>
        <v>321.11</v>
      </c>
      <c r="E19" s="159">
        <f>Rates!$F$9+Rates!$F$10+10*Rates!$F$11+14*Rates!$F$12+(C19-26000)/1000*Rates!$F$13</f>
        <v>495.4</v>
      </c>
      <c r="F19" s="16">
        <f t="shared" si="2"/>
        <v>174.28999999999996</v>
      </c>
      <c r="G19" s="52">
        <f t="shared" si="1"/>
        <v>0.54277350440658956</v>
      </c>
      <c r="H19" s="38"/>
    </row>
    <row r="20" spans="2:14" x14ac:dyDescent="0.35">
      <c r="B20" s="11"/>
      <c r="C20" s="6">
        <v>75000</v>
      </c>
      <c r="D20" s="159">
        <f>Rates!$D$9+Rates!$D$10+10*Rates!$D$11+14*Rates!$D$12+24*Rates!$D$13+(C20-50000)/1000*Rates!$D$14</f>
        <v>456.36</v>
      </c>
      <c r="E20" s="159">
        <f>Rates!$F$9+Rates!$F$10+10*Rates!$F$11+14*Rates!$F$12+24*Rates!$F$13+(C20-50000)/1000*Rates!$F$14</f>
        <v>704.15</v>
      </c>
      <c r="F20" s="16">
        <f t="shared" si="2"/>
        <v>247.78999999999996</v>
      </c>
      <c r="G20" s="52">
        <f t="shared" si="1"/>
        <v>0.54297046191603116</v>
      </c>
      <c r="H20" s="38"/>
    </row>
    <row r="21" spans="2:14" x14ac:dyDescent="0.35">
      <c r="B21" s="11"/>
      <c r="C21" s="6">
        <v>100000</v>
      </c>
      <c r="D21" s="159">
        <f>Rates!$D$9+Rates!$D$10+10*Rates!$D$11+14*Rates!$D$12+24*Rates!$D$13+(C21-50000)/1000*Rates!$D$14</f>
        <v>591.61</v>
      </c>
      <c r="E21" s="159">
        <f>Rates!$F$9+Rates!$F$10+10*Rates!$F$11+14*Rates!$F$12+24*Rates!$F$13+(C21-50000)/1000*Rates!$F$14</f>
        <v>912.9</v>
      </c>
      <c r="F21" s="16">
        <f t="shared" si="2"/>
        <v>321.28999999999996</v>
      </c>
      <c r="G21" s="52">
        <f t="shared" si="1"/>
        <v>0.54307736515609939</v>
      </c>
      <c r="H21" s="38"/>
    </row>
    <row r="22" spans="2:14" x14ac:dyDescent="0.35">
      <c r="B22" s="11"/>
      <c r="C22" s="6">
        <v>200000</v>
      </c>
      <c r="D22" s="159">
        <f>Rates!$D$9+Rates!$D$10+10*Rates!$D$11+14*Rates!$D$12+24*Rates!$D$13+(C22-50000)/1000*Rates!$D$14</f>
        <v>1132.6100000000001</v>
      </c>
      <c r="E22" s="159">
        <f>Rates!$F$9+Rates!$F$10+10*Rates!$F$11+14*Rates!$F$12+24*Rates!$F$13+(C22-50000)/1000*Rates!$F$14</f>
        <v>1747.9</v>
      </c>
      <c r="F22" s="16">
        <f t="shared" si="2"/>
        <v>615.29</v>
      </c>
      <c r="G22" s="52">
        <f t="shared" si="1"/>
        <v>0.54324966228445792</v>
      </c>
      <c r="H22" s="38"/>
    </row>
    <row r="23" spans="2:14" x14ac:dyDescent="0.35">
      <c r="B23" s="11"/>
      <c r="C23" s="6">
        <v>500000</v>
      </c>
      <c r="D23" s="159">
        <f>Rates!$D$9+Rates!$D$10+10*Rates!$D$11+14*Rates!$D$12+24*Rates!$D$13+(C23-50000)/1000*Rates!$D$14</f>
        <v>2755.61</v>
      </c>
      <c r="E23" s="159">
        <f>Rates!$F$9+Rates!$F$10+10*Rates!$F$11+14*Rates!$F$12+24*Rates!$F$13+(C23-50000)/1000*Rates!$F$14</f>
        <v>4252.8999999999996</v>
      </c>
      <c r="F23" s="16">
        <f t="shared" si="2"/>
        <v>1497.2899999999995</v>
      </c>
      <c r="G23" s="52">
        <f t="shared" si="1"/>
        <v>0.54336063521325562</v>
      </c>
      <c r="H23" s="38"/>
    </row>
    <row r="24" spans="2:14" ht="6" customHeight="1" x14ac:dyDescent="0.35">
      <c r="B24" s="12"/>
      <c r="C24" s="4"/>
      <c r="D24" s="37"/>
      <c r="E24" s="36"/>
      <c r="F24" s="36"/>
      <c r="G24" s="5"/>
      <c r="H24" s="13"/>
    </row>
    <row r="26" spans="2:14" x14ac:dyDescent="0.35">
      <c r="C26" s="43" t="s">
        <v>35</v>
      </c>
    </row>
    <row r="29" spans="2:14" x14ac:dyDescent="0.35">
      <c r="B29" s="8"/>
      <c r="C29" s="9"/>
      <c r="D29" s="9"/>
      <c r="E29" s="9"/>
      <c r="F29" s="9"/>
      <c r="G29" s="9"/>
      <c r="H29" s="10"/>
    </row>
    <row r="30" spans="2:14" ht="18.5" x14ac:dyDescent="0.45">
      <c r="B30" s="368" t="s">
        <v>99</v>
      </c>
      <c r="C30" s="369"/>
      <c r="D30" s="369"/>
      <c r="E30" s="369"/>
      <c r="F30" s="369"/>
      <c r="G30" s="369"/>
      <c r="H30" s="370"/>
    </row>
    <row r="31" spans="2:14" ht="18.5" x14ac:dyDescent="0.45">
      <c r="B31" s="371" t="s">
        <v>100</v>
      </c>
      <c r="C31" s="372"/>
      <c r="D31" s="372"/>
      <c r="E31" s="372"/>
      <c r="F31" s="372"/>
      <c r="G31" s="372"/>
      <c r="H31" s="373"/>
    </row>
    <row r="32" spans="2:14" ht="18.5" x14ac:dyDescent="0.45">
      <c r="B32" s="371" t="s">
        <v>179</v>
      </c>
      <c r="C32" s="372"/>
      <c r="D32" s="372"/>
      <c r="E32" s="372"/>
      <c r="F32" s="372"/>
      <c r="G32" s="372"/>
      <c r="H32" s="373"/>
    </row>
    <row r="33" spans="2:9" ht="18.5" x14ac:dyDescent="0.35">
      <c r="B33" s="348" t="s">
        <v>149</v>
      </c>
      <c r="C33" s="349"/>
      <c r="D33" s="349"/>
      <c r="E33" s="349"/>
      <c r="F33" s="349"/>
      <c r="G33" s="349"/>
      <c r="H33" s="350"/>
    </row>
    <row r="34" spans="2:9" ht="6" customHeight="1" x14ac:dyDescent="0.35">
      <c r="B34" s="11"/>
      <c r="C34" s="6"/>
      <c r="D34" s="33"/>
      <c r="E34" s="33"/>
      <c r="F34" s="33"/>
      <c r="G34" s="33"/>
      <c r="H34" s="34"/>
      <c r="I34" s="32"/>
    </row>
    <row r="35" spans="2:9" ht="16" x14ac:dyDescent="0.5">
      <c r="B35" s="11"/>
      <c r="C35" s="31" t="s">
        <v>3</v>
      </c>
      <c r="D35" s="35" t="s">
        <v>10</v>
      </c>
      <c r="E35" s="15" t="s">
        <v>1</v>
      </c>
      <c r="F35" s="15"/>
      <c r="G35" s="15"/>
      <c r="H35" s="31"/>
    </row>
    <row r="36" spans="2:9" ht="16" x14ac:dyDescent="0.5">
      <c r="B36" s="11"/>
      <c r="C36" s="31" t="s">
        <v>124</v>
      </c>
      <c r="D36" s="35" t="s">
        <v>32</v>
      </c>
      <c r="E36" s="15" t="s">
        <v>32</v>
      </c>
      <c r="F36" s="15" t="s">
        <v>11</v>
      </c>
      <c r="G36" s="15" t="s">
        <v>33</v>
      </c>
      <c r="H36" s="31"/>
    </row>
    <row r="37" spans="2:9" x14ac:dyDescent="0.35">
      <c r="B37" s="11"/>
      <c r="C37" s="16">
        <v>0</v>
      </c>
      <c r="D37" s="158">
        <f>Rates!$D$9+C37/1000*Rates!$D$48</f>
        <v>14.3</v>
      </c>
      <c r="E37" s="158">
        <f>Rates!$F$9+Rates!$F$48*C37+C37/1000*Rates!$F$48</f>
        <v>22.06</v>
      </c>
      <c r="F37" s="42">
        <f>E37-D37</f>
        <v>7.759999999999998</v>
      </c>
      <c r="G37" s="52">
        <f>F37/D37</f>
        <v>0.54265734265734245</v>
      </c>
      <c r="H37" s="38"/>
    </row>
    <row r="38" spans="2:9" x14ac:dyDescent="0.35">
      <c r="B38" s="11"/>
      <c r="C38" s="6">
        <v>2000</v>
      </c>
      <c r="D38" s="25">
        <f>Rates!$D$9+C38/1000*Rates!$D$48</f>
        <v>14.860000000000001</v>
      </c>
      <c r="E38" s="25">
        <f>Rates!$F$9+Rates!$F$10+C38/1000*Rates!$F$48</f>
        <v>33.74</v>
      </c>
      <c r="F38" s="16">
        <f t="shared" ref="F38:F52" si="3">E38-D38</f>
        <v>18.880000000000003</v>
      </c>
      <c r="G38" s="52">
        <f t="shared" ref="G38:G52" si="4">F38/D38</f>
        <v>1.2705248990578735</v>
      </c>
      <c r="H38" s="38"/>
    </row>
    <row r="39" spans="2:9" x14ac:dyDescent="0.35">
      <c r="B39" s="11"/>
      <c r="C39" s="39">
        <v>4000</v>
      </c>
      <c r="D39" s="154">
        <f>Rates!$D$9+Rates!$D$10+(C39-2000)/1000*Rates!$D$11+C39/1000*Rates!$D$48</f>
        <v>36.19</v>
      </c>
      <c r="E39" s="154">
        <f>Rates!$F$9+Rates!$F$10+(C39-2000)/1000*Rates!$F$11+C39/1000*Rates!$F$48</f>
        <v>55.22</v>
      </c>
      <c r="F39" s="40">
        <f t="shared" si="3"/>
        <v>19.03</v>
      </c>
      <c r="G39" s="53">
        <f t="shared" si="4"/>
        <v>0.52583586626139822</v>
      </c>
      <c r="H39" s="41"/>
    </row>
    <row r="40" spans="2:9" x14ac:dyDescent="0.35">
      <c r="B40" s="11"/>
      <c r="C40" s="6">
        <v>6000</v>
      </c>
      <c r="D40" s="159">
        <f>Rates!$D$9+Rates!$D$10+(C40-2000)/1000*Rates!$D$11+C40/1000*Rates!$D$48</f>
        <v>50.31</v>
      </c>
      <c r="E40" s="159">
        <f>Rates!$F$9+Rates!$F$10+(C40-2000)/1000*Rates!$F$11+C40/1000*Rates!$F$48</f>
        <v>76.700000000000017</v>
      </c>
      <c r="F40" s="16">
        <f t="shared" si="3"/>
        <v>26.390000000000015</v>
      </c>
      <c r="G40" s="52">
        <f t="shared" si="4"/>
        <v>0.52454780361757136</v>
      </c>
      <c r="H40" s="38"/>
    </row>
    <row r="41" spans="2:9" x14ac:dyDescent="0.35">
      <c r="B41" s="11"/>
      <c r="C41" s="6">
        <v>8000</v>
      </c>
      <c r="D41" s="159">
        <f>Rates!$D$9+Rates!$D$10+(C41-2000)/1000*Rates!$D$11+C41/1000*Rates!$D$48</f>
        <v>64.429999999999993</v>
      </c>
      <c r="E41" s="159">
        <f>Rates!$F$9+Rates!$F$10+(C41-2000)/1000*Rates!$F$11+C37/1000*Rates!$F$48+C41/1000*Rates!$F$48</f>
        <v>98.179999999999993</v>
      </c>
      <c r="F41" s="16">
        <f t="shared" si="3"/>
        <v>33.75</v>
      </c>
      <c r="G41" s="52">
        <f t="shared" si="4"/>
        <v>0.52382430544777281</v>
      </c>
      <c r="H41" s="38"/>
    </row>
    <row r="42" spans="2:9" x14ac:dyDescent="0.35">
      <c r="B42" s="11"/>
      <c r="C42" s="6">
        <v>10000</v>
      </c>
      <c r="D42" s="159">
        <f>Rates!$D$9+Rates!$D$10+(C42-2000)/1000*Rates!$D$11+C42/1000*Rates!$D$48</f>
        <v>78.55</v>
      </c>
      <c r="E42" s="159">
        <f>Rates!$F$9+Rates!$F$10+(C42-2000)/1000*Rates!$F$11+C42/1000*Rates!$F$48</f>
        <v>119.66000000000001</v>
      </c>
      <c r="F42" s="16">
        <f t="shared" si="3"/>
        <v>41.110000000000014</v>
      </c>
      <c r="G42" s="52">
        <f t="shared" si="4"/>
        <v>0.52336091661362205</v>
      </c>
      <c r="H42" s="38"/>
    </row>
    <row r="43" spans="2:9" x14ac:dyDescent="0.35">
      <c r="B43" s="11"/>
      <c r="C43" s="6">
        <v>15000</v>
      </c>
      <c r="D43" s="159">
        <f>Rates!$D$9+Rates!$D$10+10*Rates!$D$11+(C43-12000)/1000*Rates!$D$12+C43/1000*Rates!$D$48</f>
        <v>113.25000000000001</v>
      </c>
      <c r="E43" s="159">
        <f>Rates!$F$9+Rates!$F$10+10*Rates!$F$11+(C43-12000)/1000*Rates!$F$12+C43/1000*Rates!$F$48</f>
        <v>172.43</v>
      </c>
      <c r="F43" s="16">
        <f t="shared" si="3"/>
        <v>59.179999999999993</v>
      </c>
      <c r="G43" s="52">
        <f t="shared" si="4"/>
        <v>0.52256070640176588</v>
      </c>
      <c r="H43" s="38"/>
    </row>
    <row r="44" spans="2:9" x14ac:dyDescent="0.35">
      <c r="B44" s="11"/>
      <c r="C44" s="6">
        <v>20000</v>
      </c>
      <c r="D44" s="159">
        <f>Rates!$D$9+Rates!$D$10+10*Rates!$D$11+(C44-12000)/1000*Rates!$D$12+C44/1000*Rates!$D$48</f>
        <v>147.54999999999998</v>
      </c>
      <c r="E44" s="159">
        <f>Rates!$F$9+Rates!$F$10+10*Rates!$F$11+(C44-12000)/1000*Rates!$F$12+C44/1000*Rates!$F$48</f>
        <v>224.58</v>
      </c>
      <c r="F44" s="16">
        <f t="shared" si="3"/>
        <v>77.03000000000003</v>
      </c>
      <c r="G44" s="52">
        <f t="shared" si="4"/>
        <v>0.5220603185360897</v>
      </c>
      <c r="H44" s="38"/>
    </row>
    <row r="45" spans="2:9" x14ac:dyDescent="0.35">
      <c r="B45" s="11"/>
      <c r="C45" s="6">
        <v>25000</v>
      </c>
      <c r="D45" s="159">
        <f>Rates!$D$9+Rates!$D$10+10*Rates!$D$11+(C45-12000)/1000*Rates!$D$12+C45/1000*Rates!$D$48</f>
        <v>181.85000000000002</v>
      </c>
      <c r="E45" s="159">
        <f>Rates!$F$9+Rates!$F$10+10*Rates!$F$11+(C45-12000)/1000*Rates!$F$12+C45/1000*Rates!$F$48</f>
        <v>276.73</v>
      </c>
      <c r="F45" s="16">
        <f t="shared" si="3"/>
        <v>94.88</v>
      </c>
      <c r="G45" s="52">
        <f t="shared" si="4"/>
        <v>0.52174869397855361</v>
      </c>
      <c r="H45" s="38"/>
    </row>
    <row r="46" spans="2:9" x14ac:dyDescent="0.35">
      <c r="B46" s="11"/>
      <c r="C46" s="6">
        <v>30000</v>
      </c>
      <c r="D46" s="159">
        <f>Rates!$D$9+Rates!$D$10+10*Rates!$D$11+14*Rates!$D$12+(C46-26000)/1000*Rates!$D$13+C46/1000*Rates!$D$48</f>
        <v>213.11</v>
      </c>
      <c r="E46" s="159">
        <f>Rates!$F$9+Rates!$F$10+10*Rates!$F$11+14*Rates!$F$12+(C46-26000)/1000*Rates!$F$13+C46/1000*Rates!$F$48</f>
        <v>324.2</v>
      </c>
      <c r="F46" s="16">
        <f t="shared" si="3"/>
        <v>111.08999999999997</v>
      </c>
      <c r="G46" s="52">
        <f t="shared" si="4"/>
        <v>0.52128009009431731</v>
      </c>
      <c r="H46" s="38"/>
    </row>
    <row r="47" spans="2:9" x14ac:dyDescent="0.35">
      <c r="B47" s="11"/>
      <c r="C47" s="6">
        <v>40000</v>
      </c>
      <c r="D47" s="159">
        <f>Rates!$D$9+Rates!$D$10+10*Rates!$D$11+14*Rates!$D$12+(C47-26000)/1000*Rates!$D$13+C47/1000*Rates!$D$48</f>
        <v>274.11</v>
      </c>
      <c r="E47" s="159">
        <f>Rates!$F$9+Rates!$F$10+10*Rates!$F$11+14*Rates!$F$12+(C47-26000)/1000*Rates!$F$13+C47/1000*Rates!$F$48</f>
        <v>416.8</v>
      </c>
      <c r="F47" s="16">
        <f t="shared" si="3"/>
        <v>142.69</v>
      </c>
      <c r="G47" s="52">
        <f t="shared" si="4"/>
        <v>0.52055744044361751</v>
      </c>
      <c r="H47" s="38"/>
    </row>
    <row r="48" spans="2:9" x14ac:dyDescent="0.35">
      <c r="B48" s="11"/>
      <c r="C48" s="6">
        <v>50000</v>
      </c>
      <c r="D48" s="159">
        <f>Rates!$D$9+Rates!$D$10+10*Rates!$D$11+14*Rates!$D$12+(C48-26000)/1000*Rates!$D$13+C48/1000*Rates!$D$48</f>
        <v>335.11</v>
      </c>
      <c r="E48" s="159">
        <f>Rates!$F$9+Rates!$F$10+10*Rates!$F$11+14*Rates!$F$12+(C48-26000)/1000*Rates!$F$13+C48/1000*Rates!$F$48</f>
        <v>509.4</v>
      </c>
      <c r="F48" s="16">
        <f t="shared" si="3"/>
        <v>174.28999999999996</v>
      </c>
      <c r="G48" s="52">
        <f t="shared" si="4"/>
        <v>0.52009787830861498</v>
      </c>
      <c r="H48" s="38"/>
    </row>
    <row r="49" spans="2:8" x14ac:dyDescent="0.35">
      <c r="B49" s="11"/>
      <c r="C49" s="6">
        <v>75000</v>
      </c>
      <c r="D49" s="159">
        <f>Rates!$D$9+Rates!$D$10+10*Rates!$D$11+14*Rates!$D$12+24*Rates!$D$13+(C49-50000)/1000*Rates!$D$14+C49/1000*Rates!$D$48</f>
        <v>477.36</v>
      </c>
      <c r="E49" s="159">
        <f>Rates!$F$9+Rates!$F$10+10*Rates!$F$11+14*Rates!$F$12+24*Rates!$F$13+(C49-50000)/1000*Rates!$F$14+C48/1000*Rates!$F$48</f>
        <v>718.15</v>
      </c>
      <c r="F49" s="16">
        <f t="shared" si="3"/>
        <v>240.78999999999996</v>
      </c>
      <c r="G49" s="52">
        <f t="shared" si="4"/>
        <v>0.50442014412602643</v>
      </c>
      <c r="H49" s="38"/>
    </row>
    <row r="50" spans="2:8" x14ac:dyDescent="0.35">
      <c r="B50" s="11"/>
      <c r="C50" s="6">
        <v>100000</v>
      </c>
      <c r="D50" s="159">
        <f>Rates!$D$9+Rates!$D$10+10*Rates!$D$11+14*Rates!$D$12+24*Rates!$D$13+(C50-50000)/1000*Rates!$D$14+C50/1000*Rates!$D$48</f>
        <v>619.61</v>
      </c>
      <c r="E50" s="159">
        <f>Rates!$F$9+Rates!$F$10+10*Rates!$F$11+14*Rates!$F$12+24*Rates!$F$13+(C50-50000)/1000*Rates!$F$14+C50/1000*Rates!$F$48</f>
        <v>940.9</v>
      </c>
      <c r="F50" s="16">
        <f t="shared" si="3"/>
        <v>321.28999999999996</v>
      </c>
      <c r="G50" s="52">
        <f t="shared" si="4"/>
        <v>0.51853585319797935</v>
      </c>
      <c r="H50" s="38"/>
    </row>
    <row r="51" spans="2:8" x14ac:dyDescent="0.35">
      <c r="B51" s="11"/>
      <c r="C51" s="6">
        <v>200000</v>
      </c>
      <c r="D51" s="159">
        <f>Rates!$D$9+Rates!$D$10+10*Rates!$D$11+14*Rates!$D$12+24*Rates!$D$13+(C51-50000)/1000*Rates!$D$14+C51/1000*Rates!$D$48</f>
        <v>1188.6100000000001</v>
      </c>
      <c r="E51" s="159">
        <f>Rates!$F$9+Rates!$F$10+10*Rates!$F$11+14*Rates!$F$12+24*Rates!$F$13+(C51-50000)/1000*Rates!$F$14+C51/1000*Rates!$F$48</f>
        <v>1803.9</v>
      </c>
      <c r="F51" s="16">
        <f t="shared" si="3"/>
        <v>615.29</v>
      </c>
      <c r="G51" s="52">
        <f t="shared" si="4"/>
        <v>0.51765507609729</v>
      </c>
      <c r="H51" s="38"/>
    </row>
    <row r="52" spans="2:8" x14ac:dyDescent="0.35">
      <c r="B52" s="11"/>
      <c r="C52" s="6">
        <v>500000</v>
      </c>
      <c r="D52" s="159">
        <f>Rates!$D$9+Rates!$D$10+10*Rates!$D$11+14*Rates!$D$12+24*Rates!$D$13+(C52-50000)/1000*Rates!$D$14+C52/1000*Rates!$D$48</f>
        <v>2895.61</v>
      </c>
      <c r="E52" s="159">
        <f>Rates!$F$9+Rates!$F$10+10*Rates!$F$11+14*Rates!$F$12+24*Rates!$F$13+(C52-50000)/1000*Rates!$F$14+C52/1000*Rates!$F$48</f>
        <v>4392.8999999999996</v>
      </c>
      <c r="F52" s="16">
        <f t="shared" si="3"/>
        <v>1497.2899999999995</v>
      </c>
      <c r="G52" s="52">
        <f t="shared" si="4"/>
        <v>0.51708966331791906</v>
      </c>
      <c r="H52" s="38"/>
    </row>
    <row r="53" spans="2:8" ht="15.5" x14ac:dyDescent="0.35">
      <c r="B53" s="12"/>
      <c r="C53" s="4"/>
      <c r="D53" s="37"/>
      <c r="E53" s="36"/>
      <c r="F53" s="36"/>
      <c r="G53" s="5"/>
      <c r="H53" s="13"/>
    </row>
    <row r="55" spans="2:8" x14ac:dyDescent="0.35">
      <c r="C55" s="43" t="s">
        <v>35</v>
      </c>
    </row>
  </sheetData>
  <mergeCells count="7">
    <mergeCell ref="B30:H30"/>
    <mergeCell ref="B31:H31"/>
    <mergeCell ref="B33:H33"/>
    <mergeCell ref="B32:H32"/>
    <mergeCell ref="B2:H2"/>
    <mergeCell ref="B3:H3"/>
    <mergeCell ref="B4:H4"/>
  </mergeCells>
  <printOptions horizontalCentered="1"/>
  <pageMargins left="0.7" right="0.7" top="1.1000000000000001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30" baseType="lpstr">
      <vt:lpstr>SAO</vt:lpstr>
      <vt:lpstr>Wages</vt:lpstr>
      <vt:lpstr>SAO No Depreciation</vt:lpstr>
      <vt:lpstr>Depreciation</vt:lpstr>
      <vt:lpstr>Debt Service</vt:lpstr>
      <vt:lpstr>Rates</vt:lpstr>
      <vt:lpstr>Ordinance</vt:lpstr>
      <vt:lpstr>Alternative</vt:lpstr>
      <vt:lpstr>Bills</vt:lpstr>
      <vt:lpstr>Billing Analysis</vt:lpstr>
      <vt:lpstr>Rate Comparison</vt:lpstr>
      <vt:lpstr>Alternative Rate Comparison</vt:lpstr>
      <vt:lpstr>ExBA</vt:lpstr>
      <vt:lpstr>PrBA</vt:lpstr>
      <vt:lpstr>5.8 Inch Meter 4,500 Gallons</vt:lpstr>
      <vt:lpstr>5.8 Inch Meter 4,500 Gallon ALT</vt:lpstr>
      <vt:lpstr>2 Inch Meter 300,000 Gallon</vt:lpstr>
      <vt:lpstr>2 Inch Meter 300,000 Gallon ALT</vt:lpstr>
      <vt:lpstr>Wholesale </vt:lpstr>
      <vt:lpstr>Wholesale  ALT</vt:lpstr>
      <vt:lpstr>Alternative!Print_Area</vt:lpstr>
      <vt:lpstr>'Alternative Rate Comparison'!Print_Area</vt:lpstr>
      <vt:lpstr>Bills!Print_Area</vt:lpstr>
      <vt:lpstr>'Debt Service'!Print_Area</vt:lpstr>
      <vt:lpstr>Depreciation!Print_Area</vt:lpstr>
      <vt:lpstr>Ordinance!Print_Area</vt:lpstr>
      <vt:lpstr>'Rate Comparison'!Print_Area</vt:lpstr>
      <vt:lpstr>Rates!Print_Area</vt:lpstr>
      <vt:lpstr>SAO!Print_Area</vt:lpstr>
      <vt:lpstr>'SAO No Depreciation'!Print_Area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Felisa Moore</cp:lastModifiedBy>
  <cp:lastPrinted>2023-11-15T15:51:38Z</cp:lastPrinted>
  <dcterms:created xsi:type="dcterms:W3CDTF">2016-05-18T14:12:06Z</dcterms:created>
  <dcterms:modified xsi:type="dcterms:W3CDTF">2024-01-19T13:16:04Z</dcterms:modified>
</cp:coreProperties>
</file>