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/>
  <mc:AlternateContent xmlns:mc="http://schemas.openxmlformats.org/markup-compatibility/2006">
    <mc:Choice Requires="x15">
      <x15ac:absPath xmlns:x15ac="http://schemas.microsoft.com/office/spreadsheetml/2010/11/ac" url="/Users/byrongary/Documents/PSC/Duke/2023-00413-NMSII/JI-resp-Duke-DR/JI-McCann-Workpapers/"/>
    </mc:Choice>
  </mc:AlternateContent>
  <xr:revisionPtr revIDLastSave="0" documentId="13_ncr:1_{0A9CF5B6-771C-8D45-AB08-6BF3A7C6F2B1}" xr6:coauthVersionLast="47" xr6:coauthVersionMax="47" xr10:uidLastSave="{00000000-0000-0000-0000-000000000000}"/>
  <bookViews>
    <workbookView xWindow="0" yWindow="760" windowWidth="29040" windowHeight="17600" xr2:uid="{2555DA63-6E33-46E8-8360-70FF86B803D7}"/>
  </bookViews>
  <sheets>
    <sheet name="Sum" sheetId="1" r:id="rId1"/>
    <sheet name="NetCone" sheetId="3" r:id="rId2"/>
    <sheet name="Hedge Value" sheetId="4" r:id="rId3"/>
    <sheet name="Carbon Cost" sheetId="2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1" l="1"/>
  <c r="D21" i="2"/>
  <c r="B21" i="2"/>
  <c r="B20" i="2"/>
  <c r="B16" i="2"/>
  <c r="C14" i="1"/>
  <c r="B11" i="1"/>
  <c r="B14" i="1"/>
  <c r="B9" i="1"/>
  <c r="C12" i="1"/>
  <c r="B7" i="1"/>
  <c r="D4" i="4"/>
  <c r="C4" i="4"/>
  <c r="B4" i="4"/>
  <c r="D7" i="3" l="1"/>
  <c r="C7" i="3"/>
  <c r="B7" i="3"/>
  <c r="D4" i="3"/>
  <c r="B18" i="3"/>
  <c r="B17" i="3"/>
  <c r="B5" i="3"/>
  <c r="C4" i="3"/>
  <c r="G15" i="1"/>
  <c r="F15" i="1"/>
  <c r="F16" i="1" s="1"/>
  <c r="B4" i="3"/>
  <c r="C9" i="1"/>
  <c r="G9" i="1"/>
  <c r="G8" i="1"/>
  <c r="J6" i="1"/>
  <c r="B5" i="2"/>
  <c r="D8" i="2" s="1"/>
  <c r="C13" i="1"/>
  <c r="B8" i="1"/>
  <c r="C8" i="1" s="1"/>
  <c r="C7" i="1"/>
  <c r="G16" i="1" l="1"/>
  <c r="D10" i="2"/>
  <c r="D9" i="2"/>
  <c r="C10" i="1" s="1"/>
  <c r="C11" i="1" s="1"/>
  <c r="B19" i="3"/>
  <c r="D6" i="3" l="1"/>
  <c r="D9" i="3" s="1"/>
  <c r="C6" i="3"/>
  <c r="C9" i="3" s="1"/>
  <c r="B6" i="3"/>
  <c r="B9" i="3" s="1"/>
  <c r="B11" i="3" s="1"/>
  <c r="C21" i="3" l="1"/>
  <c r="C11" i="3"/>
  <c r="B6" i="1" s="1"/>
  <c r="D21" i="3"/>
  <c r="D11" i="3"/>
  <c r="B15" i="1" l="1"/>
  <c r="B16" i="1" s="1"/>
  <c r="C6" i="1"/>
  <c r="C15" i="1" l="1"/>
  <c r="C16" i="1" s="1"/>
</calcChain>
</file>

<file path=xl/sharedStrings.xml><?xml version="1.0" encoding="utf-8"?>
<sst xmlns="http://schemas.openxmlformats.org/spreadsheetml/2006/main" count="101" uniqueCount="77">
  <si>
    <t>Total Avoided Costs for Customer-Generators</t>
  </si>
  <si>
    <t>Category</t>
  </si>
  <si>
    <t>$/kWh</t>
  </si>
  <si>
    <t>Residential</t>
  </si>
  <si>
    <t>Commercial</t>
  </si>
  <si>
    <t>Source</t>
  </si>
  <si>
    <t>DEK Testimony, Sailers, p.16</t>
  </si>
  <si>
    <t>Generation Capacity</t>
  </si>
  <si>
    <t>Risk Hedge Value</t>
  </si>
  <si>
    <t>Cost of Carbon</t>
  </si>
  <si>
    <t>Transmission</t>
  </si>
  <si>
    <t>Distribution</t>
  </si>
  <si>
    <t>Generation Energy</t>
  </si>
  <si>
    <t>Line Losses</t>
  </si>
  <si>
    <t>cents per kWh</t>
  </si>
  <si>
    <t>per ton</t>
  </si>
  <si>
    <t>1.5% discount rate</t>
  </si>
  <si>
    <t>2.0% discount rate</t>
  </si>
  <si>
    <t>2.5% discount rate</t>
  </si>
  <si>
    <t>US EPA Social Cost of Carbon</t>
  </si>
  <si>
    <t>kg per kWh</t>
  </si>
  <si>
    <t>CO2 emissions</t>
  </si>
  <si>
    <t>Btu/kWh</t>
  </si>
  <si>
    <t>CCGT heat rate</t>
  </si>
  <si>
    <t>https://www.eia.gov/environment/emissions/co2_vol_mass.php</t>
  </si>
  <si>
    <t>kg per MMBtu</t>
  </si>
  <si>
    <t>Natural gas</t>
  </si>
  <si>
    <t>CO2 Emissions from Generation</t>
  </si>
  <si>
    <t>per kW</t>
  </si>
  <si>
    <t>Load Factor</t>
  </si>
  <si>
    <t xml:space="preserve">per </t>
  </si>
  <si>
    <t>DEK COSS</t>
  </si>
  <si>
    <t>Ancillary Services</t>
  </si>
  <si>
    <t>DEK Testimony, Sailers, p.18</t>
  </si>
  <si>
    <t>DEK AC</t>
  </si>
  <si>
    <t>p.18</t>
  </si>
  <si>
    <t>p.16</t>
  </si>
  <si>
    <t>p.21</t>
  </si>
  <si>
    <t>p.20</t>
  </si>
  <si>
    <t>DEK Testimony, Sailers, p.21</t>
  </si>
  <si>
    <t>RMI</t>
  </si>
  <si>
    <t xml:space="preserve">Total Avoided Costs </t>
  </si>
  <si>
    <t>Solar PV Fixed Capacity Value Factor</t>
  </si>
  <si>
    <t xml:space="preserve">  $/kW-year</t>
  </si>
  <si>
    <t xml:space="preserve">  Adjusted $/kW-year</t>
  </si>
  <si>
    <t>Solar kWh/year</t>
  </si>
  <si>
    <t>PJM/DEOK data</t>
  </si>
  <si>
    <t>PJM, Periodic Review of Default Gross CONE and Gross ACR Values (March 2023)</t>
  </si>
  <si>
    <t>$/UCAP-MW-Day</t>
  </si>
  <si>
    <t>CT</t>
  </si>
  <si>
    <t>PJM NetCONE CT adjusted for solar</t>
  </si>
  <si>
    <t>Brattle, PJM CONE 2026/2027 Report, Prepared for PJM, April 21, 2022.</t>
  </si>
  <si>
    <t>Minimum load adjustment</t>
  </si>
  <si>
    <t>CCGT</t>
  </si>
  <si>
    <t>NetCONE Capacity Value 2026-27</t>
  </si>
  <si>
    <t>BESS</t>
  </si>
  <si>
    <t>PJM Cost of capital</t>
  </si>
  <si>
    <t>DEK Cost of capital</t>
  </si>
  <si>
    <t xml:space="preserve">  Difference</t>
  </si>
  <si>
    <t>DEK Capital Cost Adjustment</t>
  </si>
  <si>
    <t>Adjusted $/kW-year</t>
  </si>
  <si>
    <t>Risk Hedging Benefit</t>
  </si>
  <si>
    <t>Gas price value</t>
  </si>
  <si>
    <t>Electricity price value</t>
  </si>
  <si>
    <t xml:space="preserve">  Transmission</t>
  </si>
  <si>
    <t xml:space="preserve">  Distribution</t>
  </si>
  <si>
    <t xml:space="preserve">  Total losses</t>
  </si>
  <si>
    <t>Cost of carbon captured</t>
  </si>
  <si>
    <t>Natural gas generator</t>
  </si>
  <si>
    <t xml:space="preserve">  Low</t>
  </si>
  <si>
    <t xml:space="preserve">  High</t>
  </si>
  <si>
    <t xml:space="preserve">  Midpoint</t>
  </si>
  <si>
    <t>Coal generator</t>
  </si>
  <si>
    <t>NG + Coal average</t>
  </si>
  <si>
    <t>McDonald Testimony</t>
  </si>
  <si>
    <t xml:space="preserve">  Without cost of carbon</t>
  </si>
  <si>
    <t>Sailers Workpapers, Attachment BLS-3 CONF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</si>
</sst>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8" formatCode="&quot;$&quot;#,##0.00_);[Red]\(&quot;$&quot;#,##0.00\)"/>
    <numFmt numFmtId="164" formatCode="&quot;$&quot;#,##0.0000"/>
    <numFmt numFmtId="165" formatCode="&quot;$&quot;#,##0.000_);[Red]\(&quot;$&quot;#,##0.000\)"/>
    <numFmt numFmtId="166" formatCode="0.000"/>
    <numFmt numFmtId="167" formatCode="&quot;$&quot;#,##0.0000_);[Red]\(&quot;$&quot;#,##0.0000\)"/>
    <numFmt numFmtId="168" formatCode="0.0%"/>
    <numFmt numFmtId="169" formatCode="0.000%"/>
  </numFmts>
  <fonts count="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 tint="-0.499984740745262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165" fontId="0" fillId="0" borderId="0" xfId="0" applyNumberFormat="1"/>
    <xf numFmtId="6" fontId="0" fillId="0" borderId="0" xfId="0" applyNumberFormat="1"/>
    <xf numFmtId="166" fontId="0" fillId="0" borderId="0" xfId="0" applyNumberFormat="1"/>
    <xf numFmtId="3" fontId="0" fillId="0" borderId="0" xfId="0" applyNumberFormat="1"/>
    <xf numFmtId="8" fontId="0" fillId="0" borderId="0" xfId="0" applyNumberFormat="1"/>
    <xf numFmtId="167" fontId="0" fillId="0" borderId="0" xfId="0" applyNumberFormat="1"/>
    <xf numFmtId="9" fontId="0" fillId="0" borderId="0" xfId="0" applyNumberFormat="1"/>
    <xf numFmtId="0" fontId="2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16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8" fontId="2" fillId="0" borderId="0" xfId="0" applyNumberFormat="1" applyFont="1"/>
    <xf numFmtId="167" fontId="2" fillId="0" borderId="0" xfId="0" applyNumberFormat="1" applyFont="1"/>
    <xf numFmtId="9" fontId="0" fillId="0" borderId="0" xfId="1" applyFont="1"/>
    <xf numFmtId="10" fontId="0" fillId="0" borderId="0" xfId="0" applyNumberFormat="1"/>
    <xf numFmtId="168" fontId="0" fillId="0" borderId="0" xfId="1" applyNumberFormat="1" applyFont="1"/>
    <xf numFmtId="168" fontId="0" fillId="0" borderId="0" xfId="0" applyNumberFormat="1"/>
    <xf numFmtId="6" fontId="2" fillId="0" borderId="0" xfId="0" applyNumberFormat="1" applyFont="1"/>
    <xf numFmtId="165" fontId="2" fillId="0" borderId="0" xfId="0" applyNumberFormat="1" applyFont="1"/>
    <xf numFmtId="169" fontId="0" fillId="0" borderId="0" xfId="1" applyNumberFormat="1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mcubed-my.sharepoint.com/personal/mccann_mcubed-econ_net/Documents/Projects/Duke%20KY%20solar/Workpapers/DEOK%20TX%20rates.xlsx" TargetMode="External"/><Relationship Id="rId1" Type="http://schemas.openxmlformats.org/officeDocument/2006/relationships/externalLinkPath" Target="https://mcubed-my.sharepoint.com/personal/mccann_mcubed-econ_net/Documents/Projects/Duke%20KY%20solar/Workpapers/DEOK%20TX%20r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X rate chart"/>
      <sheetName val="TX Cost"/>
      <sheetName val="New MW"/>
      <sheetName val="DEOK 23-24"/>
      <sheetName val="DEOK 22-23"/>
      <sheetName val="DEOK 21-22"/>
      <sheetName val="DEOK 20-21"/>
      <sheetName val="DEOK 19-20"/>
      <sheetName val="DEOK 18-19"/>
      <sheetName val="DEOK 17-18"/>
      <sheetName val="DEOK 16-17"/>
      <sheetName val="DEOK 15-16"/>
      <sheetName val="DEOK 14-15"/>
      <sheetName val="DEK 23-24"/>
      <sheetName val="DEK 22-23"/>
      <sheetName val="DEK 21-22"/>
      <sheetName val="DEK 20-21"/>
      <sheetName val="DEK 19-20"/>
      <sheetName val="DEK 18-19"/>
      <sheetName val="DEK 17-18"/>
      <sheetName val="DEK 16-17"/>
      <sheetName val="DEK 15-16"/>
      <sheetName val="DEK 14-15"/>
      <sheetName val="BLS Data Series"/>
    </sheetNames>
    <sheetDataSet>
      <sheetData sheetId="0" refreshError="1"/>
      <sheetData sheetId="1">
        <row r="23">
          <cell r="B23">
            <v>17.34946530895126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8FE1A-3C5D-4611-85D3-3C74868F613E}">
  <sheetPr>
    <tabColor rgb="FFC00000"/>
  </sheetPr>
  <dimension ref="A1:N16"/>
  <sheetViews>
    <sheetView tabSelected="1" topLeftCell="A6" workbookViewId="0">
      <selection activeCell="D10" sqref="D10"/>
    </sheetView>
  </sheetViews>
  <sheetFormatPr baseColWidth="10" defaultColWidth="8.83203125" defaultRowHeight="15" x14ac:dyDescent="0.2"/>
  <cols>
    <col min="1" max="1" width="31.83203125" customWidth="1"/>
    <col min="2" max="3" width="12.83203125" style="2" customWidth="1"/>
    <col min="4" max="4" width="38.83203125" customWidth="1"/>
    <col min="6" max="7" width="12.5" customWidth="1"/>
  </cols>
  <sheetData>
    <row r="1" spans="1:14" x14ac:dyDescent="0.2">
      <c r="A1" s="1" t="s">
        <v>0</v>
      </c>
      <c r="F1" s="11" t="s">
        <v>34</v>
      </c>
    </row>
    <row r="2" spans="1:14" x14ac:dyDescent="0.2">
      <c r="A2" s="1" t="s">
        <v>1</v>
      </c>
      <c r="B2" s="3" t="s">
        <v>3</v>
      </c>
      <c r="C2" s="3" t="s">
        <v>4</v>
      </c>
      <c r="D2" s="1" t="s">
        <v>5</v>
      </c>
      <c r="F2" s="3" t="s">
        <v>3</v>
      </c>
      <c r="G2" s="3" t="s">
        <v>4</v>
      </c>
      <c r="J2" s="11" t="s">
        <v>31</v>
      </c>
    </row>
    <row r="3" spans="1:14" x14ac:dyDescent="0.2">
      <c r="A3" s="1"/>
      <c r="B3" s="3" t="s">
        <v>2</v>
      </c>
      <c r="C3" s="3" t="s">
        <v>2</v>
      </c>
      <c r="D3" s="1"/>
      <c r="F3" s="3" t="s">
        <v>2</v>
      </c>
      <c r="G3" s="3" t="s">
        <v>2</v>
      </c>
      <c r="J3" s="3" t="s">
        <v>2</v>
      </c>
    </row>
    <row r="4" spans="1:14" x14ac:dyDescent="0.2">
      <c r="A4" t="s">
        <v>12</v>
      </c>
      <c r="B4" s="2">
        <v>4.1491E-2</v>
      </c>
      <c r="C4" s="2">
        <v>4.1901000000000001E-2</v>
      </c>
      <c r="D4" t="s">
        <v>6</v>
      </c>
      <c r="F4" s="2">
        <v>4.1491E-2</v>
      </c>
      <c r="G4" s="2">
        <v>4.1901000000000001E-2</v>
      </c>
      <c r="H4" t="s">
        <v>36</v>
      </c>
      <c r="J4" s="9">
        <v>4.6796999999999998E-2</v>
      </c>
      <c r="L4" t="s">
        <v>30</v>
      </c>
    </row>
    <row r="5" spans="1:14" x14ac:dyDescent="0.2">
      <c r="A5" t="s">
        <v>32</v>
      </c>
      <c r="B5" s="2">
        <v>5.7799999999999995E-4</v>
      </c>
      <c r="C5" s="2">
        <v>4.9899999999999999E-4</v>
      </c>
      <c r="D5" t="s">
        <v>33</v>
      </c>
      <c r="F5" s="2">
        <v>5.7799999999999995E-4</v>
      </c>
      <c r="G5" s="2">
        <v>4.9899999999999999E-4</v>
      </c>
      <c r="H5" t="s">
        <v>35</v>
      </c>
      <c r="J5" s="9"/>
    </row>
    <row r="6" spans="1:14" x14ac:dyDescent="0.2">
      <c r="A6" t="s">
        <v>7</v>
      </c>
      <c r="B6" s="2">
        <f>NetCone!C11</f>
        <v>2.1594506647000036E-2</v>
      </c>
      <c r="C6" s="2">
        <f>B6</f>
        <v>2.1594506647000036E-2</v>
      </c>
      <c r="D6" t="s">
        <v>50</v>
      </c>
      <c r="F6" s="12">
        <v>1.5063E-2</v>
      </c>
      <c r="G6" s="12">
        <v>1.5063E-2</v>
      </c>
      <c r="H6" t="s">
        <v>35</v>
      </c>
      <c r="J6" s="9">
        <f>K6/8766/M6</f>
        <v>1.0826286311482046E-2</v>
      </c>
      <c r="K6" s="8">
        <v>29.42</v>
      </c>
      <c r="L6" t="s">
        <v>28</v>
      </c>
      <c r="M6" s="10">
        <v>0.31</v>
      </c>
      <c r="N6" t="s">
        <v>29</v>
      </c>
    </row>
    <row r="7" spans="1:14" x14ac:dyDescent="0.2">
      <c r="A7" t="s">
        <v>8</v>
      </c>
      <c r="B7" s="2">
        <f>'Hedge Value'!D4</f>
        <v>1.4000000000000002E-2</v>
      </c>
      <c r="C7" s="2">
        <f>B7</f>
        <v>1.4000000000000002E-2</v>
      </c>
      <c r="D7" t="s">
        <v>40</v>
      </c>
    </row>
    <row r="8" spans="1:14" x14ac:dyDescent="0.2">
      <c r="A8" t="s">
        <v>10</v>
      </c>
      <c r="B8" s="2">
        <f>'[1]TX Cost'!$B$23/1000</f>
        <v>1.7349465308951258E-2</v>
      </c>
      <c r="C8" s="2">
        <f>B8</f>
        <v>1.7349465308951258E-2</v>
      </c>
      <c r="D8" t="s">
        <v>46</v>
      </c>
      <c r="F8" s="14">
        <v>7.6620000000000004E-3</v>
      </c>
      <c r="G8" s="14">
        <f>F8</f>
        <v>7.6620000000000004E-3</v>
      </c>
      <c r="H8" t="s">
        <v>38</v>
      </c>
    </row>
    <row r="9" spans="1:14" x14ac:dyDescent="0.2">
      <c r="A9" t="s">
        <v>11</v>
      </c>
      <c r="B9" s="2">
        <f>0.015393*(1-B13)</f>
        <v>1.4556236520000002E-2</v>
      </c>
      <c r="C9" s="2">
        <f>B9</f>
        <v>1.4556236520000002E-2</v>
      </c>
      <c r="D9" t="s">
        <v>39</v>
      </c>
      <c r="F9" s="14">
        <v>1.5393E-2</v>
      </c>
      <c r="G9" s="14">
        <f>F9</f>
        <v>1.5393E-2</v>
      </c>
      <c r="H9" t="s">
        <v>37</v>
      </c>
    </row>
    <row r="10" spans="1:14" x14ac:dyDescent="0.2">
      <c r="A10" t="s">
        <v>9</v>
      </c>
      <c r="B10" s="2">
        <f>'Carbon Cost'!D21</f>
        <v>4.6574027499999997E-2</v>
      </c>
      <c r="C10" s="2">
        <f>B10</f>
        <v>4.6574027499999997E-2</v>
      </c>
      <c r="D10" t="s">
        <v>74</v>
      </c>
      <c r="F10" s="13">
        <v>0</v>
      </c>
      <c r="G10" s="13">
        <v>0</v>
      </c>
    </row>
    <row r="11" spans="1:14" x14ac:dyDescent="0.2">
      <c r="A11" t="s">
        <v>13</v>
      </c>
      <c r="B11" s="2">
        <f>((1+B12)*(1+B13)-1)*SUM(B6,B7,B9,B10,B12)</f>
        <v>6.5502212567816976E-3</v>
      </c>
      <c r="C11" s="2">
        <f>((1+C12)*(1+C13)-1)*SUM(C6,C7,C9,C10,C12)</f>
        <v>6.5502212567816976E-3</v>
      </c>
    </row>
    <row r="12" spans="1:14" x14ac:dyDescent="0.2">
      <c r="A12" t="s">
        <v>64</v>
      </c>
      <c r="B12" s="24">
        <v>7.8499999999999993E-3</v>
      </c>
      <c r="C12" s="24">
        <f>B12</f>
        <v>7.8499999999999993E-3</v>
      </c>
    </row>
    <row r="13" spans="1:14" x14ac:dyDescent="0.2">
      <c r="A13" t="s">
        <v>65</v>
      </c>
      <c r="B13" s="24">
        <v>5.4360000000000006E-2</v>
      </c>
      <c r="C13" s="24">
        <f>B13</f>
        <v>5.4360000000000006E-2</v>
      </c>
    </row>
    <row r="14" spans="1:14" x14ac:dyDescent="0.2">
      <c r="A14" t="s">
        <v>66</v>
      </c>
      <c r="B14" s="24">
        <f>((1+B12)*(1+B13)-1)</f>
        <v>6.2636725999999809E-2</v>
      </c>
      <c r="C14" s="24">
        <f>B14</f>
        <v>6.2636725999999809E-2</v>
      </c>
      <c r="D14" t="s">
        <v>76</v>
      </c>
    </row>
    <row r="15" spans="1:14" x14ac:dyDescent="0.2">
      <c r="A15" s="1" t="s">
        <v>41</v>
      </c>
      <c r="B15" s="3">
        <f>SUM(B4:B11)</f>
        <v>0.16269345723273301</v>
      </c>
      <c r="C15" s="3">
        <f>SUM(C4:C11)</f>
        <v>0.16302445723273301</v>
      </c>
      <c r="F15" s="3">
        <f>SUM(F4:F7)</f>
        <v>5.7132000000000002E-2</v>
      </c>
      <c r="G15" s="3">
        <f>SUM(G4:G7)</f>
        <v>5.7463E-2</v>
      </c>
    </row>
    <row r="16" spans="1:14" x14ac:dyDescent="0.2">
      <c r="A16" t="s">
        <v>75</v>
      </c>
      <c r="B16" s="2">
        <f>B15-B10*(1-B14)</f>
        <v>0.11903667433196696</v>
      </c>
      <c r="C16" s="2">
        <f>C15-C10*(1-C14)</f>
        <v>0.11936767433196696</v>
      </c>
      <c r="F16" s="15">
        <f>F15+SUM(F8:F11)</f>
        <v>8.0187000000000008E-2</v>
      </c>
      <c r="G16" s="15">
        <f>G15+SUM(G8:G11)</f>
        <v>8.0518000000000006E-2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85C5C-32A0-495F-B86D-E9EEC6D50B13}">
  <sheetPr>
    <tabColor theme="6" tint="0.59999389629810485"/>
  </sheetPr>
  <dimension ref="A1:D21"/>
  <sheetViews>
    <sheetView workbookViewId="0">
      <selection activeCell="B11" sqref="B11"/>
    </sheetView>
  </sheetViews>
  <sheetFormatPr baseColWidth="10" defaultColWidth="8.83203125" defaultRowHeight="15" x14ac:dyDescent="0.2"/>
  <cols>
    <col min="1" max="1" width="34.6640625" customWidth="1"/>
    <col min="2" max="3" width="12.83203125" customWidth="1"/>
  </cols>
  <sheetData>
    <row r="1" spans="1:4" x14ac:dyDescent="0.2">
      <c r="A1" s="1" t="s">
        <v>54</v>
      </c>
      <c r="B1" s="11"/>
      <c r="C1" s="11"/>
    </row>
    <row r="2" spans="1:4" x14ac:dyDescent="0.2">
      <c r="A2" s="1"/>
      <c r="B2" s="11" t="s">
        <v>53</v>
      </c>
      <c r="C2" s="11" t="s">
        <v>49</v>
      </c>
      <c r="D2" s="11" t="s">
        <v>55</v>
      </c>
    </row>
    <row r="3" spans="1:4" x14ac:dyDescent="0.2">
      <c r="A3" t="s">
        <v>48</v>
      </c>
      <c r="B3" s="5">
        <v>191</v>
      </c>
      <c r="C3" s="5">
        <v>297</v>
      </c>
      <c r="D3" s="5">
        <v>818</v>
      </c>
    </row>
    <row r="4" spans="1:4" x14ac:dyDescent="0.2">
      <c r="A4" t="s">
        <v>43</v>
      </c>
      <c r="B4" s="8">
        <f>B3*365/1000</f>
        <v>69.715000000000003</v>
      </c>
      <c r="C4" s="8">
        <f>C3*365/1000</f>
        <v>108.405</v>
      </c>
      <c r="D4" s="8">
        <f>D3*365/1000</f>
        <v>298.57</v>
      </c>
    </row>
    <row r="5" spans="1:4" x14ac:dyDescent="0.2">
      <c r="A5" t="s">
        <v>52</v>
      </c>
      <c r="B5" s="18">
        <f>1-0.33</f>
        <v>0.66999999999999993</v>
      </c>
      <c r="C5" s="10">
        <v>1</v>
      </c>
      <c r="D5" s="10">
        <v>2</v>
      </c>
    </row>
    <row r="6" spans="1:4" x14ac:dyDescent="0.2">
      <c r="A6" t="s">
        <v>59</v>
      </c>
      <c r="B6" s="21">
        <f>$B$19</f>
        <v>6.3107412575421185E-2</v>
      </c>
      <c r="C6" s="21">
        <f>$B$19</f>
        <v>6.3107412575421185E-2</v>
      </c>
      <c r="D6" s="21">
        <f>$B$19</f>
        <v>6.3107412575421185E-2</v>
      </c>
    </row>
    <row r="7" spans="1:4" x14ac:dyDescent="0.2">
      <c r="A7" t="s">
        <v>60</v>
      </c>
      <c r="B7" s="8">
        <f>B4*(1-B6)/B5</f>
        <v>97.485771242245548</v>
      </c>
      <c r="C7" s="8">
        <f t="shared" ref="C7:D7" si="0">C4*(1-C6)/C5</f>
        <v>101.56384093976146</v>
      </c>
      <c r="D7" s="8">
        <f t="shared" si="0"/>
        <v>139.86400991367825</v>
      </c>
    </row>
    <row r="8" spans="1:4" x14ac:dyDescent="0.2">
      <c r="A8" t="s">
        <v>42</v>
      </c>
      <c r="B8" s="10">
        <v>0.31</v>
      </c>
      <c r="C8" s="10">
        <v>0.31</v>
      </c>
      <c r="D8" s="10">
        <v>0.31</v>
      </c>
    </row>
    <row r="9" spans="1:4" x14ac:dyDescent="0.2">
      <c r="A9" s="1" t="s">
        <v>44</v>
      </c>
      <c r="B9" s="16">
        <f>B8*B4/B5*(1-B6)</f>
        <v>30.220589085096126</v>
      </c>
      <c r="C9" s="8">
        <f>C8*C4/C5*(1-C6)</f>
        <v>31.484790691326054</v>
      </c>
      <c r="D9" s="8">
        <f>D8*D4/D5*(1-D6)</f>
        <v>43.357843073240254</v>
      </c>
    </row>
    <row r="10" spans="1:4" x14ac:dyDescent="0.2">
      <c r="A10" t="s">
        <v>45</v>
      </c>
      <c r="B10">
        <v>1458</v>
      </c>
      <c r="C10">
        <v>1458</v>
      </c>
      <c r="D10">
        <v>1458</v>
      </c>
    </row>
    <row r="11" spans="1:4" x14ac:dyDescent="0.2">
      <c r="A11" t="s">
        <v>2</v>
      </c>
      <c r="B11" s="17">
        <f>B9/B10</f>
        <v>2.0727427356033008E-2</v>
      </c>
      <c r="C11" s="9">
        <f>C9/C10</f>
        <v>2.1594506647000036E-2</v>
      </c>
      <c r="D11" s="9">
        <f>D9/D10</f>
        <v>2.9737889624993314E-2</v>
      </c>
    </row>
    <row r="13" spans="1:4" x14ac:dyDescent="0.2">
      <c r="A13" t="s">
        <v>47</v>
      </c>
    </row>
    <row r="14" spans="1:4" x14ac:dyDescent="0.2">
      <c r="A14" t="s">
        <v>51</v>
      </c>
    </row>
    <row r="17" spans="1:4" x14ac:dyDescent="0.2">
      <c r="A17" t="s">
        <v>56</v>
      </c>
      <c r="B17" s="8">
        <f>PMT(C17,20,-1000)</f>
        <v>101.85220882315062</v>
      </c>
      <c r="C17" s="19">
        <v>0.08</v>
      </c>
    </row>
    <row r="18" spans="1:4" x14ac:dyDescent="0.2">
      <c r="A18" t="s">
        <v>57</v>
      </c>
      <c r="B18" s="8">
        <f>PMT(C18,20,-1000)</f>
        <v>95.806131740168638</v>
      </c>
      <c r="C18" s="19">
        <v>7.1919999999999998E-2</v>
      </c>
    </row>
    <row r="19" spans="1:4" x14ac:dyDescent="0.2">
      <c r="A19" t="s">
        <v>58</v>
      </c>
      <c r="B19" s="20">
        <f>B17/B18-1</f>
        <v>6.3107412575421185E-2</v>
      </c>
    </row>
    <row r="21" spans="1:4" x14ac:dyDescent="0.2">
      <c r="C21" s="20">
        <f>C9/$B$9-1</f>
        <v>4.1832460732984078E-2</v>
      </c>
      <c r="D21" s="20">
        <f>D9/$B$9-1</f>
        <v>0.43471204188481627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DD200-5ED5-41AA-84EB-9D0A18AE808C}">
  <sheetPr>
    <tabColor rgb="FF00B0F0"/>
  </sheetPr>
  <dimension ref="A1:D4"/>
  <sheetViews>
    <sheetView workbookViewId="0">
      <selection activeCell="D39" sqref="D39"/>
    </sheetView>
  </sheetViews>
  <sheetFormatPr baseColWidth="10" defaultColWidth="8.83203125" defaultRowHeight="15" x14ac:dyDescent="0.2"/>
  <cols>
    <col min="1" max="1" width="26.33203125" customWidth="1"/>
  </cols>
  <sheetData>
    <row r="1" spans="1:4" x14ac:dyDescent="0.2">
      <c r="A1" s="1" t="s">
        <v>61</v>
      </c>
    </row>
    <row r="2" spans="1:4" x14ac:dyDescent="0.2">
      <c r="A2" t="s">
        <v>62</v>
      </c>
      <c r="B2" s="8">
        <v>1.5</v>
      </c>
      <c r="C2" s="8">
        <v>2.5</v>
      </c>
    </row>
    <row r="3" spans="1:4" x14ac:dyDescent="0.2">
      <c r="A3" t="s">
        <v>23</v>
      </c>
      <c r="B3" s="7">
        <v>7000</v>
      </c>
      <c r="C3" s="7">
        <v>7000</v>
      </c>
    </row>
    <row r="4" spans="1:4" x14ac:dyDescent="0.2">
      <c r="A4" t="s">
        <v>63</v>
      </c>
      <c r="B4" s="9">
        <f>B2*B3/1000000</f>
        <v>1.0500000000000001E-2</v>
      </c>
      <c r="C4" s="9">
        <f>C2*C3/1000000</f>
        <v>1.7500000000000002E-2</v>
      </c>
      <c r="D4" s="17">
        <f>AVERAGE(B4:C4)</f>
        <v>1.4000000000000002E-2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31C48-3BDF-4D6D-973B-3B645D0F5417}">
  <sheetPr>
    <tabColor theme="1" tint="0.499984740745262"/>
  </sheetPr>
  <dimension ref="A1:E21"/>
  <sheetViews>
    <sheetView workbookViewId="0">
      <selection activeCell="D21" sqref="D21"/>
    </sheetView>
  </sheetViews>
  <sheetFormatPr baseColWidth="10" defaultColWidth="8.83203125" defaultRowHeight="15" x14ac:dyDescent="0.2"/>
  <cols>
    <col min="1" max="1" width="22.6640625" customWidth="1"/>
    <col min="3" max="3" width="13.5" customWidth="1"/>
    <col min="5" max="5" width="14.33203125" customWidth="1"/>
  </cols>
  <sheetData>
    <row r="1" spans="1:5" x14ac:dyDescent="0.2">
      <c r="A1" s="1" t="s">
        <v>27</v>
      </c>
    </row>
    <row r="3" spans="1:5" x14ac:dyDescent="0.2">
      <c r="A3" t="s">
        <v>26</v>
      </c>
      <c r="B3">
        <v>52.91</v>
      </c>
      <c r="C3" t="s">
        <v>25</v>
      </c>
      <c r="D3" t="s">
        <v>24</v>
      </c>
    </row>
    <row r="4" spans="1:5" x14ac:dyDescent="0.2">
      <c r="A4" t="s">
        <v>23</v>
      </c>
      <c r="B4" s="7">
        <v>7000</v>
      </c>
      <c r="C4" t="s">
        <v>22</v>
      </c>
    </row>
    <row r="5" spans="1:5" x14ac:dyDescent="0.2">
      <c r="A5" t="s">
        <v>21</v>
      </c>
      <c r="B5" s="6">
        <f>B3*B4/1000000</f>
        <v>0.37036999999999998</v>
      </c>
      <c r="C5" t="s">
        <v>20</v>
      </c>
    </row>
    <row r="6" spans="1:5" x14ac:dyDescent="0.2">
      <c r="B6" s="6"/>
    </row>
    <row r="7" spans="1:5" x14ac:dyDescent="0.2">
      <c r="A7" t="s">
        <v>19</v>
      </c>
    </row>
    <row r="8" spans="1:5" x14ac:dyDescent="0.2">
      <c r="A8" t="s">
        <v>18</v>
      </c>
      <c r="B8" s="5">
        <v>140</v>
      </c>
      <c r="C8" t="s">
        <v>15</v>
      </c>
      <c r="D8" s="4">
        <f>$B$5/1000*B8</f>
        <v>5.1851799999999997E-2</v>
      </c>
      <c r="E8" t="s">
        <v>14</v>
      </c>
    </row>
    <row r="9" spans="1:5" x14ac:dyDescent="0.2">
      <c r="A9" t="s">
        <v>17</v>
      </c>
      <c r="B9" s="22">
        <v>230</v>
      </c>
      <c r="C9" t="s">
        <v>15</v>
      </c>
      <c r="D9" s="23">
        <f>$B$5/1000*B9</f>
        <v>8.5185099999999986E-2</v>
      </c>
      <c r="E9" t="s">
        <v>14</v>
      </c>
    </row>
    <row r="10" spans="1:5" x14ac:dyDescent="0.2">
      <c r="A10" t="s">
        <v>16</v>
      </c>
      <c r="B10" s="5">
        <v>380</v>
      </c>
      <c r="C10" t="s">
        <v>15</v>
      </c>
      <c r="D10" s="4">
        <f>$B$5/1000*B10</f>
        <v>0.14074059999999999</v>
      </c>
      <c r="E10" t="s">
        <v>14</v>
      </c>
    </row>
    <row r="12" spans="1:5" x14ac:dyDescent="0.2">
      <c r="A12" t="s">
        <v>67</v>
      </c>
    </row>
    <row r="13" spans="1:5" x14ac:dyDescent="0.2">
      <c r="A13" t="s">
        <v>68</v>
      </c>
    </row>
    <row r="14" spans="1:5" x14ac:dyDescent="0.2">
      <c r="A14" t="s">
        <v>69</v>
      </c>
      <c r="B14" s="5">
        <v>87</v>
      </c>
      <c r="C14" t="s">
        <v>15</v>
      </c>
    </row>
    <row r="15" spans="1:5" x14ac:dyDescent="0.2">
      <c r="A15" t="s">
        <v>70</v>
      </c>
      <c r="B15" s="5">
        <v>188</v>
      </c>
      <c r="C15" t="s">
        <v>15</v>
      </c>
    </row>
    <row r="16" spans="1:5" x14ac:dyDescent="0.2">
      <c r="A16" t="s">
        <v>71</v>
      </c>
      <c r="B16" s="5">
        <f>AVERAGE(B14:B15)</f>
        <v>137.5</v>
      </c>
      <c r="C16" t="s">
        <v>15</v>
      </c>
    </row>
    <row r="17" spans="1:5" x14ac:dyDescent="0.2">
      <c r="A17" t="s">
        <v>72</v>
      </c>
    </row>
    <row r="18" spans="1:5" x14ac:dyDescent="0.2">
      <c r="A18" t="s">
        <v>69</v>
      </c>
      <c r="B18" s="5">
        <v>58</v>
      </c>
      <c r="C18" t="s">
        <v>15</v>
      </c>
    </row>
    <row r="19" spans="1:5" x14ac:dyDescent="0.2">
      <c r="A19" t="s">
        <v>70</v>
      </c>
      <c r="B19" s="5">
        <v>170</v>
      </c>
      <c r="C19" t="s">
        <v>15</v>
      </c>
    </row>
    <row r="20" spans="1:5" x14ac:dyDescent="0.2">
      <c r="A20" t="s">
        <v>71</v>
      </c>
      <c r="B20" s="5">
        <f>AVERAGE(B18:B19)</f>
        <v>114</v>
      </c>
      <c r="C20" t="s">
        <v>15</v>
      </c>
    </row>
    <row r="21" spans="1:5" x14ac:dyDescent="0.2">
      <c r="A21" t="s">
        <v>73</v>
      </c>
      <c r="B21" s="22">
        <f>AVERAGE(B16,B20)</f>
        <v>125.75</v>
      </c>
      <c r="C21" t="s">
        <v>15</v>
      </c>
      <c r="D21" s="23">
        <f>$B$5/1000*B21</f>
        <v>4.6574027499999997E-2</v>
      </c>
      <c r="E21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</vt:lpstr>
      <vt:lpstr>NetCone</vt:lpstr>
      <vt:lpstr>Hedge Value</vt:lpstr>
      <vt:lpstr>Carbon Cost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McCann</dc:creator>
  <cp:lastModifiedBy>Byron Gary</cp:lastModifiedBy>
  <dcterms:created xsi:type="dcterms:W3CDTF">2024-03-11T23:56:09Z</dcterms:created>
  <dcterms:modified xsi:type="dcterms:W3CDTF">2024-04-05T19:48:20Z</dcterms:modified>
</cp:coreProperties>
</file>