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mcubed-my.sharepoint.com/personal/mccann_mcubed-econ_net/Documents/Projects/Duke KY solar/Workpapers/"/>
    </mc:Choice>
  </mc:AlternateContent>
  <xr:revisionPtr revIDLastSave="26" documentId="8_{DF217310-82A3-45F7-B7BC-6DF86609EF54}" xr6:coauthVersionLast="47" xr6:coauthVersionMax="47" xr10:uidLastSave="{85363BBE-6689-4046-94C2-9AD018B70226}"/>
  <bookViews>
    <workbookView xWindow="-120" yWindow="-120" windowWidth="29040" windowHeight="17790" activeTab="4" xr2:uid="{4D6256B1-B9D9-F640-A63F-22D85B2033A7}"/>
  </bookViews>
  <sheets>
    <sheet name="Jobs" sheetId="18" r:id="rId1"/>
    <sheet name="Earnings" sheetId="19" r:id="rId2"/>
    <sheet name="Output" sheetId="22" r:id="rId3"/>
    <sheet name="Value Added" sheetId="21" r:id="rId4"/>
    <sheet name="KY JEDI" sheetId="15" r:id="rId5"/>
    <sheet name="US IREC Mix" sheetId="17" r:id="rId6"/>
    <sheet name="DER tax credit" sheetId="23" r:id="rId7"/>
    <sheet name="Utility tax credit" sheetId="24"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0" i="15" l="1"/>
  <c r="N41" i="15" s="1"/>
  <c r="L40" i="15"/>
  <c r="L41" i="15" s="1"/>
  <c r="N38" i="15" l="1"/>
  <c r="L38" i="15"/>
  <c r="A2" i="24"/>
  <c r="A3" i="24" s="1"/>
  <c r="A4" i="24" s="1"/>
  <c r="A5" i="24" s="1"/>
  <c r="A9" i="24" s="1"/>
  <c r="A2" i="23"/>
  <c r="A3" i="23" s="1"/>
  <c r="A4" i="23" s="1"/>
  <c r="A5" i="23" s="1"/>
  <c r="O11" i="15" l="1"/>
  <c r="N7" i="15"/>
  <c r="O35" i="15"/>
  <c r="N35" i="15"/>
  <c r="M35" i="15"/>
  <c r="L35" i="15"/>
  <c r="O32" i="15"/>
  <c r="N32" i="15"/>
  <c r="M32" i="15"/>
  <c r="L32" i="15"/>
  <c r="M29" i="15"/>
  <c r="N29" i="15"/>
  <c r="O29" i="15"/>
  <c r="L29" i="15"/>
  <c r="M26" i="15"/>
  <c r="N26" i="15"/>
  <c r="O26" i="15"/>
  <c r="L26" i="15"/>
  <c r="L7" i="15"/>
  <c r="E19" i="17"/>
  <c r="F19" i="17"/>
  <c r="O15" i="15" l="1"/>
  <c r="O19" i="15"/>
  <c r="O7" i="15"/>
  <c r="N11" i="15"/>
  <c r="N15" i="15"/>
  <c r="N19" i="15"/>
  <c r="L8" i="15"/>
  <c r="O8" i="15" s="1"/>
  <c r="N8" i="15" l="1"/>
  <c r="S8" i="17" l="1"/>
  <c r="S7" i="17"/>
  <c r="R9" i="17"/>
  <c r="K8" i="17"/>
  <c r="K7" i="17"/>
  <c r="J9" i="17"/>
  <c r="I7" i="15" l="1"/>
  <c r="I1" i="15"/>
  <c r="C14" i="17" l="1"/>
  <c r="E20" i="17" l="1"/>
  <c r="C20" i="17"/>
  <c r="C19" i="17"/>
  <c r="F20" i="17"/>
  <c r="E14" i="17" l="1"/>
  <c r="P6" i="17"/>
  <c r="O6" i="17"/>
  <c r="Q5" i="17" s="1"/>
  <c r="L6" i="17"/>
  <c r="K6" i="17"/>
  <c r="M5" i="17" s="1"/>
  <c r="H6" i="17"/>
  <c r="G6" i="17"/>
  <c r="I5" i="17" s="1"/>
  <c r="D6" i="17"/>
  <c r="C6" i="17"/>
  <c r="E5" i="17" s="1"/>
  <c r="P5" i="17"/>
  <c r="L5" i="17"/>
  <c r="H5" i="17"/>
  <c r="D5" i="17"/>
  <c r="P4" i="17"/>
  <c r="L4" i="17"/>
  <c r="H4" i="17"/>
  <c r="D4" i="17"/>
  <c r="P3" i="17"/>
  <c r="L3" i="17"/>
  <c r="H3" i="17"/>
  <c r="D3" i="17"/>
  <c r="P2" i="17"/>
  <c r="L2" i="17"/>
  <c r="H2" i="17"/>
  <c r="D2" i="17"/>
  <c r="I2" i="17" l="1"/>
  <c r="I3" i="17"/>
  <c r="I4" i="17"/>
  <c r="N15" i="17" s="1"/>
  <c r="M2" i="17"/>
  <c r="M3" i="17"/>
  <c r="N6" i="17" s="1"/>
  <c r="N7" i="17" s="1"/>
  <c r="M4" i="17"/>
  <c r="N8" i="17" s="1"/>
  <c r="Q2" i="17"/>
  <c r="Q3" i="17"/>
  <c r="Q4" i="17"/>
  <c r="R8" i="17" s="1"/>
  <c r="E2" i="17"/>
  <c r="E3" i="17"/>
  <c r="F6" i="17" s="1"/>
  <c r="F7" i="17" s="1"/>
  <c r="E4" i="17"/>
  <c r="F8" i="17" s="1"/>
  <c r="O7" i="17" l="1"/>
  <c r="G8" i="17"/>
  <c r="K15" i="17" s="1"/>
  <c r="O8" i="17"/>
  <c r="G7" i="17"/>
  <c r="K16" i="17" s="1"/>
  <c r="J6" i="17"/>
  <c r="R6" i="17"/>
  <c r="R7" i="17" s="1"/>
  <c r="E15" i="17" s="1"/>
  <c r="J8" i="17"/>
  <c r="F14" i="17" l="1"/>
  <c r="N16" i="17"/>
  <c r="J7" i="17"/>
  <c r="C15" i="17" s="1"/>
  <c r="F15" i="17" s="1"/>
  <c r="M8" i="15" l="1"/>
  <c r="B39" i="15" l="1"/>
  <c r="D39" i="15"/>
  <c r="C39" i="15"/>
  <c r="D67" i="15"/>
  <c r="E67" i="15"/>
  <c r="C67" i="15"/>
  <c r="B67" i="15"/>
  <c r="I11" i="15" s="1"/>
  <c r="M7" i="15" s="1"/>
  <c r="B7" i="15"/>
  <c r="D2" i="15" s="1"/>
  <c r="C7" i="15"/>
  <c r="D7" i="15"/>
  <c r="D35" i="15"/>
  <c r="E35" i="15"/>
  <c r="C35" i="15"/>
  <c r="B35" i="15"/>
  <c r="L20" i="15" l="1"/>
  <c r="L16" i="15"/>
  <c r="I21" i="15"/>
  <c r="I20" i="15"/>
  <c r="M11" i="15" s="1"/>
  <c r="M12" i="15" s="1"/>
  <c r="I16" i="15"/>
  <c r="L11" i="15" s="1"/>
  <c r="I17" i="15"/>
  <c r="I35" i="15"/>
  <c r="I34" i="15"/>
  <c r="L19" i="15" s="1"/>
  <c r="I39" i="15"/>
  <c r="I38" i="15"/>
  <c r="M19" i="15" s="1"/>
  <c r="M20" i="15" s="1"/>
  <c r="I25" i="15"/>
  <c r="L15" i="15" s="1"/>
  <c r="I26" i="15"/>
  <c r="I29" i="15"/>
  <c r="M15" i="15" s="1"/>
  <c r="I30" i="15"/>
  <c r="I12" i="15"/>
  <c r="E7" i="15"/>
  <c r="C8" i="15" s="1"/>
  <c r="E39" i="15"/>
  <c r="E40" i="15" s="1"/>
  <c r="C2" i="15"/>
  <c r="E2" i="15" s="1"/>
  <c r="I8" i="15"/>
  <c r="D3" i="15"/>
  <c r="C3" i="15"/>
  <c r="E3" i="15" s="1"/>
  <c r="N16" i="15" l="1"/>
  <c r="O16" i="15"/>
  <c r="N20" i="15"/>
  <c r="O20" i="15"/>
  <c r="M16" i="15"/>
  <c r="L12" i="15"/>
  <c r="B40" i="15"/>
  <c r="D40" i="15"/>
  <c r="D8" i="15"/>
  <c r="C40" i="15"/>
  <c r="B8" i="15"/>
  <c r="E8" i="15"/>
  <c r="O12" i="15" l="1"/>
  <c r="N12"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Marshall Goldberg</author>
    <author xml:space="preserve"> </author>
  </authors>
  <commentList>
    <comment ref="B10" authorId="0" shapeId="0" xr:uid="{12D097F5-E90D-3847-B414-8704ED4C340F}">
      <text>
        <r>
          <rPr>
            <b/>
            <sz val="8"/>
            <color rgb="FF000000"/>
            <rFont val="Tahoma"/>
            <family val="2"/>
          </rPr>
          <t xml:space="preserve">
</t>
        </r>
        <r>
          <rPr>
            <b/>
            <sz val="8"/>
            <color rgb="FF000000"/>
            <rFont val="Tahoma"/>
            <family val="2"/>
          </rPr>
          <t>Jobs refers to full-time equivalent (FTE) employment for one year. (1 FTE = 2,080 hours)</t>
        </r>
      </text>
    </comment>
    <comment ref="C10" authorId="0" shapeId="0" xr:uid="{6D70172D-9DFE-DD49-84D6-51B34813977F}">
      <text>
        <r>
          <rPr>
            <b/>
            <sz val="8"/>
            <color indexed="81"/>
            <rFont val="Tahoma"/>
            <family val="2"/>
          </rPr>
          <t xml:space="preserve">
Earnings refers to wage and salary compensation paid to workers and benefits.</t>
        </r>
      </text>
    </comment>
    <comment ref="D10" authorId="0" shapeId="0" xr:uid="{8A5A4C81-86DD-6244-926E-7FDC65E884F3}">
      <text>
        <r>
          <rPr>
            <b/>
            <sz val="8"/>
            <color indexed="81"/>
            <rFont val="Tahoma"/>
            <family val="2"/>
          </rPr>
          <t xml:space="preserve">
Output refers to economic activity or the value of production in the state or local economy.</t>
        </r>
      </text>
    </comment>
    <comment ref="E10" authorId="0" shapeId="0" xr:uid="{540197E0-1F77-5348-8A9A-CE64D372979F}">
      <text>
        <r>
          <rPr>
            <sz val="8"/>
            <color rgb="FF000000"/>
            <rFont val="Tahoma"/>
            <family val="2"/>
          </rPr>
          <t xml:space="preserve">
</t>
        </r>
        <r>
          <rPr>
            <b/>
            <sz val="8"/>
            <color rgb="FF000000"/>
            <rFont val="Tahoma"/>
            <family val="2"/>
          </rPr>
          <t xml:space="preserve">Value added is the difference between total gross output and the cost of intermediate inputs. It is comprised of payments made to workers (wages and salaries and benefits), proprietary income, other property type income (payments from interest, rents, royalties, dividends, and profits), indirect business taxes (excise and sales taxes paid by individuals to businesses, and taxes on production and imports less subsidies. </t>
        </r>
        <r>
          <rPr>
            <sz val="8"/>
            <color rgb="FF000000"/>
            <rFont val="Tahoma"/>
            <family val="2"/>
          </rPr>
          <t xml:space="preserve">
</t>
        </r>
      </text>
    </comment>
    <comment ref="A12" authorId="0" shapeId="0" xr:uid="{EA96C57C-2E91-4C40-AABF-42ECE454CBA2}">
      <text>
        <r>
          <rPr>
            <b/>
            <sz val="8"/>
            <color indexed="81"/>
            <rFont val="Tahoma"/>
            <family val="2"/>
          </rPr>
          <t xml:space="preserve">
Project Development and Onsite Labor Impacts refers to the changes that occur in the onsite construction and installation industries and project development related industries to which the direct final demand (i.e., spending on construction and installation labor and services) change is made .</t>
        </r>
      </text>
    </comment>
    <comment ref="A14" authorId="1" shapeId="0" xr:uid="{FABAAB81-A5ED-E24A-8F08-8F1A79535692}">
      <text>
        <r>
          <rPr>
            <b/>
            <sz val="8"/>
            <color rgb="FF000000"/>
            <rFont val="Tahoma"/>
            <family val="2"/>
          </rPr>
          <t xml:space="preserve">
</t>
        </r>
        <r>
          <rPr>
            <b/>
            <sz val="8"/>
            <color rgb="FF000000"/>
            <rFont val="Tahoma"/>
            <family val="2"/>
          </rPr>
          <t>Construction and Installation Related Services includes engineering, design, and other professional services, as well as admin. and services (e.g., sales, marketing, accounting, etc.) related to project development.</t>
        </r>
        <r>
          <rPr>
            <sz val="8"/>
            <color rgb="FF000000"/>
            <rFont val="Tahoma"/>
            <family val="2"/>
          </rPr>
          <t xml:space="preserve">
</t>
        </r>
      </text>
    </comment>
    <comment ref="A16" authorId="0" shapeId="0" xr:uid="{D7C9F486-36C3-034E-A9CD-D59D2B0BC84D}">
      <text>
        <r>
          <rPr>
            <b/>
            <sz val="8"/>
            <color indexed="81"/>
            <rFont val="Tahoma"/>
            <family val="2"/>
          </rPr>
          <t xml:space="preserve">
Module and Supply Chain Impacts refers to the changes in inter-industry purchases resulting from the direct final demand (i.e., construction, installation, and development spending on materials and PV equipment and other purchases of goods and offsite services) changes.</t>
        </r>
      </text>
    </comment>
    <comment ref="A24" authorId="0" shapeId="0" xr:uid="{D1240201-C988-A641-9F77-40E25844FDAA}">
      <text>
        <r>
          <rPr>
            <b/>
            <sz val="8"/>
            <color rgb="FF000000"/>
            <rFont val="Tahoma"/>
            <family val="2"/>
          </rPr>
          <t xml:space="preserve">
</t>
        </r>
        <r>
          <rPr>
            <b/>
            <sz val="8"/>
            <color rgb="FF000000"/>
            <rFont val="Tahoma"/>
            <family val="2"/>
          </rPr>
          <t>Induced Impacts refers to the changes  that occur in household spending as household income increases or decreases as a result of the direct and indirect effects from final demand  (i.e., purchases of goods and services) changes.</t>
        </r>
        <r>
          <rPr>
            <sz val="8"/>
            <color rgb="FF000000"/>
            <rFont val="Tahoma"/>
            <family val="2"/>
          </rPr>
          <t xml:space="preserve">
</t>
        </r>
      </text>
    </comment>
    <comment ref="A30" authorId="1" shapeId="0" xr:uid="{E794DDE5-5A4C-3947-A312-ADE77DEFF24D}">
      <text>
        <r>
          <rPr>
            <b/>
            <sz val="8"/>
            <color rgb="FF000000"/>
            <rFont val="Tahoma"/>
            <family val="2"/>
          </rPr>
          <t xml:space="preserve">
</t>
        </r>
        <r>
          <rPr>
            <b/>
            <sz val="8"/>
            <color rgb="FF000000"/>
            <rFont val="Tahoma"/>
            <family val="2"/>
          </rPr>
          <t>Onsite Labor Impacts refers to the final demand changes that occur in the onsite spending for PV workers (i.e., spending on field technicians, administration and management) .</t>
        </r>
        <r>
          <rPr>
            <sz val="8"/>
            <color rgb="FF000000"/>
            <rFont val="Tahoma"/>
            <family val="2"/>
          </rPr>
          <t xml:space="preserve">
</t>
        </r>
      </text>
    </comment>
    <comment ref="A31" authorId="0" shapeId="0" xr:uid="{12D9C7CA-2394-C24E-8DB0-2454CFCD4EC0}">
      <text>
        <r>
          <rPr>
            <b/>
            <sz val="8"/>
            <color indexed="81"/>
            <rFont val="Tahoma"/>
            <family val="2"/>
          </rPr>
          <t xml:space="preserve">
PV Project Labor includes all spending on operations, maintenance, and other required services.</t>
        </r>
        <r>
          <rPr>
            <sz val="8"/>
            <color indexed="81"/>
            <rFont val="Tahoma"/>
            <family val="2"/>
          </rPr>
          <t xml:space="preserve">
</t>
        </r>
      </text>
    </comment>
    <comment ref="A32" authorId="1" shapeId="0" xr:uid="{85550966-69D6-E643-B7EB-B5B83FBF0D76}">
      <text>
        <r>
          <rPr>
            <b/>
            <sz val="8"/>
            <color indexed="81"/>
            <rFont val="Tahoma"/>
            <family val="2"/>
          </rPr>
          <t xml:space="preserve">
Local Revenue includes property and sales tax (if applicable) as well as any return on investment paid to local investors; Supply chain includes all purchases of materials and components, and all off-site labor for the PV project</t>
        </r>
        <r>
          <rPr>
            <sz val="8"/>
            <color indexed="81"/>
            <rFont val="Tahoma"/>
            <family val="2"/>
          </rPr>
          <t xml:space="preserve">
</t>
        </r>
      </text>
    </comment>
    <comment ref="A33" authorId="0" shapeId="0" xr:uid="{42327808-94C9-E047-BD94-D7530952051D}">
      <text>
        <r>
          <rPr>
            <b/>
            <sz val="8"/>
            <color indexed="81"/>
            <rFont val="Tahoma"/>
            <family val="2"/>
          </rPr>
          <t xml:space="preserve">
Induced Impacts refers to the changes  that occur in household spending as household income increases or decreases as a result of the direct and indirect effects from final demand  (i.e., purchases of goods and services) changes.</t>
        </r>
        <r>
          <rPr>
            <sz val="8"/>
            <color indexed="81"/>
            <rFont val="Tahoma"/>
            <family val="2"/>
          </rPr>
          <t xml:space="preserve">
</t>
        </r>
      </text>
    </comment>
    <comment ref="B42" authorId="0" shapeId="0" xr:uid="{49995174-4189-6E45-BACA-CD1FEAB37D12}">
      <text>
        <r>
          <rPr>
            <b/>
            <sz val="8"/>
            <color indexed="81"/>
            <rFont val="Tahoma"/>
            <family val="2"/>
          </rPr>
          <t xml:space="preserve">
Jobs refers to full-time equivalent (FTE) employment for one year. (1 FTE = 2,080 hours)</t>
        </r>
      </text>
    </comment>
    <comment ref="C42" authorId="0" shapeId="0" xr:uid="{79B59FD9-75BE-1645-ACBD-789E99EE4BD8}">
      <text>
        <r>
          <rPr>
            <b/>
            <sz val="8"/>
            <color rgb="FF000000"/>
            <rFont val="Tahoma"/>
            <family val="2"/>
          </rPr>
          <t xml:space="preserve">
</t>
        </r>
        <r>
          <rPr>
            <b/>
            <sz val="8"/>
            <color rgb="FF000000"/>
            <rFont val="Tahoma"/>
            <family val="2"/>
          </rPr>
          <t>Earnings refers to wage and salary compensation paid to workers and benefits.</t>
        </r>
      </text>
    </comment>
    <comment ref="D42" authorId="0" shapeId="0" xr:uid="{43055B87-76FD-4748-8E26-DB83994FB2DA}">
      <text>
        <r>
          <rPr>
            <b/>
            <sz val="8"/>
            <color indexed="81"/>
            <rFont val="Tahoma"/>
            <family val="2"/>
          </rPr>
          <t xml:space="preserve">
Output refers to economic activity or the value of production in the state or local economy.</t>
        </r>
      </text>
    </comment>
    <comment ref="E42" authorId="0" shapeId="0" xr:uid="{07324253-69F6-AA41-9D9E-E14C17B67425}">
      <text>
        <r>
          <rPr>
            <sz val="8"/>
            <color indexed="81"/>
            <rFont val="Tahoma"/>
            <family val="2"/>
          </rPr>
          <t xml:space="preserve">
</t>
        </r>
        <r>
          <rPr>
            <b/>
            <sz val="8"/>
            <color indexed="81"/>
            <rFont val="Tahoma"/>
            <family val="2"/>
          </rPr>
          <t xml:space="preserve">Value added is the difference between total gross output and the cost of intermediate inputs. It is comprised of payments made to workers (wages and salaries and benefits), proprietary income, other property type income (payments from interest, rents, royalties, dividends, and profits), indirect business taxes (excise and sales taxes paid by individuals to businesses, and taxes on production and imports less subsidies. </t>
        </r>
        <r>
          <rPr>
            <sz val="8"/>
            <color indexed="81"/>
            <rFont val="Tahoma"/>
            <family val="2"/>
          </rPr>
          <t xml:space="preserve">
</t>
        </r>
      </text>
    </comment>
    <comment ref="A44" authorId="0" shapeId="0" xr:uid="{6581D1AA-D30D-E44C-9201-26C11EB29A05}">
      <text>
        <r>
          <rPr>
            <b/>
            <sz val="8"/>
            <color indexed="81"/>
            <rFont val="Tahoma"/>
            <family val="2"/>
          </rPr>
          <t xml:space="preserve">
Project Development and Onsite Labor Impacts refers to the changes that occur in the onsite construction and installation industries and project development related industries to which the direct final demand (i.e., spending on construction and installation labor and services) change is made .</t>
        </r>
      </text>
    </comment>
    <comment ref="A46" authorId="1" shapeId="0" xr:uid="{5294ACD1-FE29-1246-A2CE-00902512B3C5}">
      <text>
        <r>
          <rPr>
            <b/>
            <sz val="8"/>
            <color rgb="FF000000"/>
            <rFont val="Tahoma"/>
            <family val="2"/>
          </rPr>
          <t xml:space="preserve">
</t>
        </r>
        <r>
          <rPr>
            <b/>
            <sz val="8"/>
            <color rgb="FF000000"/>
            <rFont val="Tahoma"/>
            <family val="2"/>
          </rPr>
          <t>Construction and Installation Related Services includes engineering, design, and other professional services, as well as admin. and services (e.g., sales, marketing, accounting, etc.) related to project development.</t>
        </r>
        <r>
          <rPr>
            <sz val="8"/>
            <color rgb="FF000000"/>
            <rFont val="Tahoma"/>
            <family val="2"/>
          </rPr>
          <t xml:space="preserve">
</t>
        </r>
      </text>
    </comment>
    <comment ref="A48" authorId="0" shapeId="0" xr:uid="{273E1D2F-D2CA-5B42-ACCA-1F456B93BC20}">
      <text>
        <r>
          <rPr>
            <b/>
            <sz val="8"/>
            <color indexed="81"/>
            <rFont val="Tahoma"/>
            <family val="2"/>
          </rPr>
          <t xml:space="preserve">
Module and Supply Chain Impacts refers to the changes in inter-industry purchases resulting from the direct final demand (i.e., construction, installation, and development spending on materials and PV equipment and other purchases of goods and offsite services) changes.</t>
        </r>
      </text>
    </comment>
    <comment ref="A56" authorId="0" shapeId="0" xr:uid="{BEBD8483-A964-C24E-AD1F-C6A60A2FAD07}">
      <text>
        <r>
          <rPr>
            <b/>
            <sz val="8"/>
            <color rgb="FF000000"/>
            <rFont val="Tahoma"/>
            <family val="2"/>
          </rPr>
          <t xml:space="preserve">
</t>
        </r>
        <r>
          <rPr>
            <b/>
            <sz val="8"/>
            <color rgb="FF000000"/>
            <rFont val="Tahoma"/>
            <family val="2"/>
          </rPr>
          <t>Induced Impacts refers to the changes  that occur in household spending as household income increases or decreases as a result of the direct and indirect effects from final demand  (i.e., purchases of goods and services) changes.</t>
        </r>
        <r>
          <rPr>
            <sz val="8"/>
            <color rgb="FF000000"/>
            <rFont val="Tahoma"/>
            <family val="2"/>
          </rPr>
          <t xml:space="preserve">
</t>
        </r>
      </text>
    </comment>
    <comment ref="A62" authorId="1" shapeId="0" xr:uid="{ED91B83C-F4BE-094B-8EFD-DCEBFFE6D829}">
      <text>
        <r>
          <rPr>
            <b/>
            <sz val="8"/>
            <color indexed="81"/>
            <rFont val="Tahoma"/>
            <family val="2"/>
          </rPr>
          <t xml:space="preserve">
Onsite Labor Impacts refers to the final demand changes that occur in the onsite spending for PV workers (i.e., spending on field technicians, administration and management) .</t>
        </r>
        <r>
          <rPr>
            <sz val="8"/>
            <color indexed="81"/>
            <rFont val="Tahoma"/>
            <family val="2"/>
          </rPr>
          <t xml:space="preserve">
</t>
        </r>
      </text>
    </comment>
    <comment ref="A63" authorId="0" shapeId="0" xr:uid="{8A4A9899-E7AA-5640-A7C6-BD974BD06598}">
      <text>
        <r>
          <rPr>
            <b/>
            <sz val="8"/>
            <color indexed="81"/>
            <rFont val="Tahoma"/>
            <family val="2"/>
          </rPr>
          <t xml:space="preserve">
PV Project Labor includes all spending on operations, maintenance, and other required services.</t>
        </r>
        <r>
          <rPr>
            <sz val="8"/>
            <color indexed="81"/>
            <rFont val="Tahoma"/>
            <family val="2"/>
          </rPr>
          <t xml:space="preserve">
</t>
        </r>
      </text>
    </comment>
    <comment ref="A64" authorId="1" shapeId="0" xr:uid="{9AFC70D9-5886-3F47-9DE9-34DAF409C3A6}">
      <text>
        <r>
          <rPr>
            <b/>
            <sz val="8"/>
            <color indexed="81"/>
            <rFont val="Tahoma"/>
            <family val="2"/>
          </rPr>
          <t xml:space="preserve">
Local Revenue includes property and sales tax (if applicable) as well as any return on investment paid to local investors; Supply chain includes all purchases of materials and components, and all off-site labor for the PV project</t>
        </r>
        <r>
          <rPr>
            <sz val="8"/>
            <color indexed="81"/>
            <rFont val="Tahoma"/>
            <family val="2"/>
          </rPr>
          <t xml:space="preserve">
</t>
        </r>
      </text>
    </comment>
    <comment ref="A65" authorId="0" shapeId="0" xr:uid="{8B192E4E-3D23-D249-B6B5-24BA6ED5E827}">
      <text>
        <r>
          <rPr>
            <b/>
            <sz val="8"/>
            <color indexed="81"/>
            <rFont val="Tahoma"/>
            <family val="2"/>
          </rPr>
          <t xml:space="preserve">
Induced Impacts refers to the changes  that occur in household spending as household income increases or decreases as a result of the direct and indirect effects from final demand  (i.e., purchases of goods and services) changes.</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tc={A28CF2D1-67AA-EA49-A4C9-5166B25F8438}</author>
  </authors>
  <commentList>
    <comment ref="C1" authorId="0" shapeId="0" xr:uid="{A28CF2D1-67AA-EA49-A4C9-5166B25F8438}">
      <text>
        <t>[Threaded comment]
Your version of Excel allows you to read this threaded comment; however, any edits to it will get removed if the file is opened in a newer version of Excel. Learn more: https://go.microsoft.com/fwlink/?linkid=870924
Comment:
    Only data I could get was install jobs per market segment. Calculated instal jobs are 71% of all jobs</t>
      </text>
    </comment>
  </commentList>
</comments>
</file>

<file path=xl/sharedStrings.xml><?xml version="1.0" encoding="utf-8"?>
<sst xmlns="http://schemas.openxmlformats.org/spreadsheetml/2006/main" count="238" uniqueCount="133">
  <si>
    <t>AVG</t>
  </si>
  <si>
    <t>DER Total jobs per MW dc</t>
  </si>
  <si>
    <t>Direct Job</t>
  </si>
  <si>
    <t>Indirect Job</t>
  </si>
  <si>
    <t>Induced Job</t>
  </si>
  <si>
    <t>Residential</t>
  </si>
  <si>
    <t>Utility</t>
  </si>
  <si>
    <t>Jobs</t>
  </si>
  <si>
    <t>Earnings</t>
  </si>
  <si>
    <t>Output</t>
  </si>
  <si>
    <t>Value Added</t>
  </si>
  <si>
    <t>During construction and installation period</t>
  </si>
  <si>
    <t xml:space="preserve">   Project Development and Onsite Labor Impacts</t>
  </si>
  <si>
    <t xml:space="preserve">     Construction and Installation Labor</t>
  </si>
  <si>
    <t xml:space="preserve">     Construction and Installation Related Services</t>
  </si>
  <si>
    <t xml:space="preserve">     Subtotal</t>
  </si>
  <si>
    <t xml:space="preserve">   Module and Supply Chain Impacts</t>
  </si>
  <si>
    <t xml:space="preserve">     Manufacturing Impacts</t>
  </si>
  <si>
    <t xml:space="preserve">     Trade (Wholesale and Retail)</t>
  </si>
  <si>
    <t xml:space="preserve">     Finance, Insurance and Real Estate</t>
  </si>
  <si>
    <t xml:space="preserve">     Professional Services</t>
  </si>
  <si>
    <t xml:space="preserve">     Other Services</t>
  </si>
  <si>
    <t xml:space="preserve">     Other Sectors</t>
  </si>
  <si>
    <t xml:space="preserve">   Induced Impacts</t>
  </si>
  <si>
    <t xml:space="preserve">  Total Impacts</t>
  </si>
  <si>
    <t>Annual</t>
  </si>
  <si>
    <t>During operating years</t>
  </si>
  <si>
    <t xml:space="preserve">   Onsite Labor Impacts</t>
  </si>
  <si>
    <t xml:space="preserve">     PV Project Labor Only</t>
  </si>
  <si>
    <t xml:space="preserve">   Local Revenue and Supply Chain Impacts</t>
  </si>
  <si>
    <t>$000 (2024)</t>
  </si>
  <si>
    <t>Direct</t>
  </si>
  <si>
    <t>Indirect</t>
  </si>
  <si>
    <t>Induced</t>
  </si>
  <si>
    <t>Total Output (value to state economy)</t>
  </si>
  <si>
    <t>Total value added (output-intermediate inputs)</t>
  </si>
  <si>
    <t>Total Earnings (wage + salary)</t>
  </si>
  <si>
    <t>Job Multiplier</t>
  </si>
  <si>
    <t>Utility Solar</t>
  </si>
  <si>
    <t>DER solar</t>
  </si>
  <si>
    <t>Utility solar</t>
  </si>
  <si>
    <t>Local Economic Impacts - Summary Results</t>
  </si>
  <si>
    <t>Total</t>
  </si>
  <si>
    <t>https://irecusa.org/census-solar-job-trends/</t>
  </si>
  <si>
    <t>https://www.seia.org/solar-industry-research-data</t>
  </si>
  <si>
    <t>All total Direct, Indirect, Induced Jobs</t>
  </si>
  <si>
    <t>1mw = 28.2 TOTAL JOBS</t>
  </si>
  <si>
    <t>Ratio</t>
  </si>
  <si>
    <t>1mw = 5.9 TOTAL JOBS</t>
  </si>
  <si>
    <t>incremental mw /year</t>
  </si>
  <si>
    <t>2022-2030 Growth</t>
  </si>
  <si>
    <t>Annual Growth (2022-2030)</t>
  </si>
  <si>
    <t>22-30 annual jobs</t>
  </si>
  <si>
    <t>total 22-30 jobs</t>
  </si>
  <si>
    <t>DER</t>
  </si>
  <si>
    <t>KY DER Solar (1mw DER, 5kw systems)</t>
  </si>
  <si>
    <t>KY Utility Solar (1mw utility, 1mw system)</t>
  </si>
  <si>
    <t>22-30 annual earnings</t>
  </si>
  <si>
    <t>total 22-30 earnings</t>
  </si>
  <si>
    <t>mw</t>
  </si>
  <si>
    <t>Year</t>
  </si>
  <si>
    <t>% jobs</t>
  </si>
  <si>
    <t>% DER jobs</t>
  </si>
  <si>
    <t>% mw</t>
  </si>
  <si>
    <t>% DER mw</t>
  </si>
  <si>
    <t>Commercial</t>
  </si>
  <si>
    <t>Community</t>
  </si>
  <si>
    <t>DER Jobs</t>
  </si>
  <si>
    <t>DER MW</t>
  </si>
  <si>
    <t>Avg</t>
  </si>
  <si>
    <t>% grid install jobs</t>
  </si>
  <si>
    <t>% grid mw</t>
  </si>
  <si>
    <t>% der install jobs</t>
  </si>
  <si>
    <t>% der mw</t>
  </si>
  <si>
    <t>Utility Jobs</t>
  </si>
  <si>
    <t>Utility MW</t>
  </si>
  <si>
    <t>Utility Total jobs per MW dc</t>
  </si>
  <si>
    <t>US Direct Jobs per incremental mw</t>
  </si>
  <si>
    <t>US direct Jobs per incremental mw, KY multiplier</t>
  </si>
  <si>
    <t>Utility multiplier</t>
  </si>
  <si>
    <t>DER multiplier</t>
  </si>
  <si>
    <t>US Jobs source</t>
  </si>
  <si>
    <t>US MW Source</t>
  </si>
  <si>
    <t>KY Multiplier Source</t>
  </si>
  <si>
    <t>JEDI</t>
  </si>
  <si>
    <t>US 2020 Mw dc</t>
  </si>
  <si>
    <t>US 2021 Install Jobs</t>
  </si>
  <si>
    <t>US 2021 TOTAL Jobs</t>
  </si>
  <si>
    <t>US 2021 MWdc install</t>
  </si>
  <si>
    <t>US 2021 MWdc new</t>
  </si>
  <si>
    <t>US 2022 Install jobs</t>
  </si>
  <si>
    <t>US 2022 Total Jobs</t>
  </si>
  <si>
    <t>US 2022 MWdc install</t>
  </si>
  <si>
    <t>US 2022 MWdc new</t>
  </si>
  <si>
    <t>DER Solar</t>
  </si>
  <si>
    <t>Mix IREC ALL JOBS</t>
  </si>
  <si>
    <t>Jedi Job multiplier</t>
  </si>
  <si>
    <t>Annual Jobs</t>
  </si>
  <si>
    <t>22-30 Jobs</t>
  </si>
  <si>
    <t>Annual Earnings</t>
  </si>
  <si>
    <t>22-30 Earnings</t>
  </si>
  <si>
    <t>Annual Output</t>
  </si>
  <si>
    <t>22-30 Output</t>
  </si>
  <si>
    <t>Annual Value Added</t>
  </si>
  <si>
    <t>22-30 Value Added</t>
  </si>
  <si>
    <t>KY JEDI DER</t>
  </si>
  <si>
    <t>KY JEDI Utility</t>
  </si>
  <si>
    <t>US IREC MIX DER</t>
  </si>
  <si>
    <t>US IREC MIX Utility</t>
  </si>
  <si>
    <t>Impact</t>
  </si>
  <si>
    <t>% utility to DER</t>
  </si>
  <si>
    <t>DER * greater than utility</t>
  </si>
  <si>
    <t>KY NREL JEDI model Jobs</t>
  </si>
  <si>
    <t>KY NREL JEDI model Earnings</t>
  </si>
  <si>
    <t>KY NREL JEDI model Output</t>
  </si>
  <si>
    <t>KY NREL JEDI model Value Added</t>
  </si>
  <si>
    <t>US IREC+JEDI Jobs</t>
  </si>
  <si>
    <t>US IREC+JEDI Earnings</t>
  </si>
  <si>
    <t>US IREC+JEDI Output</t>
  </si>
  <si>
    <t>US IREC+JEDI Value Added</t>
  </si>
  <si>
    <t>Cost per kw</t>
  </si>
  <si>
    <t>Tax cedit per kw tax credit</t>
  </si>
  <si>
    <t>per mw tax credit</t>
  </si>
  <si>
    <t>per 15mw (per year) tax credit</t>
  </si>
  <si>
    <t>22-30 tax tax credit</t>
  </si>
  <si>
    <t>Per Year (15 MW) Tax Credit</t>
  </si>
  <si>
    <t>22-30 Tax Credit (120 MW)</t>
  </si>
  <si>
    <t>% utility tax credits to DER</t>
  </si>
  <si>
    <t>Net Annual Value Added</t>
  </si>
  <si>
    <t xml:space="preserve">  Plant capacity factor</t>
  </si>
  <si>
    <t xml:space="preserve">  Plant generation (MWH)</t>
  </si>
  <si>
    <t>Value Added per kWh</t>
  </si>
  <si>
    <t>https://emp.lbl.gov/pv-capacity-factors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</si>
</sst>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44" formatCode="_(&quot;$&quot;* #,##0.00_);_(&quot;$&quot;* \(#,##0.00\);_(&quot;$&quot;* &quot;-&quot;??_);_(@_)"/>
    <numFmt numFmtId="43" formatCode="_(* #,##0.00_);_(* \(#,##0.00\);_(* &quot;-&quot;??_);_(@_)"/>
    <numFmt numFmtId="164" formatCode="0.000000"/>
    <numFmt numFmtId="165" formatCode="0.0"/>
    <numFmt numFmtId="166" formatCode="#,##0.0"/>
    <numFmt numFmtId="167" formatCode="&quot;$&quot;#,##0.0"/>
    <numFmt numFmtId="168" formatCode="_(* #,##0_);_(* \(#,##0\);_(* &quot;-&quot;??_);_(@_)"/>
    <numFmt numFmtId="169" formatCode="_(&quot;$&quot;* #,##0_);_(&quot;$&quot;* \(#,##0\);_(&quot;$&quot;* &quot;-&quot;??_);_(@_)"/>
    <numFmt numFmtId="170" formatCode="0.0%"/>
  </numFmts>
  <fonts count="15" x14ac:knownFonts="1">
    <font>
      <sz val="12"/>
      <color theme="1"/>
      <name val="Calibri"/>
      <family val="2"/>
      <scheme val="minor"/>
    </font>
    <font>
      <sz val="12"/>
      <color theme="1"/>
      <name val="Calibri"/>
      <family val="2"/>
      <scheme val="minor"/>
    </font>
    <font>
      <b/>
      <sz val="12"/>
      <color theme="1"/>
      <name val="Calibri"/>
      <family val="2"/>
      <scheme val="minor"/>
    </font>
    <font>
      <b/>
      <sz val="10"/>
      <color theme="1"/>
      <name val="Arial"/>
      <family val="2"/>
    </font>
    <font>
      <b/>
      <sz val="12"/>
      <name val="Arial"/>
      <family val="2"/>
    </font>
    <font>
      <b/>
      <sz val="10"/>
      <name val="Arial"/>
      <family val="2"/>
    </font>
    <font>
      <sz val="10"/>
      <name val="Arial"/>
      <family val="2"/>
    </font>
    <font>
      <b/>
      <sz val="8"/>
      <color indexed="81"/>
      <name val="Tahoma"/>
      <family val="2"/>
    </font>
    <font>
      <sz val="8"/>
      <color indexed="81"/>
      <name val="Tahoma"/>
      <family val="2"/>
    </font>
    <font>
      <b/>
      <sz val="8"/>
      <color rgb="FF000000"/>
      <name val="Tahoma"/>
      <family val="2"/>
    </font>
    <font>
      <sz val="8"/>
      <color rgb="FF000000"/>
      <name val="Tahoma"/>
      <family val="2"/>
    </font>
    <font>
      <sz val="10"/>
      <color theme="1"/>
      <name val="Arial"/>
      <family val="2"/>
    </font>
    <font>
      <u/>
      <sz val="12"/>
      <color theme="10"/>
      <name val="Calibri"/>
      <family val="2"/>
      <scheme val="minor"/>
    </font>
    <font>
      <sz val="12"/>
      <color rgb="FF000000"/>
      <name val="Calibri"/>
      <family val="2"/>
      <scheme val="minor"/>
    </font>
    <font>
      <sz val="11"/>
      <color theme="1"/>
      <name val="Calibri"/>
      <family val="2"/>
    </font>
  </fonts>
  <fills count="7">
    <fill>
      <patternFill patternType="none"/>
    </fill>
    <fill>
      <patternFill patternType="gray125"/>
    </fill>
    <fill>
      <patternFill patternType="solid">
        <fgColor rgb="FF00FFFF"/>
        <bgColor rgb="FF000000"/>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7" tint="0.59999389629810485"/>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cellStyleXfs>
  <cellXfs count="75">
    <xf numFmtId="0" fontId="0" fillId="0" borderId="0" xfId="0"/>
    <xf numFmtId="0" fontId="3" fillId="0" borderId="0" xfId="0" applyFont="1"/>
    <xf numFmtId="1" fontId="0" fillId="0" borderId="0" xfId="0" applyNumberFormat="1"/>
    <xf numFmtId="0" fontId="2" fillId="0" borderId="0" xfId="0" applyFont="1"/>
    <xf numFmtId="0" fontId="0" fillId="0" borderId="0" xfId="0" applyAlignment="1">
      <alignment wrapText="1"/>
    </xf>
    <xf numFmtId="0" fontId="2" fillId="0" borderId="0" xfId="0" applyFont="1" applyAlignment="1">
      <alignment wrapText="1"/>
    </xf>
    <xf numFmtId="2" fontId="0" fillId="0" borderId="0" xfId="0" applyNumberFormat="1"/>
    <xf numFmtId="165" fontId="0" fillId="0" borderId="0" xfId="0" applyNumberFormat="1"/>
    <xf numFmtId="2" fontId="2" fillId="0" borderId="0" xfId="0" applyNumberFormat="1" applyFont="1"/>
    <xf numFmtId="1" fontId="4" fillId="2" borderId="0" xfId="0" quotePrefix="1" applyNumberFormat="1" applyFont="1" applyFill="1" applyAlignment="1">
      <alignment horizontal="left"/>
    </xf>
    <xf numFmtId="1" fontId="5" fillId="2" borderId="0" xfId="0" applyNumberFormat="1" applyFont="1" applyFill="1" applyAlignment="1">
      <alignment horizontal="center"/>
    </xf>
    <xf numFmtId="1" fontId="5" fillId="2" borderId="0" xfId="0" applyNumberFormat="1" applyFont="1" applyFill="1" applyAlignment="1">
      <alignment horizontal="left"/>
    </xf>
    <xf numFmtId="1" fontId="6" fillId="2" borderId="0" xfId="0" applyNumberFormat="1" applyFont="1" applyFill="1"/>
    <xf numFmtId="1" fontId="5" fillId="2" borderId="0" xfId="0" quotePrefix="1" applyNumberFormat="1" applyFont="1" applyFill="1" applyAlignment="1">
      <alignment horizontal="center"/>
    </xf>
    <xf numFmtId="164" fontId="6" fillId="2" borderId="0" xfId="0" applyNumberFormat="1" applyFont="1" applyFill="1" applyAlignment="1">
      <alignment horizontal="left" wrapText="1"/>
    </xf>
    <xf numFmtId="166" fontId="6" fillId="2" borderId="0" xfId="0" applyNumberFormat="1" applyFont="1" applyFill="1" applyAlignment="1">
      <alignment horizontal="center"/>
    </xf>
    <xf numFmtId="167" fontId="6" fillId="2" borderId="0" xfId="0" applyNumberFormat="1" applyFont="1" applyFill="1" applyAlignment="1">
      <alignment horizontal="center"/>
    </xf>
    <xf numFmtId="164" fontId="6" fillId="2" borderId="0" xfId="0" quotePrefix="1" applyNumberFormat="1" applyFont="1" applyFill="1" applyAlignment="1">
      <alignment horizontal="left"/>
    </xf>
    <xf numFmtId="164" fontId="6" fillId="2" borderId="0" xfId="0" applyNumberFormat="1" applyFont="1" applyFill="1" applyAlignment="1">
      <alignment horizontal="left"/>
    </xf>
    <xf numFmtId="1" fontId="6" fillId="2" borderId="0" xfId="0" applyNumberFormat="1" applyFont="1" applyFill="1" applyAlignment="1">
      <alignment horizontal="left"/>
    </xf>
    <xf numFmtId="1" fontId="5" fillId="2" borderId="0" xfId="0" applyNumberFormat="1" applyFont="1" applyFill="1"/>
    <xf numFmtId="166" fontId="5" fillId="2" borderId="0" xfId="0" applyNumberFormat="1" applyFont="1" applyFill="1" applyAlignment="1">
      <alignment horizontal="center"/>
    </xf>
    <xf numFmtId="167" fontId="5" fillId="2" borderId="0" xfId="0" applyNumberFormat="1" applyFont="1" applyFill="1" applyAlignment="1">
      <alignment horizontal="center"/>
    </xf>
    <xf numFmtId="167" fontId="5" fillId="2" borderId="0" xfId="0" quotePrefix="1" applyNumberFormat="1" applyFont="1" applyFill="1" applyAlignment="1">
      <alignment horizontal="center"/>
    </xf>
    <xf numFmtId="9" fontId="0" fillId="0" borderId="0" xfId="2" applyFont="1"/>
    <xf numFmtId="0" fontId="11" fillId="0" borderId="0" xfId="0" applyFont="1"/>
    <xf numFmtId="0" fontId="0" fillId="3" borderId="0" xfId="0" applyFill="1"/>
    <xf numFmtId="1" fontId="0" fillId="0" borderId="0" xfId="0" applyNumberFormat="1" applyAlignment="1">
      <alignment wrapText="1"/>
    </xf>
    <xf numFmtId="169" fontId="0" fillId="0" borderId="0" xfId="3" applyNumberFormat="1" applyFont="1" applyFill="1" applyAlignment="1">
      <alignment wrapText="1"/>
    </xf>
    <xf numFmtId="1" fontId="5" fillId="0" borderId="0" xfId="0" applyNumberFormat="1" applyFont="1" applyAlignment="1">
      <alignment horizontal="center"/>
    </xf>
    <xf numFmtId="0" fontId="12" fillId="0" borderId="0" xfId="4"/>
    <xf numFmtId="166" fontId="0" fillId="0" borderId="0" xfId="0" applyNumberFormat="1"/>
    <xf numFmtId="0" fontId="0" fillId="5" borderId="0" xfId="0" applyFill="1" applyAlignment="1">
      <alignment wrapText="1"/>
    </xf>
    <xf numFmtId="0" fontId="0" fillId="5" borderId="0" xfId="0" applyFill="1"/>
    <xf numFmtId="1" fontId="0" fillId="5" borderId="0" xfId="0" applyNumberFormat="1" applyFill="1" applyAlignment="1">
      <alignment wrapText="1"/>
    </xf>
    <xf numFmtId="1" fontId="0" fillId="5" borderId="0" xfId="0" applyNumberFormat="1" applyFill="1"/>
    <xf numFmtId="169" fontId="0" fillId="0" borderId="0" xfId="3" applyNumberFormat="1" applyFont="1"/>
    <xf numFmtId="166" fontId="2" fillId="0" borderId="0" xfId="0" applyNumberFormat="1" applyFont="1"/>
    <xf numFmtId="166" fontId="0" fillId="4" borderId="0" xfId="0" applyNumberFormat="1" applyFill="1"/>
    <xf numFmtId="4" fontId="2" fillId="0" borderId="0" xfId="0" applyNumberFormat="1" applyFont="1"/>
    <xf numFmtId="166" fontId="0" fillId="5" borderId="0" xfId="0" applyNumberFormat="1" applyFill="1" applyAlignment="1">
      <alignment wrapText="1"/>
    </xf>
    <xf numFmtId="169" fontId="0" fillId="5" borderId="0" xfId="3" applyNumberFormat="1" applyFont="1" applyFill="1" applyAlignment="1">
      <alignment wrapText="1"/>
    </xf>
    <xf numFmtId="169" fontId="0" fillId="5" borderId="0" xfId="0" applyNumberFormat="1" applyFill="1"/>
    <xf numFmtId="0" fontId="2" fillId="5" borderId="0" xfId="0" applyFont="1" applyFill="1"/>
    <xf numFmtId="0" fontId="2" fillId="5" borderId="0" xfId="0" applyFont="1" applyFill="1" applyAlignment="1">
      <alignment wrapText="1"/>
    </xf>
    <xf numFmtId="169" fontId="0" fillId="0" borderId="0" xfId="0" applyNumberFormat="1"/>
    <xf numFmtId="168" fontId="0" fillId="0" borderId="0" xfId="1" applyNumberFormat="1" applyFont="1"/>
    <xf numFmtId="43" fontId="0" fillId="0" borderId="0" xfId="1" applyFont="1"/>
    <xf numFmtId="9" fontId="0" fillId="0" borderId="0" xfId="0" applyNumberFormat="1"/>
    <xf numFmtId="168" fontId="0" fillId="3" borderId="0" xfId="0" applyNumberFormat="1" applyFill="1"/>
    <xf numFmtId="9" fontId="0" fillId="3" borderId="0" xfId="2" applyFont="1" applyFill="1"/>
    <xf numFmtId="168" fontId="0" fillId="3" borderId="0" xfId="1" applyNumberFormat="1" applyFont="1" applyFill="1"/>
    <xf numFmtId="43" fontId="0" fillId="0" borderId="0" xfId="0" applyNumberFormat="1"/>
    <xf numFmtId="0" fontId="2" fillId="4" borderId="0" xfId="0" applyFont="1" applyFill="1"/>
    <xf numFmtId="2" fontId="2" fillId="4" borderId="0" xfId="0" applyNumberFormat="1" applyFont="1" applyFill="1"/>
    <xf numFmtId="0" fontId="0" fillId="3" borderId="0" xfId="0" applyFill="1" applyAlignment="1">
      <alignment wrapText="1"/>
    </xf>
    <xf numFmtId="9" fontId="0" fillId="3" borderId="0" xfId="0" applyNumberFormat="1" applyFill="1" applyAlignment="1">
      <alignment wrapText="1"/>
    </xf>
    <xf numFmtId="9" fontId="0" fillId="3" borderId="0" xfId="0" applyNumberFormat="1" applyFill="1"/>
    <xf numFmtId="168" fontId="0" fillId="0" borderId="0" xfId="0" applyNumberFormat="1"/>
    <xf numFmtId="0" fontId="13" fillId="0" borderId="0" xfId="0" applyFont="1"/>
    <xf numFmtId="169" fontId="14" fillId="0" borderId="0" xfId="3" applyNumberFormat="1" applyFont="1"/>
    <xf numFmtId="0" fontId="0" fillId="6" borderId="1" xfId="0" applyFill="1" applyBorder="1"/>
    <xf numFmtId="168" fontId="0" fillId="6" borderId="2" xfId="0" applyNumberFormat="1" applyFill="1" applyBorder="1"/>
    <xf numFmtId="0" fontId="0" fillId="6" borderId="2" xfId="0" applyFill="1" applyBorder="1"/>
    <xf numFmtId="168" fontId="0" fillId="6" borderId="3" xfId="0" applyNumberFormat="1" applyFill="1" applyBorder="1"/>
    <xf numFmtId="0" fontId="0" fillId="6" borderId="4" xfId="0" applyFill="1" applyBorder="1"/>
    <xf numFmtId="170" fontId="0" fillId="6" borderId="0" xfId="2" applyNumberFormat="1" applyFont="1" applyFill="1" applyBorder="1"/>
    <xf numFmtId="0" fontId="0" fillId="6" borderId="0" xfId="0" applyFill="1" applyBorder="1"/>
    <xf numFmtId="170" fontId="0" fillId="6" borderId="5" xfId="2" applyNumberFormat="1" applyFont="1" applyFill="1" applyBorder="1"/>
    <xf numFmtId="3" fontId="0" fillId="6" borderId="0" xfId="0" applyNumberFormat="1" applyFill="1" applyBorder="1"/>
    <xf numFmtId="3" fontId="0" fillId="6" borderId="5" xfId="0" applyNumberFormat="1" applyFill="1" applyBorder="1"/>
    <xf numFmtId="0" fontId="2" fillId="6" borderId="6" xfId="0" applyFont="1" applyFill="1" applyBorder="1"/>
    <xf numFmtId="7" fontId="2" fillId="6" borderId="7" xfId="0" applyNumberFormat="1" applyFont="1" applyFill="1" applyBorder="1"/>
    <xf numFmtId="0" fontId="2" fillId="6" borderId="7" xfId="0" applyFont="1" applyFill="1" applyBorder="1"/>
    <xf numFmtId="7" fontId="2" fillId="6" borderId="8" xfId="0" applyNumberFormat="1" applyFont="1" applyFill="1" applyBorder="1"/>
  </cellXfs>
  <cellStyles count="5">
    <cellStyle name="Comma" xfId="1" builtinId="3"/>
    <cellStyle name="Currency" xfId="3" builtinId="4"/>
    <cellStyle name="Hyperlink" xfId="4" builtinId="8"/>
    <cellStyle name="Normal" xfId="0" builtinId="0"/>
    <cellStyle name="Percent" xfId="2" builtinId="5"/>
  </cellStyles>
  <dxfs count="5">
    <dxf>
      <font>
        <b val="0"/>
        <i val="0"/>
        <strike val="0"/>
        <condense val="0"/>
        <extend val="0"/>
        <outline val="0"/>
        <shadow val="0"/>
        <u val="none"/>
        <vertAlign val="baseline"/>
        <sz val="12"/>
        <color theme="1"/>
        <name val="Calibri"/>
        <family val="2"/>
        <scheme val="minor"/>
      </font>
      <numFmt numFmtId="168" formatCode="_(* #,##0_);_(* \(#,##0\);_(* &quot;-&quot;??_);_(@_)"/>
    </dxf>
    <dxf>
      <font>
        <b val="0"/>
        <i val="0"/>
        <strike val="0"/>
        <condense val="0"/>
        <extend val="0"/>
        <outline val="0"/>
        <shadow val="0"/>
        <u val="none"/>
        <vertAlign val="baseline"/>
        <sz val="12"/>
        <color theme="1"/>
        <name val="Calibri"/>
        <family val="2"/>
        <scheme val="minor"/>
      </font>
      <numFmt numFmtId="168" formatCode="_(* #,##0_);_(* \(#,##0\);_(* &quot;-&quot;??_);_(@_)"/>
    </dxf>
    <dxf>
      <font>
        <b val="0"/>
        <i val="0"/>
        <strike val="0"/>
        <condense val="0"/>
        <extend val="0"/>
        <outline val="0"/>
        <shadow val="0"/>
        <u val="none"/>
        <vertAlign val="baseline"/>
        <sz val="12"/>
        <color theme="1"/>
        <name val="Calibri"/>
        <family val="2"/>
        <scheme val="minor"/>
      </font>
      <numFmt numFmtId="168" formatCode="_(* #,##0_);_(* \(#,##0\);_(* &quot;-&quot;??_);_(@_)"/>
    </dxf>
    <dxf>
      <font>
        <b val="0"/>
        <i val="0"/>
        <strike val="0"/>
        <condense val="0"/>
        <extend val="0"/>
        <outline val="0"/>
        <shadow val="0"/>
        <u val="none"/>
        <vertAlign val="baseline"/>
        <sz val="12"/>
        <color theme="1"/>
        <name val="Calibri"/>
        <family val="2"/>
        <scheme val="minor"/>
      </font>
      <numFmt numFmtId="168" formatCode="_(* #,##0_);_(* \(#,##0\);_(* &quot;-&quot;??_);_(@_)"/>
    </dxf>
    <dxf>
      <font>
        <b val="0"/>
        <i val="0"/>
        <strike val="0"/>
        <condense val="0"/>
        <extend val="0"/>
        <outline val="0"/>
        <shadow val="0"/>
        <u val="none"/>
        <vertAlign val="baseline"/>
        <sz val="12"/>
        <color theme="1"/>
        <name val="Calibri"/>
        <family val="2"/>
        <scheme val="minor"/>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microsoft.com/office/2017/10/relationships/person" Target="persons/person.xml"/><Relationship Id="rId3" Type="http://schemas.openxmlformats.org/officeDocument/2006/relationships/chartsheet" Target="chartsheets/sheet3.xml"/><Relationship Id="rId7"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worksheet" Target="worksheets/sheet2.xml"/><Relationship Id="rId11" Type="http://schemas.openxmlformats.org/officeDocument/2006/relationships/styles" Target="styles.xml"/><Relationship Id="rId5" Type="http://schemas.openxmlformats.org/officeDocument/2006/relationships/worksheet" Target="worksheets/sheet1.xml"/><Relationship Id="rId10" Type="http://schemas.openxmlformats.org/officeDocument/2006/relationships/theme" Target="theme/theme1.xml"/><Relationship Id="rId4" Type="http://schemas.openxmlformats.org/officeDocument/2006/relationships/chartsheet" Target="chart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a:t>Annual Direct, Indirect, Induced </a:t>
            </a:r>
            <a:r>
              <a:rPr lang="en-US" sz="2400" baseline="0"/>
              <a:t>Jobs for 15 MW of New Solar PV</a:t>
            </a:r>
            <a:endParaRPr lang="en-US" sz="2400"/>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Solar DER</c:v>
          </c:tx>
          <c:spPr>
            <a:solidFill>
              <a:srgbClr val="00B050"/>
            </a:solidFill>
            <a:ln>
              <a:noFill/>
            </a:ln>
            <a:effectLst/>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FDA-A247-9F37-7CA82C0AE144}"/>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FDA-A247-9F37-7CA82C0AE144}"/>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'KY JEDI'!$K$7:$K$9</c:f>
              <c:strCache>
                <c:ptCount val="2"/>
                <c:pt idx="0">
                  <c:v>KY NREL JEDI model Jobs</c:v>
                </c:pt>
                <c:pt idx="1">
                  <c:v>US IREC+JEDI Jobs</c:v>
                </c:pt>
              </c:strCache>
            </c:strRef>
          </c:cat>
          <c:val>
            <c:numRef>
              <c:f>'KY JEDI'!$L$7:$L$8</c:f>
              <c:numCache>
                <c:formatCode>0</c:formatCode>
                <c:ptCount val="2"/>
                <c:pt idx="0" formatCode="_(* #,##0_);_(* \(#,##0\);_(* &quot;-&quot;??_);_(@_)">
                  <c:v>422.29094726181165</c:v>
                </c:pt>
                <c:pt idx="1">
                  <c:v>444.2059705920384</c:v>
                </c:pt>
              </c:numCache>
            </c:numRef>
          </c:val>
          <c:extLst>
            <c:ext xmlns:c16="http://schemas.microsoft.com/office/drawing/2014/chart" uri="{C3380CC4-5D6E-409C-BE32-E72D297353CC}">
              <c16:uniqueId val="{00000000-A091-1046-A4DC-4F836D90E7AF}"/>
            </c:ext>
          </c:extLst>
        </c:ser>
        <c:ser>
          <c:idx val="1"/>
          <c:order val="1"/>
          <c:tx>
            <c:v>Utility Scale Solar</c:v>
          </c:tx>
          <c:spPr>
            <a:pattFill prst="dkUpDiag">
              <a:fgClr>
                <a:schemeClr val="accent4">
                  <a:lumMod val="75000"/>
                </a:schemeClr>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'KY JEDI'!$K$7:$K$9</c:f>
              <c:strCache>
                <c:ptCount val="2"/>
                <c:pt idx="0">
                  <c:v>KY NREL JEDI model Jobs</c:v>
                </c:pt>
                <c:pt idx="1">
                  <c:v>US IREC+JEDI Jobs</c:v>
                </c:pt>
              </c:strCache>
            </c:strRef>
          </c:cat>
          <c:val>
            <c:numRef>
              <c:f>'KY JEDI'!$M$7:$M$8</c:f>
              <c:numCache>
                <c:formatCode>0</c:formatCode>
                <c:ptCount val="2"/>
                <c:pt idx="0" formatCode="_(* #,##0_);_(* \(#,##0\);_(* &quot;-&quot;??_);_(@_)">
                  <c:v>88.787831534304388</c:v>
                </c:pt>
                <c:pt idx="1">
                  <c:v>38.911052301302647</c:v>
                </c:pt>
              </c:numCache>
            </c:numRef>
          </c:val>
          <c:extLst>
            <c:ext xmlns:c16="http://schemas.microsoft.com/office/drawing/2014/chart" uri="{C3380CC4-5D6E-409C-BE32-E72D297353CC}">
              <c16:uniqueId val="{00000001-A091-1046-A4DC-4F836D90E7AF}"/>
            </c:ext>
          </c:extLst>
        </c:ser>
        <c:dLbls>
          <c:dLblPos val="outEnd"/>
          <c:showLegendKey val="0"/>
          <c:showVal val="1"/>
          <c:showCatName val="0"/>
          <c:showSerName val="0"/>
          <c:showPercent val="0"/>
          <c:showBubbleSize val="0"/>
        </c:dLbls>
        <c:gapWidth val="219"/>
        <c:overlap val="-27"/>
        <c:axId val="684901008"/>
        <c:axId val="685551920"/>
      </c:barChart>
      <c:catAx>
        <c:axId val="684901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685551920"/>
        <c:crosses val="autoZero"/>
        <c:auto val="1"/>
        <c:lblAlgn val="ctr"/>
        <c:lblOffset val="100"/>
        <c:noMultiLvlLbl val="0"/>
      </c:catAx>
      <c:valAx>
        <c:axId val="6855519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684901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b="0" i="0" u="none" strike="noStrike" kern="1200" spc="0" baseline="0">
                <a:solidFill>
                  <a:sysClr val="windowText" lastClr="000000">
                    <a:lumMod val="65000"/>
                    <a:lumOff val="35000"/>
                  </a:sysClr>
                </a:solidFill>
              </a:rPr>
              <a:t>Annual Total Earnings (Wages + Salary) for 15 MW of New Solar PV</a:t>
            </a:r>
          </a:p>
        </c:rich>
      </c:tx>
      <c:layout>
        <c:manualLayout>
          <c:xMode val="edge"/>
          <c:yMode val="edge"/>
          <c:x val="0.15272672457312053"/>
          <c:y val="2.586519715993103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Solar DER</c:v>
          </c:tx>
          <c:spPr>
            <a:solidFill>
              <a:srgbClr val="00B050"/>
            </a:solidFill>
            <a:ln>
              <a:solidFill>
                <a:srgbClr val="00B050"/>
              </a:solidFill>
            </a:ln>
            <a:effectLst/>
          </c:spPr>
          <c:invertIfNegative val="0"/>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'KY JEDI'!$K$11:$K$13</c:f>
              <c:strCache>
                <c:ptCount val="2"/>
                <c:pt idx="0">
                  <c:v>KY NREL JEDI model Earnings</c:v>
                </c:pt>
                <c:pt idx="1">
                  <c:v>US IREC+JEDI Earnings</c:v>
                </c:pt>
              </c:strCache>
            </c:strRef>
          </c:cat>
          <c:val>
            <c:numRef>
              <c:f>'KY JEDI'!$L$11:$L$12</c:f>
              <c:numCache>
                <c:formatCode>_(* #,##0_);_(* \(#,##0\);_(* "-"??_);_(@_)</c:formatCode>
                <c:ptCount val="2"/>
                <c:pt idx="0">
                  <c:v>22943312.186892156</c:v>
                </c:pt>
                <c:pt idx="1">
                  <c:v>24133968.119984392</c:v>
                </c:pt>
              </c:numCache>
            </c:numRef>
          </c:val>
          <c:extLst>
            <c:ext xmlns:c16="http://schemas.microsoft.com/office/drawing/2014/chart" uri="{C3380CC4-5D6E-409C-BE32-E72D297353CC}">
              <c16:uniqueId val="{00000000-017C-2441-B5BE-BF3B36A2FDB2}"/>
            </c:ext>
          </c:extLst>
        </c:ser>
        <c:ser>
          <c:idx val="1"/>
          <c:order val="1"/>
          <c:tx>
            <c:v>Utility Scale Solar</c:v>
          </c:tx>
          <c:spPr>
            <a:pattFill prst="dkUpDiag">
              <a:fgClr>
                <a:schemeClr val="accent4">
                  <a:lumMod val="75000"/>
                </a:schemeClr>
              </a:fgClr>
              <a:bgClr>
                <a:schemeClr val="bg1"/>
              </a:bgClr>
            </a:pattFill>
            <a:ln>
              <a:solidFill>
                <a:schemeClr val="accent4">
                  <a:lumMod val="75000"/>
                </a:schemeClr>
              </a:solidFill>
            </a:ln>
            <a:effectLst/>
          </c:spPr>
          <c:invertIfNegative val="0"/>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'KY JEDI'!$K$11:$K$13</c:f>
              <c:strCache>
                <c:ptCount val="2"/>
                <c:pt idx="0">
                  <c:v>KY NREL JEDI model Earnings</c:v>
                </c:pt>
                <c:pt idx="1">
                  <c:v>US IREC+JEDI Earnings</c:v>
                </c:pt>
              </c:strCache>
            </c:strRef>
          </c:cat>
          <c:val>
            <c:numRef>
              <c:f>'KY JEDI'!$M$11:$M$12</c:f>
              <c:numCache>
                <c:formatCode>_(* #,##0_);_(* \(#,##0\);_(* "-"??_);_(@_)</c:formatCode>
                <c:ptCount val="2"/>
                <c:pt idx="0">
                  <c:v>5043877.7526254151</c:v>
                </c:pt>
                <c:pt idx="1">
                  <c:v>2210467.2187872464</c:v>
                </c:pt>
              </c:numCache>
            </c:numRef>
          </c:val>
          <c:extLst>
            <c:ext xmlns:c16="http://schemas.microsoft.com/office/drawing/2014/chart" uri="{C3380CC4-5D6E-409C-BE32-E72D297353CC}">
              <c16:uniqueId val="{00000001-017C-2441-B5BE-BF3B36A2FDB2}"/>
            </c:ext>
          </c:extLst>
        </c:ser>
        <c:dLbls>
          <c:showLegendKey val="0"/>
          <c:showVal val="0"/>
          <c:showCatName val="0"/>
          <c:showSerName val="0"/>
          <c:showPercent val="0"/>
          <c:showBubbleSize val="0"/>
        </c:dLbls>
        <c:gapWidth val="219"/>
        <c:overlap val="-27"/>
        <c:axId val="684901008"/>
        <c:axId val="685551920"/>
      </c:barChart>
      <c:catAx>
        <c:axId val="684901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685551920"/>
        <c:crosses val="autoZero"/>
        <c:auto val="1"/>
        <c:lblAlgn val="ctr"/>
        <c:lblOffset val="100"/>
        <c:noMultiLvlLbl val="0"/>
      </c:catAx>
      <c:valAx>
        <c:axId val="68555192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Red]&quot;$&quot;#,##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84901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b="0" i="0" u="none" strike="noStrike" kern="1200" spc="0" baseline="0">
                <a:solidFill>
                  <a:sysClr val="windowText" lastClr="000000">
                    <a:lumMod val="65000"/>
                    <a:lumOff val="35000"/>
                  </a:sysClr>
                </a:solidFill>
              </a:rPr>
              <a:t>Annual Total Economic Output for 15 MW of New Solar PV</a:t>
            </a:r>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Solar DER</c:v>
          </c:tx>
          <c:spPr>
            <a:solidFill>
              <a:srgbClr val="00B050"/>
            </a:solidFill>
            <a:ln>
              <a:solidFill>
                <a:srgbClr val="00B05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'KY JEDI'!$K$15:$K$17</c:f>
              <c:strCache>
                <c:ptCount val="2"/>
                <c:pt idx="0">
                  <c:v>KY NREL JEDI model Output</c:v>
                </c:pt>
                <c:pt idx="1">
                  <c:v>US IREC+JEDI Output</c:v>
                </c:pt>
              </c:strCache>
            </c:strRef>
          </c:cat>
          <c:val>
            <c:numRef>
              <c:f>'KY JEDI'!$L$15:$L$16</c:f>
              <c:numCache>
                <c:formatCode>_(* #,##0_);_(* \(#,##0\);_(* "-"??_);_(@_)</c:formatCode>
                <c:ptCount val="2"/>
                <c:pt idx="0">
                  <c:v>60124473.860132404</c:v>
                </c:pt>
                <c:pt idx="1">
                  <c:v>63244666.835866511</c:v>
                </c:pt>
              </c:numCache>
            </c:numRef>
          </c:val>
          <c:extLst>
            <c:ext xmlns:c16="http://schemas.microsoft.com/office/drawing/2014/chart" uri="{C3380CC4-5D6E-409C-BE32-E72D297353CC}">
              <c16:uniqueId val="{00000000-BC26-E041-B11F-909DE1F163B8}"/>
            </c:ext>
          </c:extLst>
        </c:ser>
        <c:ser>
          <c:idx val="1"/>
          <c:order val="1"/>
          <c:tx>
            <c:v>Utility Scale Solar</c:v>
          </c:tx>
          <c:spPr>
            <a:pattFill prst="dkUpDiag">
              <a:fgClr>
                <a:schemeClr val="accent4">
                  <a:lumMod val="75000"/>
                </a:schemeClr>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'KY JEDI'!$K$15:$K$17</c:f>
              <c:strCache>
                <c:ptCount val="2"/>
                <c:pt idx="0">
                  <c:v>KY NREL JEDI model Output</c:v>
                </c:pt>
                <c:pt idx="1">
                  <c:v>US IREC+JEDI Output</c:v>
                </c:pt>
              </c:strCache>
            </c:strRef>
          </c:cat>
          <c:val>
            <c:numRef>
              <c:f>'KY JEDI'!$M$15:$M$16</c:f>
              <c:numCache>
                <c:formatCode>_(* #,##0_);_(* \(#,##0\);_(* "-"??_);_(@_)</c:formatCode>
                <c:ptCount val="2"/>
                <c:pt idx="0">
                  <c:v>10793546.639670379</c:v>
                </c:pt>
                <c:pt idx="1">
                  <c:v>4730245.6942029875</c:v>
                </c:pt>
              </c:numCache>
            </c:numRef>
          </c:val>
          <c:extLst>
            <c:ext xmlns:c16="http://schemas.microsoft.com/office/drawing/2014/chart" uri="{C3380CC4-5D6E-409C-BE32-E72D297353CC}">
              <c16:uniqueId val="{00000001-BC26-E041-B11F-909DE1F163B8}"/>
            </c:ext>
          </c:extLst>
        </c:ser>
        <c:dLbls>
          <c:showLegendKey val="0"/>
          <c:showVal val="0"/>
          <c:showCatName val="0"/>
          <c:showSerName val="0"/>
          <c:showPercent val="0"/>
          <c:showBubbleSize val="0"/>
        </c:dLbls>
        <c:gapWidth val="219"/>
        <c:overlap val="-27"/>
        <c:axId val="1953577663"/>
        <c:axId val="1953609055"/>
      </c:barChart>
      <c:catAx>
        <c:axId val="19535776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53609055"/>
        <c:crosses val="autoZero"/>
        <c:auto val="1"/>
        <c:lblAlgn val="ctr"/>
        <c:lblOffset val="100"/>
        <c:noMultiLvlLbl val="0"/>
      </c:catAx>
      <c:valAx>
        <c:axId val="1953609055"/>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535776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b="0" i="0" u="none" strike="noStrike" kern="1200" spc="0" baseline="0">
                <a:solidFill>
                  <a:sysClr val="windowText" lastClr="000000">
                    <a:lumMod val="65000"/>
                    <a:lumOff val="35000"/>
                  </a:sysClr>
                </a:solidFill>
              </a:rPr>
              <a:t>Annual Added Value to the State Economy for 15 MW of New Solar PV</a:t>
            </a:r>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Solar DER</c:v>
          </c:tx>
          <c:spPr>
            <a:solidFill>
              <a:srgbClr val="00B050"/>
            </a:solidFill>
            <a:ln>
              <a:solidFill>
                <a:srgbClr val="00B050"/>
              </a:solidFill>
            </a:ln>
            <a:effectLst/>
          </c:spPr>
          <c:invertIfNegative val="0"/>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'KY JEDI'!$K$19:$K$21</c:f>
              <c:strCache>
                <c:ptCount val="2"/>
                <c:pt idx="0">
                  <c:v>KY NREL JEDI model Value Added</c:v>
                </c:pt>
                <c:pt idx="1">
                  <c:v>US IREC+JEDI Value Added</c:v>
                </c:pt>
              </c:strCache>
            </c:strRef>
          </c:cat>
          <c:val>
            <c:numRef>
              <c:f>'KY JEDI'!$L$19:$L$20</c:f>
              <c:numCache>
                <c:formatCode>_(* #,##0_);_(* \(#,##0\);_(* "-"??_);_(@_)</c:formatCode>
                <c:ptCount val="2"/>
                <c:pt idx="0">
                  <c:v>35161070.825418293</c:v>
                </c:pt>
                <c:pt idx="1">
                  <c:v>36985774.131163247</c:v>
                </c:pt>
              </c:numCache>
            </c:numRef>
          </c:val>
          <c:extLst>
            <c:ext xmlns:c16="http://schemas.microsoft.com/office/drawing/2014/chart" uri="{C3380CC4-5D6E-409C-BE32-E72D297353CC}">
              <c16:uniqueId val="{00000000-ED77-6D48-894F-A45A861AB003}"/>
            </c:ext>
          </c:extLst>
        </c:ser>
        <c:ser>
          <c:idx val="1"/>
          <c:order val="1"/>
          <c:tx>
            <c:v>Utility Scale Solar</c:v>
          </c:tx>
          <c:spPr>
            <a:pattFill prst="dkUpDiag">
              <a:fgClr>
                <a:schemeClr val="accent4">
                  <a:lumMod val="75000"/>
                </a:schemeClr>
              </a:fgClr>
              <a:bgClr>
                <a:schemeClr val="bg1"/>
              </a:bgClr>
            </a:pattFill>
            <a:ln>
              <a:solidFill>
                <a:schemeClr val="accent4">
                  <a:lumMod val="75000"/>
                </a:schemeClr>
              </a:solidFill>
            </a:ln>
            <a:effectLst/>
          </c:spPr>
          <c:invertIfNegative val="0"/>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'KY JEDI'!$K$19:$K$21</c:f>
              <c:strCache>
                <c:ptCount val="2"/>
                <c:pt idx="0">
                  <c:v>KY NREL JEDI model Value Added</c:v>
                </c:pt>
                <c:pt idx="1">
                  <c:v>US IREC+JEDI Value Added</c:v>
                </c:pt>
              </c:strCache>
            </c:strRef>
          </c:cat>
          <c:val>
            <c:numRef>
              <c:f>'KY JEDI'!$M$19:$M$20</c:f>
              <c:numCache>
                <c:formatCode>_(* #,##0_);_(* \(#,##0\);_(* "-"??_);_(@_)</c:formatCode>
                <c:ptCount val="2"/>
                <c:pt idx="0">
                  <c:v>6860345.835202815</c:v>
                </c:pt>
                <c:pt idx="1">
                  <c:v>3006529.9600820118</c:v>
                </c:pt>
              </c:numCache>
            </c:numRef>
          </c:val>
          <c:extLst>
            <c:ext xmlns:c16="http://schemas.microsoft.com/office/drawing/2014/chart" uri="{C3380CC4-5D6E-409C-BE32-E72D297353CC}">
              <c16:uniqueId val="{00000001-ED77-6D48-894F-A45A861AB003}"/>
            </c:ext>
          </c:extLst>
        </c:ser>
        <c:dLbls>
          <c:showLegendKey val="0"/>
          <c:showVal val="0"/>
          <c:showCatName val="0"/>
          <c:showSerName val="0"/>
          <c:showPercent val="0"/>
          <c:showBubbleSize val="0"/>
        </c:dLbls>
        <c:gapWidth val="219"/>
        <c:overlap val="-27"/>
        <c:axId val="630604576"/>
        <c:axId val="630606288"/>
      </c:barChart>
      <c:catAx>
        <c:axId val="63060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630606288"/>
        <c:crosses val="autoZero"/>
        <c:auto val="1"/>
        <c:lblAlgn val="ctr"/>
        <c:lblOffset val="100"/>
        <c:noMultiLvlLbl val="0"/>
      </c:catAx>
      <c:valAx>
        <c:axId val="6306062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0604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IRA Tax Credits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'DER tax credit'!$D$6</c:f>
              <c:strCache>
                <c:ptCount val="1"/>
                <c:pt idx="0">
                  <c:v>Per Year (15 MW) Tax Credit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'DER tax credit'!$E$5:$F$5</c:f>
              <c:strCache>
                <c:ptCount val="2"/>
                <c:pt idx="0">
                  <c:v>DER</c:v>
                </c:pt>
                <c:pt idx="1">
                  <c:v>Utility</c:v>
                </c:pt>
              </c:strCache>
            </c:strRef>
          </c:cat>
          <c:val>
            <c:numRef>
              <c:f>'DER tax credit'!$E$6:$F$6</c:f>
              <c:numCache>
                <c:formatCode>_("$"* #,##0_);_("$"* \(#,##0\);_("$"* "-"??_);_(@_)</c:formatCode>
                <c:ptCount val="2"/>
                <c:pt idx="0">
                  <c:v>12069000</c:v>
                </c:pt>
                <c:pt idx="1">
                  <c:v>3483000.0000000005</c:v>
                </c:pt>
              </c:numCache>
            </c:numRef>
          </c:val>
          <c:extLst>
            <c:ext xmlns:c16="http://schemas.microsoft.com/office/drawing/2014/chart" uri="{C3380CC4-5D6E-409C-BE32-E72D297353CC}">
              <c16:uniqueId val="{00000000-A812-4A94-8141-1C945CDF3AB6}"/>
            </c:ext>
          </c:extLst>
        </c:ser>
        <c:ser>
          <c:idx val="1"/>
          <c:order val="1"/>
          <c:tx>
            <c:strRef>
              <c:f>'DER tax credit'!$D$7</c:f>
              <c:strCache>
                <c:ptCount val="1"/>
                <c:pt idx="0">
                  <c:v>22-30 Tax Credit (120 MW)</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'DER tax credit'!$E$5:$F$5</c:f>
              <c:strCache>
                <c:ptCount val="2"/>
                <c:pt idx="0">
                  <c:v>DER</c:v>
                </c:pt>
                <c:pt idx="1">
                  <c:v>Utility</c:v>
                </c:pt>
              </c:strCache>
            </c:strRef>
          </c:cat>
          <c:val>
            <c:numRef>
              <c:f>'DER tax credit'!$E$7:$F$7</c:f>
              <c:numCache>
                <c:formatCode>_("$"* #,##0_);_("$"* \(#,##0\);_("$"* "-"??_);_(@_)</c:formatCode>
                <c:ptCount val="2"/>
                <c:pt idx="0">
                  <c:v>96552000</c:v>
                </c:pt>
                <c:pt idx="1">
                  <c:v>27864000.000000004</c:v>
                </c:pt>
              </c:numCache>
            </c:numRef>
          </c:val>
          <c:extLst>
            <c:ext xmlns:c16="http://schemas.microsoft.com/office/drawing/2014/chart" uri="{C3380CC4-5D6E-409C-BE32-E72D297353CC}">
              <c16:uniqueId val="{00000001-A812-4A94-8141-1C945CDF3AB6}"/>
            </c:ext>
          </c:extLst>
        </c:ser>
        <c:dLbls>
          <c:showLegendKey val="0"/>
          <c:showVal val="0"/>
          <c:showCatName val="0"/>
          <c:showSerName val="0"/>
          <c:showPercent val="0"/>
          <c:showBubbleSize val="0"/>
        </c:dLbls>
        <c:gapWidth val="219"/>
        <c:overlap val="-27"/>
        <c:axId val="1775093487"/>
        <c:axId val="507635168"/>
      </c:barChart>
      <c:catAx>
        <c:axId val="1775093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635168"/>
        <c:crosses val="autoZero"/>
        <c:auto val="1"/>
        <c:lblAlgn val="ctr"/>
        <c:lblOffset val="100"/>
        <c:noMultiLvlLbl val="0"/>
      </c:catAx>
      <c:valAx>
        <c:axId val="50763516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50934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40CCC82-AB6C-B143-8737-65DF66D1E208}">
  <sheetPr>
    <tabColor rgb="FFC00000"/>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50FE5A9-458E-C045-A81D-94B3406C84A7}">
  <sheetPr>
    <tabColor rgb="FFC00000"/>
  </sheetPr>
  <sheetViews>
    <sheetView zoomScale="107"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90C689A-65C5-6940-92CD-8868EFF1DEF8}">
  <sheetPr>
    <tabColor theme="5" tint="0.39997558519241921"/>
  </sheetPr>
  <sheetViews>
    <sheetView zoomScale="94"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7656915-D1B6-0747-8250-FD0E5689FBB5}">
  <sheetPr>
    <tabColor rgb="FFC00000"/>
  </sheetPr>
  <sheetViews>
    <sheetView zoomScale="12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9A29F074-ED78-ECD8-C130-7B5F8BC83C5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0421" cy="6302523"/>
    <xdr:graphicFrame macro="">
      <xdr:nvGraphicFramePr>
        <xdr:cNvPr id="2" name="Chart 1">
          <a:extLst>
            <a:ext uri="{FF2B5EF4-FFF2-40B4-BE49-F238E27FC236}">
              <a16:creationId xmlns:a16="http://schemas.microsoft.com/office/drawing/2014/main" id="{6041686F-08F0-EF15-90FB-134B62C0447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3697" cy="6282447"/>
    <xdr:graphicFrame macro="">
      <xdr:nvGraphicFramePr>
        <xdr:cNvPr id="2" name="Chart 1">
          <a:extLst>
            <a:ext uri="{FF2B5EF4-FFF2-40B4-BE49-F238E27FC236}">
              <a16:creationId xmlns:a16="http://schemas.microsoft.com/office/drawing/2014/main" id="{8FFB9751-94F4-1291-BFFA-C9D6DD46A0F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a:extLst>
            <a:ext uri="{FF2B5EF4-FFF2-40B4-BE49-F238E27FC236}">
              <a16:creationId xmlns:a16="http://schemas.microsoft.com/office/drawing/2014/main" id="{7E280C24-564F-6357-0119-7CB507AC8BC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1</xdr:col>
      <xdr:colOff>1022350</xdr:colOff>
      <xdr:row>7</xdr:row>
      <xdr:rowOff>187325</xdr:rowOff>
    </xdr:from>
    <xdr:to>
      <xdr:col>5</xdr:col>
      <xdr:colOff>1111250</xdr:colOff>
      <xdr:row>21</xdr:row>
      <xdr:rowOff>85725</xdr:rowOff>
    </xdr:to>
    <xdr:graphicFrame macro="">
      <xdr:nvGraphicFramePr>
        <xdr:cNvPr id="2" name="Chart 1">
          <a:extLst>
            <a:ext uri="{FF2B5EF4-FFF2-40B4-BE49-F238E27FC236}">
              <a16:creationId xmlns:a16="http://schemas.microsoft.com/office/drawing/2014/main" id="{8C954CE5-E0DB-4D1C-AF34-9834CF2E15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mcubed-my.sharepoint.com/personal/mccann_mcubed-econ_net/Documents/Projects/Duke%20KY%20solar/Workpapers/KY%20Tax%20credit%20&amp;%20Transmission%20costs.xlsx" TargetMode="External"/><Relationship Id="rId1" Type="http://schemas.openxmlformats.org/officeDocument/2006/relationships/externalLinkPath" Target="KY%20Tax%20credit%20&amp;%20Transmission%20co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R"/>
      <sheetName val="Utility"/>
      <sheetName val="transmission"/>
    </sheetNames>
    <sheetDataSet>
      <sheetData sheetId="0">
        <row r="5">
          <cell r="E5" t="str">
            <v>DER</v>
          </cell>
          <cell r="F5" t="str">
            <v>Utility</v>
          </cell>
        </row>
        <row r="6">
          <cell r="D6" t="str">
            <v>Per Year (15 MW) Tax Credit</v>
          </cell>
          <cell r="E6">
            <v>12069000</v>
          </cell>
          <cell r="F6">
            <v>3483000.0000000005</v>
          </cell>
        </row>
        <row r="7">
          <cell r="D7" t="str">
            <v>22-30 Tax Credit (120 MW)</v>
          </cell>
          <cell r="E7">
            <v>96552000</v>
          </cell>
          <cell r="F7">
            <v>27864000.000000004</v>
          </cell>
        </row>
      </sheetData>
      <sheetData sheetId="1" refreshError="1"/>
      <sheetData sheetId="2" refreshError="1"/>
    </sheetDataSet>
  </externalBook>
</externalLink>
</file>

<file path=xl/persons/person.xml><?xml version="1.0" encoding="utf-8"?>
<personList xmlns="http://schemas.microsoft.com/office/spreadsheetml/2018/threadedcomments" xmlns:x="http://schemas.openxmlformats.org/spreadsheetml/2006/main">
  <person displayName="Alec Fleischer" id="{50651C9E-435F-E24B-A1E1-192DADD7BD4D}" userId="348e9e7c199c58aa" providerId="Windows Liv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5A8E60-D3E9-DA47-9616-3E7AC9ACEC59}" name="Table1" displayName="Table1" ref="K24:O35" totalsRowShown="0" dataDxfId="4" dataCellStyle="Comma">
  <autoFilter ref="K24:O35" xr:uid="{575A8E60-D3E9-DA47-9616-3E7AC9ACEC59}"/>
  <tableColumns count="5">
    <tableColumn id="1" xr3:uid="{BB6127D6-3172-0F4C-AD18-91798BF51336}" name="Impact"/>
    <tableColumn id="2" xr3:uid="{0A8BA177-4F9F-9946-9FE4-E54C0E38C32C}" name="KY JEDI DER" dataDxfId="3" dataCellStyle="Comma"/>
    <tableColumn id="3" xr3:uid="{40494FE4-BE28-8D4F-A070-ABBCD4D8C099}" name="KY JEDI Utility" dataDxfId="2" dataCellStyle="Comma"/>
    <tableColumn id="4" xr3:uid="{6A066E69-BC5D-574C-8C82-EA676B3675C5}" name="US IREC MIX DER" dataDxfId="1" dataCellStyle="Comma"/>
    <tableColumn id="5" xr3:uid="{A62D650B-BB88-0C4A-A886-2067AEDB9EEF}" name="US IREC MIX Utility" dataDxfId="0" dataCellStyle="Comma"/>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 dT="2023-12-06T19:38:54.71" personId="{50651C9E-435F-E24B-A1E1-192DADD7BD4D}" id="{A28CF2D1-67AA-EA49-A4C9-5166B25F8438}">
    <text>Only data I could get was install jobs per market segment. Calculated instal jobs are 71% of all jobs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irecusa.org/census-solar-job-trends/" TargetMode="Externa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159E5-8316-114A-BD7E-A2948E015FF7}">
  <dimension ref="A1:Q67"/>
  <sheetViews>
    <sheetView tabSelected="1" zoomScale="80" zoomScaleNormal="80" workbookViewId="0">
      <selection activeCell="N41" sqref="N41"/>
    </sheetView>
  </sheetViews>
  <sheetFormatPr defaultColWidth="11" defaultRowHeight="15.75" x14ac:dyDescent="0.25"/>
  <cols>
    <col min="1" max="1" width="30.125" customWidth="1"/>
    <col min="3" max="5" width="14" bestFit="1" customWidth="1"/>
    <col min="8" max="8" width="22.375" customWidth="1"/>
    <col min="9" max="9" width="16.125" customWidth="1"/>
    <col min="10" max="10" width="12.125" bestFit="1" customWidth="1"/>
    <col min="11" max="11" width="21.875" customWidth="1"/>
    <col min="12" max="12" width="15" bestFit="1" customWidth="1"/>
    <col min="13" max="13" width="15.375" customWidth="1"/>
    <col min="14" max="14" width="17.875" customWidth="1"/>
    <col min="15" max="15" width="19.5" customWidth="1"/>
    <col min="16" max="16" width="18" customWidth="1"/>
  </cols>
  <sheetData>
    <row r="1" spans="1:17" x14ac:dyDescent="0.25">
      <c r="B1" t="s">
        <v>2</v>
      </c>
      <c r="C1" t="s">
        <v>3</v>
      </c>
      <c r="D1" t="s">
        <v>4</v>
      </c>
      <c r="E1" s="3" t="s">
        <v>37</v>
      </c>
      <c r="H1" s="25" t="s">
        <v>50</v>
      </c>
      <c r="I1" s="7">
        <f>15*8</f>
        <v>120</v>
      </c>
      <c r="J1" t="s">
        <v>59</v>
      </c>
    </row>
    <row r="2" spans="1:17" x14ac:dyDescent="0.25">
      <c r="A2" t="s">
        <v>39</v>
      </c>
      <c r="B2">
        <v>1</v>
      </c>
      <c r="C2" s="6">
        <f>1*(C7/B7)</f>
        <v>0.97577731626251085</v>
      </c>
      <c r="D2" s="6">
        <f>1*(D7/B7)</f>
        <v>0.54068339616987582</v>
      </c>
      <c r="E2" s="8">
        <f>SUM(C2:D2)</f>
        <v>1.5164607124323868</v>
      </c>
      <c r="H2" s="25" t="s">
        <v>51</v>
      </c>
      <c r="I2" s="6">
        <v>15</v>
      </c>
      <c r="J2" t="s">
        <v>49</v>
      </c>
    </row>
    <row r="3" spans="1:17" x14ac:dyDescent="0.25">
      <c r="A3" t="s">
        <v>40</v>
      </c>
      <c r="B3" s="6">
        <v>1</v>
      </c>
      <c r="C3" s="6">
        <f>1*(C39/B39)</f>
        <v>0.50015589784965331</v>
      </c>
      <c r="D3" s="6">
        <f>1*(D39/C39)</f>
        <v>0.62279226463162762</v>
      </c>
      <c r="E3" s="8">
        <f>SUM(C3:D3)</f>
        <v>1.1229481624812809</v>
      </c>
    </row>
    <row r="4" spans="1:17" x14ac:dyDescent="0.25">
      <c r="B4" s="6"/>
      <c r="C4" s="6"/>
      <c r="D4" s="6"/>
      <c r="E4" s="8"/>
    </row>
    <row r="5" spans="1:17" x14ac:dyDescent="0.25">
      <c r="B5" s="6"/>
      <c r="C5" s="6"/>
      <c r="D5" s="6"/>
      <c r="E5" s="8"/>
      <c r="H5" s="3" t="s">
        <v>45</v>
      </c>
    </row>
    <row r="6" spans="1:17" x14ac:dyDescent="0.25">
      <c r="A6" s="3" t="s">
        <v>55</v>
      </c>
      <c r="B6" t="s">
        <v>31</v>
      </c>
      <c r="C6" t="s">
        <v>32</v>
      </c>
      <c r="D6" t="s">
        <v>33</v>
      </c>
      <c r="E6" t="s">
        <v>42</v>
      </c>
      <c r="H6" s="43" t="s">
        <v>54</v>
      </c>
      <c r="I6" s="33"/>
      <c r="J6" s="4"/>
      <c r="K6" t="s">
        <v>25</v>
      </c>
      <c r="L6" t="s">
        <v>94</v>
      </c>
      <c r="M6" t="s">
        <v>38</v>
      </c>
      <c r="N6" s="58" t="s">
        <v>111</v>
      </c>
      <c r="O6" s="2" t="s">
        <v>110</v>
      </c>
      <c r="P6" s="3" t="s">
        <v>95</v>
      </c>
      <c r="Q6" s="3" t="s">
        <v>0</v>
      </c>
    </row>
    <row r="7" spans="1:17" x14ac:dyDescent="0.25">
      <c r="A7" s="1" t="s">
        <v>46</v>
      </c>
      <c r="B7" s="37">
        <f>B15+B31</f>
        <v>11.187430695169468</v>
      </c>
      <c r="C7" s="37">
        <f>B23+B32</f>
        <v>10.916441099605299</v>
      </c>
      <c r="D7" s="37">
        <f>B24+B33</f>
        <v>6.0488580226793429</v>
      </c>
      <c r="E7" s="38">
        <f>SUM(B7:D7)</f>
        <v>28.152729817454112</v>
      </c>
      <c r="H7" s="32" t="s">
        <v>52</v>
      </c>
      <c r="I7" s="40">
        <f>B35*I2</f>
        <v>422.29094726181165</v>
      </c>
      <c r="J7" s="27"/>
      <c r="K7" s="4" t="s">
        <v>112</v>
      </c>
      <c r="L7" s="46">
        <f>I7</f>
        <v>422.29094726181165</v>
      </c>
      <c r="M7" s="46">
        <f>I11</f>
        <v>88.787831534304388</v>
      </c>
      <c r="N7" s="7">
        <f>L7/M7</f>
        <v>4.7561804355887869</v>
      </c>
      <c r="O7" s="7">
        <f>M7/L7</f>
        <v>0.21025274661940069</v>
      </c>
      <c r="P7" s="3" t="s">
        <v>76</v>
      </c>
      <c r="Q7" s="8">
        <v>2.5940701534201764</v>
      </c>
    </row>
    <row r="8" spans="1:17" x14ac:dyDescent="0.25">
      <c r="A8" s="1" t="s">
        <v>47</v>
      </c>
      <c r="B8" s="39">
        <f>B7/$E$7</f>
        <v>0.39738351370223046</v>
      </c>
      <c r="C8" s="39">
        <f t="shared" ref="C8:E8" si="0">C7/$E$7</f>
        <v>0.3877578185273291</v>
      </c>
      <c r="D8" s="39">
        <f t="shared" si="0"/>
        <v>0.21485866777044035</v>
      </c>
      <c r="E8" s="37">
        <f t="shared" si="0"/>
        <v>1</v>
      </c>
      <c r="H8" s="33" t="s">
        <v>53</v>
      </c>
      <c r="I8" s="34">
        <f>B35*I1</f>
        <v>3378.3275780944932</v>
      </c>
      <c r="J8" s="27"/>
      <c r="K8" t="s">
        <v>116</v>
      </c>
      <c r="L8" s="2">
        <f>Q8*I2</f>
        <v>444.2059705920384</v>
      </c>
      <c r="M8" s="2">
        <f>Q7*I2</f>
        <v>38.911052301302647</v>
      </c>
      <c r="N8" s="7">
        <f t="shared" ref="N8:N20" si="1">L8/M8</f>
        <v>11.415933117212754</v>
      </c>
      <c r="O8" s="7">
        <f t="shared" ref="O8:O20" si="2">M8/L8</f>
        <v>8.7596869194355803E-2</v>
      </c>
      <c r="P8" s="3" t="s">
        <v>1</v>
      </c>
      <c r="Q8" s="8">
        <v>29.613731372802562</v>
      </c>
    </row>
    <row r="9" spans="1:17" x14ac:dyDescent="0.25">
      <c r="A9" s="9" t="s">
        <v>41</v>
      </c>
      <c r="B9" s="10"/>
      <c r="C9" s="10"/>
      <c r="D9" s="10"/>
      <c r="E9" s="10"/>
      <c r="F9" s="3"/>
      <c r="H9" s="33"/>
      <c r="I9" s="34"/>
      <c r="J9" s="27"/>
      <c r="N9" s="7"/>
      <c r="O9" s="7"/>
    </row>
    <row r="10" spans="1:17" x14ac:dyDescent="0.25">
      <c r="A10" s="10"/>
      <c r="B10" s="10" t="s">
        <v>7</v>
      </c>
      <c r="C10" s="10" t="s">
        <v>8</v>
      </c>
      <c r="D10" s="10" t="s">
        <v>9</v>
      </c>
      <c r="E10" s="10" t="s">
        <v>10</v>
      </c>
      <c r="F10" s="29"/>
      <c r="H10" s="44" t="s">
        <v>6</v>
      </c>
      <c r="I10" s="32"/>
      <c r="J10" s="4"/>
      <c r="N10" s="7"/>
      <c r="O10" s="7"/>
      <c r="P10" s="3"/>
    </row>
    <row r="11" spans="1:17" x14ac:dyDescent="0.25">
      <c r="A11" s="11" t="s">
        <v>11</v>
      </c>
      <c r="B11" s="12"/>
      <c r="C11" s="13" t="s">
        <v>30</v>
      </c>
      <c r="D11" s="13" t="s">
        <v>30</v>
      </c>
      <c r="E11" s="13" t="s">
        <v>30</v>
      </c>
      <c r="H11" s="32" t="s">
        <v>52</v>
      </c>
      <c r="I11" s="34">
        <f>B67*I2</f>
        <v>88.787831534304388</v>
      </c>
      <c r="J11" s="27"/>
      <c r="K11" t="s">
        <v>113</v>
      </c>
      <c r="L11" s="46">
        <f>I16</f>
        <v>22943312.186892156</v>
      </c>
      <c r="M11" s="46">
        <f>I20</f>
        <v>5043877.7526254151</v>
      </c>
      <c r="N11" s="7">
        <f t="shared" si="1"/>
        <v>4.5487446984514666</v>
      </c>
      <c r="O11" s="7">
        <f>M11/L11</f>
        <v>0.21984087177731274</v>
      </c>
      <c r="P11" s="3"/>
    </row>
    <row r="12" spans="1:17" ht="26.25" x14ac:dyDescent="0.25">
      <c r="A12" s="14" t="s">
        <v>12</v>
      </c>
      <c r="B12" s="15"/>
      <c r="C12" s="16"/>
      <c r="D12" s="16"/>
      <c r="E12" s="16"/>
      <c r="H12" s="33" t="s">
        <v>53</v>
      </c>
      <c r="I12" s="34">
        <f>B67*I1</f>
        <v>710.3026522744351</v>
      </c>
      <c r="J12" s="27"/>
      <c r="K12" t="s">
        <v>117</v>
      </c>
      <c r="L12" s="46">
        <f>L8/L7*L11</f>
        <v>24133968.119984392</v>
      </c>
      <c r="M12" s="46">
        <f>M8/M7*M11</f>
        <v>2210467.2187872464</v>
      </c>
      <c r="N12" s="7">
        <f t="shared" si="1"/>
        <v>10.918039369624891</v>
      </c>
      <c r="O12" s="7">
        <f>M12/L12</f>
        <v>9.1591536368892654E-2</v>
      </c>
      <c r="P12" s="3"/>
    </row>
    <row r="13" spans="1:17" x14ac:dyDescent="0.25">
      <c r="A13" s="17" t="s">
        <v>13</v>
      </c>
      <c r="B13" s="15">
        <v>4.3089037080548191</v>
      </c>
      <c r="C13" s="16">
        <v>279.06680372093035</v>
      </c>
      <c r="D13" s="16"/>
      <c r="E13" s="16"/>
      <c r="H13" s="33"/>
      <c r="I13" s="35"/>
      <c r="J13" s="2"/>
      <c r="L13" s="46"/>
      <c r="M13" s="46"/>
      <c r="N13" s="7"/>
      <c r="O13" s="7"/>
    </row>
    <row r="14" spans="1:17" ht="26.25" x14ac:dyDescent="0.25">
      <c r="A14" s="14" t="s">
        <v>14</v>
      </c>
      <c r="B14" s="15">
        <v>6.6016732211330238</v>
      </c>
      <c r="C14" s="16">
        <v>397.92917859840549</v>
      </c>
      <c r="D14" s="16"/>
      <c r="E14" s="16"/>
      <c r="H14" s="3" t="s">
        <v>36</v>
      </c>
      <c r="N14" s="7"/>
      <c r="O14" s="7"/>
    </row>
    <row r="15" spans="1:17" x14ac:dyDescent="0.25">
      <c r="A15" s="14" t="s">
        <v>15</v>
      </c>
      <c r="B15" s="15">
        <v>10.910576929187844</v>
      </c>
      <c r="C15" s="16">
        <v>676.99598231933578</v>
      </c>
      <c r="D15" s="16">
        <v>1237.196163162791</v>
      </c>
      <c r="E15" s="16">
        <v>869.45396630081621</v>
      </c>
      <c r="H15" s="43" t="s">
        <v>54</v>
      </c>
      <c r="I15" s="32"/>
      <c r="J15" s="4"/>
      <c r="K15" t="s">
        <v>114</v>
      </c>
      <c r="L15" s="46">
        <f>I25</f>
        <v>60124473.860132404</v>
      </c>
      <c r="M15" s="46">
        <f>I29</f>
        <v>10793546.639670379</v>
      </c>
      <c r="N15" s="7">
        <f t="shared" si="1"/>
        <v>5.5704094184530737</v>
      </c>
      <c r="O15" s="7">
        <f t="shared" si="2"/>
        <v>0.17952001816730093</v>
      </c>
    </row>
    <row r="16" spans="1:17" x14ac:dyDescent="0.25">
      <c r="A16" s="18" t="s">
        <v>16</v>
      </c>
      <c r="B16" s="15"/>
      <c r="C16" s="16"/>
      <c r="D16" s="16"/>
      <c r="E16" s="16"/>
      <c r="H16" s="32" t="s">
        <v>57</v>
      </c>
      <c r="I16" s="41">
        <f>C35*I2</f>
        <v>22943312.186892156</v>
      </c>
      <c r="J16" s="28"/>
      <c r="K16" t="s">
        <v>118</v>
      </c>
      <c r="L16" s="46">
        <f>L8/L7*L15</f>
        <v>63244666.835866511</v>
      </c>
      <c r="M16" s="46">
        <f>M8/M7*M15</f>
        <v>4730245.6942029875</v>
      </c>
      <c r="N16" s="7">
        <f t="shared" si="1"/>
        <v>13.37027100164673</v>
      </c>
      <c r="O16" s="7">
        <f t="shared" si="2"/>
        <v>7.4792799628132928E-2</v>
      </c>
    </row>
    <row r="17" spans="1:15" x14ac:dyDescent="0.25">
      <c r="A17" s="12" t="s">
        <v>17</v>
      </c>
      <c r="B17" s="15">
        <v>0</v>
      </c>
      <c r="C17" s="16">
        <v>0</v>
      </c>
      <c r="D17" s="16">
        <v>0</v>
      </c>
      <c r="E17" s="16">
        <v>0</v>
      </c>
      <c r="H17" s="33" t="s">
        <v>58</v>
      </c>
      <c r="I17" s="41">
        <f>C35*I1</f>
        <v>183546497.49513724</v>
      </c>
      <c r="J17" s="28"/>
      <c r="L17" s="46"/>
      <c r="M17" s="46"/>
      <c r="N17" s="7"/>
      <c r="O17" s="7"/>
    </row>
    <row r="18" spans="1:15" x14ac:dyDescent="0.25">
      <c r="A18" s="12" t="s">
        <v>18</v>
      </c>
      <c r="B18" s="15">
        <v>1.4814908684943253</v>
      </c>
      <c r="C18" s="16">
        <v>95.643850693897917</v>
      </c>
      <c r="D18" s="16">
        <v>372.76395233994845</v>
      </c>
      <c r="E18" s="16">
        <v>211.00383120692092</v>
      </c>
      <c r="H18" s="33"/>
      <c r="I18" s="41"/>
      <c r="J18" s="28"/>
      <c r="N18" s="7"/>
      <c r="O18" s="7"/>
    </row>
    <row r="19" spans="1:15" ht="31.5" x14ac:dyDescent="0.25">
      <c r="A19" s="12" t="s">
        <v>19</v>
      </c>
      <c r="B19" s="15">
        <v>0</v>
      </c>
      <c r="C19" s="16">
        <v>0</v>
      </c>
      <c r="D19" s="16">
        <v>0</v>
      </c>
      <c r="E19" s="16">
        <v>0</v>
      </c>
      <c r="H19" s="44" t="s">
        <v>6</v>
      </c>
      <c r="I19" s="41"/>
      <c r="J19" s="28"/>
      <c r="K19" s="4" t="s">
        <v>115</v>
      </c>
      <c r="L19" s="46">
        <f>I34</f>
        <v>35161070.825418293</v>
      </c>
      <c r="M19" s="46">
        <f>I38</f>
        <v>6860345.835202815</v>
      </c>
      <c r="N19" s="7">
        <f t="shared" si="1"/>
        <v>5.1252621471347171</v>
      </c>
      <c r="O19" s="7">
        <f t="shared" si="2"/>
        <v>0.19511197111333145</v>
      </c>
    </row>
    <row r="20" spans="1:15" x14ac:dyDescent="0.25">
      <c r="A20" s="12" t="s">
        <v>20</v>
      </c>
      <c r="B20" s="15">
        <v>1.9857122794176745</v>
      </c>
      <c r="C20" s="16">
        <v>101.5900466836417</v>
      </c>
      <c r="D20" s="16">
        <v>334.41045782554693</v>
      </c>
      <c r="E20" s="16">
        <v>175.35999812215815</v>
      </c>
      <c r="H20" s="32" t="s">
        <v>57</v>
      </c>
      <c r="I20" s="41">
        <f>C67*I2</f>
        <v>5043877.7526254151</v>
      </c>
      <c r="J20" s="28"/>
      <c r="K20" t="s">
        <v>119</v>
      </c>
      <c r="L20" s="46">
        <f>L8/L7*L19</f>
        <v>36985774.131163247</v>
      </c>
      <c r="M20" s="46">
        <f>M8/M7*M19</f>
        <v>3006529.9600820118</v>
      </c>
      <c r="N20" s="7">
        <f t="shared" si="1"/>
        <v>12.301814590982607</v>
      </c>
      <c r="O20" s="7">
        <f t="shared" si="2"/>
        <v>8.1288820653581728E-2</v>
      </c>
    </row>
    <row r="21" spans="1:15" x14ac:dyDescent="0.25">
      <c r="A21" s="12" t="s">
        <v>21</v>
      </c>
      <c r="B21" s="15">
        <v>2.5938858541093115</v>
      </c>
      <c r="C21" s="16">
        <v>252.42085356703313</v>
      </c>
      <c r="D21" s="16">
        <v>704.93944091159335</v>
      </c>
      <c r="E21" s="16">
        <v>379.23345950030665</v>
      </c>
      <c r="H21" s="33" t="s">
        <v>58</v>
      </c>
      <c r="I21" s="41">
        <f>C67*I1</f>
        <v>40351022.021003321</v>
      </c>
      <c r="J21" s="28"/>
      <c r="L21" s="46"/>
      <c r="M21" s="46"/>
    </row>
    <row r="22" spans="1:15" x14ac:dyDescent="0.25">
      <c r="A22" s="12" t="s">
        <v>22</v>
      </c>
      <c r="B22" s="15">
        <v>4.7672765987793717</v>
      </c>
      <c r="C22" s="16">
        <v>108.34208006791732</v>
      </c>
      <c r="D22" s="16">
        <v>326.79154894720341</v>
      </c>
      <c r="E22" s="16">
        <v>176.3767225124418</v>
      </c>
      <c r="H22" s="33"/>
      <c r="I22" s="42"/>
      <c r="J22" s="45"/>
    </row>
    <row r="23" spans="1:15" x14ac:dyDescent="0.25">
      <c r="A23" s="14" t="s">
        <v>15</v>
      </c>
      <c r="B23" s="15">
        <v>10.828365600800684</v>
      </c>
      <c r="C23" s="16">
        <v>557.99683101249002</v>
      </c>
      <c r="D23" s="16">
        <v>1738.9054000242922</v>
      </c>
      <c r="E23" s="16">
        <v>941.97401134182746</v>
      </c>
      <c r="H23" s="3" t="s">
        <v>34</v>
      </c>
    </row>
    <row r="24" spans="1:15" x14ac:dyDescent="0.25">
      <c r="A24" s="19" t="s">
        <v>23</v>
      </c>
      <c r="B24" s="15">
        <v>5.9941635730784366</v>
      </c>
      <c r="C24" s="16">
        <v>270.14995905097152</v>
      </c>
      <c r="D24" s="16">
        <v>985.34088362719535</v>
      </c>
      <c r="E24" s="16">
        <v>500.0884593048275</v>
      </c>
      <c r="H24" s="43" t="s">
        <v>54</v>
      </c>
      <c r="I24" s="32"/>
      <c r="J24" s="4"/>
      <c r="K24" t="s">
        <v>109</v>
      </c>
      <c r="L24" t="s">
        <v>105</v>
      </c>
      <c r="M24" t="s">
        <v>106</v>
      </c>
      <c r="N24" t="s">
        <v>107</v>
      </c>
      <c r="O24" t="s">
        <v>108</v>
      </c>
    </row>
    <row r="25" spans="1:15" x14ac:dyDescent="0.25">
      <c r="A25" s="20" t="s">
        <v>24</v>
      </c>
      <c r="B25" s="21">
        <v>27.733106103066962</v>
      </c>
      <c r="C25" s="22">
        <v>1505.1427723827974</v>
      </c>
      <c r="D25" s="22">
        <v>3961.4424468142788</v>
      </c>
      <c r="E25" s="22">
        <v>2311.516436947471</v>
      </c>
      <c r="H25" s="32" t="s">
        <v>52</v>
      </c>
      <c r="I25" s="41">
        <f>D35*I2</f>
        <v>60124473.860132404</v>
      </c>
      <c r="J25" s="28"/>
      <c r="K25" t="s">
        <v>97</v>
      </c>
      <c r="L25" s="46">
        <v>422</v>
      </c>
      <c r="M25" s="46">
        <v>89</v>
      </c>
      <c r="N25" s="46">
        <v>444</v>
      </c>
      <c r="O25" s="46">
        <v>39</v>
      </c>
    </row>
    <row r="26" spans="1:15" x14ac:dyDescent="0.25">
      <c r="A26" s="20"/>
      <c r="B26" s="21"/>
      <c r="C26" s="22"/>
      <c r="D26" s="22"/>
      <c r="E26" s="22"/>
      <c r="H26" s="33" t="s">
        <v>53</v>
      </c>
      <c r="I26" s="41">
        <f>D35*I1</f>
        <v>480995790.88105923</v>
      </c>
      <c r="J26" s="28"/>
      <c r="K26" t="s">
        <v>98</v>
      </c>
      <c r="L26" s="46">
        <f>L25*8</f>
        <v>3376</v>
      </c>
      <c r="M26" s="46">
        <f t="shared" ref="M26:O26" si="3">M25*8</f>
        <v>712</v>
      </c>
      <c r="N26" s="46">
        <f t="shared" si="3"/>
        <v>3552</v>
      </c>
      <c r="O26" s="46">
        <f t="shared" si="3"/>
        <v>312</v>
      </c>
    </row>
    <row r="27" spans="1:15" x14ac:dyDescent="0.25">
      <c r="A27" s="20"/>
      <c r="B27" s="21"/>
      <c r="C27" s="22" t="s">
        <v>25</v>
      </c>
      <c r="D27" s="22" t="s">
        <v>25</v>
      </c>
      <c r="E27" s="22" t="s">
        <v>25</v>
      </c>
      <c r="H27" s="33"/>
      <c r="I27" s="41"/>
      <c r="J27" s="28"/>
      <c r="L27" s="46"/>
      <c r="M27" s="46"/>
      <c r="N27" s="46"/>
      <c r="O27" s="46"/>
    </row>
    <row r="28" spans="1:15" x14ac:dyDescent="0.25">
      <c r="A28" s="20"/>
      <c r="B28" s="21" t="s">
        <v>25</v>
      </c>
      <c r="C28" s="22" t="s">
        <v>8</v>
      </c>
      <c r="D28" s="22" t="s">
        <v>9</v>
      </c>
      <c r="E28" s="22" t="s">
        <v>9</v>
      </c>
      <c r="H28" s="44" t="s">
        <v>6</v>
      </c>
      <c r="I28" s="41"/>
      <c r="J28" s="28"/>
      <c r="K28" t="s">
        <v>99</v>
      </c>
      <c r="L28" s="46">
        <v>22943312</v>
      </c>
      <c r="M28" s="46">
        <v>5043877.7526254151</v>
      </c>
      <c r="N28" s="46">
        <v>24133968.119984392</v>
      </c>
      <c r="O28" s="46">
        <v>2210467.2187872464</v>
      </c>
    </row>
    <row r="29" spans="1:15" x14ac:dyDescent="0.25">
      <c r="A29" s="11" t="s">
        <v>26</v>
      </c>
      <c r="B29" s="21" t="s">
        <v>7</v>
      </c>
      <c r="C29" s="23" t="s">
        <v>30</v>
      </c>
      <c r="D29" s="23" t="s">
        <v>30</v>
      </c>
      <c r="E29" s="23" t="s">
        <v>30</v>
      </c>
      <c r="H29" s="32" t="s">
        <v>52</v>
      </c>
      <c r="I29" s="41">
        <f>D67*I2</f>
        <v>10793546.639670379</v>
      </c>
      <c r="J29" s="28"/>
      <c r="K29" t="s">
        <v>100</v>
      </c>
      <c r="L29" s="46">
        <f>L28*8</f>
        <v>183546496</v>
      </c>
      <c r="M29" s="46">
        <f t="shared" ref="M29:O29" si="4">M28*8</f>
        <v>40351022.021003321</v>
      </c>
      <c r="N29" s="46">
        <f t="shared" si="4"/>
        <v>193071744.95987514</v>
      </c>
      <c r="O29" s="46">
        <f t="shared" si="4"/>
        <v>17683737.750297971</v>
      </c>
    </row>
    <row r="30" spans="1:15" x14ac:dyDescent="0.25">
      <c r="A30" s="14" t="s">
        <v>27</v>
      </c>
      <c r="B30" s="15"/>
      <c r="C30" s="16"/>
      <c r="D30" s="16"/>
      <c r="E30" s="16"/>
      <c r="H30" s="33" t="s">
        <v>53</v>
      </c>
      <c r="I30" s="41">
        <f>D67*I1</f>
        <v>86348373.117363036</v>
      </c>
      <c r="J30" s="28"/>
      <c r="L30" s="46"/>
      <c r="M30" s="46"/>
      <c r="N30" s="46"/>
      <c r="O30" s="46"/>
    </row>
    <row r="31" spans="1:15" x14ac:dyDescent="0.25">
      <c r="A31" s="17" t="s">
        <v>28</v>
      </c>
      <c r="B31" s="15">
        <v>0.27685376598162348</v>
      </c>
      <c r="C31" s="16">
        <v>16.654060407635018</v>
      </c>
      <c r="D31" s="16">
        <v>16.654060407635018</v>
      </c>
      <c r="E31" s="16">
        <v>16.654060407635018</v>
      </c>
      <c r="H31" s="33"/>
      <c r="I31" s="42"/>
      <c r="J31" s="45"/>
      <c r="K31" t="s">
        <v>101</v>
      </c>
      <c r="L31" s="46">
        <v>60124473.860132404</v>
      </c>
      <c r="M31" s="46">
        <v>10793546.639670379</v>
      </c>
      <c r="N31" s="46">
        <v>63244666.835866511</v>
      </c>
      <c r="O31" s="46">
        <v>4730245.6942029875</v>
      </c>
    </row>
    <row r="32" spans="1:15" x14ac:dyDescent="0.25">
      <c r="A32" s="18" t="s">
        <v>29</v>
      </c>
      <c r="B32" s="15">
        <v>8.807549880461514E-2</v>
      </c>
      <c r="C32" s="16">
        <v>5.2924530821386107</v>
      </c>
      <c r="D32" s="16">
        <v>21.209224816352634</v>
      </c>
      <c r="E32" s="16">
        <v>11.33728040230698</v>
      </c>
      <c r="H32" s="3" t="s">
        <v>35</v>
      </c>
      <c r="K32" t="s">
        <v>102</v>
      </c>
      <c r="L32" s="46">
        <f>L31*8</f>
        <v>480995790.88105923</v>
      </c>
      <c r="M32" s="46">
        <f t="shared" ref="M32" si="5">M31*8</f>
        <v>86348373.117363036</v>
      </c>
      <c r="N32" s="46">
        <f t="shared" ref="N32" si="6">N31*8</f>
        <v>505957334.68693209</v>
      </c>
      <c r="O32" s="46">
        <f t="shared" ref="O32" si="7">O31*8</f>
        <v>37841965.5536239</v>
      </c>
    </row>
    <row r="33" spans="1:15" x14ac:dyDescent="0.25">
      <c r="A33" s="19" t="s">
        <v>23</v>
      </c>
      <c r="B33" s="15">
        <v>5.469444960090615E-2</v>
      </c>
      <c r="C33" s="16">
        <v>2.4648599202393542</v>
      </c>
      <c r="D33" s="16">
        <v>8.9925253038933803</v>
      </c>
      <c r="E33" s="16">
        <v>4.5636106038067936</v>
      </c>
      <c r="H33" s="43" t="s">
        <v>54</v>
      </c>
      <c r="I33" s="32"/>
      <c r="J33" s="4"/>
      <c r="L33" s="46"/>
      <c r="M33" s="46"/>
      <c r="N33" s="46"/>
      <c r="O33" s="46"/>
    </row>
    <row r="34" spans="1:15" x14ac:dyDescent="0.25">
      <c r="A34" s="20" t="s">
        <v>24</v>
      </c>
      <c r="B34" s="21">
        <v>0.41962371438714474</v>
      </c>
      <c r="C34" s="22">
        <v>24.411373410012985</v>
      </c>
      <c r="D34" s="22">
        <v>46.855810527881033</v>
      </c>
      <c r="E34" s="22">
        <v>32.554951413748796</v>
      </c>
      <c r="H34" s="32" t="s">
        <v>52</v>
      </c>
      <c r="I34" s="41">
        <f>E35*I2</f>
        <v>35161070.825418293</v>
      </c>
      <c r="J34" s="28"/>
      <c r="K34" s="59" t="s">
        <v>103</v>
      </c>
      <c r="L34" s="46">
        <v>35161070.825418293</v>
      </c>
      <c r="M34" s="46">
        <v>6860345.835202815</v>
      </c>
      <c r="N34" s="46">
        <v>36985774.131163247</v>
      </c>
      <c r="O34" s="46">
        <v>3006529.9600820118</v>
      </c>
    </row>
    <row r="35" spans="1:15" x14ac:dyDescent="0.25">
      <c r="A35" t="s">
        <v>42</v>
      </c>
      <c r="B35" s="31">
        <f>B25+B34</f>
        <v>28.152729817454109</v>
      </c>
      <c r="C35" s="36">
        <f>(C25+C34)*1000</f>
        <v>1529554.1457928105</v>
      </c>
      <c r="D35" s="36">
        <f t="shared" ref="D35:E35" si="8">(D25+D34)*1000</f>
        <v>4008298.2573421602</v>
      </c>
      <c r="E35" s="36">
        <f t="shared" si="8"/>
        <v>2344071.3883612198</v>
      </c>
      <c r="H35" s="33" t="s">
        <v>53</v>
      </c>
      <c r="I35" s="41">
        <f>E35*I1</f>
        <v>281288566.60334635</v>
      </c>
      <c r="J35" s="28"/>
      <c r="K35" s="59" t="s">
        <v>104</v>
      </c>
      <c r="L35" s="46">
        <f>L34*8</f>
        <v>281288566.60334635</v>
      </c>
      <c r="M35" s="46">
        <f t="shared" ref="M35" si="9">M34*8</f>
        <v>54882766.68162252</v>
      </c>
      <c r="N35" s="46">
        <f t="shared" ref="N35" si="10">N34*8</f>
        <v>295886193.04930598</v>
      </c>
      <c r="O35" s="46">
        <f t="shared" ref="O35" si="11">O34*8</f>
        <v>24052239.680656094</v>
      </c>
    </row>
    <row r="36" spans="1:15" x14ac:dyDescent="0.25">
      <c r="H36" s="33"/>
      <c r="I36" s="41"/>
      <c r="J36" s="28"/>
    </row>
    <row r="37" spans="1:15" ht="16.5" thickBot="1" x14ac:dyDescent="0.3">
      <c r="H37" s="44" t="s">
        <v>6</v>
      </c>
      <c r="I37" s="41"/>
      <c r="J37" s="28"/>
    </row>
    <row r="38" spans="1:15" ht="31.5" x14ac:dyDescent="0.25">
      <c r="A38" s="5" t="s">
        <v>56</v>
      </c>
      <c r="B38" t="s">
        <v>31</v>
      </c>
      <c r="C38" t="s">
        <v>32</v>
      </c>
      <c r="D38" t="s">
        <v>33</v>
      </c>
      <c r="E38" t="s">
        <v>42</v>
      </c>
      <c r="H38" s="32" t="s">
        <v>52</v>
      </c>
      <c r="I38" s="41">
        <f>E67*I2</f>
        <v>6860345.835202815</v>
      </c>
      <c r="J38" s="28"/>
      <c r="K38" s="61" t="s">
        <v>128</v>
      </c>
      <c r="L38" s="62">
        <f>L34-M34</f>
        <v>28300724.99021548</v>
      </c>
      <c r="M38" s="63"/>
      <c r="N38" s="64">
        <f>N34-O34</f>
        <v>33979244.171081237</v>
      </c>
    </row>
    <row r="39" spans="1:15" x14ac:dyDescent="0.25">
      <c r="A39" s="1" t="s">
        <v>48</v>
      </c>
      <c r="B39" s="37">
        <f>B47+B63</f>
        <v>3.2672931510935328</v>
      </c>
      <c r="C39" s="37">
        <f>B55+B64</f>
        <v>1.6341559395232088</v>
      </c>
      <c r="D39" s="37">
        <f>B56+B65</f>
        <v>1.0177396783368844</v>
      </c>
      <c r="E39" s="38">
        <f>SUM(B39:D39)</f>
        <v>5.9191887689536262</v>
      </c>
      <c r="H39" s="33" t="s">
        <v>53</v>
      </c>
      <c r="I39" s="41">
        <f>E67*I1</f>
        <v>54882766.68162252</v>
      </c>
      <c r="J39" s="28"/>
      <c r="K39" s="65" t="s">
        <v>129</v>
      </c>
      <c r="L39" s="66">
        <v>0.189</v>
      </c>
      <c r="M39" s="67"/>
      <c r="N39" s="68">
        <v>0.189</v>
      </c>
      <c r="O39" t="s">
        <v>132</v>
      </c>
    </row>
    <row r="40" spans="1:15" x14ac:dyDescent="0.25">
      <c r="A40" s="1" t="s">
        <v>47</v>
      </c>
      <c r="B40" s="39">
        <f>B39/$E$39</f>
        <v>0.55198326639464712</v>
      </c>
      <c r="C40" s="39">
        <f t="shared" ref="C40:E40" si="12">C39/$E$39</f>
        <v>0.27607768620159906</v>
      </c>
      <c r="D40" s="39">
        <f t="shared" si="12"/>
        <v>0.17193904740375376</v>
      </c>
      <c r="E40" s="39">
        <f t="shared" si="12"/>
        <v>1</v>
      </c>
      <c r="H40" s="33"/>
      <c r="I40" s="42"/>
      <c r="J40" s="45"/>
      <c r="K40" s="65" t="s">
        <v>130</v>
      </c>
      <c r="L40" s="69">
        <f>L39*15*8760</f>
        <v>24834.6</v>
      </c>
      <c r="M40" s="67"/>
      <c r="N40" s="70">
        <f>N39*15*8760</f>
        <v>24834.6</v>
      </c>
    </row>
    <row r="41" spans="1:15" ht="16.5" thickBot="1" x14ac:dyDescent="0.3">
      <c r="A41" s="9" t="s">
        <v>41</v>
      </c>
      <c r="B41" s="10"/>
      <c r="C41" s="10"/>
      <c r="D41" s="10"/>
      <c r="E41" s="10"/>
      <c r="F41" s="3"/>
      <c r="K41" s="71" t="s">
        <v>131</v>
      </c>
      <c r="L41" s="72">
        <f>L38/L40/1000</f>
        <v>1.1395683840374109</v>
      </c>
      <c r="M41" s="73"/>
      <c r="N41" s="74">
        <f>N38/N40/1000</f>
        <v>1.368221923086389</v>
      </c>
    </row>
    <row r="42" spans="1:15" x14ac:dyDescent="0.25">
      <c r="A42" s="10"/>
      <c r="B42" s="10" t="s">
        <v>7</v>
      </c>
      <c r="C42" s="10" t="s">
        <v>8</v>
      </c>
      <c r="D42" s="10" t="s">
        <v>9</v>
      </c>
      <c r="E42" s="10" t="s">
        <v>10</v>
      </c>
      <c r="F42" s="10"/>
    </row>
    <row r="43" spans="1:15" x14ac:dyDescent="0.25">
      <c r="A43" s="11" t="s">
        <v>11</v>
      </c>
      <c r="B43" s="12"/>
      <c r="C43" s="13" t="s">
        <v>30</v>
      </c>
      <c r="D43" s="13" t="s">
        <v>30</v>
      </c>
      <c r="E43" s="13" t="s">
        <v>30</v>
      </c>
    </row>
    <row r="44" spans="1:15" ht="26.25" x14ac:dyDescent="0.25">
      <c r="A44" s="14" t="s">
        <v>12</v>
      </c>
      <c r="B44" s="15"/>
      <c r="C44" s="16"/>
      <c r="D44" s="16"/>
      <c r="E44" s="16"/>
    </row>
    <row r="45" spans="1:15" x14ac:dyDescent="0.25">
      <c r="A45" s="17" t="s">
        <v>13</v>
      </c>
      <c r="B45" s="15">
        <v>2.1762609543743179</v>
      </c>
      <c r="C45" s="16">
        <v>140.94587156</v>
      </c>
      <c r="D45" s="16"/>
      <c r="E45" s="16"/>
    </row>
    <row r="46" spans="1:15" ht="26.25" x14ac:dyDescent="0.25">
      <c r="A46" s="14" t="s">
        <v>14</v>
      </c>
      <c r="B46" s="15">
        <v>0.90639782728091989</v>
      </c>
      <c r="C46" s="16">
        <v>55.245019133771223</v>
      </c>
      <c r="D46" s="16"/>
      <c r="E46" s="16"/>
    </row>
    <row r="47" spans="1:15" x14ac:dyDescent="0.25">
      <c r="A47" s="14" t="s">
        <v>15</v>
      </c>
      <c r="B47" s="15">
        <v>3.0826587816552378</v>
      </c>
      <c r="C47" s="16">
        <v>196.19089069377122</v>
      </c>
      <c r="D47" s="16">
        <v>274.30235003600001</v>
      </c>
      <c r="E47" s="16">
        <v>222.14938300112885</v>
      </c>
    </row>
    <row r="48" spans="1:15" x14ac:dyDescent="0.25">
      <c r="A48" s="18" t="s">
        <v>16</v>
      </c>
      <c r="B48" s="15"/>
      <c r="C48" s="16"/>
      <c r="D48" s="16"/>
      <c r="E48" s="16"/>
    </row>
    <row r="49" spans="1:5" x14ac:dyDescent="0.25">
      <c r="A49" s="12" t="s">
        <v>17</v>
      </c>
      <c r="B49" s="15">
        <v>0</v>
      </c>
      <c r="C49" s="16">
        <v>0</v>
      </c>
      <c r="D49" s="16">
        <v>0</v>
      </c>
      <c r="E49" s="16">
        <v>0</v>
      </c>
    </row>
    <row r="50" spans="1:5" x14ac:dyDescent="0.25">
      <c r="A50" s="12" t="s">
        <v>18</v>
      </c>
      <c r="B50" s="15">
        <v>0.11176097285110879</v>
      </c>
      <c r="C50" s="16">
        <v>6.740876891523504</v>
      </c>
      <c r="D50" s="16">
        <v>25.850963724932658</v>
      </c>
      <c r="E50" s="16">
        <v>14.599474933860344</v>
      </c>
    </row>
    <row r="51" spans="1:5" x14ac:dyDescent="0.25">
      <c r="A51" s="12" t="s">
        <v>19</v>
      </c>
      <c r="B51" s="15">
        <v>0</v>
      </c>
      <c r="C51" s="16">
        <v>0</v>
      </c>
      <c r="D51" s="16">
        <v>0</v>
      </c>
      <c r="E51" s="16">
        <v>0</v>
      </c>
    </row>
    <row r="52" spans="1:5" x14ac:dyDescent="0.25">
      <c r="A52" s="12" t="s">
        <v>20</v>
      </c>
      <c r="B52" s="15">
        <v>0.27913367440139997</v>
      </c>
      <c r="C52" s="16">
        <v>14.340394587602617</v>
      </c>
      <c r="D52" s="16">
        <v>47.308106656255845</v>
      </c>
      <c r="E52" s="16">
        <v>24.689006936803871</v>
      </c>
    </row>
    <row r="53" spans="1:5" x14ac:dyDescent="0.25">
      <c r="A53" s="12" t="s">
        <v>21</v>
      </c>
      <c r="B53" s="15">
        <v>0.31935657286462571</v>
      </c>
      <c r="C53" s="16">
        <v>31.077797269692073</v>
      </c>
      <c r="D53" s="16">
        <v>86.791422826096536</v>
      </c>
      <c r="E53" s="16">
        <v>46.690835585438968</v>
      </c>
    </row>
    <row r="54" spans="1:5" x14ac:dyDescent="0.25">
      <c r="A54" s="12" t="s">
        <v>22</v>
      </c>
      <c r="B54" s="15">
        <v>0.87196435725874277</v>
      </c>
      <c r="C54" s="16">
        <v>27.858437648184008</v>
      </c>
      <c r="D54" s="16">
        <v>94.575527588791147</v>
      </c>
      <c r="E54" s="16">
        <v>46.65128014824586</v>
      </c>
    </row>
    <row r="55" spans="1:5" x14ac:dyDescent="0.25">
      <c r="A55" s="14" t="s">
        <v>15</v>
      </c>
      <c r="B55" s="15">
        <v>1.5822155773758773</v>
      </c>
      <c r="C55" s="16">
        <v>80.017506397002208</v>
      </c>
      <c r="D55" s="16">
        <v>254.52602079607618</v>
      </c>
      <c r="E55" s="16">
        <v>132.63059760434905</v>
      </c>
    </row>
    <row r="56" spans="1:5" x14ac:dyDescent="0.25">
      <c r="A56" s="19" t="s">
        <v>23</v>
      </c>
      <c r="B56" s="15">
        <v>0.98459667050542354</v>
      </c>
      <c r="C56" s="16">
        <v>44.375839631666686</v>
      </c>
      <c r="D56" s="16">
        <v>161.83819918355411</v>
      </c>
      <c r="E56" s="16">
        <v>82.140274517988459</v>
      </c>
    </row>
    <row r="57" spans="1:5" x14ac:dyDescent="0.25">
      <c r="A57" s="20" t="s">
        <v>24</v>
      </c>
      <c r="B57" s="21">
        <v>5.6494710295365387</v>
      </c>
      <c r="C57" s="22">
        <v>320.5842367224401</v>
      </c>
      <c r="D57" s="22">
        <v>690.66657001563033</v>
      </c>
      <c r="E57" s="22">
        <v>436.92025512346635</v>
      </c>
    </row>
    <row r="58" spans="1:5" x14ac:dyDescent="0.25">
      <c r="A58" s="20"/>
      <c r="B58" s="21"/>
      <c r="C58" s="22"/>
      <c r="D58" s="22"/>
      <c r="E58" s="22"/>
    </row>
    <row r="59" spans="1:5" x14ac:dyDescent="0.25">
      <c r="A59" s="20"/>
      <c r="B59" s="21"/>
      <c r="C59" s="22" t="s">
        <v>25</v>
      </c>
      <c r="D59" s="22" t="s">
        <v>25</v>
      </c>
      <c r="E59" s="22" t="s">
        <v>25</v>
      </c>
    </row>
    <row r="60" spans="1:5" x14ac:dyDescent="0.25">
      <c r="A60" s="20"/>
      <c r="B60" s="21" t="s">
        <v>25</v>
      </c>
      <c r="C60" s="22" t="s">
        <v>8</v>
      </c>
      <c r="D60" s="22" t="s">
        <v>9</v>
      </c>
      <c r="E60" s="22" t="s">
        <v>9</v>
      </c>
    </row>
    <row r="61" spans="1:5" x14ac:dyDescent="0.25">
      <c r="A61" s="11" t="s">
        <v>26</v>
      </c>
      <c r="B61" s="21" t="s">
        <v>7</v>
      </c>
      <c r="C61" s="23" t="s">
        <v>30</v>
      </c>
      <c r="D61" s="23" t="s">
        <v>30</v>
      </c>
      <c r="E61" s="23" t="s">
        <v>30</v>
      </c>
    </row>
    <row r="62" spans="1:5" x14ac:dyDescent="0.25">
      <c r="A62" s="14" t="s">
        <v>27</v>
      </c>
      <c r="B62" s="15"/>
      <c r="C62" s="16"/>
      <c r="D62" s="16"/>
      <c r="E62" s="16"/>
    </row>
    <row r="63" spans="1:5" x14ac:dyDescent="0.25">
      <c r="A63" s="17" t="s">
        <v>28</v>
      </c>
      <c r="B63" s="15">
        <v>0.18463436943829495</v>
      </c>
      <c r="C63" s="16">
        <v>11.106628551894312</v>
      </c>
      <c r="D63" s="16">
        <v>11.106628551894312</v>
      </c>
      <c r="E63" s="16">
        <v>11.106628551894312</v>
      </c>
    </row>
    <row r="64" spans="1:5" x14ac:dyDescent="0.25">
      <c r="A64" s="18" t="s">
        <v>29</v>
      </c>
      <c r="B64" s="15">
        <v>5.194036214733147E-2</v>
      </c>
      <c r="C64" s="16">
        <v>3.0740245097535972</v>
      </c>
      <c r="D64" s="16">
        <v>12.347453956599454</v>
      </c>
      <c r="E64" s="16">
        <v>6.5641232644151817</v>
      </c>
    </row>
    <row r="65" spans="1:5" x14ac:dyDescent="0.25">
      <c r="A65" s="19" t="s">
        <v>23</v>
      </c>
      <c r="B65" s="15">
        <v>3.3143007831460819E-2</v>
      </c>
      <c r="C65" s="16">
        <v>1.4936270576063471</v>
      </c>
      <c r="D65" s="16">
        <v>5.4491234539012341</v>
      </c>
      <c r="E65" s="16">
        <v>2.7653820737451777</v>
      </c>
    </row>
    <row r="66" spans="1:5" x14ac:dyDescent="0.25">
      <c r="A66" s="20" t="s">
        <v>24</v>
      </c>
      <c r="B66" s="21">
        <v>0.26971773941708721</v>
      </c>
      <c r="C66" s="22">
        <v>15.674280119254256</v>
      </c>
      <c r="D66" s="22">
        <v>28.903205962394999</v>
      </c>
      <c r="E66" s="22">
        <v>20.43613389005467</v>
      </c>
    </row>
    <row r="67" spans="1:5" x14ac:dyDescent="0.25">
      <c r="A67" t="s">
        <v>42</v>
      </c>
      <c r="B67" s="31">
        <f>B57+B66</f>
        <v>5.9191887689536262</v>
      </c>
      <c r="C67" s="36">
        <f>1000*(C57+C66)</f>
        <v>336258.51684169436</v>
      </c>
      <c r="D67" s="36">
        <f t="shared" ref="D67:E67" si="13">1000*(D57+D66)</f>
        <v>719569.77597802528</v>
      </c>
      <c r="E67" s="36">
        <f t="shared" si="13"/>
        <v>457356.38901352102</v>
      </c>
    </row>
  </sheetData>
  <pageMargins left="0.7" right="0.7" top="0.75" bottom="0.75" header="0.3" footer="0.3"/>
  <legacyDrawing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5A29C-22EC-144D-83E4-294FE150D6F6}">
  <dimension ref="A1:S20"/>
  <sheetViews>
    <sheetView workbookViewId="0">
      <selection activeCell="E14" sqref="E14"/>
    </sheetView>
  </sheetViews>
  <sheetFormatPr defaultColWidth="11" defaultRowHeight="15.75" x14ac:dyDescent="0.25"/>
  <cols>
    <col min="1" max="2" width="23.375" customWidth="1"/>
    <col min="3" max="3" width="20" customWidth="1"/>
    <col min="4" max="4" width="18.875" customWidth="1"/>
    <col min="6" max="6" width="11.875" bestFit="1" customWidth="1"/>
    <col min="7" max="8" width="23.875" customWidth="1"/>
    <col min="11" max="11" width="20.375" customWidth="1"/>
    <col min="12" max="12" width="18.125" customWidth="1"/>
    <col min="13" max="13" width="10.875" customWidth="1"/>
    <col min="14" max="14" width="11.625" customWidth="1"/>
    <col min="15" max="16" width="21.125" customWidth="1"/>
    <col min="18" max="18" width="12.875" bestFit="1" customWidth="1"/>
  </cols>
  <sheetData>
    <row r="1" spans="1:19" x14ac:dyDescent="0.25">
      <c r="A1" t="s">
        <v>60</v>
      </c>
      <c r="B1" t="s">
        <v>85</v>
      </c>
      <c r="C1" t="s">
        <v>86</v>
      </c>
      <c r="D1" t="s">
        <v>87</v>
      </c>
      <c r="E1" t="s">
        <v>61</v>
      </c>
      <c r="F1" t="s">
        <v>62</v>
      </c>
      <c r="G1" t="s">
        <v>88</v>
      </c>
      <c r="H1" t="s">
        <v>89</v>
      </c>
      <c r="I1" t="s">
        <v>63</v>
      </c>
      <c r="J1" t="s">
        <v>64</v>
      </c>
      <c r="K1" t="s">
        <v>90</v>
      </c>
      <c r="L1" t="s">
        <v>91</v>
      </c>
      <c r="M1" t="s">
        <v>61</v>
      </c>
      <c r="N1" t="s">
        <v>62</v>
      </c>
      <c r="O1" t="s">
        <v>92</v>
      </c>
      <c r="P1" t="s">
        <v>93</v>
      </c>
      <c r="Q1" t="s">
        <v>63</v>
      </c>
      <c r="R1" t="s">
        <v>64</v>
      </c>
    </row>
    <row r="2" spans="1:19" x14ac:dyDescent="0.25">
      <c r="A2" t="s">
        <v>5</v>
      </c>
      <c r="B2">
        <v>19108</v>
      </c>
      <c r="C2" s="46">
        <v>85305</v>
      </c>
      <c r="D2" s="46">
        <f>C2*1.29</f>
        <v>110043.45</v>
      </c>
      <c r="E2" s="24">
        <f>C2/$C$6</f>
        <v>0.50488580069721056</v>
      </c>
      <c r="G2" s="46">
        <v>23354.5</v>
      </c>
      <c r="H2" s="46">
        <f>G2-B2</f>
        <v>4246.5</v>
      </c>
      <c r="I2" s="24">
        <f>G2/$G$6</f>
        <v>0.19095325776257352</v>
      </c>
      <c r="K2" s="46">
        <v>94870</v>
      </c>
      <c r="L2" s="46">
        <f>K2*1.29</f>
        <v>122382.3</v>
      </c>
      <c r="M2" s="24">
        <f>K2/$K$6</f>
        <v>0.55299082526026189</v>
      </c>
      <c r="O2" s="46">
        <v>29311</v>
      </c>
      <c r="P2" s="46">
        <f>O2-G2</f>
        <v>5956.5</v>
      </c>
      <c r="Q2" s="24">
        <f>O2/$O$6</f>
        <v>0.20442064972862359</v>
      </c>
    </row>
    <row r="3" spans="1:19" x14ac:dyDescent="0.25">
      <c r="A3" t="s">
        <v>65</v>
      </c>
      <c r="B3">
        <v>13923</v>
      </c>
      <c r="C3" s="46">
        <v>34329</v>
      </c>
      <c r="D3" s="46">
        <f t="shared" ref="D3:D5" si="0">C3*1.29</f>
        <v>44284.41</v>
      </c>
      <c r="E3" s="24">
        <f>C3/$C$6</f>
        <v>0.20317946957545913</v>
      </c>
      <c r="G3" s="46">
        <v>15416.6</v>
      </c>
      <c r="H3" s="46">
        <f t="shared" ref="H3:H5" si="1">G3-B3</f>
        <v>1493.6000000000004</v>
      </c>
      <c r="I3" s="24">
        <f t="shared" ref="I3:I5" si="2">G3/$G$6</f>
        <v>0.12605065377646668</v>
      </c>
      <c r="K3" s="46">
        <v>32084</v>
      </c>
      <c r="L3" s="46">
        <f t="shared" ref="L3:L5" si="3">K3*1.29</f>
        <v>41388.36</v>
      </c>
      <c r="M3" s="24">
        <f>K3/$K$6</f>
        <v>0.18701546998682661</v>
      </c>
      <c r="O3" s="46">
        <v>16972.150000000001</v>
      </c>
      <c r="P3" s="46">
        <f t="shared" ref="P3:P5" si="4">O3-G3</f>
        <v>1555.5500000000011</v>
      </c>
      <c r="Q3" s="24">
        <f t="shared" ref="Q3:Q5" si="5">O3/$O$6</f>
        <v>0.11836709529840876</v>
      </c>
    </row>
    <row r="4" spans="1:19" x14ac:dyDescent="0.25">
      <c r="A4" t="s">
        <v>6</v>
      </c>
      <c r="B4">
        <v>52110</v>
      </c>
      <c r="C4" s="46">
        <v>33808</v>
      </c>
      <c r="D4" s="46">
        <f t="shared" si="0"/>
        <v>43612.32</v>
      </c>
      <c r="E4" s="24">
        <f>C4/$C$6</f>
        <v>0.20009588124929717</v>
      </c>
      <c r="G4" s="46">
        <v>79274.2</v>
      </c>
      <c r="H4" s="46">
        <f t="shared" si="1"/>
        <v>27164.199999999997</v>
      </c>
      <c r="I4" s="24">
        <f t="shared" si="2"/>
        <v>0.6481691642519346</v>
      </c>
      <c r="K4" s="46">
        <v>27819</v>
      </c>
      <c r="L4" s="46">
        <f t="shared" si="3"/>
        <v>35886.51</v>
      </c>
      <c r="M4" s="24">
        <f>K4/$K$6</f>
        <v>0.16215507291994544</v>
      </c>
      <c r="O4" s="46">
        <v>91776.54</v>
      </c>
      <c r="P4" s="46">
        <f t="shared" si="4"/>
        <v>12502.339999999997</v>
      </c>
      <c r="Q4" s="24">
        <f t="shared" si="5"/>
        <v>0.64006754926972842</v>
      </c>
    </row>
    <row r="5" spans="1:19" x14ac:dyDescent="0.25">
      <c r="A5" t="s">
        <v>66</v>
      </c>
      <c r="B5">
        <v>3055</v>
      </c>
      <c r="C5" s="46">
        <v>15517</v>
      </c>
      <c r="D5" s="46">
        <f t="shared" si="0"/>
        <v>20016.93</v>
      </c>
      <c r="E5" s="24">
        <f>C5/$C$6</f>
        <v>9.1838848478033128E-2</v>
      </c>
      <c r="G5" s="46">
        <v>4259.5</v>
      </c>
      <c r="H5" s="46">
        <f t="shared" si="1"/>
        <v>1204.5</v>
      </c>
      <c r="I5" s="24">
        <f t="shared" si="2"/>
        <v>3.4826924209025327E-2</v>
      </c>
      <c r="K5" s="46">
        <v>16785</v>
      </c>
      <c r="L5" s="46">
        <f t="shared" si="3"/>
        <v>21652.65</v>
      </c>
      <c r="M5" s="24">
        <f>K5/$K$6</f>
        <v>9.7838631832966108E-2</v>
      </c>
      <c r="O5" s="46">
        <v>5326.02</v>
      </c>
      <c r="P5" s="46">
        <f t="shared" si="4"/>
        <v>1066.5200000000004</v>
      </c>
      <c r="Q5" s="24">
        <f t="shared" si="5"/>
        <v>3.7144705703239189E-2</v>
      </c>
    </row>
    <row r="6" spans="1:19" x14ac:dyDescent="0.25">
      <c r="A6" t="s">
        <v>42</v>
      </c>
      <c r="C6" s="47">
        <f>SUM(C2:C5)</f>
        <v>168959</v>
      </c>
      <c r="D6" s="47">
        <f>SUM(D2:D5)</f>
        <v>217957.11</v>
      </c>
      <c r="F6" s="24">
        <f>E5+E3+E2</f>
        <v>0.79990411875070278</v>
      </c>
      <c r="G6" s="46">
        <f>SUM(G2:G5)</f>
        <v>122304.79999999999</v>
      </c>
      <c r="H6" s="46">
        <f>SUM(H2:H5)</f>
        <v>34108.799999999996</v>
      </c>
      <c r="J6" s="24">
        <f>I2+I3+I5</f>
        <v>0.35183083574806551</v>
      </c>
      <c r="K6" s="46">
        <f>SUM(K2:K5)</f>
        <v>171558</v>
      </c>
      <c r="L6" s="46">
        <f>SUM(L2:L5)</f>
        <v>221309.82</v>
      </c>
      <c r="N6" s="48">
        <f>M5+M3+M2</f>
        <v>0.83784492708005454</v>
      </c>
      <c r="O6" s="46">
        <f>SUM(O2:O5)</f>
        <v>143385.71</v>
      </c>
      <c r="P6" s="46">
        <f>SUM(P2:P5)</f>
        <v>21080.91</v>
      </c>
      <c r="R6" s="48">
        <f>Q2+Q3+Q5</f>
        <v>0.35993245073027152</v>
      </c>
    </row>
    <row r="7" spans="1:19" x14ac:dyDescent="0.25">
      <c r="E7" t="s">
        <v>67</v>
      </c>
      <c r="F7" s="49">
        <f>D6*(F6)</f>
        <v>174344.78999999998</v>
      </c>
      <c r="G7" s="50">
        <f>F7/D6</f>
        <v>0.79990411875070278</v>
      </c>
      <c r="I7" t="s">
        <v>68</v>
      </c>
      <c r="J7" s="51">
        <f>J6*H6</f>
        <v>12000.527610363615</v>
      </c>
      <c r="K7" s="24">
        <f>J7/J9</f>
        <v>0.35183083574806545</v>
      </c>
      <c r="M7" t="s">
        <v>67</v>
      </c>
      <c r="N7" s="51">
        <f>L6*N6</f>
        <v>185423.31</v>
      </c>
      <c r="O7" s="50">
        <f>N7/L6</f>
        <v>0.83784492708005454</v>
      </c>
      <c r="Q7" t="s">
        <v>68</v>
      </c>
      <c r="R7" s="51">
        <f>P6*R6</f>
        <v>7587.703599924288</v>
      </c>
      <c r="S7" s="24">
        <f>R7/R9</f>
        <v>0.35993245073027152</v>
      </c>
    </row>
    <row r="8" spans="1:19" x14ac:dyDescent="0.25">
      <c r="E8" t="s">
        <v>74</v>
      </c>
      <c r="F8" s="49">
        <f>D6*E4</f>
        <v>43612.32</v>
      </c>
      <c r="G8" s="50">
        <f>F8/D6</f>
        <v>0.20009588124929717</v>
      </c>
      <c r="I8" t="s">
        <v>75</v>
      </c>
      <c r="J8" s="51">
        <f>H6*I4</f>
        <v>22108.272389636386</v>
      </c>
      <c r="K8" s="24">
        <f>J8/J9</f>
        <v>0.64816916425193449</v>
      </c>
      <c r="M8" t="s">
        <v>74</v>
      </c>
      <c r="N8" s="51">
        <f>L6*M4</f>
        <v>35886.51</v>
      </c>
      <c r="O8" s="50">
        <f>N8/L6</f>
        <v>0.16215507291994544</v>
      </c>
      <c r="Q8" t="s">
        <v>75</v>
      </c>
      <c r="R8" s="51">
        <f>P6*Q4</f>
        <v>13493.206400075711</v>
      </c>
      <c r="S8" s="24">
        <f>R8/R9</f>
        <v>0.64006754926972842</v>
      </c>
    </row>
    <row r="9" spans="1:19" x14ac:dyDescent="0.25">
      <c r="F9" s="52"/>
      <c r="J9" s="58">
        <f>J7+J8</f>
        <v>34108.800000000003</v>
      </c>
      <c r="R9" s="58">
        <f>R7+R8</f>
        <v>21080.91</v>
      </c>
    </row>
    <row r="10" spans="1:19" x14ac:dyDescent="0.25">
      <c r="A10" t="s">
        <v>81</v>
      </c>
      <c r="B10" s="30" t="s">
        <v>43</v>
      </c>
    </row>
    <row r="11" spans="1:19" x14ac:dyDescent="0.25">
      <c r="A11" t="s">
        <v>82</v>
      </c>
      <c r="B11" s="3" t="s">
        <v>44</v>
      </c>
    </row>
    <row r="12" spans="1:19" x14ac:dyDescent="0.25">
      <c r="A12" t="s">
        <v>83</v>
      </c>
      <c r="B12" t="s">
        <v>84</v>
      </c>
    </row>
    <row r="13" spans="1:19" x14ac:dyDescent="0.25">
      <c r="A13" s="3" t="s">
        <v>77</v>
      </c>
      <c r="B13" s="3"/>
      <c r="C13" s="3">
        <v>21</v>
      </c>
      <c r="D13" s="3"/>
      <c r="E13" s="3">
        <v>22</v>
      </c>
      <c r="F13" s="3" t="s">
        <v>0</v>
      </c>
    </row>
    <row r="14" spans="1:19" x14ac:dyDescent="0.25">
      <c r="A14" s="3" t="s">
        <v>76</v>
      </c>
      <c r="B14" s="3"/>
      <c r="C14" s="8">
        <f>F8/J8</f>
        <v>1.9726697424102657</v>
      </c>
      <c r="D14" s="8"/>
      <c r="E14" s="8">
        <f>N8/R8</f>
        <v>2.6595983886971921</v>
      </c>
      <c r="F14" s="8">
        <f>AVERAGE(C14:E14)</f>
        <v>2.316134065553729</v>
      </c>
    </row>
    <row r="15" spans="1:19" ht="31.5" x14ac:dyDescent="0.25">
      <c r="A15" s="3" t="s">
        <v>1</v>
      </c>
      <c r="B15" s="3"/>
      <c r="C15" s="8">
        <f>F7/J7</f>
        <v>14.528093735598459</v>
      </c>
      <c r="D15" s="8"/>
      <c r="E15" s="8">
        <f>N7/R7</f>
        <v>24.437342281247016</v>
      </c>
      <c r="F15" s="8">
        <f>AVERAGE(C15:E15)</f>
        <v>19.482718008422736</v>
      </c>
      <c r="I15" s="55" t="s">
        <v>69</v>
      </c>
      <c r="J15" s="55" t="s">
        <v>70</v>
      </c>
      <c r="K15" s="56">
        <f>AVERAGE(G8,O8)</f>
        <v>0.18112547708462129</v>
      </c>
      <c r="L15" s="56"/>
      <c r="M15" s="26" t="s">
        <v>71</v>
      </c>
      <c r="N15" s="57">
        <f>AVERAGE(I4,Q4)</f>
        <v>0.64411835676083151</v>
      </c>
    </row>
    <row r="16" spans="1:19" ht="31.5" x14ac:dyDescent="0.25">
      <c r="A16" s="3"/>
      <c r="B16" s="3"/>
      <c r="C16" s="8"/>
      <c r="D16" s="8"/>
      <c r="E16" s="8"/>
      <c r="F16" s="8"/>
      <c r="I16" s="55" t="s">
        <v>69</v>
      </c>
      <c r="J16" s="55" t="s">
        <v>72</v>
      </c>
      <c r="K16" s="56">
        <f>AVERAGE(G7,O7)</f>
        <v>0.81887452291537866</v>
      </c>
      <c r="L16" s="56"/>
      <c r="M16" s="26" t="s">
        <v>73</v>
      </c>
      <c r="N16" s="57">
        <f>AVERAGE(J6,R6)</f>
        <v>0.35588164323916849</v>
      </c>
    </row>
    <row r="18" spans="1:8" x14ac:dyDescent="0.25">
      <c r="A18" s="53" t="s">
        <v>78</v>
      </c>
      <c r="B18" s="53"/>
      <c r="C18" s="53">
        <v>21</v>
      </c>
      <c r="D18" s="53"/>
      <c r="E18" s="53">
        <v>22</v>
      </c>
      <c r="F18" s="53" t="s">
        <v>0</v>
      </c>
      <c r="G18" t="s">
        <v>96</v>
      </c>
    </row>
    <row r="19" spans="1:8" x14ac:dyDescent="0.25">
      <c r="A19" s="53" t="s">
        <v>76</v>
      </c>
      <c r="B19" s="53"/>
      <c r="C19" s="54">
        <f>C14*H19</f>
        <v>2.2093901114994976</v>
      </c>
      <c r="D19" s="54"/>
      <c r="E19" s="54">
        <f>E14*H19</f>
        <v>2.9787501953408553</v>
      </c>
      <c r="F19" s="54">
        <f>AVERAGE(C19:E19)</f>
        <v>2.5940701534201764</v>
      </c>
      <c r="G19" t="s">
        <v>79</v>
      </c>
      <c r="H19">
        <v>1.1200000000000001</v>
      </c>
    </row>
    <row r="20" spans="1:8" x14ac:dyDescent="0.25">
      <c r="A20" s="53" t="s">
        <v>1</v>
      </c>
      <c r="B20" s="53"/>
      <c r="C20" s="54">
        <f>C15*H20</f>
        <v>22.082702478109656</v>
      </c>
      <c r="D20" s="54"/>
      <c r="E20" s="54">
        <f>E15*H20</f>
        <v>37.144760267495464</v>
      </c>
      <c r="F20" s="54">
        <f>AVERAGE(C20:E20)</f>
        <v>29.613731372802562</v>
      </c>
      <c r="G20" t="s">
        <v>80</v>
      </c>
      <c r="H20">
        <v>1.52</v>
      </c>
    </row>
  </sheetData>
  <hyperlinks>
    <hyperlink ref="B10" r:id="rId1" xr:uid="{0B031BBA-5556-A541-A2CB-05C0E0944260}"/>
  </hyperlinks>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5C753-F29C-49D5-99C3-E2BF74C1E4EE}">
  <sheetPr>
    <tabColor rgb="FF00B050"/>
  </sheetPr>
  <dimension ref="A1:F7"/>
  <sheetViews>
    <sheetView zoomScale="106" zoomScaleNormal="106" workbookViewId="0">
      <selection activeCell="D37" sqref="D37"/>
    </sheetView>
  </sheetViews>
  <sheetFormatPr defaultColWidth="11" defaultRowHeight="15.75" x14ac:dyDescent="0.25"/>
  <cols>
    <col min="1" max="1" width="16" bestFit="1" customWidth="1"/>
    <col min="2" max="2" width="16.625" customWidth="1"/>
    <col min="4" max="4" width="16.375" customWidth="1"/>
    <col min="5" max="6" width="15" bestFit="1" customWidth="1"/>
  </cols>
  <sheetData>
    <row r="1" spans="1:6" x14ac:dyDescent="0.25">
      <c r="A1" s="60">
        <v>2682</v>
      </c>
      <c r="B1" t="s">
        <v>120</v>
      </c>
    </row>
    <row r="2" spans="1:6" x14ac:dyDescent="0.25">
      <c r="A2" s="36">
        <f>A1*0.3</f>
        <v>804.6</v>
      </c>
      <c r="B2" t="s">
        <v>121</v>
      </c>
    </row>
    <row r="3" spans="1:6" x14ac:dyDescent="0.25">
      <c r="A3" s="36">
        <f>A2*1000</f>
        <v>804600</v>
      </c>
      <c r="B3" t="s">
        <v>122</v>
      </c>
    </row>
    <row r="4" spans="1:6" x14ac:dyDescent="0.25">
      <c r="A4" s="36">
        <f>A3*15</f>
        <v>12069000</v>
      </c>
      <c r="B4" t="s">
        <v>123</v>
      </c>
    </row>
    <row r="5" spans="1:6" x14ac:dyDescent="0.25">
      <c r="A5" s="36">
        <f>A4*8</f>
        <v>96552000</v>
      </c>
      <c r="B5" t="s">
        <v>124</v>
      </c>
      <c r="E5" t="s">
        <v>54</v>
      </c>
      <c r="F5" t="s">
        <v>6</v>
      </c>
    </row>
    <row r="6" spans="1:6" x14ac:dyDescent="0.25">
      <c r="D6" t="s">
        <v>125</v>
      </c>
      <c r="E6" s="36">
        <v>12069000</v>
      </c>
      <c r="F6" s="36">
        <v>3483000.0000000005</v>
      </c>
    </row>
    <row r="7" spans="1:6" x14ac:dyDescent="0.25">
      <c r="D7" t="s">
        <v>126</v>
      </c>
      <c r="E7" s="36">
        <v>96552000</v>
      </c>
      <c r="F7" s="36">
        <v>27864000.000000004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316DA-297F-42DE-9B33-B8494FFF8380}">
  <sheetPr>
    <tabColor rgb="FF00B050"/>
  </sheetPr>
  <dimension ref="A1:B9"/>
  <sheetViews>
    <sheetView workbookViewId="0">
      <selection activeCell="D37" sqref="D37"/>
    </sheetView>
  </sheetViews>
  <sheetFormatPr defaultColWidth="11" defaultRowHeight="15.75" x14ac:dyDescent="0.25"/>
  <cols>
    <col min="1" max="1" width="25.375" customWidth="1"/>
    <col min="2" max="2" width="29.625" customWidth="1"/>
  </cols>
  <sheetData>
    <row r="1" spans="1:2" x14ac:dyDescent="0.25">
      <c r="A1" s="60">
        <v>1161</v>
      </c>
      <c r="B1" t="s">
        <v>120</v>
      </c>
    </row>
    <row r="2" spans="1:2" x14ac:dyDescent="0.25">
      <c r="A2" s="36">
        <f>A1*0.2</f>
        <v>232.20000000000002</v>
      </c>
      <c r="B2" t="s">
        <v>121</v>
      </c>
    </row>
    <row r="3" spans="1:2" x14ac:dyDescent="0.25">
      <c r="A3" s="36">
        <f>A2*1000</f>
        <v>232200.00000000003</v>
      </c>
      <c r="B3" t="s">
        <v>122</v>
      </c>
    </row>
    <row r="4" spans="1:2" x14ac:dyDescent="0.25">
      <c r="A4" s="36">
        <f>A3*15</f>
        <v>3483000.0000000005</v>
      </c>
      <c r="B4" t="s">
        <v>123</v>
      </c>
    </row>
    <row r="5" spans="1:2" x14ac:dyDescent="0.25">
      <c r="A5" s="36">
        <f>A4*8</f>
        <v>27864000.000000004</v>
      </c>
      <c r="B5" t="s">
        <v>124</v>
      </c>
    </row>
    <row r="9" spans="1:2" x14ac:dyDescent="0.25">
      <c r="A9" s="24">
        <f>A5/'DER tax credit'!A5</f>
        <v>0.28859060402684567</v>
      </c>
      <c r="B9"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4</vt:i4>
      </vt:variant>
    </vt:vector>
  </HeadingPairs>
  <TitlesOfParts>
    <vt:vector size="8" baseType="lpstr">
      <vt:lpstr>KY JEDI</vt:lpstr>
      <vt:lpstr>US IREC Mix</vt:lpstr>
      <vt:lpstr>DER tax credit</vt:lpstr>
      <vt:lpstr>Utility tax credit</vt:lpstr>
      <vt:lpstr>Jobs</vt:lpstr>
      <vt:lpstr>Earnings</vt:lpstr>
      <vt:lpstr>Output</vt:lpstr>
      <vt:lpstr>Value Added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Alec Fleischer</dc:creator>
  <cp:lastModifiedBy>Richard McCann</cp:lastModifiedBy>
  <dcterms:created xsi:type="dcterms:W3CDTF">2023-12-22T22:26:30Z</dcterms:created>
  <dcterms:modified xsi:type="dcterms:W3CDTF">2024-03-30T03:31:51Z</dcterms:modified>
</cp:coreProperties>
</file>