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Garrison Quincy WD/"/>
    </mc:Choice>
  </mc:AlternateContent>
  <xr:revisionPtr revIDLastSave="0" documentId="8_{446FD791-2A8E-42E5-BB44-5870480D1896}" xr6:coauthVersionLast="47" xr6:coauthVersionMax="47" xr10:uidLastSave="{00000000-0000-0000-0000-000000000000}"/>
  <bookViews>
    <workbookView xWindow="-98" yWindow="-98" windowWidth="20715" windowHeight="13155" firstSheet="2" activeTab="2" xr2:uid="{F765FA49-964A-4F34-AB33-4C5CF4FBE6A8}"/>
  </bookViews>
  <sheets>
    <sheet name="SAOw" sheetId="3" r:id="rId1"/>
    <sheet name="SAOs" sheetId="23" r:id="rId2"/>
    <sheet name="1c Reconciliation AR to TB" sheetId="34" r:id="rId3"/>
    <sheet name="Allocations" sheetId="33" r:id="rId4"/>
    <sheet name="Tap Fees" sheetId="32" r:id="rId5"/>
    <sheet name="Water Loss" sheetId="31" r:id="rId6"/>
    <sheet name="Depreciation" sheetId="1" r:id="rId7"/>
    <sheet name="Debt Service" sheetId="5" r:id="rId8"/>
    <sheet name="ExBAw" sheetId="10" r:id="rId9"/>
    <sheet name="ExBAs" sheetId="25" r:id="rId10"/>
    <sheet name="RatesW" sheetId="2" r:id="rId11"/>
    <sheet name="PropBAw" sheetId="15" r:id="rId12"/>
    <sheet name="PropBAs" sheetId="24" r:id="rId13"/>
  </sheets>
  <definedNames>
    <definedName name="_xlnm.Print_Area" localSheetId="7">'Debt Service'!$B$2:$N$34</definedName>
    <definedName name="_xlnm.Print_Area" localSheetId="6">Depreciation!$B$2:$L$35</definedName>
    <definedName name="_xlnm.Print_Area" localSheetId="9">ExBAs!$A$1:$G$22</definedName>
    <definedName name="_xlnm.Print_Area" localSheetId="8">ExBAw!$A$1:$K$59</definedName>
    <definedName name="_xlnm.Print_Area" localSheetId="11">PropBAw!$A$1:$K$68</definedName>
    <definedName name="_xlnm.Print_Area" localSheetId="10">RatesW!$A$1:$P$38</definedName>
    <definedName name="_xlnm.Print_Area" localSheetId="1">SAOs!$A$1:$H$43</definedName>
    <definedName name="_xlnm.Print_Area" localSheetId="0">SAOw!$A$1:$G$51</definedName>
    <definedName name="_xlnm.Print_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7" i="34" l="1"/>
  <c r="J125" i="34"/>
  <c r="J115" i="34"/>
  <c r="J108" i="34"/>
  <c r="J100" i="34"/>
  <c r="J92" i="34"/>
  <c r="J82" i="34"/>
  <c r="I100" i="34"/>
  <c r="I82" i="34"/>
  <c r="I92" i="34"/>
  <c r="I125" i="34"/>
  <c r="I115" i="34"/>
  <c r="I108" i="34"/>
  <c r="I74" i="34"/>
  <c r="D118" i="34"/>
  <c r="D121" i="34" s="1"/>
  <c r="D75" i="34"/>
  <c r="I67" i="34"/>
  <c r="J68" i="34" s="1"/>
  <c r="J35" i="34"/>
  <c r="J63" i="34"/>
  <c r="I63" i="34"/>
  <c r="I23" i="34"/>
  <c r="I43" i="34"/>
  <c r="I39" i="34"/>
  <c r="I35" i="34"/>
  <c r="I31" i="34"/>
  <c r="I25" i="34"/>
  <c r="I12" i="34"/>
  <c r="D41" i="34"/>
  <c r="D34" i="34"/>
  <c r="D17" i="34"/>
  <c r="F30" i="23"/>
  <c r="E35" i="3"/>
  <c r="C7" i="33"/>
  <c r="D122" i="34" l="1"/>
  <c r="D60" i="34"/>
  <c r="D67" i="34" s="1"/>
  <c r="D68" i="34" s="1"/>
  <c r="E27" i="3"/>
  <c r="E21" i="3"/>
  <c r="E6" i="32"/>
  <c r="E5" i="32"/>
  <c r="E3" i="32"/>
  <c r="G14" i="10"/>
  <c r="F30" i="15"/>
  <c r="E58" i="15"/>
  <c r="E30" i="15"/>
  <c r="B74" i="15"/>
  <c r="B73" i="15"/>
  <c r="B72" i="15"/>
  <c r="D68" i="15"/>
  <c r="C68" i="15"/>
  <c r="C72" i="15" s="1"/>
  <c r="H65" i="15"/>
  <c r="E65" i="15"/>
  <c r="G64" i="15"/>
  <c r="F64" i="15"/>
  <c r="E64" i="15"/>
  <c r="E66" i="15" s="1"/>
  <c r="B59" i="15"/>
  <c r="B58" i="15"/>
  <c r="D54" i="15"/>
  <c r="F8" i="15" s="1"/>
  <c r="C54" i="15"/>
  <c r="C58" i="15" s="1"/>
  <c r="E52" i="15"/>
  <c r="F51" i="15"/>
  <c r="E51" i="15"/>
  <c r="E53" i="15" s="1"/>
  <c r="B46" i="15"/>
  <c r="B45" i="15"/>
  <c r="D41" i="15"/>
  <c r="F7" i="15" s="1"/>
  <c r="C41" i="15"/>
  <c r="E7" i="15" s="1"/>
  <c r="E39" i="15"/>
  <c r="G39" i="15" s="1"/>
  <c r="F38" i="15"/>
  <c r="E38" i="15"/>
  <c r="E40" i="15" s="1"/>
  <c r="Q33" i="15"/>
  <c r="B33" i="15"/>
  <c r="B32" i="15"/>
  <c r="B31" i="15"/>
  <c r="C30" i="15"/>
  <c r="C34" i="15" s="1"/>
  <c r="B30" i="15"/>
  <c r="D26" i="15"/>
  <c r="C26" i="15"/>
  <c r="E22" i="15"/>
  <c r="I22" i="15" s="1"/>
  <c r="H21" i="15"/>
  <c r="G21" i="15"/>
  <c r="G25" i="15" s="1"/>
  <c r="F21" i="15"/>
  <c r="F25" i="15" s="1"/>
  <c r="E21" i="15"/>
  <c r="E25" i="15" s="1"/>
  <c r="F6" i="15"/>
  <c r="E6" i="15"/>
  <c r="N31" i="2"/>
  <c r="O31" i="2"/>
  <c r="N32" i="2"/>
  <c r="O32" i="2"/>
  <c r="N30" i="2"/>
  <c r="O30" i="2" s="1"/>
  <c r="G34" i="3"/>
  <c r="J14" i="2"/>
  <c r="H18" i="23"/>
  <c r="F7" i="23"/>
  <c r="F8" i="23"/>
  <c r="H8" i="23" s="1"/>
  <c r="K42" i="1"/>
  <c r="J42" i="1"/>
  <c r="J31" i="1"/>
  <c r="K31" i="1" s="1"/>
  <c r="J20" i="1"/>
  <c r="H20" i="1"/>
  <c r="K17" i="1"/>
  <c r="D30" i="5"/>
  <c r="E30" i="5"/>
  <c r="F30" i="5"/>
  <c r="G30" i="5"/>
  <c r="H30" i="5"/>
  <c r="I30" i="5"/>
  <c r="J30" i="5"/>
  <c r="K30" i="5"/>
  <c r="L30" i="5"/>
  <c r="C30" i="5"/>
  <c r="F26" i="3"/>
  <c r="D27" i="31"/>
  <c r="B30" i="31"/>
  <c r="C6" i="31"/>
  <c r="F27" i="3"/>
  <c r="G22" i="3"/>
  <c r="F12" i="3"/>
  <c r="F15" i="3"/>
  <c r="F14" i="3"/>
  <c r="E12" i="3"/>
  <c r="E7" i="3" s="1"/>
  <c r="G11" i="3"/>
  <c r="G12" i="10"/>
  <c r="F72" i="10"/>
  <c r="D73" i="10"/>
  <c r="D72" i="10"/>
  <c r="G63" i="10"/>
  <c r="F63" i="10"/>
  <c r="B72" i="10"/>
  <c r="H64" i="10"/>
  <c r="B73" i="10"/>
  <c r="B71" i="10"/>
  <c r="D67" i="10"/>
  <c r="C67" i="10"/>
  <c r="C71" i="10" s="1"/>
  <c r="E64" i="10"/>
  <c r="E63" i="10"/>
  <c r="E65" i="10" s="1"/>
  <c r="C40" i="10"/>
  <c r="H27" i="23"/>
  <c r="H17" i="23"/>
  <c r="H16" i="23"/>
  <c r="H15" i="23"/>
  <c r="G16" i="3"/>
  <c r="G14" i="3"/>
  <c r="G15" i="3"/>
  <c r="G32" i="3"/>
  <c r="D30" i="3"/>
  <c r="D28" i="3"/>
  <c r="D28" i="23"/>
  <c r="F9" i="15" l="1"/>
  <c r="C45" i="15"/>
  <c r="C47" i="15" s="1"/>
  <c r="E8" i="15"/>
  <c r="E9" i="15" s="1"/>
  <c r="E67" i="15"/>
  <c r="F67" i="15" s="1"/>
  <c r="F40" i="15"/>
  <c r="F41" i="15" s="1"/>
  <c r="D46" i="15" s="1"/>
  <c r="F46" i="15" s="1"/>
  <c r="F53" i="15"/>
  <c r="F54" i="15" s="1"/>
  <c r="D59" i="15" s="1"/>
  <c r="E54" i="15"/>
  <c r="D58" i="15" s="1"/>
  <c r="D60" i="15" s="1"/>
  <c r="C60" i="15"/>
  <c r="F58" i="15"/>
  <c r="F66" i="15"/>
  <c r="F68" i="15" s="1"/>
  <c r="D73" i="15" s="1"/>
  <c r="F73" i="15" s="1"/>
  <c r="E68" i="15"/>
  <c r="D72" i="15" s="1"/>
  <c r="H25" i="15"/>
  <c r="H26" i="15" s="1"/>
  <c r="D33" i="15" s="1"/>
  <c r="F72" i="15"/>
  <c r="C75" i="15"/>
  <c r="G67" i="15"/>
  <c r="H67" i="15" s="1"/>
  <c r="G52" i="15"/>
  <c r="E23" i="15"/>
  <c r="E24" i="15"/>
  <c r="F24" i="15"/>
  <c r="G24" i="15" s="1"/>
  <c r="G26" i="15" s="1"/>
  <c r="D32" i="15" s="1"/>
  <c r="E41" i="15"/>
  <c r="D45" i="15" s="1"/>
  <c r="D47" i="15" s="1"/>
  <c r="E26" i="15"/>
  <c r="D30" i="15" s="1"/>
  <c r="D33" i="3"/>
  <c r="G12" i="3"/>
  <c r="F65" i="10"/>
  <c r="C74" i="10"/>
  <c r="F71" i="10"/>
  <c r="D9" i="23"/>
  <c r="I24" i="15" l="1"/>
  <c r="F23" i="15"/>
  <c r="F26" i="15" s="1"/>
  <c r="D31" i="15" s="1"/>
  <c r="I23" i="15"/>
  <c r="I25" i="15"/>
  <c r="G66" i="15"/>
  <c r="G68" i="15" s="1"/>
  <c r="D74" i="15" s="1"/>
  <c r="F74" i="15" s="1"/>
  <c r="F75" i="15" s="1"/>
  <c r="G13" i="15" s="1"/>
  <c r="H66" i="15"/>
  <c r="H68" i="15" s="1"/>
  <c r="G53" i="15"/>
  <c r="G54" i="15" s="1"/>
  <c r="G40" i="15"/>
  <c r="G41" i="15" s="1"/>
  <c r="G65" i="10"/>
  <c r="H65" i="10" s="1"/>
  <c r="H39" i="23"/>
  <c r="D75" i="15" l="1"/>
  <c r="I26" i="15"/>
  <c r="D34" i="15"/>
  <c r="H25" i="23"/>
  <c r="B32" i="31" l="1"/>
  <c r="D32" i="31" s="1"/>
  <c r="E26" i="3" s="1"/>
  <c r="B31" i="31"/>
  <c r="D31" i="31" s="1"/>
  <c r="E25" i="3" s="1"/>
  <c r="D30" i="31"/>
  <c r="E24" i="3" s="1"/>
  <c r="E33" i="3" s="1"/>
  <c r="C21" i="31"/>
  <c r="C14" i="31"/>
  <c r="C4" i="31"/>
  <c r="H44" i="1"/>
  <c r="J39" i="1"/>
  <c r="K39" i="1" s="1"/>
  <c r="J28" i="1"/>
  <c r="K28" i="1" s="1"/>
  <c r="J25" i="1"/>
  <c r="K25" i="1" s="1"/>
  <c r="J24" i="1"/>
  <c r="K24" i="1" s="1"/>
  <c r="J23" i="1"/>
  <c r="J14" i="1"/>
  <c r="K14" i="1" s="1"/>
  <c r="H33" i="1"/>
  <c r="M28" i="5"/>
  <c r="M30" i="5" s="1"/>
  <c r="K18" i="5"/>
  <c r="G18" i="5"/>
  <c r="E18" i="5"/>
  <c r="C18" i="5"/>
  <c r="H18" i="5"/>
  <c r="B22" i="24"/>
  <c r="B21" i="24"/>
  <c r="F14" i="24"/>
  <c r="E14" i="24"/>
  <c r="E16" i="24" s="1"/>
  <c r="E7" i="10"/>
  <c r="D17" i="24" l="1"/>
  <c r="E6" i="24" s="1"/>
  <c r="E15" i="24"/>
  <c r="I18" i="5"/>
  <c r="F18" i="5"/>
  <c r="J18" i="5"/>
  <c r="D18" i="5"/>
  <c r="L18" i="5"/>
  <c r="C22" i="31"/>
  <c r="D25" i="31"/>
  <c r="D33" i="31"/>
  <c r="D36" i="31" s="1"/>
  <c r="F29" i="23"/>
  <c r="B33" i="31"/>
  <c r="J33" i="1"/>
  <c r="P30" i="5"/>
  <c r="E17" i="24"/>
  <c r="D21" i="24" s="1"/>
  <c r="C17" i="24"/>
  <c r="D6" i="24" s="1"/>
  <c r="G15" i="24"/>
  <c r="F16" i="24"/>
  <c r="F17" i="24" s="1"/>
  <c r="D22" i="24" s="1"/>
  <c r="F22" i="24" s="1"/>
  <c r="H26" i="23"/>
  <c r="H24" i="23"/>
  <c r="H23" i="23"/>
  <c r="H22" i="23"/>
  <c r="H14" i="23"/>
  <c r="H13" i="23"/>
  <c r="D36" i="3"/>
  <c r="E34" i="3" l="1"/>
  <c r="C21" i="24"/>
  <c r="G16" i="24"/>
  <c r="G17" i="24" s="1"/>
  <c r="D23" i="24"/>
  <c r="G35" i="3" l="1"/>
  <c r="H30" i="23"/>
  <c r="F28" i="23"/>
  <c r="C23" i="24"/>
  <c r="E36" i="3" l="1"/>
  <c r="F31" i="23"/>
  <c r="H20" i="23"/>
  <c r="H28" i="23" s="1"/>
  <c r="E13" i="25"/>
  <c r="F13" i="25"/>
  <c r="E14" i="25"/>
  <c r="B20" i="25"/>
  <c r="B21" i="25"/>
  <c r="D16" i="25" l="1"/>
  <c r="E6" i="25" s="1"/>
  <c r="E15" i="25"/>
  <c r="C16" i="25"/>
  <c r="G14" i="25"/>
  <c r="D6" i="25" l="1"/>
  <c r="C20" i="25"/>
  <c r="C22" i="25" s="1"/>
  <c r="E16" i="25"/>
  <c r="D20" i="25" s="1"/>
  <c r="F15" i="25"/>
  <c r="F16" i="25" s="1"/>
  <c r="D21" i="25" s="1"/>
  <c r="F21" i="25" s="1"/>
  <c r="G15" i="25" l="1"/>
  <c r="G16" i="25" s="1"/>
  <c r="D22" i="25"/>
  <c r="F20" i="25"/>
  <c r="F22" i="25" s="1"/>
  <c r="F6" i="25" s="1"/>
  <c r="F8" i="25" s="1"/>
  <c r="M32" i="5"/>
  <c r="M14" i="5"/>
  <c r="M15" i="5"/>
  <c r="M12" i="5"/>
  <c r="M33" i="5" l="1"/>
  <c r="H37" i="23" s="1"/>
  <c r="H36" i="23"/>
  <c r="M16" i="5"/>
  <c r="M13" i="5"/>
  <c r="M18" i="5" l="1"/>
  <c r="M20" i="5" s="1"/>
  <c r="H29" i="23"/>
  <c r="P18" i="5"/>
  <c r="H7" i="23" l="1"/>
  <c r="F32" i="23"/>
  <c r="M21" i="5"/>
  <c r="G41" i="3"/>
  <c r="H9" i="23" l="1"/>
  <c r="H41" i="23"/>
  <c r="P21" i="5"/>
  <c r="G42" i="3"/>
  <c r="D17" i="3" l="1"/>
  <c r="B45" i="10" l="1"/>
  <c r="B44" i="10"/>
  <c r="E38" i="10"/>
  <c r="G38" i="10" s="1"/>
  <c r="F37" i="10"/>
  <c r="E37" i="10"/>
  <c r="H20" i="10"/>
  <c r="G23" i="3" l="1"/>
  <c r="E39" i="10"/>
  <c r="F39" i="10" s="1"/>
  <c r="D40" i="10"/>
  <c r="F7" i="10" s="1"/>
  <c r="C44" i="10"/>
  <c r="F44" i="10" l="1"/>
  <c r="C46" i="10" l="1"/>
  <c r="G21" i="3"/>
  <c r="Q32" i="10" l="1"/>
  <c r="E21" i="10" l="1"/>
  <c r="B58" i="10" l="1"/>
  <c r="B57" i="10"/>
  <c r="E51" i="10"/>
  <c r="G51" i="10" s="1"/>
  <c r="F50" i="10"/>
  <c r="E50" i="10"/>
  <c r="E66" i="10" s="1"/>
  <c r="E20" i="10"/>
  <c r="F20" i="10"/>
  <c r="G20" i="10"/>
  <c r="B29" i="10"/>
  <c r="B30" i="10"/>
  <c r="B31" i="10"/>
  <c r="B32" i="10"/>
  <c r="D53" i="10"/>
  <c r="F8" i="10" s="1"/>
  <c r="C53" i="10"/>
  <c r="C25" i="10"/>
  <c r="E6" i="10" s="1"/>
  <c r="G30" i="3"/>
  <c r="G31" i="3"/>
  <c r="G29" i="3"/>
  <c r="F66" i="10" l="1"/>
  <c r="E67" i="10"/>
  <c r="D71" i="10" s="1"/>
  <c r="C57" i="10"/>
  <c r="F57" i="10" s="1"/>
  <c r="E8" i="10"/>
  <c r="G44" i="3"/>
  <c r="C29" i="10"/>
  <c r="F29" i="10" s="1"/>
  <c r="E52" i="10"/>
  <c r="F23" i="10"/>
  <c r="E22" i="10"/>
  <c r="F22" i="10" s="1"/>
  <c r="E23" i="10"/>
  <c r="E24" i="10"/>
  <c r="G24" i="10"/>
  <c r="D25" i="10"/>
  <c r="F6" i="10" s="1"/>
  <c r="G27" i="3"/>
  <c r="F24" i="10"/>
  <c r="I21" i="10"/>
  <c r="D37" i="3"/>
  <c r="G28" i="3"/>
  <c r="F67" i="10" l="1"/>
  <c r="F73" i="10" s="1"/>
  <c r="F74" i="10" s="1"/>
  <c r="G66" i="10"/>
  <c r="G67" i="10" s="1"/>
  <c r="H24" i="10"/>
  <c r="H25" i="10"/>
  <c r="D32" i="10" s="1"/>
  <c r="F32" i="10" s="1"/>
  <c r="G24" i="3"/>
  <c r="G26" i="3"/>
  <c r="G25" i="3"/>
  <c r="C33" i="10"/>
  <c r="C59" i="10"/>
  <c r="F52" i="10"/>
  <c r="G52" i="10" s="1"/>
  <c r="F40" i="10"/>
  <c r="E40" i="10"/>
  <c r="D44" i="10" s="1"/>
  <c r="E53" i="10"/>
  <c r="D57" i="10" s="1"/>
  <c r="G23" i="10"/>
  <c r="G25" i="10" s="1"/>
  <c r="D31" i="10" s="1"/>
  <c r="F31" i="10" s="1"/>
  <c r="E9" i="10"/>
  <c r="D37" i="31" s="1"/>
  <c r="D38" i="31" s="1"/>
  <c r="F25" i="10"/>
  <c r="D30" i="10" s="1"/>
  <c r="F30" i="10" s="1"/>
  <c r="I22" i="10"/>
  <c r="E25" i="10"/>
  <c r="D29" i="10" s="1"/>
  <c r="H66" i="10" l="1"/>
  <c r="H67" i="10" s="1"/>
  <c r="D74" i="10"/>
  <c r="G33" i="3"/>
  <c r="D45" i="10"/>
  <c r="F45" i="10" s="1"/>
  <c r="F46" i="10" s="1"/>
  <c r="F53" i="10"/>
  <c r="G39" i="10"/>
  <c r="I23" i="10"/>
  <c r="I24" i="10"/>
  <c r="F33" i="10"/>
  <c r="G53" i="10"/>
  <c r="D33" i="10"/>
  <c r="G6" i="10" l="1"/>
  <c r="G7" i="10"/>
  <c r="D58" i="10"/>
  <c r="F58" i="10" s="1"/>
  <c r="F59" i="10" s="1"/>
  <c r="D46" i="10"/>
  <c r="G40" i="10"/>
  <c r="I25" i="10"/>
  <c r="G8" i="10" l="1"/>
  <c r="G9" i="10" s="1"/>
  <c r="G11" i="10" s="1"/>
  <c r="G13" i="10" s="1"/>
  <c r="D59" i="10"/>
  <c r="F9" i="10"/>
  <c r="D31" i="23" l="1"/>
  <c r="D32" i="23" s="1"/>
  <c r="G36" i="3" l="1"/>
  <c r="G40" i="3" s="1"/>
  <c r="G43" i="3" s="1"/>
  <c r="G48" i="3" l="1"/>
  <c r="H31" i="23"/>
  <c r="H35" i="23" l="1"/>
  <c r="H38" i="23" s="1"/>
  <c r="H40" i="23" s="1"/>
  <c r="H32" i="23"/>
  <c r="N13" i="2" l="1"/>
  <c r="O13" i="2" s="1"/>
  <c r="N23" i="2" l="1"/>
  <c r="O23" i="2" s="1"/>
  <c r="H42" i="23"/>
  <c r="H43" i="23" l="1"/>
  <c r="F21" i="24" l="1"/>
  <c r="F23" i="24" s="1"/>
  <c r="F6" i="24" s="1"/>
  <c r="F8" i="24" s="1"/>
  <c r="E9" i="3"/>
  <c r="G10" i="3" s="1"/>
  <c r="G49" i="3" s="1"/>
  <c r="G50" i="3" s="1"/>
  <c r="G51" i="3" s="1"/>
  <c r="E17" i="3" l="1"/>
  <c r="E37" i="3" s="1"/>
  <c r="L24" i="2"/>
  <c r="N24" i="2" s="1"/>
  <c r="O24" i="2" s="1"/>
  <c r="L27" i="2"/>
  <c r="N27" i="2" s="1"/>
  <c r="O27" i="2" s="1"/>
  <c r="L20" i="2"/>
  <c r="N20" i="2" s="1"/>
  <c r="O20" i="2" s="1"/>
  <c r="L15" i="2"/>
  <c r="L16" i="2"/>
  <c r="L14" i="2"/>
  <c r="L19" i="2"/>
  <c r="G17" i="3"/>
  <c r="G37" i="3" s="1"/>
  <c r="E45" i="15" l="1"/>
  <c r="F45" i="15" s="1"/>
  <c r="F47" i="15" s="1"/>
  <c r="G7" i="15" s="1"/>
  <c r="N19" i="2"/>
  <c r="O19" i="2" s="1"/>
  <c r="E31" i="15"/>
  <c r="F31" i="15" s="1"/>
  <c r="N14" i="2"/>
  <c r="O14" i="2" s="1"/>
  <c r="E33" i="15"/>
  <c r="N16" i="2"/>
  <c r="O16" i="2" s="1"/>
  <c r="E32" i="15"/>
  <c r="F32" i="15" s="1"/>
  <c r="N15" i="2"/>
  <c r="O15" i="2" s="1"/>
  <c r="F33" i="15" l="1"/>
  <c r="F34" i="15" s="1"/>
  <c r="G6" i="15" s="1"/>
  <c r="E59" i="15"/>
  <c r="F59" i="15" s="1"/>
  <c r="F60" i="15" s="1"/>
  <c r="G8" i="15" s="1"/>
  <c r="G9" i="15" l="1"/>
  <c r="G11" i="15" s="1"/>
  <c r="G14" i="15" s="1"/>
</calcChain>
</file>

<file path=xl/sharedStrings.xml><?xml version="1.0" encoding="utf-8"?>
<sst xmlns="http://schemas.openxmlformats.org/spreadsheetml/2006/main" count="731" uniqueCount="338">
  <si>
    <t>SCHEDULE OF ADJUSTED OPERATIONS</t>
  </si>
  <si>
    <t>Garrison-Quincy-Ky-O-Heights Water District</t>
  </si>
  <si>
    <t>Water Division</t>
  </si>
  <si>
    <t>Test Year</t>
  </si>
  <si>
    <t>Adjustments</t>
  </si>
  <si>
    <t>Ref.</t>
  </si>
  <si>
    <t>Pro Forma</t>
  </si>
  <si>
    <t>Operating Revenues</t>
  </si>
  <si>
    <t>Metered Sales to Retail Customers</t>
  </si>
  <si>
    <t>(A)</t>
  </si>
  <si>
    <t>(B)</t>
  </si>
  <si>
    <t>(C)</t>
  </si>
  <si>
    <t>(D)</t>
  </si>
  <si>
    <t>Sewer Reconnection Fees that are not included on the Sewer AR</t>
  </si>
  <si>
    <t>Bulk Sales</t>
  </si>
  <si>
    <t>Sales for Resale</t>
  </si>
  <si>
    <t>Other Water Revenues:</t>
  </si>
  <si>
    <t>Forfeited Discounts</t>
  </si>
  <si>
    <t>Misc. Service Revenue</t>
  </si>
  <si>
    <t>Other Water Revenue</t>
  </si>
  <si>
    <t>Total Operating Revenues</t>
  </si>
  <si>
    <t>Operating Expenses</t>
  </si>
  <si>
    <t>Operation and Maintenance</t>
  </si>
  <si>
    <t>Salaries and Wages - Employees</t>
  </si>
  <si>
    <t>(E)</t>
  </si>
  <si>
    <t>Salaries and Wages - Officers</t>
  </si>
  <si>
    <t>Employee Pensions and Benefits</t>
  </si>
  <si>
    <t>Purchased Water</t>
  </si>
  <si>
    <t>(F)</t>
  </si>
  <si>
    <t>Purchased Power</t>
  </si>
  <si>
    <t>Chemicals</t>
  </si>
  <si>
    <t>Materials and Supplies</t>
  </si>
  <si>
    <t>Contractual Services</t>
  </si>
  <si>
    <t>Transportation Expenses</t>
  </si>
  <si>
    <t>Insurance - General Liability &amp; Other</t>
  </si>
  <si>
    <t>Advertiising Expenses</t>
  </si>
  <si>
    <t>Miscellaneous Expenses</t>
  </si>
  <si>
    <t>Total Operation and Mnt. Expenses</t>
  </si>
  <si>
    <t>Depreciation Expense</t>
  </si>
  <si>
    <t>(G)</t>
  </si>
  <si>
    <t>Taxes Other Than Income</t>
  </si>
  <si>
    <t>(H)</t>
  </si>
  <si>
    <t>Total Operating Expenses</t>
  </si>
  <si>
    <t>Net Utility Operating Income</t>
  </si>
  <si>
    <t>REVENUE REQUIREMENTS</t>
  </si>
  <si>
    <t>Pro Forma Operating Expenses</t>
  </si>
  <si>
    <t xml:space="preserve">   Plus:</t>
  </si>
  <si>
    <t>Avg. Annual Principal and Interest Payments</t>
  </si>
  <si>
    <t>Additional Working Capital</t>
  </si>
  <si>
    <t>Total Revenue Requirement</t>
  </si>
  <si>
    <t xml:space="preserve">   Less:</t>
  </si>
  <si>
    <t>Other Operating Revenue</t>
  </si>
  <si>
    <t>Other Income - Phase II and III Surcharges</t>
  </si>
  <si>
    <t>Nonutility Income</t>
  </si>
  <si>
    <t>Interest Income</t>
  </si>
  <si>
    <t>Revenue Required From Water Sales</t>
  </si>
  <si>
    <t>Revenue from Sales at Present Rates</t>
  </si>
  <si>
    <t>Required Revenue Increase</t>
  </si>
  <si>
    <t>Percent Increase</t>
  </si>
  <si>
    <t>Sewer Division</t>
  </si>
  <si>
    <t>Total Sewer Sales</t>
  </si>
  <si>
    <t>C</t>
  </si>
  <si>
    <t>Other Sewer Revenues</t>
  </si>
  <si>
    <t>D</t>
  </si>
  <si>
    <t>Operation Expenses</t>
  </si>
  <si>
    <t>Management Fee</t>
  </si>
  <si>
    <t>Collection - Labor, Materials and Expenses</t>
  </si>
  <si>
    <t>Fuel and Power for Pumping and Treatment</t>
  </si>
  <si>
    <t>Miscellaneous Supplies and Expenses - Pumping System</t>
  </si>
  <si>
    <t>Treatment and Disposal</t>
  </si>
  <si>
    <t>Maintenance Expenses</t>
  </si>
  <si>
    <t>Maintenance of Pumping System</t>
  </si>
  <si>
    <t>Administrative and General Expenses</t>
  </si>
  <si>
    <t>Office Supplies and Other Expenses</t>
  </si>
  <si>
    <t>Outside Services Employed</t>
  </si>
  <si>
    <t>Insurance</t>
  </si>
  <si>
    <t>Transportation Expense</t>
  </si>
  <si>
    <t>Miscellaneous General Expenses</t>
  </si>
  <si>
    <t>Total Sewer Operation and Mnt. Expenses</t>
  </si>
  <si>
    <t>G</t>
  </si>
  <si>
    <t>H</t>
  </si>
  <si>
    <t>Avg. Annual Principal and Interest Pmts.</t>
  </si>
  <si>
    <t>I</t>
  </si>
  <si>
    <t>J</t>
  </si>
  <si>
    <t>Revenue Required From Sewer Sales</t>
  </si>
  <si>
    <t>Response to Staff's First Request for Information 1c</t>
  </si>
  <si>
    <t>04001-0000  WATER SALES</t>
  </si>
  <si>
    <t>03999-0000  WATER LOSS SURCHARGE</t>
  </si>
  <si>
    <t>Less Prior Period Adjustment Recorded</t>
  </si>
  <si>
    <t>in Current Year Due to Computer System</t>
  </si>
  <si>
    <t>Limitations 04001  Row 7054</t>
  </si>
  <si>
    <r>
      <t xml:space="preserve">Less </t>
    </r>
    <r>
      <rPr>
        <u/>
        <sz val="11"/>
        <rFont val="Calibri"/>
        <family val="2"/>
      </rPr>
      <t>05050 Deposits</t>
    </r>
    <r>
      <rPr>
        <sz val="11"/>
        <rFont val="Calibri"/>
        <family val="2"/>
      </rPr>
      <t xml:space="preserve">  Row 10770</t>
    </r>
  </si>
  <si>
    <t>04011-0000  SALARIES &amp; WAGES EMPLOYEES</t>
  </si>
  <si>
    <t>04012-0000  COMMISSIONERS SALARIES</t>
  </si>
  <si>
    <t>05034-0000  COMMISSIONERS SALARIES</t>
  </si>
  <si>
    <t>04085-0000  KY. RETIREMENT</t>
  </si>
  <si>
    <t>Less: Audit adjustment for GSB 68 and 75</t>
  </si>
  <si>
    <t>04013-0000  PURCHASED WATER</t>
  </si>
  <si>
    <t>04014-0000  PURCHASED POWER</t>
  </si>
  <si>
    <t>04015-0000  CHEMICALS</t>
  </si>
  <si>
    <t>04041-0000  MAINTENANCE</t>
  </si>
  <si>
    <t>04017-0000  MATERIALS &amp; SUPPLIES EXPENSE</t>
  </si>
  <si>
    <t>04017-0001  PROFESSIONAL FEES</t>
  </si>
  <si>
    <t xml:space="preserve">04026-0000  WATER ANALYSIS </t>
  </si>
  <si>
    <t>04018-0001  GAS FOR TRUCKS</t>
  </si>
  <si>
    <t>04018-0003  DIESEL FUEL</t>
  </si>
  <si>
    <t>04033-0000  TRUCK EXPENSE</t>
  </si>
  <si>
    <t xml:space="preserve">04038-0000  WATER MILEAGE REIMBURSEMENT </t>
  </si>
  <si>
    <t>04019-0003  INS. BUILDING &amp; EQUIP</t>
  </si>
  <si>
    <t>04019-0001  INS. WORKER-COMP</t>
  </si>
  <si>
    <t xml:space="preserve">04019-0002  HEALTH INSURANCE REIMBURSEMENT </t>
  </si>
  <si>
    <t>04024-0000  ADVERTISING &amp; PRINTING</t>
  </si>
  <si>
    <t>04018-0002  BACK-HOE EXP.</t>
  </si>
  <si>
    <t>04017-0002  OUTSIDE SERVICES EMPLOYED</t>
  </si>
  <si>
    <t>04019-0004  ENCROACHMENT PERMIT BOND</t>
  </si>
  <si>
    <t>04022-0001  PHONE</t>
  </si>
  <si>
    <t>04022-0002  PROPANE GAS</t>
  </si>
  <si>
    <t>04023-0000  WATER POSTAGE</t>
  </si>
  <si>
    <t xml:space="preserve">04027-0002  CONTINUING EDUCATION EXP. TRENT </t>
  </si>
  <si>
    <t>04027-0004  CONTINUING ED EXP-JEREMY</t>
  </si>
  <si>
    <t>04027-0005  CONTINURING ED EXP-EVAN</t>
  </si>
  <si>
    <t>04028-0000  DUES &amp; SUBS</t>
  </si>
  <si>
    <t>04029-0000  OFFICE EXP.</t>
  </si>
  <si>
    <t>04030-0000  BOOT-UNIFORM ALLOWANCE-WATER</t>
  </si>
  <si>
    <t>04040-0000  MISC. EXP</t>
  </si>
  <si>
    <t>04052-0000  STONE (ROCK)</t>
  </si>
  <si>
    <t>04032-0001  OFFICE EQUPT. EXP.</t>
  </si>
  <si>
    <t>05000-0500  SLUDGE REMOVAL</t>
  </si>
  <si>
    <t>06250-0000  Return check chrge.</t>
  </si>
  <si>
    <t>06120-0000  BANK SERVICE CHARGE</t>
  </si>
  <si>
    <t>40140-0000  ELECTRIC OFFICE</t>
  </si>
  <si>
    <t>06150-0000  DEPRECIATION EXP.</t>
  </si>
  <si>
    <t>04031-0002  PAYROLL TAX EXPENSE</t>
  </si>
  <si>
    <t>04031-0003  MED TAX EXP.</t>
  </si>
  <si>
    <t>04000-0000  SEWER SALES</t>
  </si>
  <si>
    <t>04009-0000  SEWER REVENUE-POOL ADJ</t>
  </si>
  <si>
    <t>05033-0000  SEWER SALARIES &amp; WAGES EMPLOYEES</t>
  </si>
  <si>
    <t>05055-0000  SEWER SALARIES &amp; WAGES ADMINISTRATION</t>
  </si>
  <si>
    <t>05009-0000  SEWER KY RETIREMENT-ADMINSTRATION</t>
  </si>
  <si>
    <t>05014-0000  ELECTRIC SEWER PLANT &amp; STATIONS</t>
  </si>
  <si>
    <t>05015-0000  SEWER CHEMICALS</t>
  </si>
  <si>
    <t>05016-0000  SEWER MATERIALS &amp; SUPPLIES USED</t>
  </si>
  <si>
    <t>05019-0000  SEWER BACK-HOE EXPENSE</t>
  </si>
  <si>
    <t>05020-0000  SEWER DIESEL FUEL</t>
  </si>
  <si>
    <t xml:space="preserve">05010-0000  SEWER GAS EXPENSE </t>
  </si>
  <si>
    <t>05039-0000  SEWER PHONE AND CELL PHONE</t>
  </si>
  <si>
    <t>05025-0000  SEWER ANALYSIS TESTING</t>
  </si>
  <si>
    <t>05001-0000  SEWER OFFICE EXPENSE</t>
  </si>
  <si>
    <t>05007-0000  SEWER OFFICE EQUIPMENT</t>
  </si>
  <si>
    <t>05023-0000  SEWER PHONE &amp; CELL PHONE</t>
  </si>
  <si>
    <t>05024-0000  SEWER POSTAGE</t>
  </si>
  <si>
    <t xml:space="preserve">05046-0000  SEWER OFFICE ELECTRIC </t>
  </si>
  <si>
    <t>05003-0000  SEWER OUTSIDE SERVICE EXPENSE</t>
  </si>
  <si>
    <t>05022-0000  SEWER BUILDING &amp; EQUIPTMENT INSURANCE</t>
  </si>
  <si>
    <t>05004-0000  SEWER INSURANCE WORKERS COMP</t>
  </si>
  <si>
    <t>05031-0000  SEWER HEALTH INSURANCE</t>
  </si>
  <si>
    <t>05026-0000  SEWER KY RETIREMENT FIELD</t>
  </si>
  <si>
    <t xml:space="preserve">05060-0000  SEWER EMPLOYEE STATE TAX </t>
  </si>
  <si>
    <t>05030-0000  SEWER TRUCK  EXPENSE</t>
  </si>
  <si>
    <t>05043-0000  SEWER MILEAGE REIMBURSEMENT</t>
  </si>
  <si>
    <t>05045-0000  SEWER BAGS</t>
  </si>
  <si>
    <t>05047-0000  SEWER PROPANE</t>
  </si>
  <si>
    <t>05056-0000  SEWER ROCK (GRAVEL)</t>
  </si>
  <si>
    <t>05029-0000  SEWER MAINTENANCE</t>
  </si>
  <si>
    <t>05028-0000  SEWER MISC. EXPENSE</t>
  </si>
  <si>
    <t>05002-0000  SEWER PROFESSIONAL FEES</t>
  </si>
  <si>
    <t>05006-0000  SEWER ADVERTISING &amp; PRINTING</t>
  </si>
  <si>
    <t xml:space="preserve">05059-0000  SEWER GLOVES </t>
  </si>
  <si>
    <t>05035-0000  SEWER BANK SERVICE CHGE.</t>
  </si>
  <si>
    <t>05044-0000  SEWER 811 TICKETS</t>
  </si>
  <si>
    <t>05053-0000  SEWER UNIFORM /BOOT ALLOWANCE</t>
  </si>
  <si>
    <t xml:space="preserve">05032-0000  SEWER CONTINUING EDUCATION-TRENT </t>
  </si>
  <si>
    <t xml:space="preserve">05062-0000  SEWER RETURN CHECK CHARGE </t>
  </si>
  <si>
    <t>04003-0000  SURCHARGE</t>
  </si>
  <si>
    <t>07010-0000  INTEREST INCOME</t>
  </si>
  <si>
    <t xml:space="preserve">07020-0000  IRS TAX ON BOND REFUND </t>
  </si>
  <si>
    <t xml:space="preserve">07030-0000  SEWER INTEREST INCOME-BANK ACCTS </t>
  </si>
  <si>
    <t>05050-0000  CUSTOMER DEP.</t>
  </si>
  <si>
    <t>05063-0000  SEWER CUSTOMER DEPOSITS</t>
  </si>
  <si>
    <t>06200-0000  INTREST EXP.</t>
  </si>
  <si>
    <t>Total Sewer Labor</t>
  </si>
  <si>
    <t>Times Federal SS and Medicare Rate</t>
  </si>
  <si>
    <t>Total Taxes Allocated to Sewer</t>
  </si>
  <si>
    <t>6 New Water Taps</t>
  </si>
  <si>
    <t>Reduction to Salaries</t>
  </si>
  <si>
    <t>Reduction to Materials and Supplies</t>
  </si>
  <si>
    <t>Water Loss Adjustment</t>
  </si>
  <si>
    <t>Produced</t>
  </si>
  <si>
    <t>Purchased</t>
  </si>
  <si>
    <t>Total Produced and Purchased</t>
  </si>
  <si>
    <t>Sold</t>
  </si>
  <si>
    <t>Uses:</t>
  </si>
  <si>
    <t xml:space="preserve">   WTP</t>
  </si>
  <si>
    <t>Waste water Plant</t>
  </si>
  <si>
    <t xml:space="preserve">   Flushing</t>
  </si>
  <si>
    <t xml:space="preserve">   Fire</t>
  </si>
  <si>
    <t xml:space="preserve">   Other</t>
  </si>
  <si>
    <t>Total Other Water Used</t>
  </si>
  <si>
    <t>Losses:</t>
  </si>
  <si>
    <t xml:space="preserve">   Tank Overflows</t>
  </si>
  <si>
    <t xml:space="preserve">   Line Breaks</t>
  </si>
  <si>
    <t xml:space="preserve">   Line Leaks</t>
  </si>
  <si>
    <t xml:space="preserve">   Unknown</t>
  </si>
  <si>
    <t>Total Losses:</t>
  </si>
  <si>
    <t>Sold, Used, and Lost</t>
  </si>
  <si>
    <t xml:space="preserve">  water loss percentage</t>
  </si>
  <si>
    <t xml:space="preserve">  allowable in rates</t>
  </si>
  <si>
    <t xml:space="preserve">  adjustment percentage</t>
  </si>
  <si>
    <t>Costs Subject to Water Loss Adjustment</t>
  </si>
  <si>
    <t>Adjustment</t>
  </si>
  <si>
    <t>Total</t>
  </si>
  <si>
    <t>Computation of Water Loss Surcharge</t>
  </si>
  <si>
    <t>Total Adjustment</t>
  </si>
  <si>
    <t>/ Number of Bills</t>
  </si>
  <si>
    <t>Monthly Surcharge Amount</t>
  </si>
  <si>
    <t>Table A</t>
  </si>
  <si>
    <t>DEPRECIATION EXPENSE ADJUSTMENTS</t>
  </si>
  <si>
    <t>Garrison-Quincy Water District</t>
  </si>
  <si>
    <t>Depreciation</t>
  </si>
  <si>
    <t>Date in</t>
  </si>
  <si>
    <t>Original</t>
  </si>
  <si>
    <t>Reported</t>
  </si>
  <si>
    <t>Proforma</t>
  </si>
  <si>
    <t>Expense</t>
  </si>
  <si>
    <t>Asset</t>
  </si>
  <si>
    <t>Service</t>
  </si>
  <si>
    <t>Cost *</t>
  </si>
  <si>
    <t>Life</t>
  </si>
  <si>
    <t>Depr. Exp.</t>
  </si>
  <si>
    <t>WATER SYSTEM</t>
  </si>
  <si>
    <t>Buildings - Water</t>
  </si>
  <si>
    <t>Entire Group</t>
  </si>
  <si>
    <t>various</t>
  </si>
  <si>
    <t xml:space="preserve"> varies </t>
  </si>
  <si>
    <t>Vehicle &amp; Heavy Equipment</t>
  </si>
  <si>
    <t>Xmark Lazor Z</t>
  </si>
  <si>
    <t>Equipment/Tools/Office</t>
  </si>
  <si>
    <t>Telemetry Equipment</t>
  </si>
  <si>
    <t>Walls &amp; Springs and Collecting Reservoirs</t>
  </si>
  <si>
    <t>Collecting Reservoirs</t>
  </si>
  <si>
    <t>Wells &amp; Springs</t>
  </si>
  <si>
    <t>Well &amp; Plant Upgrades</t>
  </si>
  <si>
    <t>Pumping Equipment</t>
  </si>
  <si>
    <t>Transmission &amp; Distribution</t>
  </si>
  <si>
    <t>TOTALS - WATER SYSTEM</t>
  </si>
  <si>
    <t>SEWER DIVISION</t>
  </si>
  <si>
    <t>Buildings - Sewer</t>
  </si>
  <si>
    <t>Entire Group - Package WWTP</t>
  </si>
  <si>
    <t>varies</t>
  </si>
  <si>
    <t>Sewer Lines</t>
  </si>
  <si>
    <t>TOTALS - SEWER SYSTEM</t>
  </si>
  <si>
    <t>*  Includes only costs associated with assets that contributed to depreciation expense in the test year.</t>
  </si>
  <si>
    <t>Table B</t>
  </si>
  <si>
    <t>DEBT SERVICE SCHEDULE</t>
  </si>
  <si>
    <t>Garrison-Quincy County Water District</t>
  </si>
  <si>
    <t>CY 2023 - 2027</t>
  </si>
  <si>
    <t>CY 2023</t>
  </si>
  <si>
    <t>CY 2024</t>
  </si>
  <si>
    <t>CY 2025</t>
  </si>
  <si>
    <t>CY 2026</t>
  </si>
  <si>
    <t>CY 2027</t>
  </si>
  <si>
    <t>Principal</t>
  </si>
  <si>
    <t>Interest</t>
  </si>
  <si>
    <t>TOTALS</t>
  </si>
  <si>
    <t>RD Series 1987A</t>
  </si>
  <si>
    <t>1999-00287</t>
  </si>
  <si>
    <t>RD Series 1987B</t>
  </si>
  <si>
    <t>2015-00397</t>
  </si>
  <si>
    <t>RD Series 1996</t>
  </si>
  <si>
    <t>RD Series 2022</t>
  </si>
  <si>
    <t>KIA Loan 2015</t>
  </si>
  <si>
    <t>Totals</t>
  </si>
  <si>
    <t>Average Annual Principal &amp; Interest - Water</t>
  </si>
  <si>
    <t>Average Annual Debt Service Coverage</t>
  </si>
  <si>
    <t>RD Series 2010</t>
  </si>
  <si>
    <t>2008-00036</t>
  </si>
  <si>
    <t>Average Annual Principal &amp; Interest - Sewer</t>
  </si>
  <si>
    <t>CURRENT BILLING ANALYSIS - CURRENT USAGE &amp; EXISTING RATES</t>
  </si>
  <si>
    <t>Garrison-Quincy Water District - Water Division</t>
  </si>
  <si>
    <t xml:space="preserve">  SUMMARY  </t>
  </si>
  <si>
    <t>No. of Bills</t>
  </si>
  <si>
    <t>Gallons Sold</t>
  </si>
  <si>
    <t>Revenue</t>
  </si>
  <si>
    <t xml:space="preserve">     5/8" X 3/4" Meters</t>
  </si>
  <si>
    <t xml:space="preserve">     1" Meters</t>
  </si>
  <si>
    <t xml:space="preserve">     2" Meters</t>
  </si>
  <si>
    <t>Pro Forma Retail Sales Revenue</t>
  </si>
  <si>
    <t>Pro Forma Sales for Resale</t>
  </si>
  <si>
    <t>Total  Water Sales Revenue</t>
  </si>
  <si>
    <t>Decrease to Water Sales Revenue</t>
  </si>
  <si>
    <t>5/8" x 3/4" METERS</t>
  </si>
  <si>
    <t>FIRST</t>
  </si>
  <si>
    <t>NEXT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</si>
  <si>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</si>
  <si>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</si>
  <si>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</si>
  <si>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</si>
  <si>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</si>
  <si>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</si>
  <si>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</si>
  <si>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</si>
  <si>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1" METERS</t>
  </si>
  <si>
    <t>2" METERS</t>
  </si>
  <si>
    <t>``</t>
  </si>
  <si>
    <t>WHOLESALE SALES - City of South /shore</t>
  </si>
  <si>
    <t xml:space="preserve">Jessamine-South Elkhorn Water District - Sewer Division </t>
  </si>
  <si>
    <t xml:space="preserve">     All Sewer Customers</t>
  </si>
  <si>
    <t>Pro Forma Sewer Sales Revenue</t>
  </si>
  <si>
    <t>All Sewer Customers</t>
  </si>
  <si>
    <t>TABLE C</t>
  </si>
  <si>
    <t>CURRENT AND PROPOSED MONTHLY RATES</t>
  </si>
  <si>
    <t>WATER DIVISION</t>
  </si>
  <si>
    <t>CURRENT RATE SCHEDULE</t>
  </si>
  <si>
    <t>PROPOSED RATE SCHEDULE</t>
  </si>
  <si>
    <t>DIFFERENCE</t>
  </si>
  <si>
    <t>PERCENT</t>
  </si>
  <si>
    <t>5/8" x 3/4" Meters</t>
  </si>
  <si>
    <t>First</t>
  </si>
  <si>
    <t>gallons</t>
  </si>
  <si>
    <t>Minimum Bill</t>
  </si>
  <si>
    <t>Next</t>
  </si>
  <si>
    <t>per 1,000 gallons</t>
  </si>
  <si>
    <t>Over</t>
  </si>
  <si>
    <t>1" Meters</t>
  </si>
  <si>
    <t>2" Meters</t>
  </si>
  <si>
    <t>Bulk Water</t>
  </si>
  <si>
    <t>All Purchases</t>
  </si>
  <si>
    <t>Wholesale Customers</t>
  </si>
  <si>
    <t>1.0 mil gallons</t>
  </si>
  <si>
    <t>2.0 mil gallons</t>
  </si>
  <si>
    <t>3.0 mil gallons</t>
  </si>
  <si>
    <t>Water Loss Reductin Surcharge</t>
  </si>
  <si>
    <t>per customer</t>
  </si>
  <si>
    <t>Projected Retail Sales Revenue</t>
  </si>
  <si>
    <t>Projected Bulk Sales</t>
  </si>
  <si>
    <t>PROPOSED BILLING ANALYSIS - CURRENT USAGE &amp; PROPOSED RATES</t>
  </si>
  <si>
    <t>Garrisonquincy Water District - Sewer Division</t>
  </si>
  <si>
    <t>Projected Sales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</si>
</sst>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[$$-409]* #,##0_);_([$$-409]* \(#,##0\);_([$$-409]* &quot;-&quot;??_);_(@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&quot;$&quot;0.00"/>
    <numFmt numFmtId="171" formatCode="\(&quot;$&quot;??,??0.00\);\(&quot;$&quot;??,??0.00\)"/>
    <numFmt numFmtId="172" formatCode="\(&quot;$&quot;???,??0.00\);\(&quot;$&quot;???,??0.00\)"/>
    <numFmt numFmtId="173" formatCode="&quot;$&quot;?,??0.00"/>
    <numFmt numFmtId="174" formatCode="\(&quot;$&quot;?0.00\);\(&quot;$&quot;?0.00\)"/>
    <numFmt numFmtId="175" formatCode="\(&quot;$&quot;?,??0.00\);\(&quot;$&quot;?,??0.00\)"/>
    <numFmt numFmtId="176" formatCode="\(&quot;$&quot;0.00\);\(&quot;$&quot;0.00\)"/>
    <numFmt numFmtId="177" formatCode="&quot;$&quot;???,??0.00"/>
    <numFmt numFmtId="178" formatCode="&quot;$&quot;??,??0.00"/>
    <numFmt numFmtId="179" formatCode="&quot;$&quot;?0.00"/>
    <numFmt numFmtId="180" formatCode="&quot;$&quot;??0.00"/>
  </numFmts>
  <fonts count="27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u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1" applyNumberFormat="1" applyFont="1"/>
    <xf numFmtId="164" fontId="4" fillId="0" borderId="0" xfId="2" applyNumberFormat="1" applyFont="1" applyBorder="1"/>
    <xf numFmtId="167" fontId="4" fillId="0" borderId="0" xfId="1" applyNumberFormat="1" applyFont="1" applyBorder="1"/>
    <xf numFmtId="0" fontId="4" fillId="0" borderId="0" xfId="0" applyFont="1" applyAlignment="1">
      <alignment horizontal="centerContinuous"/>
    </xf>
    <xf numFmtId="164" fontId="4" fillId="0" borderId="0" xfId="4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7" fontId="4" fillId="0" borderId="0" xfId="5" applyNumberFormat="1" applyFont="1"/>
    <xf numFmtId="37" fontId="4" fillId="0" borderId="1" xfId="0" applyNumberFormat="1" applyFont="1" applyBorder="1"/>
    <xf numFmtId="167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3" fontId="4" fillId="0" borderId="0" xfId="0" applyNumberFormat="1" applyFont="1"/>
    <xf numFmtId="3" fontId="8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7" fontId="4" fillId="0" borderId="0" xfId="1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7" fontId="4" fillId="0" borderId="0" xfId="1" applyNumberFormat="1" applyFont="1" applyAlignment="1"/>
    <xf numFmtId="168" fontId="4" fillId="0" borderId="0" xfId="0" applyNumberFormat="1" applyFont="1" applyAlignment="1">
      <alignment vertical="center"/>
    </xf>
    <xf numFmtId="167" fontId="14" fillId="0" borderId="0" xfId="1" applyNumberFormat="1" applyFont="1" applyAlignment="1">
      <alignment vertical="center"/>
    </xf>
    <xf numFmtId="3" fontId="5" fillId="0" borderId="0" xfId="0" applyNumberFormat="1" applyFont="1"/>
    <xf numFmtId="165" fontId="4" fillId="0" borderId="0" xfId="0" applyNumberFormat="1" applyFont="1" applyAlignment="1">
      <alignment horizontal="center"/>
    </xf>
    <xf numFmtId="167" fontId="4" fillId="0" borderId="0" xfId="0" applyNumberFormat="1" applyFont="1"/>
    <xf numFmtId="3" fontId="3" fillId="0" borderId="0" xfId="0" applyNumberFormat="1" applyFont="1"/>
    <xf numFmtId="166" fontId="3" fillId="0" borderId="0" xfId="0" applyNumberFormat="1" applyFont="1"/>
    <xf numFmtId="3" fontId="9" fillId="0" borderId="0" xfId="0" applyNumberFormat="1" applyFont="1"/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4" fillId="0" borderId="2" xfId="0" applyFont="1" applyBorder="1"/>
    <xf numFmtId="3" fontId="5" fillId="0" borderId="0" xfId="0" applyNumberFormat="1" applyFont="1" applyAlignment="1">
      <alignment horizontal="centerContinuous"/>
    </xf>
    <xf numFmtId="3" fontId="4" fillId="0" borderId="6" xfId="0" applyNumberFormat="1" applyFont="1" applyBorder="1"/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7" xfId="0" applyFont="1" applyBorder="1"/>
    <xf numFmtId="3" fontId="4" fillId="0" borderId="1" xfId="0" applyNumberFormat="1" applyFont="1" applyBorder="1"/>
    <xf numFmtId="4" fontId="4" fillId="0" borderId="1" xfId="0" applyNumberFormat="1" applyFont="1" applyBorder="1"/>
    <xf numFmtId="3" fontId="4" fillId="0" borderId="8" xfId="0" applyNumberFormat="1" applyFont="1" applyBorder="1"/>
    <xf numFmtId="4" fontId="4" fillId="0" borderId="0" xfId="0" applyNumberFormat="1" applyFont="1"/>
    <xf numFmtId="169" fontId="4" fillId="0" borderId="0" xfId="1" applyNumberFormat="1" applyFont="1" applyBorder="1"/>
    <xf numFmtId="169" fontId="4" fillId="0" borderId="0" xfId="1" applyNumberFormat="1" applyFont="1" applyAlignment="1"/>
    <xf numFmtId="169" fontId="4" fillId="0" borderId="4" xfId="1" applyNumberFormat="1" applyFont="1" applyBorder="1"/>
    <xf numFmtId="169" fontId="4" fillId="0" borderId="0" xfId="1" applyNumberFormat="1" applyFont="1" applyBorder="1" applyAlignment="1"/>
    <xf numFmtId="169" fontId="5" fillId="0" borderId="0" xfId="1" applyNumberFormat="1" applyFont="1" applyBorder="1" applyAlignment="1">
      <alignment horizontal="centerContinuous"/>
    </xf>
    <xf numFmtId="169" fontId="5" fillId="0" borderId="0" xfId="1" applyNumberFormat="1" applyFont="1" applyBorder="1" applyAlignment="1">
      <alignment horizontal="center"/>
    </xf>
    <xf numFmtId="169" fontId="4" fillId="0" borderId="1" xfId="1" applyNumberFormat="1" applyFont="1" applyBorder="1" applyAlignment="1"/>
    <xf numFmtId="169" fontId="3" fillId="0" borderId="0" xfId="1" applyNumberFormat="1" applyFont="1" applyBorder="1" applyAlignment="1"/>
    <xf numFmtId="3" fontId="11" fillId="0" borderId="0" xfId="0" applyNumberFormat="1" applyFont="1" applyAlignment="1">
      <alignment horizontal="left" vertical="center"/>
    </xf>
    <xf numFmtId="167" fontId="7" fillId="0" borderId="0" xfId="1" applyNumberFormat="1" applyFont="1"/>
    <xf numFmtId="10" fontId="4" fillId="0" borderId="0" xfId="3" applyNumberFormat="1" applyFont="1" applyAlignment="1">
      <alignment vertical="center"/>
    </xf>
    <xf numFmtId="167" fontId="4" fillId="0" borderId="0" xfId="1" applyNumberFormat="1" applyFont="1" applyAlignment="1">
      <alignment horizontal="right" vertical="center"/>
    </xf>
    <xf numFmtId="167" fontId="4" fillId="0" borderId="0" xfId="1" applyNumberFormat="1" applyFont="1" applyAlignment="1">
      <alignment horizontal="right"/>
    </xf>
    <xf numFmtId="43" fontId="4" fillId="0" borderId="0" xfId="0" applyNumberFormat="1" applyFont="1"/>
    <xf numFmtId="164" fontId="4" fillId="0" borderId="0" xfId="2" applyNumberFormat="1" applyFont="1"/>
    <xf numFmtId="167" fontId="16" fillId="0" borderId="0" xfId="1" applyNumberFormat="1" applyFont="1" applyAlignment="1">
      <alignment vertical="center"/>
    </xf>
    <xf numFmtId="0" fontId="8" fillId="0" borderId="0" xfId="0" applyFont="1" applyAlignment="1">
      <alignment horizontal="centerContinuous"/>
    </xf>
    <xf numFmtId="164" fontId="4" fillId="0" borderId="0" xfId="0" applyNumberFormat="1" applyFont="1"/>
    <xf numFmtId="167" fontId="4" fillId="0" borderId="0" xfId="5" applyNumberFormat="1" applyFont="1" applyFill="1"/>
    <xf numFmtId="167" fontId="4" fillId="0" borderId="1" xfId="5" applyNumberFormat="1" applyFont="1" applyFill="1" applyBorder="1"/>
    <xf numFmtId="167" fontId="4" fillId="0" borderId="0" xfId="5" applyNumberFormat="1" applyFont="1" applyBorder="1"/>
    <xf numFmtId="0" fontId="5" fillId="0" borderId="0" xfId="0" applyFont="1" applyAlignment="1">
      <alignment horizontal="right"/>
    </xf>
    <xf numFmtId="167" fontId="17" fillId="0" borderId="0" xfId="1" applyNumberFormat="1" applyFont="1" applyAlignment="1">
      <alignment vertical="center"/>
    </xf>
    <xf numFmtId="0" fontId="4" fillId="0" borderId="0" xfId="0" quotePrefix="1" applyFont="1" applyAlignment="1">
      <alignment horizontal="center"/>
    </xf>
    <xf numFmtId="167" fontId="4" fillId="0" borderId="1" xfId="1" applyNumberFormat="1" applyFont="1" applyBorder="1"/>
    <xf numFmtId="167" fontId="4" fillId="0" borderId="4" xfId="5" applyNumberFormat="1" applyFont="1" applyBorder="1"/>
    <xf numFmtId="167" fontId="4" fillId="0" borderId="5" xfId="5" applyNumberFormat="1" applyFont="1" applyBorder="1"/>
    <xf numFmtId="167" fontId="4" fillId="0" borderId="2" xfId="5" applyNumberFormat="1" applyFont="1" applyBorder="1"/>
    <xf numFmtId="167" fontId="4" fillId="0" borderId="6" xfId="5" applyNumberFormat="1" applyFont="1" applyBorder="1"/>
    <xf numFmtId="167" fontId="3" fillId="0" borderId="0" xfId="5" applyNumberFormat="1" applyFont="1" applyBorder="1"/>
    <xf numFmtId="167" fontId="4" fillId="0" borderId="8" xfId="5" applyNumberFormat="1" applyFont="1" applyBorder="1"/>
    <xf numFmtId="167" fontId="10" fillId="0" borderId="0" xfId="1" applyNumberFormat="1" applyFont="1" applyAlignment="1"/>
    <xf numFmtId="167" fontId="3" fillId="0" borderId="0" xfId="5" applyNumberFormat="1" applyFont="1" applyBorder="1" applyAlignment="1">
      <alignment horizontal="right"/>
    </xf>
    <xf numFmtId="0" fontId="10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7" fontId="4" fillId="0" borderId="0" xfId="1" applyNumberFormat="1" applyFont="1" applyBorder="1" applyAlignment="1"/>
    <xf numFmtId="44" fontId="4" fillId="0" borderId="0" xfId="2" applyFont="1" applyBorder="1" applyAlignment="1"/>
    <xf numFmtId="43" fontId="4" fillId="0" borderId="0" xfId="1" applyFont="1" applyBorder="1" applyAlignment="1"/>
    <xf numFmtId="167" fontId="4" fillId="0" borderId="1" xfId="1" applyNumberFormat="1" applyFont="1" applyBorder="1" applyAlignment="1"/>
    <xf numFmtId="0" fontId="4" fillId="0" borderId="8" xfId="0" applyFont="1" applyBorder="1"/>
    <xf numFmtId="0" fontId="13" fillId="0" borderId="0" xfId="0" applyFont="1" applyAlignment="1">
      <alignment horizontal="center"/>
    </xf>
    <xf numFmtId="44" fontId="4" fillId="0" borderId="0" xfId="0" applyNumberFormat="1" applyFont="1"/>
    <xf numFmtId="168" fontId="4" fillId="0" borderId="0" xfId="3" applyNumberFormat="1" applyFont="1" applyAlignment="1"/>
    <xf numFmtId="167" fontId="5" fillId="0" borderId="0" xfId="5" applyNumberFormat="1" applyFont="1" applyAlignment="1">
      <alignment horizontal="centerContinuous"/>
    </xf>
    <xf numFmtId="167" fontId="4" fillId="0" borderId="0" xfId="5" applyNumberFormat="1" applyFont="1" applyAlignment="1">
      <alignment horizontal="centerContinuous"/>
    </xf>
    <xf numFmtId="167" fontId="4" fillId="0" borderId="3" xfId="5" applyNumberFormat="1" applyFont="1" applyBorder="1" applyAlignment="1">
      <alignment horizontal="left"/>
    </xf>
    <xf numFmtId="167" fontId="6" fillId="0" borderId="2" xfId="5" applyNumberFormat="1" applyFont="1" applyBorder="1" applyAlignment="1">
      <alignment horizontal="center" vertical="center"/>
    </xf>
    <xf numFmtId="164" fontId="4" fillId="0" borderId="2" xfId="4" quotePrefix="1" applyNumberFormat="1" applyFont="1" applyBorder="1" applyAlignment="1">
      <alignment horizontal="center"/>
    </xf>
    <xf numFmtId="167" fontId="4" fillId="0" borderId="2" xfId="5" applyNumberFormat="1" applyFont="1" applyBorder="1" applyAlignment="1">
      <alignment horizontal="center"/>
    </xf>
    <xf numFmtId="167" fontId="4" fillId="0" borderId="0" xfId="5" applyNumberFormat="1" applyFont="1" applyAlignment="1">
      <alignment horizontal="center"/>
    </xf>
    <xf numFmtId="167" fontId="3" fillId="0" borderId="0" xfId="5" applyNumberFormat="1" applyFont="1" applyAlignment="1">
      <alignment horizontal="right"/>
    </xf>
    <xf numFmtId="167" fontId="3" fillId="0" borderId="0" xfId="5" applyNumberFormat="1" applyFont="1"/>
    <xf numFmtId="164" fontId="3" fillId="0" borderId="0" xfId="4" applyNumberFormat="1" applyFont="1"/>
    <xf numFmtId="0" fontId="12" fillId="0" borderId="0" xfId="0" applyFont="1"/>
    <xf numFmtId="3" fontId="8" fillId="0" borderId="0" xfId="0" applyNumberFormat="1" applyFont="1" applyAlignment="1">
      <alignment horizontal="center" vertical="center"/>
    </xf>
    <xf numFmtId="167" fontId="7" fillId="0" borderId="0" xfId="0" applyNumberFormat="1" applyFont="1"/>
    <xf numFmtId="3" fontId="4" fillId="0" borderId="0" xfId="0" applyNumberFormat="1" applyFont="1" applyAlignment="1">
      <alignment horizontal="right"/>
    </xf>
    <xf numFmtId="167" fontId="7" fillId="0" borderId="0" xfId="1" applyNumberFormat="1" applyFont="1" applyFill="1"/>
    <xf numFmtId="0" fontId="4" fillId="0" borderId="1" xfId="0" applyFont="1" applyBorder="1" applyAlignment="1">
      <alignment horizontal="left"/>
    </xf>
    <xf numFmtId="167" fontId="4" fillId="0" borderId="4" xfId="5" applyNumberFormat="1" applyFont="1" applyBorder="1" applyAlignment="1">
      <alignment horizontal="left"/>
    </xf>
    <xf numFmtId="167" fontId="4" fillId="0" borderId="5" xfId="5" applyNumberFormat="1" applyFont="1" applyBorder="1" applyAlignment="1">
      <alignment horizontal="left"/>
    </xf>
    <xf numFmtId="167" fontId="5" fillId="0" borderId="2" xfId="5" applyNumberFormat="1" applyFont="1" applyBorder="1" applyAlignment="1">
      <alignment horizontal="centerContinuous"/>
    </xf>
    <xf numFmtId="167" fontId="6" fillId="0" borderId="0" xfId="5" applyNumberFormat="1" applyFont="1" applyBorder="1" applyAlignment="1">
      <alignment horizontal="center" vertical="center"/>
    </xf>
    <xf numFmtId="164" fontId="4" fillId="0" borderId="0" xfId="4" quotePrefix="1" applyNumberFormat="1" applyFont="1" applyBorder="1" applyAlignment="1">
      <alignment horizontal="center"/>
    </xf>
    <xf numFmtId="43" fontId="4" fillId="0" borderId="0" xfId="1" applyFont="1"/>
    <xf numFmtId="43" fontId="4" fillId="0" borderId="0" xfId="1" applyFont="1" applyAlignment="1"/>
    <xf numFmtId="167" fontId="7" fillId="0" borderId="0" xfId="1" applyNumberFormat="1" applyFont="1" applyAlignment="1">
      <alignment vertical="center"/>
    </xf>
    <xf numFmtId="167" fontId="4" fillId="0" borderId="0" xfId="1" quotePrefix="1" applyNumberFormat="1" applyFont="1" applyAlignment="1">
      <alignment vertical="center"/>
    </xf>
    <xf numFmtId="165" fontId="4" fillId="0" borderId="0" xfId="0" quotePrefix="1" applyNumberFormat="1" applyFont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44" fontId="10" fillId="0" borderId="0" xfId="0" applyNumberFormat="1" applyFont="1"/>
    <xf numFmtId="167" fontId="5" fillId="0" borderId="0" xfId="1" applyNumberFormat="1" applyFont="1" applyAlignment="1">
      <alignment horizontal="center" vertical="center"/>
    </xf>
    <xf numFmtId="167" fontId="13" fillId="0" borderId="0" xfId="1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7" fontId="4" fillId="0" borderId="9" xfId="5" applyNumberFormat="1" applyFont="1" applyBorder="1" applyAlignment="1">
      <alignment horizontal="left"/>
    </xf>
    <xf numFmtId="167" fontId="5" fillId="0" borderId="6" xfId="5" applyNumberFormat="1" applyFont="1" applyBorder="1" applyAlignment="1">
      <alignment horizontal="centerContinuous"/>
    </xf>
    <xf numFmtId="167" fontId="6" fillId="0" borderId="0" xfId="5" applyNumberFormat="1" applyFont="1" applyAlignment="1">
      <alignment horizontal="center" vertical="center"/>
    </xf>
    <xf numFmtId="167" fontId="6" fillId="0" borderId="6" xfId="5" applyNumberFormat="1" applyFont="1" applyBorder="1" applyAlignment="1">
      <alignment horizontal="center" vertical="center"/>
    </xf>
    <xf numFmtId="167" fontId="4" fillId="0" borderId="10" xfId="5" applyNumberFormat="1" applyFont="1" applyBorder="1" applyAlignment="1">
      <alignment horizontal="left"/>
    </xf>
    <xf numFmtId="164" fontId="4" fillId="0" borderId="0" xfId="4" quotePrefix="1" applyNumberFormat="1" applyFont="1" applyAlignment="1">
      <alignment horizontal="center"/>
    </xf>
    <xf numFmtId="164" fontId="4" fillId="0" borderId="6" xfId="4" quotePrefix="1" applyNumberFormat="1" applyFont="1" applyBorder="1" applyAlignment="1">
      <alignment horizontal="center"/>
    </xf>
    <xf numFmtId="167" fontId="4" fillId="0" borderId="6" xfId="5" applyNumberFormat="1" applyFont="1" applyBorder="1" applyAlignment="1">
      <alignment horizontal="center"/>
    </xf>
    <xf numFmtId="167" fontId="4" fillId="0" borderId="0" xfId="5" quotePrefix="1" applyNumberFormat="1" applyFont="1" applyBorder="1" applyAlignment="1">
      <alignment horizontal="center"/>
    </xf>
    <xf numFmtId="164" fontId="3" fillId="0" borderId="0" xfId="4" applyNumberFormat="1" applyFont="1" applyBorder="1"/>
    <xf numFmtId="167" fontId="4" fillId="0" borderId="11" xfId="5" applyNumberFormat="1" applyFont="1" applyBorder="1" applyAlignment="1">
      <alignment horizontal="left"/>
    </xf>
    <xf numFmtId="164" fontId="4" fillId="0" borderId="1" xfId="4" quotePrefix="1" applyNumberFormat="1" applyFont="1" applyBorder="1" applyAlignment="1">
      <alignment horizontal="left"/>
    </xf>
    <xf numFmtId="166" fontId="3" fillId="0" borderId="4" xfId="0" applyNumberFormat="1" applyFont="1" applyBorder="1"/>
    <xf numFmtId="169" fontId="3" fillId="0" borderId="4" xfId="1" applyNumberFormat="1" applyFont="1" applyBorder="1" applyAlignment="1"/>
    <xf numFmtId="3" fontId="5" fillId="0" borderId="4" xfId="0" applyNumberFormat="1" applyFont="1" applyBorder="1" applyAlignment="1">
      <alignment horizontal="center"/>
    </xf>
    <xf numFmtId="169" fontId="5" fillId="0" borderId="4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7" fontId="4" fillId="0" borderId="0" xfId="1" applyNumberFormat="1" applyFont="1" applyFill="1" applyBorder="1"/>
    <xf numFmtId="164" fontId="4" fillId="0" borderId="1" xfId="2" applyNumberFormat="1" applyFont="1" applyBorder="1"/>
    <xf numFmtId="168" fontId="4" fillId="0" borderId="0" xfId="3" applyNumberFormat="1" applyFont="1"/>
    <xf numFmtId="0" fontId="8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67" fontId="3" fillId="0" borderId="0" xfId="1" applyNumberFormat="1" applyFont="1" applyAlignment="1">
      <alignment horizontal="center" vertical="center"/>
    </xf>
    <xf numFmtId="43" fontId="10" fillId="0" borderId="0" xfId="1" applyFont="1" applyAlignment="1"/>
    <xf numFmtId="167" fontId="3" fillId="0" borderId="0" xfId="1" applyNumberFormat="1" applyFont="1" applyAlignment="1">
      <alignment horizontal="center"/>
    </xf>
    <xf numFmtId="167" fontId="18" fillId="0" borderId="0" xfId="1" applyNumberFormat="1" applyFont="1"/>
    <xf numFmtId="167" fontId="4" fillId="0" borderId="0" xfId="1" applyNumberFormat="1" applyFont="1" applyFill="1"/>
    <xf numFmtId="3" fontId="13" fillId="0" borderId="0" xfId="0" applyNumberFormat="1" applyFont="1"/>
    <xf numFmtId="3" fontId="20" fillId="0" borderId="0" xfId="0" applyNumberFormat="1" applyFont="1"/>
    <xf numFmtId="44" fontId="20" fillId="0" borderId="0" xfId="2" applyFont="1" applyAlignment="1"/>
    <xf numFmtId="167" fontId="4" fillId="0" borderId="0" xfId="5" applyNumberFormat="1" applyFont="1" applyBorder="1" applyAlignment="1">
      <alignment horizontal="left"/>
    </xf>
    <xf numFmtId="167" fontId="21" fillId="0" borderId="0" xfId="1" applyNumberFormat="1" applyFont="1" applyAlignment="1">
      <alignment vertical="center"/>
    </xf>
    <xf numFmtId="167" fontId="10" fillId="0" borderId="0" xfId="1" applyNumberFormat="1" applyFont="1" applyAlignment="1">
      <alignment horizontal="centerContinuous" vertical="center"/>
    </xf>
    <xf numFmtId="167" fontId="12" fillId="0" borderId="0" xfId="1" applyNumberFormat="1" applyFont="1" applyAlignment="1">
      <alignment horizontal="center" vertical="center"/>
    </xf>
    <xf numFmtId="167" fontId="19" fillId="0" borderId="0" xfId="1" applyNumberFormat="1" applyFont="1" applyAlignment="1">
      <alignment horizontal="center" vertical="center"/>
    </xf>
    <xf numFmtId="167" fontId="20" fillId="0" borderId="0" xfId="1" applyNumberFormat="1" applyFont="1" applyAlignment="1"/>
    <xf numFmtId="167" fontId="3" fillId="0" borderId="0" xfId="1" applyNumberFormat="1" applyFont="1" applyFill="1"/>
    <xf numFmtId="44" fontId="4" fillId="0" borderId="1" xfId="4" applyFont="1" applyBorder="1"/>
    <xf numFmtId="168" fontId="4" fillId="0" borderId="0" xfId="3" applyNumberFormat="1" applyFont="1" applyFill="1"/>
    <xf numFmtId="44" fontId="4" fillId="0" borderId="0" xfId="1" applyNumberFormat="1" applyFont="1" applyBorder="1" applyAlignment="1"/>
    <xf numFmtId="37" fontId="4" fillId="0" borderId="0" xfId="0" applyNumberFormat="1" applyFont="1" applyAlignment="1">
      <alignment horizontal="center"/>
    </xf>
    <xf numFmtId="167" fontId="4" fillId="0" borderId="0" xfId="5" applyNumberFormat="1" applyFont="1" applyFill="1" applyBorder="1"/>
    <xf numFmtId="44" fontId="4" fillId="0" borderId="0" xfId="4" applyFont="1" applyBorder="1"/>
    <xf numFmtId="164" fontId="4" fillId="0" borderId="0" xfId="4" applyNumberFormat="1" applyFont="1" applyBorder="1"/>
    <xf numFmtId="3" fontId="4" fillId="0" borderId="0" xfId="5" applyNumberFormat="1" applyFont="1" applyFill="1"/>
    <xf numFmtId="3" fontId="4" fillId="0" borderId="1" xfId="5" applyNumberFormat="1" applyFont="1" applyFill="1" applyBorder="1"/>
    <xf numFmtId="3" fontId="4" fillId="0" borderId="0" xfId="5" applyNumberFormat="1" applyFont="1" applyBorder="1"/>
    <xf numFmtId="167" fontId="4" fillId="0" borderId="1" xfId="1" applyNumberFormat="1" applyFont="1" applyBorder="1" applyAlignment="1">
      <alignment horizontal="right"/>
    </xf>
    <xf numFmtId="167" fontId="4" fillId="0" borderId="0" xfId="1" applyNumberFormat="1" applyFont="1" applyAlignment="1">
      <alignment horizontal="centerContinuous"/>
    </xf>
    <xf numFmtId="167" fontId="4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/>
    <xf numFmtId="167" fontId="4" fillId="0" borderId="0" xfId="1" applyNumberFormat="1" applyFont="1" applyBorder="1" applyAlignment="1">
      <alignment horizontal="center"/>
    </xf>
    <xf numFmtId="164" fontId="4" fillId="0" borderId="12" xfId="2" applyNumberFormat="1" applyFont="1" applyBorder="1"/>
    <xf numFmtId="167" fontId="4" fillId="0" borderId="0" xfId="5" applyNumberFormat="1" applyFont="1" applyAlignment="1">
      <alignment horizontal="left"/>
    </xf>
    <xf numFmtId="167" fontId="4" fillId="0" borderId="2" xfId="5" applyNumberFormat="1" applyFont="1" applyBorder="1" applyAlignment="1">
      <alignment horizontal="left"/>
    </xf>
    <xf numFmtId="167" fontId="6" fillId="0" borderId="10" xfId="5" applyNumberFormat="1" applyFont="1" applyBorder="1" applyAlignment="1">
      <alignment horizontal="left"/>
    </xf>
    <xf numFmtId="167" fontId="4" fillId="0" borderId="7" xfId="5" applyNumberFormat="1" applyFont="1" applyBorder="1" applyAlignment="1">
      <alignment horizontal="left"/>
    </xf>
    <xf numFmtId="167" fontId="3" fillId="0" borderId="2" xfId="5" applyNumberFormat="1" applyFont="1" applyBorder="1" applyAlignment="1">
      <alignment horizontal="left"/>
    </xf>
    <xf numFmtId="167" fontId="8" fillId="0" borderId="0" xfId="0" applyNumberFormat="1" applyFont="1" applyAlignment="1">
      <alignment horizontal="center" vertical="center"/>
    </xf>
    <xf numFmtId="167" fontId="5" fillId="0" borderId="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1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167" fontId="4" fillId="0" borderId="4" xfId="1" applyNumberFormat="1" applyFont="1" applyBorder="1" applyAlignment="1">
      <alignment horizontal="center"/>
    </xf>
    <xf numFmtId="164" fontId="3" fillId="0" borderId="0" xfId="2" applyNumberFormat="1" applyFont="1" applyBorder="1"/>
    <xf numFmtId="167" fontId="4" fillId="0" borderId="0" xfId="2" applyNumberFormat="1" applyFont="1" applyAlignment="1"/>
    <xf numFmtId="167" fontId="4" fillId="0" borderId="4" xfId="2" applyNumberFormat="1" applyFont="1" applyBorder="1"/>
    <xf numFmtId="167" fontId="8" fillId="0" borderId="0" xfId="2" applyNumberFormat="1" applyFont="1" applyAlignment="1">
      <alignment horizontal="center" vertical="center"/>
    </xf>
    <xf numFmtId="167" fontId="4" fillId="0" borderId="0" xfId="2" applyNumberFormat="1" applyFont="1" applyBorder="1" applyAlignment="1"/>
    <xf numFmtId="167" fontId="3" fillId="0" borderId="0" xfId="2" applyNumberFormat="1" applyFont="1" applyBorder="1" applyAlignment="1">
      <alignment horizontal="center"/>
    </xf>
    <xf numFmtId="167" fontId="5" fillId="0" borderId="0" xfId="2" applyNumberFormat="1" applyFont="1" applyBorder="1" applyAlignment="1">
      <alignment horizontal="center"/>
    </xf>
    <xf numFmtId="167" fontId="5" fillId="0" borderId="4" xfId="2" applyNumberFormat="1" applyFont="1" applyBorder="1" applyAlignment="1">
      <alignment horizontal="center"/>
    </xf>
    <xf numFmtId="167" fontId="4" fillId="0" borderId="0" xfId="2" applyNumberFormat="1" applyFont="1" applyBorder="1"/>
    <xf numFmtId="167" fontId="4" fillId="0" borderId="0" xfId="2" applyNumberFormat="1" applyFont="1"/>
    <xf numFmtId="167" fontId="4" fillId="0" borderId="1" xfId="2" applyNumberFormat="1" applyFont="1" applyBorder="1" applyAlignment="1"/>
    <xf numFmtId="167" fontId="4" fillId="0" borderId="4" xfId="2" applyNumberFormat="1" applyFont="1" applyBorder="1" applyAlignment="1"/>
    <xf numFmtId="41" fontId="4" fillId="0" borderId="0" xfId="2" applyNumberFormat="1" applyFont="1" applyAlignment="1"/>
    <xf numFmtId="41" fontId="4" fillId="0" borderId="4" xfId="2" applyNumberFormat="1" applyFont="1" applyBorder="1"/>
    <xf numFmtId="41" fontId="8" fillId="0" borderId="0" xfId="2" applyNumberFormat="1" applyFont="1" applyAlignment="1">
      <alignment horizontal="center" vertical="center"/>
    </xf>
    <xf numFmtId="41" fontId="4" fillId="0" borderId="0" xfId="2" applyNumberFormat="1" applyFont="1" applyBorder="1" applyAlignment="1"/>
    <xf numFmtId="41" fontId="5" fillId="0" borderId="0" xfId="2" applyNumberFormat="1" applyFont="1" applyBorder="1" applyAlignment="1">
      <alignment horizontal="centerContinuous"/>
    </xf>
    <xf numFmtId="41" fontId="5" fillId="0" borderId="0" xfId="2" applyNumberFormat="1" applyFont="1" applyBorder="1" applyAlignment="1">
      <alignment horizontal="center"/>
    </xf>
    <xf numFmtId="41" fontId="5" fillId="0" borderId="4" xfId="2" applyNumberFormat="1" applyFont="1" applyBorder="1" applyAlignment="1">
      <alignment horizontal="center"/>
    </xf>
    <xf numFmtId="41" fontId="4" fillId="0" borderId="0" xfId="2" applyNumberFormat="1" applyFont="1" applyBorder="1"/>
    <xf numFmtId="41" fontId="3" fillId="0" borderId="0" xfId="2" applyNumberFormat="1" applyFont="1" applyBorder="1"/>
    <xf numFmtId="41" fontId="4" fillId="0" borderId="1" xfId="2" applyNumberFormat="1" applyFont="1" applyBorder="1" applyAlignment="1"/>
    <xf numFmtId="41" fontId="3" fillId="0" borderId="4" xfId="2" applyNumberFormat="1" applyFont="1" applyBorder="1"/>
    <xf numFmtId="10" fontId="4" fillId="0" borderId="0" xfId="0" applyNumberFormat="1" applyFont="1"/>
    <xf numFmtId="44" fontId="4" fillId="0" borderId="0" xfId="2" applyFont="1" applyFill="1"/>
    <xf numFmtId="164" fontId="4" fillId="0" borderId="0" xfId="2" applyNumberFormat="1" applyFont="1" applyFill="1"/>
    <xf numFmtId="164" fontId="4" fillId="0" borderId="1" xfId="2" applyNumberFormat="1" applyFont="1" applyFill="1" applyBorder="1"/>
    <xf numFmtId="3" fontId="4" fillId="0" borderId="0" xfId="0" applyNumberFormat="1" applyFont="1" applyAlignment="1">
      <alignment horizontal="centerContinuous" vertical="center"/>
    </xf>
    <xf numFmtId="167" fontId="5" fillId="0" borderId="0" xfId="1" applyNumberFormat="1" applyFont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/>
    <xf numFmtId="0" fontId="4" fillId="0" borderId="0" xfId="1" applyNumberFormat="1" applyFont="1"/>
    <xf numFmtId="165" fontId="4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4" fillId="0" borderId="2" xfId="0" applyNumberFormat="1" applyFont="1" applyBorder="1"/>
    <xf numFmtId="10" fontId="4" fillId="0" borderId="6" xfId="3" applyNumberFormat="1" applyFont="1" applyBorder="1" applyAlignment="1">
      <alignment horizontal="center"/>
    </xf>
    <xf numFmtId="167" fontId="4" fillId="0" borderId="0" xfId="1" applyNumberFormat="1" applyFont="1" applyFill="1" applyAlignment="1">
      <alignment vertical="center"/>
    </xf>
    <xf numFmtId="167" fontId="22" fillId="0" borderId="0" xfId="1" applyNumberFormat="1" applyFont="1" applyFill="1" applyBorder="1" applyAlignment="1">
      <alignment horizontal="right"/>
    </xf>
    <xf numFmtId="167" fontId="4" fillId="0" borderId="12" xfId="5" applyNumberFormat="1" applyFont="1" applyBorder="1" applyAlignment="1">
      <alignment horizontal="left"/>
    </xf>
    <xf numFmtId="167" fontId="4" fillId="0" borderId="12" xfId="5" applyNumberFormat="1" applyFont="1" applyBorder="1" applyAlignment="1">
      <alignment horizontal="center"/>
    </xf>
    <xf numFmtId="167" fontId="4" fillId="0" borderId="12" xfId="5" applyNumberFormat="1" applyFont="1" applyBorder="1"/>
    <xf numFmtId="167" fontId="4" fillId="0" borderId="1" xfId="1" applyNumberFormat="1" applyFont="1" applyBorder="1" applyAlignment="1">
      <alignment vertical="center"/>
    </xf>
    <xf numFmtId="167" fontId="7" fillId="0" borderId="1" xfId="1" applyNumberFormat="1" applyFont="1" applyBorder="1"/>
    <xf numFmtId="167" fontId="4" fillId="0" borderId="0" xfId="5" applyNumberFormat="1" applyFont="1" applyBorder="1" applyAlignment="1">
      <alignment horizontal="center"/>
    </xf>
    <xf numFmtId="167" fontId="3" fillId="0" borderId="0" xfId="1" applyNumberFormat="1" applyFont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43" fontId="4" fillId="0" borderId="1" xfId="5" applyFont="1" applyBorder="1"/>
    <xf numFmtId="0" fontId="3" fillId="0" borderId="0" xfId="0" applyFont="1"/>
    <xf numFmtId="168" fontId="4" fillId="0" borderId="0" xfId="3" applyNumberFormat="1" applyFont="1" applyAlignment="1">
      <alignment vertical="center"/>
    </xf>
    <xf numFmtId="0" fontId="4" fillId="0" borderId="0" xfId="0" applyFont="1" applyAlignment="1">
      <alignment horizontal="left"/>
    </xf>
    <xf numFmtId="164" fontId="4" fillId="0" borderId="0" xfId="2" applyNumberFormat="1" applyFont="1" applyBorder="1" applyAlignment="1"/>
    <xf numFmtId="43" fontId="4" fillId="0" borderId="1" xfId="1" applyFont="1" applyBorder="1"/>
    <xf numFmtId="0" fontId="0" fillId="0" borderId="1" xfId="0" applyBorder="1"/>
    <xf numFmtId="164" fontId="0" fillId="0" borderId="0" xfId="2" applyNumberFormat="1" applyFont="1"/>
    <xf numFmtId="3" fontId="11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67" fontId="10" fillId="0" borderId="0" xfId="1" applyNumberFormat="1" applyFont="1" applyBorder="1" applyAlignment="1">
      <alignment horizontal="centerContinuous" vertical="center"/>
    </xf>
    <xf numFmtId="167" fontId="12" fillId="0" borderId="0" xfId="1" applyNumberFormat="1" applyFont="1" applyBorder="1" applyAlignment="1">
      <alignment horizontal="center" vertical="center"/>
    </xf>
    <xf numFmtId="167" fontId="5" fillId="0" borderId="0" xfId="1" applyNumberFormat="1" applyFont="1" applyBorder="1" applyAlignment="1">
      <alignment horizontal="center" vertical="center"/>
    </xf>
    <xf numFmtId="167" fontId="4" fillId="0" borderId="0" xfId="1" applyNumberFormat="1" applyFont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167" fontId="7" fillId="0" borderId="0" xfId="1" applyNumberFormat="1" applyFont="1" applyBorder="1" applyAlignment="1">
      <alignment vertical="center"/>
    </xf>
    <xf numFmtId="167" fontId="17" fillId="0" borderId="0" xfId="1" applyNumberFormat="1" applyFont="1" applyBorder="1" applyAlignment="1">
      <alignment vertical="center"/>
    </xf>
    <xf numFmtId="167" fontId="10" fillId="0" borderId="0" xfId="1" applyNumberFormat="1" applyFont="1" applyBorder="1" applyAlignment="1"/>
    <xf numFmtId="44" fontId="20" fillId="0" borderId="0" xfId="2" applyFont="1" applyBorder="1" applyAlignment="1"/>
    <xf numFmtId="43" fontId="24" fillId="0" borderId="0" xfId="1" applyFont="1" applyAlignment="1">
      <alignment horizontal="left" vertical="top"/>
    </xf>
    <xf numFmtId="170" fontId="24" fillId="0" borderId="0" xfId="1" applyNumberFormat="1" applyFont="1" applyAlignment="1">
      <alignment horizontal="right" vertical="top"/>
    </xf>
    <xf numFmtId="171" fontId="24" fillId="0" borderId="0" xfId="1" applyNumberFormat="1" applyFont="1" applyAlignment="1">
      <alignment horizontal="right" vertical="top"/>
    </xf>
    <xf numFmtId="172" fontId="24" fillId="0" borderId="0" xfId="1" applyNumberFormat="1" applyFont="1" applyAlignment="1">
      <alignment horizontal="right" vertical="top"/>
    </xf>
    <xf numFmtId="173" fontId="24" fillId="0" borderId="0" xfId="1" applyNumberFormat="1" applyFont="1" applyAlignment="1">
      <alignment horizontal="right" vertical="top"/>
    </xf>
    <xf numFmtId="174" fontId="24" fillId="0" borderId="0" xfId="1" applyNumberFormat="1" applyFont="1" applyAlignment="1">
      <alignment horizontal="right" vertical="top"/>
    </xf>
    <xf numFmtId="175" fontId="24" fillId="0" borderId="0" xfId="1" applyNumberFormat="1" applyFont="1" applyAlignment="1">
      <alignment horizontal="right" vertical="top"/>
    </xf>
    <xf numFmtId="176" fontId="24" fillId="0" borderId="0" xfId="1" applyNumberFormat="1" applyFont="1" applyAlignment="1">
      <alignment horizontal="right" vertical="top"/>
    </xf>
    <xf numFmtId="172" fontId="24" fillId="0" borderId="0" xfId="1" applyNumberFormat="1" applyFont="1" applyAlignment="1">
      <alignment horizontal="right"/>
    </xf>
    <xf numFmtId="177" fontId="24" fillId="0" borderId="0" xfId="1" applyNumberFormat="1" applyFont="1" applyAlignment="1">
      <alignment horizontal="right" vertical="top"/>
    </xf>
    <xf numFmtId="178" fontId="24" fillId="0" borderId="0" xfId="1" applyNumberFormat="1" applyFont="1" applyAlignment="1">
      <alignment horizontal="right" vertical="top"/>
    </xf>
    <xf numFmtId="179" fontId="24" fillId="0" borderId="0" xfId="1" applyNumberFormat="1" applyFont="1" applyAlignment="1">
      <alignment horizontal="right" vertical="top"/>
    </xf>
    <xf numFmtId="180" fontId="24" fillId="0" borderId="0" xfId="1" applyNumberFormat="1" applyFont="1" applyAlignment="1">
      <alignment horizontal="right" vertical="top"/>
    </xf>
    <xf numFmtId="0" fontId="25" fillId="0" borderId="0" xfId="0" applyFont="1" applyAlignment="1">
      <alignment horizontal="left" vertical="center" indent="4"/>
    </xf>
    <xf numFmtId="0" fontId="25" fillId="0" borderId="0" xfId="0" applyFont="1"/>
    <xf numFmtId="172" fontId="10" fillId="0" borderId="0" xfId="0" applyNumberFormat="1" applyFont="1"/>
    <xf numFmtId="173" fontId="10" fillId="0" borderId="0" xfId="0" applyNumberFormat="1" applyFont="1"/>
    <xf numFmtId="178" fontId="10" fillId="0" borderId="0" xfId="0" applyNumberFormat="1" applyFont="1"/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7" fontId="8" fillId="0" borderId="0" xfId="1" applyNumberFormat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7" fontId="8" fillId="0" borderId="2" xfId="5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15" fillId="0" borderId="2" xfId="5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167" fontId="10" fillId="0" borderId="2" xfId="5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Normal 2" xfId="7" xr:uid="{00000000-0005-0000-0000-000005000000}"/>
    <cellStyle name="Percent" xfId="3" builtinId="5"/>
    <cellStyle name="Percent 2" xfId="6" xr:uid="{00000000-0005-0000-0000-000007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146</xdr:row>
      <xdr:rowOff>0</xdr:rowOff>
    </xdr:from>
    <xdr:to>
      <xdr:col>7</xdr:col>
      <xdr:colOff>847725</xdr:colOff>
      <xdr:row>146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59C14D01-5E90-46DA-8475-0EBB1B36864D}"/>
            </a:ext>
          </a:extLst>
        </xdr:cNvPr>
        <xdr:cNvSpPr>
          <a:spLocks noChangeShapeType="1"/>
        </xdr:cNvSpPr>
      </xdr:nvSpPr>
      <xdr:spPr bwMode="auto">
        <a:xfrm flipH="1" flipV="1">
          <a:off x="3971925" y="12011025"/>
          <a:ext cx="3248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140</xdr:row>
      <xdr:rowOff>133350</xdr:rowOff>
    </xdr:from>
    <xdr:to>
      <xdr:col>8</xdr:col>
      <xdr:colOff>28575</xdr:colOff>
      <xdr:row>140</xdr:row>
      <xdr:rowOff>133350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F072BF8D-79F3-40FE-9E6C-BFA9DCC21D20}"/>
            </a:ext>
          </a:extLst>
        </xdr:cNvPr>
        <xdr:cNvSpPr>
          <a:spLocks noChangeShapeType="1"/>
        </xdr:cNvSpPr>
      </xdr:nvSpPr>
      <xdr:spPr bwMode="auto">
        <a:xfrm flipH="1" flipV="1">
          <a:off x="5286375" y="17907000"/>
          <a:ext cx="42957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55"/>
  <sheetViews>
    <sheetView showGridLines="0" topLeftCell="A24" workbookViewId="0">
      <selection activeCell="I34" sqref="I34"/>
    </sheetView>
  </sheetViews>
  <sheetFormatPr defaultColWidth="8.88671875" defaultRowHeight="15.75" x14ac:dyDescent="0.5"/>
  <cols>
    <col min="1" max="1" width="3.6640625" style="23" customWidth="1"/>
    <col min="2" max="2" width="2.6640625" style="23" customWidth="1"/>
    <col min="3" max="3" width="28" style="23" customWidth="1"/>
    <col min="4" max="4" width="11.88671875" style="85" bestFit="1" customWidth="1"/>
    <col min="5" max="5" width="10.21875" style="23" customWidth="1"/>
    <col min="6" max="6" width="4.88671875" style="19" customWidth="1"/>
    <col min="7" max="7" width="9.77734375" style="85" customWidth="1"/>
    <col min="8" max="8" width="4.44140625" style="23" customWidth="1"/>
    <col min="9" max="9" width="11.33203125" style="24" customWidth="1"/>
    <col min="10" max="253" width="9.6640625" style="23" customWidth="1"/>
    <col min="254" max="255" width="9.6640625" style="24" customWidth="1"/>
    <col min="256" max="16384" width="8.88671875" style="24"/>
  </cols>
  <sheetData>
    <row r="1" spans="1:17" ht="18" x14ac:dyDescent="0.5">
      <c r="A1" s="20" t="s">
        <v>0</v>
      </c>
      <c r="B1" s="21"/>
      <c r="C1" s="21"/>
      <c r="D1" s="163"/>
      <c r="E1" s="21"/>
      <c r="F1" s="226"/>
      <c r="G1" s="163"/>
      <c r="H1" s="22"/>
      <c r="I1" s="229"/>
      <c r="J1" s="22"/>
      <c r="K1" s="22"/>
      <c r="L1" s="22"/>
      <c r="M1" s="22"/>
      <c r="N1" s="22"/>
    </row>
    <row r="2" spans="1:17" ht="18.75" customHeight="1" x14ac:dyDescent="0.5">
      <c r="A2" s="286" t="s">
        <v>1</v>
      </c>
      <c r="B2" s="286"/>
      <c r="C2" s="286"/>
      <c r="D2" s="286"/>
      <c r="E2" s="286"/>
      <c r="F2" s="286"/>
      <c r="G2" s="286"/>
      <c r="H2" s="110"/>
      <c r="I2" s="230"/>
      <c r="J2" s="22"/>
      <c r="K2" s="110"/>
      <c r="L2" s="110"/>
      <c r="M2" s="110"/>
      <c r="N2" s="110"/>
      <c r="O2" s="110"/>
      <c r="P2" s="110"/>
      <c r="Q2" s="110"/>
    </row>
    <row r="3" spans="1:17" ht="18.75" customHeight="1" x14ac:dyDescent="0.5">
      <c r="A3" s="286" t="s">
        <v>2</v>
      </c>
      <c r="B3" s="286"/>
      <c r="C3" s="286"/>
      <c r="D3" s="286"/>
      <c r="E3" s="286"/>
      <c r="F3" s="286"/>
      <c r="G3" s="286"/>
      <c r="H3" s="110"/>
      <c r="I3" s="230"/>
      <c r="J3" s="22"/>
      <c r="K3" s="110"/>
      <c r="L3" s="110"/>
      <c r="M3" s="110"/>
      <c r="N3" s="110"/>
      <c r="O3" s="110"/>
      <c r="P3" s="110"/>
      <c r="Q3" s="110"/>
    </row>
    <row r="4" spans="1:17" x14ac:dyDescent="0.5">
      <c r="A4" s="22"/>
      <c r="B4" s="22"/>
      <c r="C4" s="22"/>
      <c r="D4" s="165"/>
      <c r="E4" s="25"/>
      <c r="F4" s="27"/>
      <c r="G4" s="164"/>
      <c r="H4" s="22"/>
      <c r="I4" s="229"/>
      <c r="J4" s="22"/>
      <c r="K4" s="22"/>
      <c r="L4" s="22"/>
      <c r="M4" s="22"/>
      <c r="N4" s="22"/>
    </row>
    <row r="5" spans="1:17" x14ac:dyDescent="0.5">
      <c r="A5" s="26"/>
      <c r="B5" s="26"/>
      <c r="C5" s="26"/>
      <c r="D5" s="128" t="s">
        <v>3</v>
      </c>
      <c r="E5" s="27" t="s">
        <v>4</v>
      </c>
      <c r="F5" s="27" t="s">
        <v>5</v>
      </c>
      <c r="G5" s="128" t="s">
        <v>6</v>
      </c>
      <c r="H5" s="28"/>
      <c r="I5" s="231"/>
      <c r="J5" s="28"/>
      <c r="K5" s="28"/>
      <c r="L5" s="22"/>
      <c r="M5" s="22"/>
      <c r="N5" s="22"/>
    </row>
    <row r="6" spans="1:17" x14ac:dyDescent="0.5">
      <c r="A6" s="29" t="s">
        <v>7</v>
      </c>
      <c r="B6" s="26"/>
      <c r="C6" s="26"/>
      <c r="D6" s="28"/>
      <c r="E6" s="26"/>
      <c r="F6" s="26"/>
      <c r="G6" s="28"/>
      <c r="H6" s="28"/>
      <c r="I6" s="231"/>
      <c r="J6" s="28"/>
      <c r="K6" s="28"/>
      <c r="L6" s="22"/>
      <c r="M6" s="22"/>
      <c r="N6" s="22"/>
    </row>
    <row r="7" spans="1:17" x14ac:dyDescent="0.5">
      <c r="A7" s="26"/>
      <c r="B7" s="26" t="s">
        <v>8</v>
      </c>
      <c r="C7" s="26"/>
      <c r="D7" s="28">
        <v>572507</v>
      </c>
      <c r="E7" s="28">
        <f>-(E12+E14+E15)</f>
        <v>-76679</v>
      </c>
      <c r="F7" s="30" t="s">
        <v>9</v>
      </c>
      <c r="G7" s="24"/>
      <c r="H7" s="34"/>
      <c r="I7" s="231"/>
      <c r="J7" s="28"/>
      <c r="K7" s="28"/>
      <c r="L7" s="22"/>
      <c r="M7" s="22"/>
      <c r="N7" s="22"/>
    </row>
    <row r="8" spans="1:17" x14ac:dyDescent="0.5">
      <c r="A8" s="26"/>
      <c r="B8" s="26"/>
      <c r="C8" s="26"/>
      <c r="D8" s="28"/>
      <c r="E8" s="28">
        <v>-7950</v>
      </c>
      <c r="F8" s="30" t="s">
        <v>10</v>
      </c>
      <c r="G8" s="28"/>
      <c r="H8" s="34"/>
      <c r="I8" s="231"/>
      <c r="J8" s="28"/>
      <c r="K8" s="28"/>
      <c r="L8" s="22"/>
      <c r="M8" s="22"/>
      <c r="N8" s="22"/>
    </row>
    <row r="9" spans="1:17" x14ac:dyDescent="0.5">
      <c r="A9" s="26"/>
      <c r="B9" s="26"/>
      <c r="C9" s="26"/>
      <c r="D9" s="28"/>
      <c r="E9" s="28">
        <f>-(D7+E7+E8+E10-ExBAw!G11)</f>
        <v>-88505.495240000018</v>
      </c>
      <c r="F9" s="30" t="s">
        <v>11</v>
      </c>
      <c r="G9" s="28"/>
      <c r="H9" s="34"/>
      <c r="I9" s="231"/>
      <c r="J9" s="28"/>
      <c r="K9" s="28"/>
      <c r="L9" s="22"/>
      <c r="M9" s="22"/>
      <c r="N9" s="22"/>
    </row>
    <row r="10" spans="1:17" x14ac:dyDescent="0.5">
      <c r="A10" s="26"/>
      <c r="B10" s="26"/>
      <c r="C10" s="26"/>
      <c r="D10" s="28"/>
      <c r="E10" s="28">
        <v>-960</v>
      </c>
      <c r="F10" s="30" t="s">
        <v>12</v>
      </c>
      <c r="G10" s="28">
        <f>SUM(D7:E10)</f>
        <v>398412.50475999998</v>
      </c>
      <c r="H10" s="34"/>
      <c r="I10" s="231" t="s">
        <v>13</v>
      </c>
      <c r="J10" s="28"/>
      <c r="K10" s="28"/>
      <c r="L10" s="22"/>
      <c r="M10" s="22"/>
      <c r="N10" s="22"/>
    </row>
    <row r="11" spans="1:17" x14ac:dyDescent="0.5">
      <c r="A11" s="26"/>
      <c r="B11" s="26" t="s">
        <v>14</v>
      </c>
      <c r="C11" s="26"/>
      <c r="D11" s="28"/>
      <c r="E11" s="28"/>
      <c r="F11" s="30"/>
      <c r="G11" s="28">
        <f>SUM(D11:E11)</f>
        <v>0</v>
      </c>
      <c r="H11" s="34"/>
      <c r="I11" s="231"/>
      <c r="J11" s="28"/>
      <c r="K11" s="28"/>
      <c r="L11" s="22"/>
      <c r="M11" s="22"/>
      <c r="N11" s="22"/>
    </row>
    <row r="12" spans="1:17" x14ac:dyDescent="0.5">
      <c r="A12" s="26"/>
      <c r="B12" s="26" t="s">
        <v>15</v>
      </c>
      <c r="C12" s="26"/>
      <c r="D12" s="28"/>
      <c r="E12" s="28">
        <f>ExBAw!G12</f>
        <v>48660</v>
      </c>
      <c r="F12" s="30" t="str">
        <f>F7</f>
        <v>(A)</v>
      </c>
      <c r="G12" s="28">
        <f>SUM(D12:E12)</f>
        <v>48660</v>
      </c>
      <c r="H12" s="34"/>
      <c r="I12" s="231"/>
      <c r="J12" s="28"/>
      <c r="K12" s="28"/>
      <c r="L12" s="22"/>
      <c r="M12" s="22"/>
      <c r="N12" s="22"/>
    </row>
    <row r="13" spans="1:17" x14ac:dyDescent="0.5">
      <c r="A13" s="26"/>
      <c r="B13" s="26" t="s">
        <v>16</v>
      </c>
      <c r="C13" s="26"/>
      <c r="D13" s="28"/>
      <c r="E13" s="28"/>
      <c r="F13" s="30"/>
      <c r="G13" s="28"/>
      <c r="H13" s="28"/>
      <c r="I13" s="231"/>
      <c r="J13" s="28"/>
      <c r="K13" s="28"/>
      <c r="L13" s="22"/>
      <c r="M13" s="22"/>
      <c r="N13" s="22"/>
    </row>
    <row r="14" spans="1:17" x14ac:dyDescent="0.5">
      <c r="A14" s="26"/>
      <c r="B14" s="26"/>
      <c r="C14" s="26" t="s">
        <v>17</v>
      </c>
      <c r="D14" s="28"/>
      <c r="E14" s="28">
        <v>23429</v>
      </c>
      <c r="F14" s="30" t="str">
        <f>F7</f>
        <v>(A)</v>
      </c>
      <c r="G14" s="28">
        <f>SUM(D14:E14)</f>
        <v>23429</v>
      </c>
      <c r="H14" s="34"/>
      <c r="I14" s="231"/>
      <c r="J14" s="28"/>
      <c r="K14" s="64"/>
      <c r="L14" s="22"/>
      <c r="M14" s="22"/>
      <c r="N14" s="22"/>
    </row>
    <row r="15" spans="1:17" x14ac:dyDescent="0.5">
      <c r="A15" s="26"/>
      <c r="B15" s="26"/>
      <c r="C15" s="26" t="s">
        <v>18</v>
      </c>
      <c r="D15" s="28"/>
      <c r="E15" s="238">
        <v>4590</v>
      </c>
      <c r="F15" s="30" t="str">
        <f>F7</f>
        <v>(A)</v>
      </c>
      <c r="G15" s="28">
        <f>SUM(D15:E15)</f>
        <v>4590</v>
      </c>
      <c r="H15" s="34"/>
      <c r="I15" s="231"/>
      <c r="J15" s="28"/>
      <c r="K15" s="28"/>
      <c r="L15" s="22"/>
      <c r="M15" s="22"/>
      <c r="N15" s="22"/>
    </row>
    <row r="16" spans="1:17" ht="16.5" x14ac:dyDescent="0.5">
      <c r="A16" s="26"/>
      <c r="B16" s="26"/>
      <c r="C16" s="26" t="s">
        <v>19</v>
      </c>
      <c r="D16" s="243"/>
      <c r="E16" s="122"/>
      <c r="F16" s="30"/>
      <c r="G16" s="243">
        <f>SUM(D16:E16)</f>
        <v>0</v>
      </c>
      <c r="H16" s="34"/>
      <c r="I16" s="231"/>
      <c r="J16" s="28"/>
      <c r="K16" s="28"/>
      <c r="L16" s="22"/>
      <c r="M16" s="22"/>
      <c r="N16" s="22"/>
    </row>
    <row r="17" spans="1:14" x14ac:dyDescent="0.5">
      <c r="A17" s="31" t="s">
        <v>20</v>
      </c>
      <c r="B17" s="26"/>
      <c r="C17" s="26"/>
      <c r="D17" s="28">
        <f>SUM(D7:D16)</f>
        <v>572507</v>
      </c>
      <c r="E17" s="28">
        <f>SUM(E7:E16)</f>
        <v>-97415.495240000018</v>
      </c>
      <c r="F17" s="30"/>
      <c r="G17" s="28">
        <f>SUM(G8:G16)</f>
        <v>475091.50475999998</v>
      </c>
      <c r="H17" s="28"/>
      <c r="I17" s="231"/>
      <c r="J17" s="28"/>
      <c r="K17" s="28"/>
      <c r="L17" s="22"/>
      <c r="M17" s="22"/>
      <c r="N17" s="22"/>
    </row>
    <row r="18" spans="1:14" x14ac:dyDescent="0.5">
      <c r="A18" s="26"/>
      <c r="B18" s="26"/>
      <c r="C18" s="26"/>
      <c r="D18" s="28"/>
      <c r="E18" s="28"/>
      <c r="F18" s="30"/>
      <c r="G18" s="28"/>
      <c r="H18" s="28"/>
      <c r="I18" s="231"/>
      <c r="J18" s="28"/>
      <c r="K18" s="28"/>
      <c r="M18" s="22"/>
      <c r="N18" s="22"/>
    </row>
    <row r="19" spans="1:14" x14ac:dyDescent="0.5">
      <c r="A19" s="29" t="s">
        <v>21</v>
      </c>
      <c r="B19" s="26"/>
      <c r="C19" s="26"/>
      <c r="D19" s="28"/>
      <c r="E19" s="28"/>
      <c r="F19" s="30"/>
      <c r="G19" s="28"/>
      <c r="H19" s="28"/>
      <c r="I19" s="231"/>
      <c r="J19" s="28"/>
      <c r="K19" s="28"/>
      <c r="M19" s="22"/>
      <c r="N19" s="22"/>
    </row>
    <row r="20" spans="1:14" x14ac:dyDescent="0.5">
      <c r="A20" s="26"/>
      <c r="B20" s="26" t="s">
        <v>22</v>
      </c>
      <c r="C20" s="26"/>
      <c r="D20" s="28"/>
      <c r="E20" s="28"/>
      <c r="F20" s="30"/>
      <c r="G20" s="28"/>
      <c r="H20" s="28"/>
      <c r="I20" s="231"/>
      <c r="J20" s="28"/>
      <c r="K20" s="22"/>
      <c r="L20" s="22"/>
      <c r="M20" s="22"/>
      <c r="N20" s="22"/>
    </row>
    <row r="21" spans="1:14" x14ac:dyDescent="0.5">
      <c r="A21" s="26"/>
      <c r="B21" s="26"/>
      <c r="C21" s="26" t="s">
        <v>23</v>
      </c>
      <c r="D21" s="28">
        <v>189192</v>
      </c>
      <c r="E21" s="28">
        <f>-'Tap Fees'!E5</f>
        <v>-3975</v>
      </c>
      <c r="F21" s="30" t="s">
        <v>24</v>
      </c>
      <c r="G21" s="28">
        <f>SUM(D21:E21)</f>
        <v>185217</v>
      </c>
      <c r="H21" s="34"/>
      <c r="I21" s="231"/>
      <c r="J21" s="28"/>
      <c r="K21" s="22"/>
      <c r="L21" s="22"/>
      <c r="M21" s="22"/>
      <c r="N21" s="22"/>
    </row>
    <row r="22" spans="1:14" x14ac:dyDescent="0.5">
      <c r="A22" s="26"/>
      <c r="B22" s="26"/>
      <c r="C22" s="26" t="s">
        <v>25</v>
      </c>
      <c r="D22" s="28">
        <v>8139</v>
      </c>
      <c r="E22" s="76"/>
      <c r="F22" s="30"/>
      <c r="G22" s="28">
        <f>D22+E22</f>
        <v>8139</v>
      </c>
      <c r="H22" s="28"/>
      <c r="J22" s="28"/>
      <c r="K22" s="28"/>
      <c r="L22" s="22"/>
      <c r="M22" s="22"/>
      <c r="N22" s="22"/>
    </row>
    <row r="23" spans="1:14" x14ac:dyDescent="0.5">
      <c r="A23" s="26"/>
      <c r="B23" s="26"/>
      <c r="C23" s="26" t="s">
        <v>26</v>
      </c>
      <c r="D23" s="28">
        <v>36181</v>
      </c>
      <c r="E23" s="28"/>
      <c r="F23" s="2"/>
      <c r="G23" s="3">
        <f>SUM(D23:E23)</f>
        <v>36181</v>
      </c>
      <c r="H23" s="34"/>
      <c r="I23" s="231"/>
      <c r="J23" s="28"/>
      <c r="K23" s="28"/>
      <c r="L23" s="22"/>
      <c r="M23" s="22"/>
      <c r="N23" s="22"/>
    </row>
    <row r="24" spans="1:14" x14ac:dyDescent="0.5">
      <c r="A24" s="26"/>
      <c r="B24" s="26"/>
      <c r="C24" s="26" t="s">
        <v>27</v>
      </c>
      <c r="D24" s="28">
        <v>32351</v>
      </c>
      <c r="E24" s="28">
        <f>-'Water Loss'!D30</f>
        <v>-3626.7217980052715</v>
      </c>
      <c r="F24" s="2" t="s">
        <v>28</v>
      </c>
      <c r="G24" s="28">
        <f t="shared" ref="G24:G31" si="0">D24+E24</f>
        <v>28724.27820199473</v>
      </c>
      <c r="H24" s="34"/>
      <c r="I24" s="232"/>
      <c r="J24" s="28"/>
      <c r="K24" s="28"/>
      <c r="L24" s="22"/>
      <c r="M24" s="22"/>
      <c r="N24" s="22"/>
    </row>
    <row r="25" spans="1:14" x14ac:dyDescent="0.5">
      <c r="A25" s="26"/>
      <c r="B25" s="26"/>
      <c r="C25" s="26" t="s">
        <v>29</v>
      </c>
      <c r="D25" s="28">
        <v>37230</v>
      </c>
      <c r="E25" s="28">
        <f>-'Water Loss'!D31</f>
        <v>-4173.6840449981846</v>
      </c>
      <c r="F25" s="2" t="s">
        <v>28</v>
      </c>
      <c r="G25" s="28">
        <f t="shared" si="0"/>
        <v>33056.315955001817</v>
      </c>
      <c r="H25" s="34"/>
      <c r="I25" s="231"/>
      <c r="J25" s="28"/>
      <c r="K25" s="28"/>
      <c r="L25" s="22"/>
      <c r="M25" s="22"/>
      <c r="N25" s="22"/>
    </row>
    <row r="26" spans="1:14" x14ac:dyDescent="0.5">
      <c r="A26" s="26"/>
      <c r="B26" s="26"/>
      <c r="C26" s="26" t="s">
        <v>30</v>
      </c>
      <c r="D26" s="28">
        <v>13258</v>
      </c>
      <c r="E26" s="28">
        <f>-'Water Loss'!D32</f>
        <v>-1486.2933942676855</v>
      </c>
      <c r="F26" s="30" t="str">
        <f>F24</f>
        <v>(F)</v>
      </c>
      <c r="G26" s="28">
        <f t="shared" si="0"/>
        <v>11771.706605732314</v>
      </c>
      <c r="H26" s="34"/>
      <c r="I26" s="231"/>
      <c r="J26" s="28"/>
      <c r="K26" s="28"/>
      <c r="L26" s="22"/>
      <c r="M26" s="22"/>
      <c r="N26" s="22"/>
    </row>
    <row r="27" spans="1:14" x14ac:dyDescent="0.5">
      <c r="A27" s="26"/>
      <c r="B27" s="26"/>
      <c r="C27" s="26" t="s">
        <v>31</v>
      </c>
      <c r="D27" s="28">
        <v>25980</v>
      </c>
      <c r="E27" s="28">
        <f>-'Tap Fees'!E6</f>
        <v>-3975</v>
      </c>
      <c r="F27" s="30" t="str">
        <f>F21</f>
        <v>(E)</v>
      </c>
      <c r="G27" s="28">
        <f t="shared" si="0"/>
        <v>22005</v>
      </c>
      <c r="H27" s="34"/>
      <c r="I27" s="231"/>
      <c r="J27" s="69"/>
      <c r="K27" s="28"/>
      <c r="L27" s="22"/>
      <c r="M27" s="22"/>
      <c r="N27" s="22"/>
    </row>
    <row r="28" spans="1:14" x14ac:dyDescent="0.5">
      <c r="A28" s="26"/>
      <c r="B28" s="26"/>
      <c r="C28" s="26" t="s">
        <v>32</v>
      </c>
      <c r="D28" s="28">
        <f>6590+3806</f>
        <v>10396</v>
      </c>
      <c r="E28" s="28"/>
      <c r="G28" s="28">
        <f t="shared" si="0"/>
        <v>10396</v>
      </c>
      <c r="H28" s="28"/>
      <c r="I28" s="231"/>
      <c r="J28" s="28"/>
      <c r="K28" s="28"/>
      <c r="L28" s="22"/>
      <c r="M28" s="22"/>
      <c r="N28" s="22"/>
    </row>
    <row r="29" spans="1:14" x14ac:dyDescent="0.5">
      <c r="A29" s="26"/>
      <c r="B29" s="26"/>
      <c r="C29" s="26" t="s">
        <v>33</v>
      </c>
      <c r="D29" s="28">
        <v>10812</v>
      </c>
      <c r="E29" s="28"/>
      <c r="F29" s="30"/>
      <c r="G29" s="28">
        <f t="shared" si="0"/>
        <v>10812</v>
      </c>
      <c r="H29" s="28"/>
      <c r="I29" s="231"/>
      <c r="J29" s="28"/>
      <c r="K29" s="28"/>
      <c r="L29" s="22"/>
      <c r="M29" s="22"/>
      <c r="N29" s="22"/>
    </row>
    <row r="30" spans="1:14" x14ac:dyDescent="0.5">
      <c r="A30" s="26"/>
      <c r="B30" s="26"/>
      <c r="C30" s="26" t="s">
        <v>34</v>
      </c>
      <c r="D30" s="28">
        <f>11264+17794</f>
        <v>29058</v>
      </c>
      <c r="E30" s="28"/>
      <c r="F30" s="30"/>
      <c r="G30" s="28">
        <f t="shared" si="0"/>
        <v>29058</v>
      </c>
      <c r="H30" s="28"/>
      <c r="I30" s="231"/>
      <c r="J30" s="24"/>
      <c r="K30" s="28"/>
      <c r="L30" s="22"/>
      <c r="M30" s="22"/>
      <c r="N30" s="22"/>
    </row>
    <row r="31" spans="1:14" x14ac:dyDescent="0.5">
      <c r="A31" s="26"/>
      <c r="B31" s="26"/>
      <c r="C31" s="26" t="s">
        <v>35</v>
      </c>
      <c r="D31" s="28">
        <v>79</v>
      </c>
      <c r="E31" s="28"/>
      <c r="F31" s="2"/>
      <c r="G31" s="28">
        <f t="shared" si="0"/>
        <v>79</v>
      </c>
      <c r="H31" s="28"/>
      <c r="I31" s="231"/>
      <c r="J31" s="28"/>
      <c r="K31" s="28"/>
      <c r="L31" s="22"/>
      <c r="M31" s="22"/>
      <c r="N31" s="22"/>
    </row>
    <row r="32" spans="1:14" x14ac:dyDescent="0.5">
      <c r="A32" s="26"/>
      <c r="B32" s="26"/>
      <c r="C32" s="26" t="s">
        <v>36</v>
      </c>
      <c r="D32" s="243">
        <v>32007</v>
      </c>
      <c r="E32" s="32"/>
      <c r="F32" s="2"/>
      <c r="G32" s="243">
        <f>SUM(D32:E32)</f>
        <v>32007</v>
      </c>
      <c r="H32" s="34"/>
      <c r="I32" s="231"/>
      <c r="J32" s="28"/>
      <c r="K32" s="28"/>
      <c r="L32" s="22"/>
      <c r="M32" s="22"/>
      <c r="N32" s="22"/>
    </row>
    <row r="33" spans="1:14" x14ac:dyDescent="0.5">
      <c r="A33" s="26"/>
      <c r="B33" s="31" t="s">
        <v>37</v>
      </c>
      <c r="C33" s="26"/>
      <c r="D33" s="28">
        <f>SUM(D21:D32)</f>
        <v>424683</v>
      </c>
      <c r="E33" s="28">
        <f>SUM(E21:E32)</f>
        <v>-17236.699237271143</v>
      </c>
      <c r="F33" s="30"/>
      <c r="G33" s="28">
        <f>SUM(G21:G32)</f>
        <v>407446.30076272885</v>
      </c>
      <c r="H33" s="28"/>
      <c r="I33" s="231"/>
      <c r="J33" s="28"/>
      <c r="K33" s="28"/>
      <c r="L33" s="22"/>
      <c r="M33" s="22"/>
      <c r="N33" s="22"/>
    </row>
    <row r="34" spans="1:14" x14ac:dyDescent="0.5">
      <c r="A34" s="26"/>
      <c r="B34" s="26" t="s">
        <v>38</v>
      </c>
      <c r="C34" s="26"/>
      <c r="D34" s="28">
        <v>101505</v>
      </c>
      <c r="E34" s="28">
        <f>Depreciation!K33</f>
        <v>9854</v>
      </c>
      <c r="F34" s="192" t="s">
        <v>39</v>
      </c>
      <c r="G34" s="28">
        <f>D34+E34</f>
        <v>111359</v>
      </c>
      <c r="H34" s="34"/>
      <c r="I34" s="231"/>
      <c r="J34" s="28"/>
      <c r="K34" s="28"/>
      <c r="L34" s="22"/>
      <c r="M34" s="22"/>
      <c r="N34" s="22"/>
    </row>
    <row r="35" spans="1:14" ht="16.5" x14ac:dyDescent="0.5">
      <c r="A35" s="26"/>
      <c r="B35" s="26" t="s">
        <v>40</v>
      </c>
      <c r="C35" s="26"/>
      <c r="D35" s="122">
        <v>17542</v>
      </c>
      <c r="E35" s="122">
        <f>-Allocations!C7</f>
        <v>-3864.3975</v>
      </c>
      <c r="F35" s="2" t="s">
        <v>41</v>
      </c>
      <c r="G35" s="122">
        <f>D35+E35</f>
        <v>13677.602500000001</v>
      </c>
      <c r="H35" s="34"/>
      <c r="I35" s="231"/>
      <c r="J35" s="28"/>
      <c r="K35" s="28"/>
      <c r="L35" s="22"/>
      <c r="M35" s="22"/>
      <c r="N35" s="22"/>
    </row>
    <row r="36" spans="1:14" ht="16.5" x14ac:dyDescent="0.5">
      <c r="A36" s="31" t="s">
        <v>42</v>
      </c>
      <c r="B36" s="26"/>
      <c r="C36" s="26"/>
      <c r="D36" s="122">
        <f>SUM(D33:D35)</f>
        <v>543730</v>
      </c>
      <c r="E36" s="122">
        <f>SUM(E33:E35)</f>
        <v>-11247.096737271142</v>
      </c>
      <c r="F36" s="30"/>
      <c r="G36" s="122">
        <f>SUM(G33:G35)</f>
        <v>532482.90326272883</v>
      </c>
      <c r="H36" s="162"/>
      <c r="I36" s="231"/>
      <c r="J36" s="28"/>
      <c r="K36" s="28"/>
      <c r="L36" s="22"/>
      <c r="M36" s="22"/>
      <c r="N36" s="22"/>
    </row>
    <row r="37" spans="1:14" x14ac:dyDescent="0.5">
      <c r="A37" s="31" t="s">
        <v>43</v>
      </c>
      <c r="B37" s="26"/>
      <c r="C37" s="26"/>
      <c r="D37" s="28">
        <f>D17-D36</f>
        <v>28777</v>
      </c>
      <c r="E37" s="28">
        <f>E17-E36</f>
        <v>-86168.398502728873</v>
      </c>
      <c r="F37" s="30"/>
      <c r="G37" s="28">
        <f>G17-G36</f>
        <v>-57391.398502728844</v>
      </c>
      <c r="H37" s="28"/>
      <c r="I37" s="231"/>
      <c r="J37" s="28"/>
      <c r="K37" s="28"/>
      <c r="L37" s="22"/>
      <c r="M37" s="22"/>
      <c r="N37" s="22"/>
    </row>
    <row r="38" spans="1:14" x14ac:dyDescent="0.5">
      <c r="A38" s="26"/>
      <c r="B38" s="26"/>
      <c r="C38" s="26"/>
      <c r="D38" s="28"/>
      <c r="E38" s="26"/>
      <c r="F38" s="30"/>
      <c r="G38" s="28"/>
      <c r="H38" s="28"/>
      <c r="I38" s="231"/>
      <c r="J38" s="28"/>
      <c r="K38" s="28"/>
      <c r="L38" s="22"/>
      <c r="M38" s="22"/>
      <c r="N38" s="22"/>
    </row>
    <row r="39" spans="1:14" x14ac:dyDescent="0.5">
      <c r="A39" s="287" t="s">
        <v>44</v>
      </c>
      <c r="B39" s="287"/>
      <c r="C39" s="287"/>
      <c r="D39" s="287"/>
      <c r="E39" s="287"/>
      <c r="F39" s="287"/>
      <c r="G39" s="287"/>
      <c r="H39" s="28"/>
      <c r="I39" s="231"/>
      <c r="J39" s="28"/>
      <c r="K39" s="28"/>
      <c r="L39" s="22"/>
      <c r="M39" s="22"/>
      <c r="N39" s="22"/>
    </row>
    <row r="40" spans="1:14" x14ac:dyDescent="0.5">
      <c r="A40" s="31" t="s">
        <v>45</v>
      </c>
      <c r="B40" s="26"/>
      <c r="C40" s="26"/>
      <c r="D40" s="32"/>
      <c r="E40" s="26"/>
      <c r="F40" s="30"/>
      <c r="G40" s="28">
        <f>G36</f>
        <v>532482.90326272883</v>
      </c>
      <c r="H40" s="28"/>
      <c r="I40" s="231"/>
      <c r="J40" s="28"/>
      <c r="K40" s="28"/>
      <c r="L40" s="22"/>
      <c r="M40" s="22"/>
      <c r="N40" s="22"/>
    </row>
    <row r="41" spans="1:14" x14ac:dyDescent="0.5">
      <c r="A41" s="26" t="s">
        <v>46</v>
      </c>
      <c r="B41" s="26"/>
      <c r="C41" s="26" t="s">
        <v>47</v>
      </c>
      <c r="D41" s="32"/>
      <c r="E41" s="26"/>
      <c r="F41" s="2"/>
      <c r="G41" s="28">
        <f>'Debt Service'!M20</f>
        <v>92002.8</v>
      </c>
      <c r="H41" s="28"/>
      <c r="I41" s="231"/>
      <c r="J41" s="28"/>
      <c r="K41" s="28"/>
      <c r="L41" s="22"/>
      <c r="M41" s="22"/>
      <c r="N41" s="22"/>
    </row>
    <row r="42" spans="1:14" ht="16.5" x14ac:dyDescent="0.5">
      <c r="A42" s="26"/>
      <c r="B42" s="26"/>
      <c r="C42" s="26" t="s">
        <v>48</v>
      </c>
      <c r="D42" s="32"/>
      <c r="E42" s="26"/>
      <c r="F42" s="2"/>
      <c r="G42" s="122">
        <f>'Debt Service'!M21</f>
        <v>18400.560000000001</v>
      </c>
      <c r="H42" s="28"/>
      <c r="I42" s="1"/>
      <c r="J42" s="28"/>
      <c r="K42" s="28"/>
      <c r="L42" s="22"/>
      <c r="M42" s="22"/>
      <c r="N42" s="22"/>
    </row>
    <row r="43" spans="1:14" x14ac:dyDescent="0.5">
      <c r="A43" s="31" t="s">
        <v>49</v>
      </c>
      <c r="B43" s="26"/>
      <c r="C43" s="26"/>
      <c r="D43" s="32"/>
      <c r="E43" s="26"/>
      <c r="F43" s="30"/>
      <c r="G43" s="28">
        <f>SUM(G40:G42)</f>
        <v>642886.26326272893</v>
      </c>
      <c r="H43" s="28"/>
      <c r="J43" s="28"/>
      <c r="K43" s="28"/>
      <c r="L43" s="22"/>
      <c r="M43" s="22"/>
      <c r="N43" s="22"/>
    </row>
    <row r="44" spans="1:14" x14ac:dyDescent="0.5">
      <c r="A44" s="26" t="s">
        <v>50</v>
      </c>
      <c r="B44" s="26"/>
      <c r="C44" s="26" t="s">
        <v>51</v>
      </c>
      <c r="D44" s="32"/>
      <c r="E44" s="26"/>
      <c r="F44" s="30"/>
      <c r="G44" s="123">
        <f>-SUM(G14:G16)</f>
        <v>-28019</v>
      </c>
      <c r="H44" s="28"/>
      <c r="J44" s="28"/>
      <c r="K44" s="28"/>
      <c r="L44" s="22"/>
      <c r="M44" s="22"/>
      <c r="N44" s="22"/>
    </row>
    <row r="45" spans="1:14" x14ac:dyDescent="0.5">
      <c r="A45" s="26"/>
      <c r="B45" s="26"/>
      <c r="C45" s="26" t="s">
        <v>52</v>
      </c>
      <c r="D45" s="32"/>
      <c r="E45" s="26"/>
      <c r="F45" s="30"/>
      <c r="G45" s="123">
        <v>-24239</v>
      </c>
      <c r="H45" s="28"/>
      <c r="J45" s="28"/>
      <c r="K45" s="28"/>
      <c r="L45" s="22"/>
      <c r="M45" s="22"/>
      <c r="N45" s="22"/>
    </row>
    <row r="46" spans="1:14" x14ac:dyDescent="0.5">
      <c r="A46" s="26"/>
      <c r="B46" s="26"/>
      <c r="C46" s="26" t="s">
        <v>53</v>
      </c>
      <c r="D46" s="32"/>
      <c r="E46" s="26"/>
      <c r="F46" s="30"/>
      <c r="G46" s="123">
        <v>-4820</v>
      </c>
      <c r="H46" s="28"/>
      <c r="J46" s="28"/>
      <c r="K46" s="28"/>
      <c r="L46" s="22"/>
      <c r="M46" s="22"/>
      <c r="N46" s="22"/>
    </row>
    <row r="47" spans="1:14" ht="16.5" x14ac:dyDescent="0.5">
      <c r="A47" s="26"/>
      <c r="B47" s="26"/>
      <c r="C47" s="26" t="s">
        <v>54</v>
      </c>
      <c r="D47" s="32"/>
      <c r="E47" s="26"/>
      <c r="F47" s="30"/>
      <c r="G47" s="122">
        <v>-38</v>
      </c>
      <c r="H47" s="28"/>
      <c r="J47" s="28"/>
      <c r="K47" s="28"/>
      <c r="L47" s="22"/>
      <c r="M47" s="22"/>
      <c r="N47" s="22"/>
    </row>
    <row r="48" spans="1:14" x14ac:dyDescent="0.5">
      <c r="A48" s="31" t="s">
        <v>55</v>
      </c>
      <c r="B48" s="26"/>
      <c r="C48" s="26"/>
      <c r="D48" s="32"/>
      <c r="E48" s="26"/>
      <c r="F48" s="30"/>
      <c r="G48" s="28">
        <f>SUM(G43:G47)</f>
        <v>585770.26326272893</v>
      </c>
      <c r="I48" s="233"/>
      <c r="J48" s="65"/>
      <c r="K48" s="28"/>
      <c r="L48" s="26"/>
      <c r="M48" s="26"/>
      <c r="N48" s="26"/>
    </row>
    <row r="49" spans="1:14" ht="16.5" x14ac:dyDescent="0.5">
      <c r="A49" s="26" t="s">
        <v>50</v>
      </c>
      <c r="B49" s="26"/>
      <c r="C49" s="26" t="s">
        <v>56</v>
      </c>
      <c r="D49" s="32"/>
      <c r="E49" s="26"/>
      <c r="F49" s="30"/>
      <c r="G49" s="122">
        <f>-(G10+G12)</f>
        <v>-447072.50475999998</v>
      </c>
      <c r="H49" s="28"/>
      <c r="I49" s="1"/>
      <c r="J49" s="28"/>
      <c r="K49" s="28"/>
      <c r="L49" s="26"/>
      <c r="M49" s="26"/>
      <c r="N49" s="26"/>
    </row>
    <row r="50" spans="1:14" x14ac:dyDescent="0.5">
      <c r="A50" s="31" t="s">
        <v>57</v>
      </c>
      <c r="B50" s="26"/>
      <c r="C50" s="26"/>
      <c r="D50" s="32"/>
      <c r="E50" s="26"/>
      <c r="F50" s="30"/>
      <c r="G50" s="28">
        <f>G48+G49</f>
        <v>138697.75850272895</v>
      </c>
      <c r="H50" s="28"/>
      <c r="I50" s="1"/>
      <c r="J50" s="28"/>
      <c r="K50" s="28"/>
      <c r="L50" s="26"/>
      <c r="M50" s="26"/>
      <c r="N50" s="26"/>
    </row>
    <row r="51" spans="1:14" ht="16.5" x14ac:dyDescent="0.5">
      <c r="A51" s="31" t="s">
        <v>58</v>
      </c>
      <c r="B51" s="26"/>
      <c r="C51" s="26"/>
      <c r="D51" s="32"/>
      <c r="E51" s="26"/>
      <c r="F51" s="30"/>
      <c r="G51" s="251">
        <f>ROUND(G50/-G49,4)</f>
        <v>0.31019999999999998</v>
      </c>
      <c r="H51" s="22"/>
      <c r="J51" s="33"/>
      <c r="K51" s="122"/>
      <c r="L51" s="26"/>
      <c r="M51" s="26"/>
      <c r="N51" s="26"/>
    </row>
    <row r="52" spans="1:14" x14ac:dyDescent="0.5">
      <c r="A52" s="19"/>
      <c r="B52" s="19"/>
      <c r="C52" s="19"/>
      <c r="D52" s="32"/>
      <c r="E52" s="19"/>
      <c r="G52" s="32"/>
      <c r="I52" s="1"/>
      <c r="J52" s="19"/>
      <c r="K52" s="19"/>
      <c r="L52" s="19"/>
      <c r="M52" s="19"/>
      <c r="N52" s="19"/>
    </row>
    <row r="53" spans="1:14" x14ac:dyDescent="0.5">
      <c r="D53" s="166"/>
      <c r="E53" s="159"/>
      <c r="G53" s="28"/>
      <c r="H53" s="159"/>
      <c r="I53" s="1"/>
      <c r="J53" s="19"/>
      <c r="K53" s="19"/>
      <c r="L53" s="19"/>
      <c r="M53" s="19"/>
      <c r="N53" s="19"/>
    </row>
    <row r="54" spans="1:14" x14ac:dyDescent="0.5">
      <c r="D54" s="166"/>
      <c r="E54" s="159"/>
      <c r="H54" s="159"/>
      <c r="I54" s="1"/>
      <c r="J54" s="19"/>
      <c r="K54" s="19"/>
      <c r="L54" s="19"/>
      <c r="M54" s="19"/>
      <c r="N54" s="19"/>
    </row>
    <row r="55" spans="1:14" x14ac:dyDescent="0.5">
      <c r="D55" s="166"/>
      <c r="E55" s="160"/>
      <c r="H55" s="160"/>
      <c r="I55" s="1"/>
      <c r="J55" s="19"/>
      <c r="K55" s="19"/>
      <c r="L55" s="19"/>
      <c r="M55" s="19"/>
      <c r="N55" s="19"/>
    </row>
  </sheetData>
  <mergeCells count="3">
    <mergeCell ref="A2:G2"/>
    <mergeCell ref="A39:G39"/>
    <mergeCell ref="A3:G3"/>
  </mergeCells>
  <printOptions horizontalCentered="1"/>
  <pageMargins left="1.1000000000000001" right="1" top="0.6" bottom="0.5" header="0" footer="0"/>
  <pageSetup scale="86" orientation="portrait" horizontalDpi="4294967293" r:id="rId1"/>
  <headerFooter alignWithMargins="0"/>
  <ignoredErrors>
    <ignoredError sqref="G22:G2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7"/>
  <sheetViews>
    <sheetView workbookViewId="0">
      <selection activeCell="D8" sqref="D8"/>
    </sheetView>
  </sheetViews>
  <sheetFormatPr defaultRowHeight="15" x14ac:dyDescent="0.4"/>
  <cols>
    <col min="1" max="1" width="8.44140625" customWidth="1"/>
    <col min="2" max="2" width="8.6640625" customWidth="1"/>
    <col min="3" max="3" width="8" customWidth="1"/>
    <col min="4" max="4" width="13" customWidth="1"/>
    <col min="5" max="5" width="9.77734375" customWidth="1"/>
    <col min="6" max="6" width="10.33203125" customWidth="1"/>
    <col min="7" max="7" width="9.77734375" customWidth="1"/>
    <col min="8" max="8" width="10.109375" customWidth="1"/>
    <col min="9" max="9" width="11" customWidth="1"/>
  </cols>
  <sheetData>
    <row r="1" spans="1:16" ht="18" x14ac:dyDescent="0.55000000000000004">
      <c r="A1" s="298" t="s">
        <v>277</v>
      </c>
      <c r="B1" s="298"/>
      <c r="C1" s="298"/>
      <c r="D1" s="298"/>
      <c r="E1" s="298"/>
      <c r="F1" s="298"/>
      <c r="G1" s="298"/>
      <c r="H1" s="151"/>
      <c r="I1" s="155"/>
      <c r="J1" s="3"/>
      <c r="K1" s="3"/>
      <c r="L1" s="3"/>
      <c r="M1" s="3"/>
      <c r="N1" s="3"/>
      <c r="O1" s="3"/>
      <c r="P1" s="3"/>
    </row>
    <row r="2" spans="1:16" ht="18" x14ac:dyDescent="0.45">
      <c r="A2" s="286" t="s">
        <v>305</v>
      </c>
      <c r="B2" s="286"/>
      <c r="C2" s="286"/>
      <c r="D2" s="286"/>
      <c r="E2" s="286"/>
      <c r="F2" s="286"/>
      <c r="G2" s="286"/>
      <c r="H2" s="110"/>
      <c r="I2" s="153"/>
      <c r="J2" s="3"/>
      <c r="K2" s="3"/>
      <c r="L2" s="3"/>
      <c r="M2" s="3"/>
      <c r="N2" s="3"/>
      <c r="O2" s="3"/>
      <c r="P2" s="3"/>
    </row>
    <row r="3" spans="1:16" ht="15.4" x14ac:dyDescent="0.4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3"/>
      <c r="P3" s="3"/>
    </row>
    <row r="4" spans="1:16" ht="15.4" x14ac:dyDescent="0.45">
      <c r="A4" s="1"/>
      <c r="B4" s="75" t="s">
        <v>279</v>
      </c>
      <c r="C4" s="1"/>
      <c r="D4" s="1"/>
      <c r="E4" s="1"/>
      <c r="F4" s="1"/>
      <c r="H4" s="1"/>
      <c r="I4" s="3"/>
      <c r="J4" s="3"/>
      <c r="K4" s="3"/>
      <c r="L4" s="3"/>
      <c r="M4" s="3"/>
      <c r="N4" s="3"/>
      <c r="O4" s="3"/>
      <c r="P4" s="3"/>
    </row>
    <row r="5" spans="1:16" ht="15.4" x14ac:dyDescent="0.45">
      <c r="A5" s="1"/>
      <c r="B5" s="114"/>
      <c r="C5" s="18"/>
      <c r="D5" s="9" t="s">
        <v>280</v>
      </c>
      <c r="E5" s="9" t="s">
        <v>281</v>
      </c>
      <c r="F5" s="9" t="s">
        <v>282</v>
      </c>
      <c r="H5" s="2"/>
      <c r="I5" s="3"/>
      <c r="J5" s="3"/>
      <c r="K5" s="3"/>
      <c r="L5" s="3"/>
      <c r="M5" s="3"/>
      <c r="N5" s="3"/>
      <c r="O5" s="3"/>
      <c r="P5" s="3"/>
    </row>
    <row r="6" spans="1:16" ht="15.4" x14ac:dyDescent="0.45">
      <c r="A6" s="1"/>
      <c r="B6" s="1" t="s">
        <v>306</v>
      </c>
      <c r="C6" s="1"/>
      <c r="D6" s="3">
        <f>C16</f>
        <v>3625</v>
      </c>
      <c r="E6" s="66">
        <f>D16</f>
        <v>11961530</v>
      </c>
      <c r="F6" s="183">
        <f>F22</f>
        <v>247735.73979999998</v>
      </c>
      <c r="H6" s="68"/>
      <c r="I6" s="3"/>
      <c r="J6" s="3"/>
      <c r="K6" s="3"/>
      <c r="L6" s="3"/>
      <c r="M6" s="3"/>
      <c r="N6" s="3"/>
      <c r="O6" s="3"/>
      <c r="P6" s="3"/>
    </row>
    <row r="7" spans="1:16" ht="15.4" x14ac:dyDescent="0.45">
      <c r="A7" s="1"/>
      <c r="B7" s="1"/>
      <c r="C7" s="1"/>
      <c r="D7" s="3"/>
      <c r="E7" s="66"/>
      <c r="F7" s="4"/>
      <c r="H7" s="68"/>
      <c r="I7" s="3"/>
      <c r="J7" s="3"/>
      <c r="K7" s="3"/>
      <c r="L7" s="3"/>
      <c r="M7" s="3"/>
      <c r="N7" s="3"/>
      <c r="O7" s="3"/>
      <c r="P7" s="3"/>
    </row>
    <row r="8" spans="1:16" ht="15.4" x14ac:dyDescent="0.45">
      <c r="A8" s="1"/>
      <c r="B8" s="1"/>
      <c r="C8" s="1"/>
      <c r="D8" s="250" t="s">
        <v>307</v>
      </c>
      <c r="E8" s="112"/>
      <c r="F8" s="71">
        <f>F6</f>
        <v>247735.73979999998</v>
      </c>
      <c r="H8" s="71"/>
      <c r="I8" s="157"/>
      <c r="J8" s="3"/>
      <c r="K8" s="3"/>
      <c r="L8" s="3"/>
      <c r="M8" s="3"/>
      <c r="N8" s="3"/>
      <c r="O8" s="3"/>
      <c r="P8" s="3"/>
    </row>
    <row r="9" spans="1:16" ht="15.4" x14ac:dyDescent="0.45">
      <c r="A9" s="1"/>
      <c r="B9" s="1"/>
      <c r="C9" s="1"/>
      <c r="D9" s="1"/>
      <c r="E9" s="112"/>
      <c r="F9" s="71"/>
      <c r="H9" s="71"/>
      <c r="I9" s="157"/>
      <c r="J9" s="3"/>
      <c r="K9" s="3"/>
      <c r="L9" s="3"/>
      <c r="M9" s="3"/>
      <c r="N9" s="3"/>
      <c r="O9" s="3"/>
      <c r="P9" s="3"/>
    </row>
    <row r="10" spans="1:16" ht="15.4" x14ac:dyDescent="0.45">
      <c r="A10" s="1"/>
      <c r="B10" s="1"/>
      <c r="C10" s="1"/>
      <c r="D10" s="1"/>
      <c r="E10" s="1"/>
      <c r="F10" s="71"/>
      <c r="G10" s="71"/>
      <c r="H10" s="1"/>
      <c r="I10" s="3"/>
      <c r="J10" s="3"/>
      <c r="K10" s="3"/>
      <c r="L10" s="3"/>
      <c r="M10" s="3"/>
      <c r="N10" s="3"/>
      <c r="O10" s="3"/>
      <c r="P10" s="3"/>
    </row>
    <row r="11" spans="1:16" ht="15.75" x14ac:dyDescent="0.5">
      <c r="A11" s="109" t="s">
        <v>308</v>
      </c>
      <c r="B11" s="1"/>
      <c r="C11" s="1"/>
      <c r="D11" s="1"/>
      <c r="E11" s="1"/>
      <c r="F11" s="1"/>
      <c r="G11" s="1"/>
      <c r="H11" s="1"/>
      <c r="I11" s="3"/>
      <c r="J11" s="3"/>
      <c r="K11" s="3"/>
      <c r="L11" s="3"/>
      <c r="M11" s="3"/>
      <c r="N11" s="3"/>
      <c r="O11" s="3"/>
      <c r="P11" s="3"/>
    </row>
    <row r="12" spans="1:16" ht="15.4" x14ac:dyDescent="0.45">
      <c r="A12" s="1"/>
      <c r="B12" s="1"/>
      <c r="C12" s="1"/>
      <c r="D12" s="1"/>
      <c r="E12" s="2" t="s">
        <v>291</v>
      </c>
      <c r="F12" s="2" t="s">
        <v>293</v>
      </c>
      <c r="G12" s="1"/>
      <c r="I12" s="3"/>
      <c r="J12" s="3"/>
      <c r="K12" s="3"/>
      <c r="L12" s="3"/>
      <c r="M12" s="3"/>
      <c r="N12" s="3"/>
      <c r="O12" s="3"/>
      <c r="P12" s="3"/>
    </row>
    <row r="13" spans="1:16" ht="15.4" x14ac:dyDescent="0.45">
      <c r="A13" s="1"/>
      <c r="B13" s="9" t="s">
        <v>294</v>
      </c>
      <c r="C13" s="10" t="s">
        <v>295</v>
      </c>
      <c r="D13" s="10" t="s">
        <v>296</v>
      </c>
      <c r="E13" s="10">
        <f>B14</f>
        <v>2000</v>
      </c>
      <c r="F13" s="10">
        <f>B15</f>
        <v>2000</v>
      </c>
      <c r="G13" s="9" t="s">
        <v>297</v>
      </c>
      <c r="I13" s="3"/>
      <c r="J13" s="3"/>
      <c r="K13" s="3"/>
      <c r="L13" s="3"/>
      <c r="M13" s="3"/>
      <c r="N13" s="3"/>
      <c r="O13" s="3"/>
      <c r="P13" s="3"/>
    </row>
    <row r="14" spans="1:16" ht="15.4" x14ac:dyDescent="0.45">
      <c r="A14" s="11" t="s">
        <v>291</v>
      </c>
      <c r="B14" s="12">
        <v>2000</v>
      </c>
      <c r="C14" s="72">
        <v>1539</v>
      </c>
      <c r="D14" s="72">
        <v>1533560</v>
      </c>
      <c r="E14" s="72">
        <f>D14</f>
        <v>1533560</v>
      </c>
      <c r="F14" s="72">
        <v>0</v>
      </c>
      <c r="G14" s="72">
        <f>SUM(E14:F14)</f>
        <v>1533560</v>
      </c>
      <c r="I14" s="3"/>
      <c r="J14" s="3"/>
      <c r="K14" s="3"/>
      <c r="L14" s="3"/>
      <c r="M14" s="3"/>
      <c r="N14" s="3"/>
      <c r="O14" s="3"/>
      <c r="P14" s="3"/>
    </row>
    <row r="15" spans="1:16" ht="15.4" x14ac:dyDescent="0.45">
      <c r="A15" s="11" t="s">
        <v>293</v>
      </c>
      <c r="B15" s="14">
        <v>2000</v>
      </c>
      <c r="C15" s="73">
        <v>2086</v>
      </c>
      <c r="D15" s="73">
        <v>10427970</v>
      </c>
      <c r="E15" s="73">
        <f>C15*E$13</f>
        <v>4172000</v>
      </c>
      <c r="F15" s="73">
        <f>D15-E15</f>
        <v>6255970</v>
      </c>
      <c r="G15" s="73">
        <f>SUM(E15:F15)</f>
        <v>10427970</v>
      </c>
      <c r="I15" s="3"/>
      <c r="J15" s="3"/>
      <c r="K15" s="3"/>
      <c r="L15" s="3"/>
      <c r="M15" s="3"/>
      <c r="N15" s="3"/>
      <c r="O15" s="3"/>
      <c r="P15" s="3"/>
    </row>
    <row r="16" spans="1:16" ht="15.4" x14ac:dyDescent="0.45">
      <c r="A16" s="11"/>
      <c r="B16" s="12"/>
      <c r="C16" s="74">
        <f>SUM(C14:C15)</f>
        <v>3625</v>
      </c>
      <c r="D16" s="74">
        <f>SUM(D14:D15)</f>
        <v>11961530</v>
      </c>
      <c r="E16" s="74">
        <f>SUM(E14:E15)</f>
        <v>5705560</v>
      </c>
      <c r="F16" s="74">
        <f>SUM(F14:F15)</f>
        <v>6255970</v>
      </c>
      <c r="G16" s="74">
        <f>SUM(G14:G15)</f>
        <v>11961530</v>
      </c>
      <c r="I16" s="3"/>
      <c r="J16" s="3"/>
      <c r="K16" s="3"/>
      <c r="L16" s="3"/>
      <c r="M16" s="3"/>
      <c r="N16" s="3"/>
      <c r="O16" s="3"/>
      <c r="P16" s="3"/>
    </row>
    <row r="17" spans="1:16" ht="15.4" x14ac:dyDescent="0.45">
      <c r="A17" s="11"/>
      <c r="B17" s="12"/>
      <c r="C17" s="1"/>
      <c r="D17" s="12"/>
      <c r="E17" s="12"/>
      <c r="F17" s="12"/>
      <c r="G17" s="12"/>
      <c r="H17" s="12"/>
      <c r="I17" s="3"/>
      <c r="J17" s="3"/>
      <c r="K17" s="3"/>
      <c r="L17" s="3"/>
      <c r="M17" s="3"/>
      <c r="N17" s="3"/>
      <c r="O17" s="3"/>
      <c r="P17" s="3"/>
    </row>
    <row r="18" spans="1:16" ht="15.4" x14ac:dyDescent="0.45">
      <c r="A18" s="16" t="s">
        <v>298</v>
      </c>
      <c r="B18" s="16"/>
      <c r="C18" s="1"/>
      <c r="D18" s="12"/>
      <c r="E18" s="12"/>
      <c r="F18" s="12"/>
      <c r="G18" s="12"/>
      <c r="H18" s="12"/>
      <c r="I18" s="3"/>
      <c r="J18" s="3"/>
      <c r="K18" s="3"/>
      <c r="L18" s="3"/>
      <c r="M18" s="3"/>
      <c r="N18" s="3"/>
      <c r="O18" s="3"/>
      <c r="P18" s="3"/>
    </row>
    <row r="19" spans="1:16" ht="15.4" x14ac:dyDescent="0.45">
      <c r="A19" s="11"/>
      <c r="B19" s="9"/>
      <c r="C19" s="10" t="s">
        <v>295</v>
      </c>
      <c r="D19" s="9" t="s">
        <v>296</v>
      </c>
      <c r="E19" s="10" t="s">
        <v>299</v>
      </c>
      <c r="F19" s="10" t="s">
        <v>300</v>
      </c>
      <c r="G19" s="12"/>
      <c r="H19" s="12"/>
      <c r="I19" s="3"/>
      <c r="J19" s="3"/>
      <c r="K19" s="3"/>
      <c r="L19" s="3"/>
      <c r="M19" s="3"/>
      <c r="N19" s="3"/>
      <c r="O19" s="3"/>
      <c r="P19" s="3"/>
    </row>
    <row r="20" spans="1:16" ht="15.4" x14ac:dyDescent="0.45">
      <c r="A20" s="11" t="s">
        <v>291</v>
      </c>
      <c r="B20" s="12">
        <f>B14</f>
        <v>2000</v>
      </c>
      <c r="C20" s="13">
        <f>C16</f>
        <v>3625</v>
      </c>
      <c r="D20" s="72">
        <f>E16</f>
        <v>5705560</v>
      </c>
      <c r="E20" s="17">
        <v>36.69</v>
      </c>
      <c r="F20" s="7">
        <f>E20*C20</f>
        <v>133001.25</v>
      </c>
      <c r="G20" s="12"/>
      <c r="H20" s="1"/>
      <c r="I20" s="3"/>
      <c r="J20" s="3"/>
      <c r="K20" s="3"/>
      <c r="L20" s="3"/>
      <c r="M20" s="3"/>
      <c r="N20" s="3"/>
      <c r="O20" s="3"/>
      <c r="P20" s="3"/>
    </row>
    <row r="21" spans="1:16" ht="15.4" x14ac:dyDescent="0.45">
      <c r="A21" s="11" t="s">
        <v>293</v>
      </c>
      <c r="B21" s="14">
        <f>B15</f>
        <v>2000</v>
      </c>
      <c r="C21" s="18"/>
      <c r="D21" s="73">
        <f>F16</f>
        <v>6255970</v>
      </c>
      <c r="E21" s="249">
        <v>18.34</v>
      </c>
      <c r="F21" s="78">
        <f>(E21*D21)/1000</f>
        <v>114734.4898</v>
      </c>
      <c r="G21" s="12"/>
      <c r="H21" s="1"/>
      <c r="I21" s="3"/>
      <c r="J21" s="3"/>
      <c r="K21" s="3"/>
      <c r="L21" s="3"/>
      <c r="M21" s="3"/>
      <c r="N21" s="3"/>
      <c r="O21" s="3"/>
      <c r="P21" s="3"/>
    </row>
    <row r="22" spans="1:16" ht="15.4" x14ac:dyDescent="0.45">
      <c r="A22" s="11"/>
      <c r="B22" s="12" t="s">
        <v>297</v>
      </c>
      <c r="C22" s="3">
        <f>SUM(C20:C21)</f>
        <v>3625</v>
      </c>
      <c r="D22" s="74">
        <f>SUM(D20:D21)</f>
        <v>11961530</v>
      </c>
      <c r="E22" s="1"/>
      <c r="F22" s="7">
        <f>SUM(F20:F21)</f>
        <v>247735.73979999998</v>
      </c>
      <c r="G22" s="12"/>
      <c r="H22" s="12"/>
      <c r="I22" s="3"/>
      <c r="J22" s="3"/>
      <c r="K22" s="3"/>
      <c r="L22" s="3"/>
      <c r="M22" s="3"/>
      <c r="N22" s="3"/>
      <c r="O22" s="3"/>
      <c r="P22" s="3"/>
    </row>
    <row r="23" spans="1:16" ht="15.4" x14ac:dyDescent="0.45">
      <c r="I23" s="3"/>
      <c r="J23" s="3"/>
      <c r="K23" s="3"/>
      <c r="L23" s="3"/>
      <c r="M23" s="3"/>
      <c r="N23" s="3"/>
      <c r="O23" s="3"/>
      <c r="P23" s="3"/>
    </row>
    <row r="24" spans="1:16" ht="15.4" x14ac:dyDescent="0.45">
      <c r="I24" s="3"/>
      <c r="J24" s="3"/>
      <c r="K24" s="3"/>
      <c r="L24" s="3"/>
      <c r="M24" s="3"/>
      <c r="N24" s="3"/>
      <c r="O24" s="3"/>
      <c r="P24" s="3"/>
    </row>
    <row r="25" spans="1:16" ht="15.4" x14ac:dyDescent="0.45">
      <c r="I25" s="3"/>
      <c r="J25" s="3"/>
      <c r="K25" s="3"/>
      <c r="L25" s="3"/>
      <c r="M25" s="3"/>
      <c r="N25" s="3"/>
      <c r="O25" s="3"/>
      <c r="P25" s="3"/>
    </row>
    <row r="26" spans="1:16" ht="15.4" x14ac:dyDescent="0.45">
      <c r="I26" s="3"/>
      <c r="J26" s="3"/>
      <c r="K26" s="3"/>
      <c r="L26" s="3"/>
      <c r="M26" s="3"/>
      <c r="N26" s="3"/>
      <c r="O26" s="3"/>
      <c r="P26" s="3"/>
    </row>
    <row r="27" spans="1:16" x14ac:dyDescent="0.4">
      <c r="I27" s="156"/>
      <c r="J27" s="156"/>
      <c r="K27" s="156"/>
      <c r="L27" s="156"/>
      <c r="M27" s="156"/>
      <c r="N27" s="156"/>
      <c r="O27" s="156"/>
      <c r="P27" s="156"/>
    </row>
  </sheetData>
  <mergeCells count="2">
    <mergeCell ref="A1:G1"/>
    <mergeCell ref="A2:G2"/>
  </mergeCells>
  <printOptions horizontalCentered="1"/>
  <pageMargins left="0.85" right="0.7" top="1.2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U42"/>
  <sheetViews>
    <sheetView showGridLines="0" topLeftCell="A5" workbookViewId="0">
      <selection activeCell="L24" sqref="L24"/>
    </sheetView>
  </sheetViews>
  <sheetFormatPr defaultColWidth="8.88671875" defaultRowHeight="15.75" outlineLevelRow="1" x14ac:dyDescent="0.5"/>
  <cols>
    <col min="1" max="1" width="2.109375" style="24" customWidth="1"/>
    <col min="2" max="2" width="1.109375" style="24" customWidth="1"/>
    <col min="3" max="3" width="4.77734375" style="24" customWidth="1"/>
    <col min="4" max="4" width="6.77734375" style="24" customWidth="1"/>
    <col min="5" max="5" width="6.33203125" style="24" customWidth="1"/>
    <col min="6" max="6" width="7.33203125" style="24" customWidth="1"/>
    <col min="7" max="7" width="13.33203125" style="24" customWidth="1"/>
    <col min="8" max="8" width="1.21875" style="24" customWidth="1"/>
    <col min="9" max="9" width="4.77734375" style="24" customWidth="1"/>
    <col min="10" max="10" width="7" style="24" customWidth="1"/>
    <col min="11" max="11" width="6.33203125" style="24" customWidth="1"/>
    <col min="12" max="12" width="7.33203125" style="24" customWidth="1"/>
    <col min="13" max="13" width="13.33203125" style="24" customWidth="1"/>
    <col min="14" max="14" width="8.5546875" style="24" bestFit="1" customWidth="1"/>
    <col min="15" max="15" width="6.5546875" style="24" bestFit="1" customWidth="1"/>
    <col min="16" max="16" width="2.6640625" style="24" customWidth="1"/>
    <col min="17" max="207" width="9.6640625" style="24" customWidth="1"/>
    <col min="208" max="16384" width="8.88671875" style="24"/>
  </cols>
  <sheetData>
    <row r="2" spans="2:18" x14ac:dyDescent="0.5">
      <c r="B2" s="41"/>
      <c r="C2" s="88"/>
      <c r="D2" s="88"/>
      <c r="E2" s="88"/>
      <c r="F2" s="88"/>
      <c r="G2" s="87"/>
      <c r="H2" s="88"/>
      <c r="I2" s="88"/>
      <c r="J2" s="88"/>
      <c r="K2" s="88"/>
      <c r="L2" s="88"/>
      <c r="M2" s="88"/>
      <c r="N2" s="88"/>
      <c r="O2" s="89"/>
    </row>
    <row r="3" spans="2:18" ht="18" hidden="1" x14ac:dyDescent="0.55000000000000004">
      <c r="B3" s="44"/>
      <c r="C3" s="298" t="s">
        <v>309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0"/>
    </row>
    <row r="4" spans="2:18" ht="18" hidden="1" x14ac:dyDescent="0.55000000000000004">
      <c r="B4" s="44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4"/>
      <c r="O4" s="303"/>
    </row>
    <row r="5" spans="2:18" ht="18" x14ac:dyDescent="0.55000000000000004">
      <c r="B5" s="44"/>
      <c r="C5" s="298" t="s">
        <v>310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4"/>
      <c r="O5" s="303"/>
    </row>
    <row r="6" spans="2:18" ht="18" x14ac:dyDescent="0.55000000000000004">
      <c r="B6" s="44"/>
      <c r="C6" s="298" t="s">
        <v>217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4"/>
      <c r="O6" s="303"/>
      <c r="P6" s="110"/>
      <c r="Q6" s="110"/>
      <c r="R6" s="110"/>
    </row>
    <row r="7" spans="2:18" ht="18" x14ac:dyDescent="0.5">
      <c r="B7" s="44"/>
      <c r="C7" s="286" t="s">
        <v>311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304"/>
      <c r="O7" s="305"/>
      <c r="P7" s="110"/>
      <c r="Q7" s="110"/>
      <c r="R7" s="110"/>
    </row>
    <row r="8" spans="2:18" x14ac:dyDescent="0.5">
      <c r="B8" s="4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95"/>
    </row>
    <row r="9" spans="2:18" x14ac:dyDescent="0.5">
      <c r="B9" s="44"/>
      <c r="C9" s="1"/>
      <c r="D9" s="1"/>
      <c r="E9" s="1"/>
      <c r="F9" s="1"/>
      <c r="G9" s="90"/>
      <c r="H9" s="44"/>
      <c r="I9" s="1"/>
      <c r="J9" s="1"/>
      <c r="K9" s="1"/>
      <c r="L9" s="1"/>
      <c r="M9" s="90"/>
      <c r="N9" s="44"/>
      <c r="O9" s="90"/>
    </row>
    <row r="10" spans="2:18" x14ac:dyDescent="0.5">
      <c r="B10" s="44"/>
      <c r="C10" s="301" t="s">
        <v>312</v>
      </c>
      <c r="D10" s="301"/>
      <c r="E10" s="301"/>
      <c r="F10" s="301"/>
      <c r="G10" s="302"/>
      <c r="H10" s="1"/>
      <c r="I10" s="301" t="s">
        <v>313</v>
      </c>
      <c r="J10" s="301"/>
      <c r="K10" s="301"/>
      <c r="L10" s="301"/>
      <c r="M10" s="302"/>
      <c r="N10" s="235" t="s">
        <v>314</v>
      </c>
      <c r="O10" s="228" t="s">
        <v>315</v>
      </c>
    </row>
    <row r="11" spans="2:18" x14ac:dyDescent="0.5">
      <c r="B11" s="44"/>
      <c r="C11" s="1"/>
      <c r="D11" s="1"/>
      <c r="E11" s="1"/>
      <c r="F11" s="1"/>
      <c r="G11" s="90"/>
      <c r="H11" s="1"/>
      <c r="I11" s="1"/>
      <c r="J11" s="1"/>
      <c r="K11" s="1"/>
      <c r="L11" s="1"/>
      <c r="M11" s="90"/>
      <c r="N11" s="44"/>
      <c r="O11" s="90"/>
    </row>
    <row r="12" spans="2:18" x14ac:dyDescent="0.5">
      <c r="B12" s="44"/>
      <c r="C12" s="8" t="s">
        <v>316</v>
      </c>
      <c r="D12" s="1"/>
      <c r="E12" s="1"/>
      <c r="F12" s="1"/>
      <c r="G12" s="90"/>
      <c r="H12" s="1"/>
      <c r="I12" s="8" t="s">
        <v>316</v>
      </c>
      <c r="J12" s="1"/>
      <c r="K12" s="1"/>
      <c r="L12" s="96"/>
      <c r="M12" s="90"/>
      <c r="N12" s="44"/>
      <c r="O12" s="90"/>
    </row>
    <row r="13" spans="2:18" outlineLevel="1" x14ac:dyDescent="0.5">
      <c r="B13" s="44"/>
      <c r="C13" s="11" t="s">
        <v>317</v>
      </c>
      <c r="D13" s="91">
        <v>2000</v>
      </c>
      <c r="E13" s="1" t="s">
        <v>318</v>
      </c>
      <c r="F13" s="92">
        <v>23.12</v>
      </c>
      <c r="G13" s="90" t="s">
        <v>319</v>
      </c>
      <c r="H13" s="1"/>
      <c r="I13" s="11" t="s">
        <v>317</v>
      </c>
      <c r="J13" s="91">
        <v>2000</v>
      </c>
      <c r="K13" s="1" t="s">
        <v>318</v>
      </c>
      <c r="L13" s="92">
        <v>30.43</v>
      </c>
      <c r="M13" s="90" t="s">
        <v>319</v>
      </c>
      <c r="N13" s="236">
        <f>L13-F13</f>
        <v>7.3099999999999987</v>
      </c>
      <c r="O13" s="237">
        <f>N13/F13</f>
        <v>0.31617647058823523</v>
      </c>
      <c r="R13" s="127"/>
    </row>
    <row r="14" spans="2:18" outlineLevel="1" x14ac:dyDescent="0.5">
      <c r="B14" s="44"/>
      <c r="C14" s="11" t="s">
        <v>320</v>
      </c>
      <c r="D14" s="91">
        <v>3000</v>
      </c>
      <c r="E14" s="1" t="s">
        <v>318</v>
      </c>
      <c r="F14" s="93">
        <v>9.08</v>
      </c>
      <c r="G14" s="90" t="s">
        <v>321</v>
      </c>
      <c r="H14" s="1"/>
      <c r="I14" s="11" t="s">
        <v>320</v>
      </c>
      <c r="J14" s="91">
        <f>D14</f>
        <v>3000</v>
      </c>
      <c r="K14" s="1" t="s">
        <v>318</v>
      </c>
      <c r="L14" s="93">
        <f>ROUND(F14*(1+(SAOw!$G$51)),2)</f>
        <v>11.9</v>
      </c>
      <c r="M14" s="90" t="s">
        <v>321</v>
      </c>
      <c r="N14" s="236">
        <f t="shared" ref="N14:N16" si="0">L14-F14</f>
        <v>2.8200000000000003</v>
      </c>
      <c r="O14" s="237">
        <f t="shared" ref="O14:O16" si="1">N14/F14</f>
        <v>0.31057268722466963</v>
      </c>
      <c r="R14" s="154"/>
    </row>
    <row r="15" spans="2:18" outlineLevel="1" x14ac:dyDescent="0.5">
      <c r="B15" s="44"/>
      <c r="C15" s="11" t="s">
        <v>320</v>
      </c>
      <c r="D15" s="91">
        <v>5000</v>
      </c>
      <c r="E15" s="1" t="s">
        <v>318</v>
      </c>
      <c r="F15" s="93">
        <v>7.59</v>
      </c>
      <c r="G15" s="90" t="s">
        <v>321</v>
      </c>
      <c r="H15" s="1"/>
      <c r="I15" s="11" t="s">
        <v>320</v>
      </c>
      <c r="J15" s="91">
        <v>2000</v>
      </c>
      <c r="K15" s="1" t="s">
        <v>318</v>
      </c>
      <c r="L15" s="93">
        <f>ROUND(F15*(1+(SAOw!$G$51)),2)</f>
        <v>9.94</v>
      </c>
      <c r="M15" s="90" t="s">
        <v>321</v>
      </c>
      <c r="N15" s="236">
        <f t="shared" si="0"/>
        <v>2.3499999999999996</v>
      </c>
      <c r="O15" s="237">
        <f t="shared" si="1"/>
        <v>0.30961791831357044</v>
      </c>
      <c r="R15" s="154"/>
    </row>
    <row r="16" spans="2:18" outlineLevel="1" x14ac:dyDescent="0.5">
      <c r="B16" s="44"/>
      <c r="C16" s="11" t="s">
        <v>322</v>
      </c>
      <c r="D16" s="91">
        <v>10000</v>
      </c>
      <c r="E16" s="1" t="s">
        <v>318</v>
      </c>
      <c r="F16" s="93">
        <v>6</v>
      </c>
      <c r="G16" s="90" t="s">
        <v>321</v>
      </c>
      <c r="H16" s="1"/>
      <c r="I16" s="11" t="s">
        <v>322</v>
      </c>
      <c r="J16" s="91">
        <v>24000</v>
      </c>
      <c r="K16" s="1" t="s">
        <v>318</v>
      </c>
      <c r="L16" s="93">
        <f>ROUND(F16*(1+(SAOw!$G$51)),2)</f>
        <v>7.86</v>
      </c>
      <c r="M16" s="90" t="s">
        <v>321</v>
      </c>
      <c r="N16" s="236">
        <f t="shared" si="0"/>
        <v>1.8600000000000003</v>
      </c>
      <c r="O16" s="237">
        <f t="shared" si="1"/>
        <v>0.31000000000000005</v>
      </c>
      <c r="R16" s="154"/>
    </row>
    <row r="17" spans="2:18" outlineLevel="1" x14ac:dyDescent="0.5">
      <c r="B17" s="44"/>
      <c r="C17" s="91"/>
      <c r="D17" s="1"/>
      <c r="E17" s="1"/>
      <c r="F17" s="1"/>
      <c r="G17" s="90"/>
      <c r="H17" s="1"/>
      <c r="I17" s="91"/>
      <c r="J17" s="1"/>
      <c r="K17" s="1"/>
      <c r="L17" s="1"/>
      <c r="M17" s="90"/>
      <c r="N17" s="44"/>
      <c r="O17" s="90"/>
    </row>
    <row r="18" spans="2:18" outlineLevel="1" x14ac:dyDescent="0.5">
      <c r="B18" s="44"/>
      <c r="C18" s="8" t="s">
        <v>323</v>
      </c>
      <c r="D18" s="1"/>
      <c r="E18" s="1"/>
      <c r="F18" s="1"/>
      <c r="G18" s="90"/>
      <c r="H18" s="1"/>
      <c r="I18" s="8" t="s">
        <v>323</v>
      </c>
      <c r="J18" s="1"/>
      <c r="K18" s="1"/>
      <c r="L18" s="1"/>
      <c r="M18" s="90"/>
      <c r="N18" s="44"/>
      <c r="O18" s="90"/>
    </row>
    <row r="19" spans="2:18" x14ac:dyDescent="0.5">
      <c r="B19" s="44"/>
      <c r="C19" s="11" t="s">
        <v>317</v>
      </c>
      <c r="D19" s="91">
        <v>10000</v>
      </c>
      <c r="E19" s="1" t="s">
        <v>318</v>
      </c>
      <c r="F19" s="92">
        <v>88.33</v>
      </c>
      <c r="G19" s="90" t="s">
        <v>319</v>
      </c>
      <c r="H19" s="1"/>
      <c r="I19" s="11" t="s">
        <v>317</v>
      </c>
      <c r="J19" s="91">
        <v>10000</v>
      </c>
      <c r="K19" s="1" t="s">
        <v>318</v>
      </c>
      <c r="L19" s="170">
        <f>F19*(1+SAOw!G51)</f>
        <v>115.729966</v>
      </c>
      <c r="M19" s="90" t="s">
        <v>319</v>
      </c>
      <c r="N19" s="236">
        <f t="shared" ref="N19:N20" si="2">L19-F19</f>
        <v>27.399966000000006</v>
      </c>
      <c r="O19" s="237">
        <f t="shared" ref="O19:O20" si="3">N19/F19</f>
        <v>0.31020000000000009</v>
      </c>
      <c r="R19" s="154"/>
    </row>
    <row r="20" spans="2:18" x14ac:dyDescent="0.5">
      <c r="B20" s="44"/>
      <c r="C20" s="11" t="s">
        <v>322</v>
      </c>
      <c r="D20" s="91">
        <v>10000</v>
      </c>
      <c r="E20" s="1" t="s">
        <v>318</v>
      </c>
      <c r="F20" s="93">
        <v>6</v>
      </c>
      <c r="G20" s="90" t="s">
        <v>321</v>
      </c>
      <c r="H20" s="1"/>
      <c r="I20" s="11" t="s">
        <v>322</v>
      </c>
      <c r="J20" s="91">
        <v>24000</v>
      </c>
      <c r="K20" s="1" t="s">
        <v>318</v>
      </c>
      <c r="L20" s="93">
        <f>ROUND(F20*(1+(SAOw!$G$51)),2)</f>
        <v>7.86</v>
      </c>
      <c r="M20" s="90" t="s">
        <v>321</v>
      </c>
      <c r="N20" s="236">
        <f t="shared" si="2"/>
        <v>1.8600000000000003</v>
      </c>
      <c r="O20" s="237">
        <f t="shared" si="3"/>
        <v>0.31000000000000005</v>
      </c>
      <c r="R20" s="154"/>
    </row>
    <row r="21" spans="2:18" x14ac:dyDescent="0.5">
      <c r="B21" s="44"/>
      <c r="C21" s="91"/>
      <c r="D21" s="1"/>
      <c r="E21" s="1"/>
      <c r="F21" s="1"/>
      <c r="G21" s="90"/>
      <c r="H21" s="1"/>
      <c r="I21" s="91"/>
      <c r="J21" s="1"/>
      <c r="K21" s="1"/>
      <c r="L21" s="1"/>
      <c r="M21" s="90"/>
      <c r="N21" s="44"/>
      <c r="O21" s="90"/>
    </row>
    <row r="22" spans="2:18" x14ac:dyDescent="0.5">
      <c r="B22" s="44"/>
      <c r="C22" s="8" t="s">
        <v>324</v>
      </c>
      <c r="D22" s="1"/>
      <c r="E22" s="1"/>
      <c r="F22" s="1"/>
      <c r="G22" s="90"/>
      <c r="H22" s="1"/>
      <c r="I22" s="8" t="s">
        <v>324</v>
      </c>
      <c r="J22" s="1"/>
      <c r="K22" s="1"/>
      <c r="L22" s="1"/>
      <c r="M22" s="90"/>
      <c r="N22" s="44"/>
      <c r="O22" s="90"/>
    </row>
    <row r="23" spans="2:18" x14ac:dyDescent="0.5">
      <c r="B23" s="44"/>
      <c r="C23" s="11" t="s">
        <v>317</v>
      </c>
      <c r="D23" s="91">
        <v>50000</v>
      </c>
      <c r="E23" s="1" t="s">
        <v>318</v>
      </c>
      <c r="F23" s="92">
        <v>328.31</v>
      </c>
      <c r="G23" s="90" t="s">
        <v>319</v>
      </c>
      <c r="H23" s="1"/>
      <c r="I23" s="11" t="s">
        <v>317</v>
      </c>
      <c r="J23" s="91">
        <v>24000</v>
      </c>
      <c r="K23" s="1" t="s">
        <v>318</v>
      </c>
      <c r="L23" s="170">
        <v>432.23</v>
      </c>
      <c r="M23" s="90" t="s">
        <v>319</v>
      </c>
      <c r="N23" s="236">
        <f t="shared" ref="N23:N24" si="4">L23-F23</f>
        <v>103.92000000000002</v>
      </c>
      <c r="O23" s="237">
        <f t="shared" ref="O23:O24" si="5">N23/F23</f>
        <v>0.31653010873869214</v>
      </c>
      <c r="P23" s="127"/>
      <c r="R23" s="127"/>
    </row>
    <row r="24" spans="2:18" x14ac:dyDescent="0.5">
      <c r="B24" s="44"/>
      <c r="C24" s="11" t="s">
        <v>322</v>
      </c>
      <c r="D24" s="91">
        <v>50000</v>
      </c>
      <c r="E24" s="1" t="s">
        <v>318</v>
      </c>
      <c r="F24" s="93">
        <v>6</v>
      </c>
      <c r="G24" s="90" t="s">
        <v>321</v>
      </c>
      <c r="H24" s="1"/>
      <c r="I24" s="11" t="s">
        <v>322</v>
      </c>
      <c r="J24" s="91">
        <v>24000</v>
      </c>
      <c r="K24" s="1" t="s">
        <v>318</v>
      </c>
      <c r="L24" s="93">
        <f>ROUND(F24*(1+(SAOw!$G$51)),2)</f>
        <v>7.86</v>
      </c>
      <c r="M24" s="90" t="s">
        <v>321</v>
      </c>
      <c r="N24" s="236">
        <f t="shared" si="4"/>
        <v>1.8600000000000003</v>
      </c>
      <c r="O24" s="237">
        <f t="shared" si="5"/>
        <v>0.31000000000000005</v>
      </c>
      <c r="R24" s="154"/>
    </row>
    <row r="25" spans="2:18" x14ac:dyDescent="0.5">
      <c r="B25" s="44"/>
      <c r="C25" s="11"/>
      <c r="D25" s="91"/>
      <c r="E25" s="1"/>
      <c r="F25" s="93"/>
      <c r="G25" s="90"/>
      <c r="H25" s="1"/>
      <c r="I25" s="11"/>
      <c r="J25" s="91"/>
      <c r="K25" s="1"/>
      <c r="L25" s="93"/>
      <c r="M25" s="90"/>
      <c r="N25" s="236"/>
      <c r="O25" s="237"/>
      <c r="R25" s="154"/>
    </row>
    <row r="26" spans="2:18" x14ac:dyDescent="0.5">
      <c r="B26" s="44"/>
      <c r="C26" s="8" t="s">
        <v>325</v>
      </c>
      <c r="D26" s="91"/>
      <c r="E26" s="1"/>
      <c r="F26" s="93"/>
      <c r="G26" s="90"/>
      <c r="H26" s="1"/>
      <c r="I26" s="8" t="s">
        <v>325</v>
      </c>
      <c r="J26" s="91"/>
      <c r="K26" s="1"/>
      <c r="L26" s="93"/>
      <c r="M26" s="90"/>
      <c r="N26" s="236"/>
      <c r="O26" s="237"/>
      <c r="R26" s="154"/>
    </row>
    <row r="27" spans="2:18" x14ac:dyDescent="0.5">
      <c r="B27" s="44"/>
      <c r="C27" s="252" t="s">
        <v>326</v>
      </c>
      <c r="D27" s="91"/>
      <c r="E27" s="1"/>
      <c r="F27" s="92">
        <v>9.89</v>
      </c>
      <c r="G27" s="90" t="s">
        <v>321</v>
      </c>
      <c r="H27" s="1"/>
      <c r="I27" s="252" t="s">
        <v>326</v>
      </c>
      <c r="J27" s="91"/>
      <c r="K27" s="1"/>
      <c r="L27" s="92">
        <f>F27*(1+SAOw!G51)</f>
        <v>12.957878000000001</v>
      </c>
      <c r="M27" s="90" t="s">
        <v>321</v>
      </c>
      <c r="N27" s="236">
        <f t="shared" ref="N27" si="6">L27-F27</f>
        <v>3.0678780000000003</v>
      </c>
      <c r="O27" s="237">
        <f t="shared" ref="O27" si="7">N27/F27</f>
        <v>0.31020000000000003</v>
      </c>
      <c r="R27" s="154"/>
    </row>
    <row r="28" spans="2:18" x14ac:dyDescent="0.5">
      <c r="B28" s="44"/>
      <c r="C28" s="11"/>
      <c r="D28" s="91"/>
      <c r="E28" s="1"/>
      <c r="F28" s="93"/>
      <c r="G28" s="90"/>
      <c r="H28" s="1"/>
      <c r="I28" s="11"/>
      <c r="J28" s="91"/>
      <c r="K28" s="1"/>
      <c r="L28" s="93"/>
      <c r="M28" s="90"/>
      <c r="N28" s="236"/>
      <c r="O28" s="237"/>
      <c r="R28" s="154"/>
    </row>
    <row r="29" spans="2:18" x14ac:dyDescent="0.5">
      <c r="B29" s="44"/>
      <c r="C29" s="8" t="s">
        <v>327</v>
      </c>
      <c r="D29" s="91"/>
      <c r="E29" s="1"/>
      <c r="F29" s="93"/>
      <c r="G29" s="90"/>
      <c r="H29" s="1"/>
      <c r="I29" s="8" t="s">
        <v>327</v>
      </c>
      <c r="J29" s="91"/>
      <c r="K29" s="1"/>
      <c r="L29" s="93"/>
      <c r="M29" s="90"/>
      <c r="N29" s="236"/>
      <c r="O29" s="237"/>
      <c r="R29" s="154"/>
    </row>
    <row r="30" spans="2:18" x14ac:dyDescent="0.5">
      <c r="B30" s="44"/>
      <c r="C30" s="11" t="s">
        <v>317</v>
      </c>
      <c r="D30" s="91" t="s">
        <v>328</v>
      </c>
      <c r="E30" s="1"/>
      <c r="F30" s="253">
        <v>2000</v>
      </c>
      <c r="G30" s="90" t="s">
        <v>319</v>
      </c>
      <c r="H30" s="1"/>
      <c r="I30" s="11" t="s">
        <v>317</v>
      </c>
      <c r="J30" s="91" t="s">
        <v>328</v>
      </c>
      <c r="K30" s="1"/>
      <c r="L30" s="253">
        <v>2000</v>
      </c>
      <c r="M30" s="90" t="s">
        <v>319</v>
      </c>
      <c r="N30" s="236">
        <f t="shared" ref="N30" si="8">L30-F30</f>
        <v>0</v>
      </c>
      <c r="O30" s="237">
        <f t="shared" ref="O30" si="9">N30/F30</f>
        <v>0</v>
      </c>
      <c r="R30" s="154"/>
    </row>
    <row r="31" spans="2:18" x14ac:dyDescent="0.5">
      <c r="B31" s="44"/>
      <c r="C31" s="11" t="s">
        <v>320</v>
      </c>
      <c r="D31" s="91" t="s">
        <v>329</v>
      </c>
      <c r="E31" s="1"/>
      <c r="F31" s="93">
        <v>2</v>
      </c>
      <c r="G31" s="90" t="s">
        <v>321</v>
      </c>
      <c r="H31" s="1"/>
      <c r="I31" s="11" t="s">
        <v>320</v>
      </c>
      <c r="J31" s="91" t="s">
        <v>329</v>
      </c>
      <c r="K31" s="1"/>
      <c r="L31" s="93">
        <v>2</v>
      </c>
      <c r="M31" s="90" t="s">
        <v>321</v>
      </c>
      <c r="N31" s="236">
        <f t="shared" ref="N31:N32" si="10">L31-F31</f>
        <v>0</v>
      </c>
      <c r="O31" s="237">
        <f t="shared" ref="O31:O32" si="11">N31/F31</f>
        <v>0</v>
      </c>
      <c r="R31" s="154"/>
    </row>
    <row r="32" spans="2:18" x14ac:dyDescent="0.5">
      <c r="B32" s="44"/>
      <c r="C32" s="11" t="s">
        <v>322</v>
      </c>
      <c r="D32" s="91" t="s">
        <v>330</v>
      </c>
      <c r="E32" s="1"/>
      <c r="F32" s="93">
        <v>2.2000000000000002</v>
      </c>
      <c r="G32" s="90" t="s">
        <v>321</v>
      </c>
      <c r="H32" s="1"/>
      <c r="I32" s="11" t="s">
        <v>322</v>
      </c>
      <c r="J32" s="91" t="s">
        <v>330</v>
      </c>
      <c r="K32" s="1"/>
      <c r="L32" s="93">
        <v>2.2000000000000002</v>
      </c>
      <c r="M32" s="90" t="s">
        <v>321</v>
      </c>
      <c r="N32" s="236">
        <f t="shared" si="10"/>
        <v>0</v>
      </c>
      <c r="O32" s="237">
        <f t="shared" si="11"/>
        <v>0</v>
      </c>
      <c r="R32" s="154"/>
    </row>
    <row r="33" spans="2:21" x14ac:dyDescent="0.5">
      <c r="B33" s="44"/>
      <c r="C33" s="11"/>
      <c r="D33" s="91"/>
      <c r="E33" s="1"/>
      <c r="F33" s="93"/>
      <c r="G33" s="90"/>
      <c r="H33" s="1"/>
      <c r="I33" s="11"/>
      <c r="J33" s="91"/>
      <c r="K33" s="1"/>
      <c r="L33" s="93"/>
      <c r="M33" s="90"/>
      <c r="N33" s="236"/>
      <c r="O33" s="237"/>
      <c r="R33" s="154"/>
    </row>
    <row r="34" spans="2:21" x14ac:dyDescent="0.5">
      <c r="B34" s="44"/>
      <c r="C34" s="8" t="s">
        <v>331</v>
      </c>
      <c r="D34" s="91"/>
      <c r="E34" s="1"/>
      <c r="F34" s="93"/>
      <c r="G34" s="90"/>
      <c r="H34" s="1"/>
      <c r="I34" s="8" t="s">
        <v>331</v>
      </c>
      <c r="J34" s="91"/>
      <c r="K34" s="1"/>
      <c r="L34" s="93"/>
      <c r="M34" s="90"/>
      <c r="N34" s="236"/>
      <c r="O34" s="237"/>
      <c r="R34" s="154"/>
    </row>
    <row r="35" spans="2:21" x14ac:dyDescent="0.5">
      <c r="B35" s="44"/>
      <c r="C35" s="11"/>
      <c r="D35" s="91"/>
      <c r="E35" s="1"/>
      <c r="F35" s="92">
        <v>1.73</v>
      </c>
      <c r="G35" s="90" t="s">
        <v>332</v>
      </c>
      <c r="H35" s="1"/>
      <c r="I35" s="11"/>
      <c r="J35" s="91"/>
      <c r="K35" s="1"/>
      <c r="L35" s="92">
        <v>0.73</v>
      </c>
      <c r="M35" s="90" t="s">
        <v>332</v>
      </c>
      <c r="N35" s="236"/>
      <c r="O35" s="237"/>
      <c r="R35" s="154"/>
    </row>
    <row r="36" spans="2:21" x14ac:dyDescent="0.5">
      <c r="B36" s="49"/>
      <c r="C36" s="94"/>
      <c r="D36" s="18"/>
      <c r="E36" s="18"/>
      <c r="F36" s="18"/>
      <c r="G36" s="95"/>
      <c r="H36" s="18"/>
      <c r="I36" s="18"/>
      <c r="J36" s="18"/>
      <c r="K36" s="18"/>
      <c r="L36" s="18"/>
      <c r="M36" s="95"/>
      <c r="N36" s="49"/>
      <c r="O36" s="95"/>
    </row>
    <row r="37" spans="2:21" x14ac:dyDescent="0.5">
      <c r="C37" s="85"/>
    </row>
    <row r="38" spans="2:21" x14ac:dyDescent="0.5">
      <c r="C38" s="85"/>
      <c r="Q38" s="1"/>
      <c r="R38" s="1"/>
      <c r="S38" s="96"/>
      <c r="T38" s="96"/>
      <c r="U38" s="96"/>
    </row>
    <row r="39" spans="2:21" x14ac:dyDescent="0.5">
      <c r="C39" s="85"/>
      <c r="Q39" s="32"/>
      <c r="R39" s="1"/>
      <c r="S39" s="97"/>
      <c r="T39" s="97"/>
      <c r="U39" s="98"/>
    </row>
    <row r="40" spans="2:21" x14ac:dyDescent="0.5">
      <c r="C40" s="85"/>
      <c r="Q40" s="32"/>
      <c r="R40" s="1"/>
      <c r="S40" s="121"/>
      <c r="T40" s="121"/>
      <c r="U40" s="98"/>
    </row>
    <row r="41" spans="2:21" x14ac:dyDescent="0.5">
      <c r="C41" s="85"/>
      <c r="Q41" s="32"/>
      <c r="R41" s="1"/>
      <c r="S41" s="121"/>
      <c r="T41" s="121"/>
      <c r="U41" s="98"/>
    </row>
    <row r="42" spans="2:21" x14ac:dyDescent="0.5">
      <c r="P42" s="85"/>
      <c r="Q42" s="32"/>
      <c r="R42" s="1"/>
      <c r="S42" s="121"/>
      <c r="T42" s="121"/>
      <c r="U42" s="98"/>
    </row>
  </sheetData>
  <mergeCells count="7">
    <mergeCell ref="C3:O3"/>
    <mergeCell ref="C10:G10"/>
    <mergeCell ref="I10:M10"/>
    <mergeCell ref="C4:O4"/>
    <mergeCell ref="C5:O5"/>
    <mergeCell ref="C6:O6"/>
    <mergeCell ref="C7:O7"/>
  </mergeCells>
  <printOptions horizontalCentered="1"/>
  <pageMargins left="0.55000000000000004" right="0.55000000000000004" top="1.7" bottom="0.5" header="0" footer="0"/>
  <pageSetup scale="7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18"/>
  <sheetViews>
    <sheetView zoomScaleNormal="100" workbookViewId="0">
      <selection activeCell="G14" sqref="G14"/>
    </sheetView>
  </sheetViews>
  <sheetFormatPr defaultColWidth="8.88671875" defaultRowHeight="14.25" x14ac:dyDescent="0.45"/>
  <cols>
    <col min="1" max="1" width="8.44140625" style="1" customWidth="1"/>
    <col min="2" max="2" width="8.6640625" style="1" customWidth="1"/>
    <col min="3" max="3" width="8" style="1" customWidth="1"/>
    <col min="4" max="4" width="11.5546875" style="3" customWidth="1"/>
    <col min="5" max="5" width="9.77734375" style="1" customWidth="1"/>
    <col min="6" max="6" width="10.33203125" style="1" customWidth="1"/>
    <col min="7" max="7" width="9.5546875" style="1" bestFit="1" customWidth="1"/>
    <col min="8" max="9" width="9.77734375" style="1" customWidth="1"/>
    <col min="10" max="11" width="9.88671875" style="1" bestFit="1" customWidth="1"/>
    <col min="12" max="12" width="10.5546875" style="3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" x14ac:dyDescent="0.55000000000000004">
      <c r="A1" s="70" t="s">
        <v>277</v>
      </c>
      <c r="B1" s="6"/>
      <c r="C1" s="6"/>
      <c r="D1" s="179"/>
      <c r="E1" s="6"/>
      <c r="F1" s="6"/>
      <c r="G1" s="6"/>
      <c r="H1" s="6"/>
      <c r="I1" s="6"/>
    </row>
    <row r="2" spans="1:17" ht="18" x14ac:dyDescent="0.45">
      <c r="A2" s="286" t="s">
        <v>278</v>
      </c>
      <c r="B2" s="286"/>
      <c r="C2" s="286"/>
      <c r="D2" s="286"/>
      <c r="E2" s="286"/>
      <c r="F2" s="286"/>
      <c r="G2" s="286"/>
      <c r="H2" s="286"/>
      <c r="I2" s="286"/>
    </row>
    <row r="3" spans="1:17" x14ac:dyDescent="0.45">
      <c r="M3" s="3"/>
      <c r="Q3" s="3"/>
    </row>
    <row r="4" spans="1:17" ht="16.5" x14ac:dyDescent="0.75">
      <c r="C4" s="75" t="s">
        <v>279</v>
      </c>
      <c r="M4" s="71"/>
      <c r="Q4" s="111"/>
    </row>
    <row r="5" spans="1:17" x14ac:dyDescent="0.45">
      <c r="C5" s="114"/>
      <c r="D5" s="78"/>
      <c r="E5" s="9" t="s">
        <v>280</v>
      </c>
      <c r="F5" s="9" t="s">
        <v>281</v>
      </c>
      <c r="G5" s="9" t="s">
        <v>282</v>
      </c>
      <c r="H5" s="2"/>
      <c r="J5" s="120"/>
      <c r="K5" s="3"/>
      <c r="L5" s="120"/>
      <c r="M5" s="3"/>
      <c r="Q5" s="37"/>
    </row>
    <row r="6" spans="1:17" x14ac:dyDescent="0.45">
      <c r="C6" s="1" t="s">
        <v>283</v>
      </c>
      <c r="E6" s="3">
        <f>C26</f>
        <v>10273</v>
      </c>
      <c r="F6" s="66">
        <f>D26</f>
        <v>33372810</v>
      </c>
      <c r="G6" s="68">
        <f>F34</f>
        <v>498244.70136000006</v>
      </c>
      <c r="H6" s="68"/>
      <c r="J6" s="120"/>
      <c r="K6" s="37"/>
    </row>
    <row r="7" spans="1:17" x14ac:dyDescent="0.45">
      <c r="C7" s="1" t="s">
        <v>284</v>
      </c>
      <c r="E7" s="3">
        <f>C41</f>
        <v>0</v>
      </c>
      <c r="F7" s="66">
        <f>D41</f>
        <v>0</v>
      </c>
      <c r="G7" s="3">
        <f>F47</f>
        <v>0</v>
      </c>
      <c r="H7" s="3"/>
      <c r="J7" s="120"/>
      <c r="K7" s="3"/>
    </row>
    <row r="8" spans="1:17" x14ac:dyDescent="0.45">
      <c r="C8" s="1" t="s">
        <v>285</v>
      </c>
      <c r="E8" s="78">
        <f>C54</f>
        <v>24</v>
      </c>
      <c r="F8" s="178">
        <f>D54</f>
        <v>2975300</v>
      </c>
      <c r="G8" s="78">
        <f>F60</f>
        <v>25237.565999999999</v>
      </c>
      <c r="H8" s="3"/>
      <c r="J8" s="120"/>
      <c r="K8" s="3"/>
    </row>
    <row r="9" spans="1:17" x14ac:dyDescent="0.45">
      <c r="C9" s="1" t="s">
        <v>271</v>
      </c>
      <c r="E9" s="37">
        <f>SUM(E6:E8)</f>
        <v>10297</v>
      </c>
      <c r="F9" s="5">
        <f>SUM(F6:F8)</f>
        <v>36348110</v>
      </c>
      <c r="G9" s="4">
        <f>SUM(G6:G8)</f>
        <v>523482.26736000006</v>
      </c>
      <c r="H9" s="4"/>
      <c r="J9" s="120"/>
      <c r="K9" s="37"/>
      <c r="M9" s="67"/>
    </row>
    <row r="10" spans="1:17" x14ac:dyDescent="0.45">
      <c r="E10" s="37"/>
      <c r="F10" s="5"/>
      <c r="G10" s="4"/>
      <c r="H10" s="4"/>
      <c r="J10" s="120"/>
      <c r="K10" s="37"/>
      <c r="M10" s="67"/>
    </row>
    <row r="11" spans="1:17" x14ac:dyDescent="0.45">
      <c r="D11" s="37" t="s">
        <v>333</v>
      </c>
      <c r="F11" s="5"/>
      <c r="G11" s="149">
        <f>G9+G10</f>
        <v>523482.26736000006</v>
      </c>
      <c r="H11" s="4"/>
      <c r="J11" s="120"/>
      <c r="K11" s="37"/>
      <c r="M11" s="67"/>
    </row>
    <row r="12" spans="1:17" x14ac:dyDescent="0.45">
      <c r="D12" s="37" t="s">
        <v>334</v>
      </c>
      <c r="F12" s="5"/>
      <c r="G12" s="149">
        <v>3947</v>
      </c>
      <c r="H12" s="4"/>
      <c r="J12" s="120"/>
      <c r="K12" s="37"/>
      <c r="M12" s="67"/>
    </row>
    <row r="13" spans="1:17" x14ac:dyDescent="0.45">
      <c r="D13" s="3" t="s">
        <v>287</v>
      </c>
      <c r="E13" s="37"/>
      <c r="F13" s="5"/>
      <c r="G13" s="149">
        <f>F75</f>
        <v>48660</v>
      </c>
      <c r="H13" s="4"/>
      <c r="J13" s="120"/>
      <c r="K13" s="67"/>
    </row>
    <row r="14" spans="1:17" x14ac:dyDescent="0.45">
      <c r="D14" s="167" t="s">
        <v>288</v>
      </c>
      <c r="F14" s="112"/>
      <c r="G14" s="71">
        <f>G11+G13+G12</f>
        <v>576089.26736000006</v>
      </c>
      <c r="H14" s="169"/>
      <c r="I14" s="71"/>
      <c r="J14" s="120"/>
      <c r="O14" s="37"/>
    </row>
    <row r="15" spans="1:17" x14ac:dyDescent="0.45">
      <c r="D15" s="157"/>
      <c r="F15" s="112"/>
      <c r="G15" s="148"/>
      <c r="I15" s="71"/>
      <c r="J15" s="120"/>
    </row>
    <row r="16" spans="1:17" x14ac:dyDescent="0.45">
      <c r="D16" s="157"/>
      <c r="F16" s="112"/>
      <c r="G16" s="157"/>
      <c r="I16" s="71"/>
    </row>
    <row r="17" spans="1:19" x14ac:dyDescent="0.45">
      <c r="F17" s="147"/>
      <c r="G17" s="71"/>
    </row>
    <row r="18" spans="1:19" x14ac:dyDescent="0.45">
      <c r="F18" s="71"/>
      <c r="G18" s="71"/>
    </row>
    <row r="19" spans="1:19" ht="15.75" x14ac:dyDescent="0.5">
      <c r="A19" s="109" t="s">
        <v>290</v>
      </c>
      <c r="N19"/>
      <c r="O19"/>
      <c r="P19"/>
      <c r="Q19"/>
      <c r="R19"/>
      <c r="S19"/>
    </row>
    <row r="20" spans="1:19" ht="15.4" x14ac:dyDescent="0.45">
      <c r="E20" s="2" t="s">
        <v>291</v>
      </c>
      <c r="F20" s="2" t="s">
        <v>292</v>
      </c>
      <c r="G20" s="2" t="s">
        <v>292</v>
      </c>
      <c r="H20" s="2" t="s">
        <v>293</v>
      </c>
      <c r="K20"/>
      <c r="L20"/>
      <c r="M20"/>
      <c r="N20"/>
      <c r="O20"/>
      <c r="P20"/>
    </row>
    <row r="21" spans="1:19" ht="15.4" x14ac:dyDescent="0.45">
      <c r="B21" s="9" t="s">
        <v>294</v>
      </c>
      <c r="C21" s="10" t="s">
        <v>295</v>
      </c>
      <c r="D21" s="180" t="s">
        <v>296</v>
      </c>
      <c r="E21" s="10">
        <f>B22</f>
        <v>2000</v>
      </c>
      <c r="F21" s="10">
        <f>B23</f>
        <v>3000</v>
      </c>
      <c r="G21" s="10">
        <f>B24</f>
        <v>5000</v>
      </c>
      <c r="H21" s="10">
        <f>B25</f>
        <v>10000</v>
      </c>
      <c r="I21" s="9" t="s">
        <v>297</v>
      </c>
      <c r="K21"/>
      <c r="L21"/>
      <c r="M21"/>
      <c r="N21"/>
      <c r="O21"/>
      <c r="P21"/>
    </row>
    <row r="22" spans="1:19" ht="15.4" x14ac:dyDescent="0.45">
      <c r="A22" s="11" t="s">
        <v>291</v>
      </c>
      <c r="B22" s="12">
        <v>2000</v>
      </c>
      <c r="C22" s="175">
        <v>4163</v>
      </c>
      <c r="D22" s="157">
        <v>3966086</v>
      </c>
      <c r="E22" s="72">
        <f>D22</f>
        <v>3966086</v>
      </c>
      <c r="F22" s="72">
        <v>0</v>
      </c>
      <c r="G22" s="72">
        <v>0</v>
      </c>
      <c r="H22" s="72">
        <v>0</v>
      </c>
      <c r="I22" s="72">
        <f>SUM(E22:H22)</f>
        <v>3966086</v>
      </c>
      <c r="K22"/>
      <c r="L22"/>
      <c r="M22"/>
      <c r="N22"/>
      <c r="O22"/>
      <c r="P22"/>
    </row>
    <row r="23" spans="1:19" ht="15.4" x14ac:dyDescent="0.45">
      <c r="A23" s="11" t="s">
        <v>292</v>
      </c>
      <c r="B23" s="12">
        <v>3000</v>
      </c>
      <c r="C23" s="175">
        <v>4418</v>
      </c>
      <c r="D23" s="157">
        <v>14276870</v>
      </c>
      <c r="E23" s="72">
        <f>C23*E$21</f>
        <v>8836000</v>
      </c>
      <c r="F23" s="72">
        <f>D23-E23</f>
        <v>5440870</v>
      </c>
      <c r="G23" s="72">
        <v>0</v>
      </c>
      <c r="H23" s="72">
        <v>0</v>
      </c>
      <c r="I23" s="72">
        <f>SUM(E23:H23)</f>
        <v>14276870</v>
      </c>
      <c r="K23"/>
      <c r="L23"/>
      <c r="M23"/>
      <c r="N23"/>
      <c r="O23"/>
      <c r="P23"/>
    </row>
    <row r="24" spans="1:19" ht="15.4" x14ac:dyDescent="0.45">
      <c r="A24" s="11" t="s">
        <v>292</v>
      </c>
      <c r="B24" s="12">
        <v>5000</v>
      </c>
      <c r="C24" s="175">
        <v>1345</v>
      </c>
      <c r="D24" s="157">
        <v>8865724</v>
      </c>
      <c r="E24" s="72">
        <f>C24*E$21</f>
        <v>2690000</v>
      </c>
      <c r="F24" s="72">
        <f>$C24*F$21</f>
        <v>4035000</v>
      </c>
      <c r="G24" s="72">
        <f>D24-(F24+E24)</f>
        <v>2140724</v>
      </c>
      <c r="H24" s="72">
        <v>0</v>
      </c>
      <c r="I24" s="72">
        <f>SUM(E24:H24)</f>
        <v>8865724</v>
      </c>
      <c r="K24"/>
      <c r="L24"/>
      <c r="M24"/>
      <c r="N24"/>
      <c r="O24"/>
      <c r="P24"/>
    </row>
    <row r="25" spans="1:19" ht="15.4" x14ac:dyDescent="0.45">
      <c r="A25" s="11" t="s">
        <v>293</v>
      </c>
      <c r="B25" s="14">
        <v>10000</v>
      </c>
      <c r="C25" s="176">
        <v>347</v>
      </c>
      <c r="D25" s="181">
        <v>6264130</v>
      </c>
      <c r="E25" s="73">
        <f>C25*E$21</f>
        <v>694000</v>
      </c>
      <c r="F25" s="73">
        <f>$C25*F$21</f>
        <v>1041000</v>
      </c>
      <c r="G25" s="73">
        <f>$C25*G$21</f>
        <v>1735000</v>
      </c>
      <c r="H25" s="73">
        <f>D25-E25-F25-G25</f>
        <v>2794130</v>
      </c>
      <c r="I25" s="73">
        <f>SUM(E25:H25)</f>
        <v>6264130</v>
      </c>
      <c r="K25"/>
      <c r="L25"/>
      <c r="M25"/>
      <c r="N25"/>
      <c r="O25"/>
      <c r="P25"/>
    </row>
    <row r="26" spans="1:19" ht="15.4" x14ac:dyDescent="0.45">
      <c r="A26" s="11"/>
      <c r="B26" s="12" t="s">
        <v>297</v>
      </c>
      <c r="C26" s="74">
        <f t="shared" ref="C26:I26" si="0">SUM(C22:C25)</f>
        <v>10273</v>
      </c>
      <c r="D26" s="5">
        <f t="shared" si="0"/>
        <v>33372810</v>
      </c>
      <c r="E26" s="74">
        <f t="shared" si="0"/>
        <v>16186086</v>
      </c>
      <c r="F26" s="74">
        <f t="shared" si="0"/>
        <v>10516870</v>
      </c>
      <c r="G26" s="74">
        <f t="shared" si="0"/>
        <v>3875724</v>
      </c>
      <c r="H26" s="74">
        <f t="shared" si="0"/>
        <v>2794130</v>
      </c>
      <c r="I26" s="74">
        <f t="shared" si="0"/>
        <v>33372810</v>
      </c>
      <c r="J26" s="3"/>
      <c r="K26"/>
      <c r="L26"/>
      <c r="M26"/>
      <c r="N26"/>
      <c r="O26"/>
      <c r="P26"/>
    </row>
    <row r="27" spans="1:19" ht="15.4" x14ac:dyDescent="0.45">
      <c r="A27" s="11"/>
      <c r="B27" s="12"/>
      <c r="E27" s="12"/>
      <c r="F27" s="12"/>
      <c r="G27" s="12"/>
      <c r="H27" s="12"/>
      <c r="I27" s="12"/>
      <c r="N27"/>
      <c r="O27"/>
      <c r="P27"/>
      <c r="Q27"/>
      <c r="R27"/>
      <c r="S27"/>
    </row>
    <row r="28" spans="1:19" ht="15.4" x14ac:dyDescent="0.45">
      <c r="A28" s="16" t="s">
        <v>298</v>
      </c>
      <c r="B28" s="16"/>
      <c r="E28" s="12"/>
      <c r="F28" s="12"/>
      <c r="G28" s="12"/>
      <c r="H28" s="12"/>
      <c r="I28" s="12"/>
      <c r="N28"/>
      <c r="O28"/>
      <c r="P28"/>
      <c r="Q28"/>
      <c r="R28"/>
      <c r="S28"/>
    </row>
    <row r="29" spans="1:19" ht="15.4" x14ac:dyDescent="0.45">
      <c r="A29" s="11"/>
      <c r="B29" s="9"/>
      <c r="C29" s="10" t="s">
        <v>295</v>
      </c>
      <c r="D29" s="180" t="s">
        <v>296</v>
      </c>
      <c r="E29" s="10" t="s">
        <v>299</v>
      </c>
      <c r="F29" s="10" t="s">
        <v>300</v>
      </c>
      <c r="G29" s="12"/>
      <c r="H29" s="12"/>
      <c r="I29" s="12"/>
      <c r="N29"/>
      <c r="O29"/>
      <c r="P29"/>
      <c r="Q29"/>
      <c r="R29"/>
      <c r="S29"/>
    </row>
    <row r="30" spans="1:19" ht="15.4" x14ac:dyDescent="0.45">
      <c r="A30" s="11" t="s">
        <v>291</v>
      </c>
      <c r="B30" s="12">
        <f>B22</f>
        <v>2000</v>
      </c>
      <c r="C30" s="13">
        <f>C26</f>
        <v>10273</v>
      </c>
      <c r="D30" s="157">
        <f>E26</f>
        <v>16186086</v>
      </c>
      <c r="E30" s="17">
        <f>RatesW!L13</f>
        <v>30.43</v>
      </c>
      <c r="F30" s="7">
        <f>(E30*C30)</f>
        <v>312607.39</v>
      </c>
      <c r="G30" s="12"/>
      <c r="N30"/>
      <c r="O30"/>
      <c r="P30"/>
      <c r="Q30"/>
      <c r="R30"/>
      <c r="S30"/>
    </row>
    <row r="31" spans="1:19" ht="15.4" x14ac:dyDescent="0.45">
      <c r="A31" s="11" t="s">
        <v>292</v>
      </c>
      <c r="B31" s="12">
        <f>B23</f>
        <v>3000</v>
      </c>
      <c r="D31" s="157">
        <f>F26</f>
        <v>10516870</v>
      </c>
      <c r="E31" s="17">
        <f>RatesW!L14</f>
        <v>11.9</v>
      </c>
      <c r="F31" s="3">
        <f>E31*(D31/1000)</f>
        <v>125150.75300000001</v>
      </c>
      <c r="G31" s="12"/>
      <c r="N31"/>
      <c r="O31"/>
      <c r="P31"/>
      <c r="Q31"/>
      <c r="R31"/>
      <c r="S31"/>
    </row>
    <row r="32" spans="1:19" ht="15.4" x14ac:dyDescent="0.45">
      <c r="A32" s="11" t="s">
        <v>292</v>
      </c>
      <c r="B32" s="12">
        <f>B24</f>
        <v>5000</v>
      </c>
      <c r="D32" s="157">
        <f>G26</f>
        <v>3875724</v>
      </c>
      <c r="E32" s="17">
        <f>RatesW!L15</f>
        <v>9.94</v>
      </c>
      <c r="F32" s="3">
        <f>E32*(D32/1000)</f>
        <v>38524.696559999997</v>
      </c>
      <c r="G32" s="12"/>
      <c r="N32"/>
      <c r="O32"/>
      <c r="P32"/>
      <c r="Q32"/>
      <c r="R32"/>
      <c r="S32"/>
    </row>
    <row r="33" spans="1:17" x14ac:dyDescent="0.45">
      <c r="A33" s="11" t="s">
        <v>293</v>
      </c>
      <c r="B33" s="14">
        <f>B25</f>
        <v>10000</v>
      </c>
      <c r="C33" s="18"/>
      <c r="D33" s="181">
        <f>H26</f>
        <v>2794130</v>
      </c>
      <c r="E33" s="168">
        <f>RatesW!L16</f>
        <v>7.86</v>
      </c>
      <c r="F33" s="78">
        <f>E33*(D33/1000)</f>
        <v>21961.861800000002</v>
      </c>
      <c r="G33" s="12"/>
      <c r="Q33" s="3">
        <f>Q27/12</f>
        <v>0</v>
      </c>
    </row>
    <row r="34" spans="1:17" x14ac:dyDescent="0.45">
      <c r="A34" s="11"/>
      <c r="B34" s="12" t="s">
        <v>297</v>
      </c>
      <c r="C34" s="3">
        <f>SUM(C30:C33)</f>
        <v>10273</v>
      </c>
      <c r="D34" s="5">
        <f>SUM(D30:D33)</f>
        <v>33372810</v>
      </c>
      <c r="F34" s="7">
        <f>SUM(F30:F33)</f>
        <v>498244.70136000006</v>
      </c>
      <c r="G34" s="68"/>
      <c r="H34" s="12"/>
      <c r="I34" s="150"/>
    </row>
    <row r="35" spans="1:17" x14ac:dyDescent="0.45">
      <c r="A35" s="11"/>
      <c r="B35" s="12"/>
      <c r="C35" s="3"/>
      <c r="D35" s="5"/>
      <c r="F35" s="7"/>
      <c r="G35" s="12"/>
      <c r="H35" s="12"/>
      <c r="I35" s="12"/>
    </row>
    <row r="36" spans="1:17" ht="15.75" x14ac:dyDescent="0.5">
      <c r="A36" s="109" t="s">
        <v>301</v>
      </c>
    </row>
    <row r="37" spans="1:17" x14ac:dyDescent="0.45">
      <c r="E37" s="2" t="s">
        <v>291</v>
      </c>
      <c r="F37" s="2" t="s">
        <v>293</v>
      </c>
      <c r="L37" s="1"/>
    </row>
    <row r="38" spans="1:17" x14ac:dyDescent="0.45">
      <c r="B38" s="9" t="s">
        <v>294</v>
      </c>
      <c r="C38" s="10" t="s">
        <v>295</v>
      </c>
      <c r="D38" s="180" t="s">
        <v>296</v>
      </c>
      <c r="E38" s="10">
        <f>B39</f>
        <v>10000</v>
      </c>
      <c r="F38" s="10">
        <f>B40</f>
        <v>10000</v>
      </c>
      <c r="G38" s="9" t="s">
        <v>297</v>
      </c>
      <c r="L38" s="1"/>
    </row>
    <row r="39" spans="1:17" x14ac:dyDescent="0.45">
      <c r="A39" s="11" t="s">
        <v>291</v>
      </c>
      <c r="B39" s="12">
        <v>10000</v>
      </c>
      <c r="C39" s="175"/>
      <c r="D39" s="157"/>
      <c r="E39" s="72">
        <f>D39</f>
        <v>0</v>
      </c>
      <c r="F39" s="72">
        <v>0</v>
      </c>
      <c r="G39" s="72">
        <f>SUM(E39:F39)</f>
        <v>0</v>
      </c>
      <c r="L39" s="1"/>
    </row>
    <row r="40" spans="1:17" x14ac:dyDescent="0.45">
      <c r="A40" s="11" t="s">
        <v>293</v>
      </c>
      <c r="B40" s="14">
        <v>10000</v>
      </c>
      <c r="C40" s="176"/>
      <c r="D40" s="181"/>
      <c r="E40" s="73">
        <f>$C40*E$38</f>
        <v>0</v>
      </c>
      <c r="F40" s="73">
        <f>D40-E40</f>
        <v>0</v>
      </c>
      <c r="G40" s="73">
        <f>SUM(E40:F40)</f>
        <v>0</v>
      </c>
      <c r="L40" s="1"/>
    </row>
    <row r="41" spans="1:17" x14ac:dyDescent="0.45">
      <c r="A41" s="11"/>
      <c r="B41" s="12"/>
      <c r="C41" s="177">
        <f>SUM(C39:C40)</f>
        <v>0</v>
      </c>
      <c r="D41" s="5">
        <f>SUM(D39:D40)</f>
        <v>0</v>
      </c>
      <c r="E41" s="74">
        <f>SUM(E39:E40)</f>
        <v>0</v>
      </c>
      <c r="F41" s="74">
        <f>SUM(F39:F40)</f>
        <v>0</v>
      </c>
      <c r="G41" s="74">
        <f>SUM(G39:G40)</f>
        <v>0</v>
      </c>
      <c r="H41" s="97"/>
      <c r="J41" s="3"/>
      <c r="L41" s="1"/>
    </row>
    <row r="42" spans="1:17" x14ac:dyDescent="0.45">
      <c r="A42" s="11"/>
      <c r="B42" s="12"/>
      <c r="E42" s="12"/>
      <c r="F42" s="12"/>
      <c r="G42" s="12"/>
      <c r="H42" s="12"/>
      <c r="I42" s="12"/>
    </row>
    <row r="43" spans="1:17" x14ac:dyDescent="0.45">
      <c r="A43" s="16" t="s">
        <v>298</v>
      </c>
      <c r="B43" s="16"/>
      <c r="E43" s="12"/>
      <c r="F43" s="12"/>
      <c r="G43" s="12"/>
      <c r="H43" s="12"/>
      <c r="I43" s="12"/>
    </row>
    <row r="44" spans="1:17" x14ac:dyDescent="0.45">
      <c r="A44" s="11"/>
      <c r="B44" s="9"/>
      <c r="C44" s="10" t="s">
        <v>295</v>
      </c>
      <c r="D44" s="180" t="s">
        <v>296</v>
      </c>
      <c r="E44" s="10" t="s">
        <v>299</v>
      </c>
      <c r="F44" s="10" t="s">
        <v>300</v>
      </c>
      <c r="G44" s="12"/>
      <c r="H44" s="12"/>
      <c r="I44" s="12"/>
    </row>
    <row r="45" spans="1:17" x14ac:dyDescent="0.45">
      <c r="A45" s="11" t="s">
        <v>291</v>
      </c>
      <c r="B45" s="12">
        <f>B39</f>
        <v>10000</v>
      </c>
      <c r="C45" s="13">
        <f>C41</f>
        <v>0</v>
      </c>
      <c r="D45" s="157">
        <f>E41</f>
        <v>0</v>
      </c>
      <c r="E45" s="17">
        <f>RatesW!L19</f>
        <v>115.729966</v>
      </c>
      <c r="F45" s="7">
        <f>E45*C45</f>
        <v>0</v>
      </c>
      <c r="G45" s="12"/>
    </row>
    <row r="46" spans="1:17" x14ac:dyDescent="0.45">
      <c r="A46" s="11" t="s">
        <v>293</v>
      </c>
      <c r="B46" s="14">
        <f>B40</f>
        <v>10000</v>
      </c>
      <c r="C46" s="18"/>
      <c r="D46" s="181">
        <f>F41</f>
        <v>0</v>
      </c>
      <c r="E46" s="168">
        <v>7.9</v>
      </c>
      <c r="F46" s="78">
        <f>E46*(D46/1000)</f>
        <v>0</v>
      </c>
      <c r="G46" s="12"/>
    </row>
    <row r="47" spans="1:17" x14ac:dyDescent="0.45">
      <c r="A47" s="11"/>
      <c r="B47" s="12" t="s">
        <v>297</v>
      </c>
      <c r="C47" s="3">
        <f>SUM(C45:C46)</f>
        <v>0</v>
      </c>
      <c r="D47" s="5">
        <f>SUM(D45:D46)</f>
        <v>0</v>
      </c>
      <c r="F47" s="7">
        <f>SUM(F45:F46)</f>
        <v>0</v>
      </c>
      <c r="G47" s="68"/>
      <c r="H47" s="12"/>
      <c r="I47" s="150"/>
    </row>
    <row r="48" spans="1:17" x14ac:dyDescent="0.45">
      <c r="A48" s="11"/>
      <c r="B48" s="12"/>
      <c r="C48" s="19"/>
      <c r="D48" s="5"/>
      <c r="F48" s="17"/>
      <c r="G48" s="12"/>
      <c r="H48" s="12"/>
      <c r="I48" s="12"/>
    </row>
    <row r="49" spans="1:17" ht="15.75" x14ac:dyDescent="0.5">
      <c r="A49" s="109" t="s">
        <v>302</v>
      </c>
    </row>
    <row r="50" spans="1:17" x14ac:dyDescent="0.45">
      <c r="E50" s="2" t="s">
        <v>291</v>
      </c>
      <c r="F50" s="2" t="s">
        <v>293</v>
      </c>
      <c r="K50" s="3"/>
      <c r="L50" s="1"/>
    </row>
    <row r="51" spans="1:17" x14ac:dyDescent="0.45">
      <c r="B51" s="9" t="s">
        <v>294</v>
      </c>
      <c r="C51" s="10" t="s">
        <v>295</v>
      </c>
      <c r="D51" s="180" t="s">
        <v>296</v>
      </c>
      <c r="E51" s="10">
        <f>B52</f>
        <v>50000</v>
      </c>
      <c r="F51" s="10">
        <f>B53</f>
        <v>50000</v>
      </c>
      <c r="G51" s="9" t="s">
        <v>297</v>
      </c>
      <c r="L51" s="1"/>
      <c r="Q51" s="1" t="s">
        <v>303</v>
      </c>
    </row>
    <row r="52" spans="1:17" x14ac:dyDescent="0.45">
      <c r="A52" s="11" t="s">
        <v>291</v>
      </c>
      <c r="B52" s="12">
        <v>50000</v>
      </c>
      <c r="C52" s="175">
        <v>4</v>
      </c>
      <c r="D52" s="157">
        <v>84200</v>
      </c>
      <c r="E52" s="72">
        <f>D52</f>
        <v>84200</v>
      </c>
      <c r="F52" s="72">
        <v>0</v>
      </c>
      <c r="G52" s="72">
        <f>SUM(E52:F52)</f>
        <v>84200</v>
      </c>
      <c r="K52" s="77"/>
      <c r="L52" s="1"/>
    </row>
    <row r="53" spans="1:17" x14ac:dyDescent="0.45">
      <c r="A53" s="11" t="s">
        <v>293</v>
      </c>
      <c r="B53" s="14">
        <v>50000</v>
      </c>
      <c r="C53" s="176">
        <v>20</v>
      </c>
      <c r="D53" s="181">
        <v>2891100</v>
      </c>
      <c r="E53" s="73">
        <f>$C53*E$51</f>
        <v>1000000</v>
      </c>
      <c r="F53" s="73">
        <f>D53-E53</f>
        <v>1891100</v>
      </c>
      <c r="G53" s="73">
        <f>SUM(E53:F53)</f>
        <v>2891100</v>
      </c>
      <c r="H53" s="3"/>
      <c r="I53" s="3"/>
      <c r="K53" s="2"/>
      <c r="L53" s="1"/>
    </row>
    <row r="54" spans="1:17" x14ac:dyDescent="0.45">
      <c r="A54" s="11"/>
      <c r="B54" s="12"/>
      <c r="C54" s="3">
        <f>SUM(C52:C53)</f>
        <v>24</v>
      </c>
      <c r="D54" s="5">
        <f>SUM(D52:D53)</f>
        <v>2975300</v>
      </c>
      <c r="E54" s="74">
        <f>SUM(E52:E53)</f>
        <v>1084200</v>
      </c>
      <c r="F54" s="74">
        <f>SUM(F52:F53)</f>
        <v>1891100</v>
      </c>
      <c r="G54" s="74">
        <f>SUM(G52:G53)</f>
        <v>2975300</v>
      </c>
    </row>
    <row r="55" spans="1:17" x14ac:dyDescent="0.45">
      <c r="A55" s="11"/>
      <c r="B55" s="12"/>
      <c r="E55" s="12"/>
      <c r="F55" s="12"/>
      <c r="G55" s="12"/>
      <c r="H55" s="12"/>
      <c r="I55" s="12"/>
    </row>
    <row r="56" spans="1:17" x14ac:dyDescent="0.45">
      <c r="A56" s="16" t="s">
        <v>298</v>
      </c>
      <c r="B56" s="16"/>
      <c r="E56" s="12"/>
      <c r="F56" s="12"/>
      <c r="G56" s="12"/>
      <c r="H56" s="12"/>
      <c r="I56" s="12"/>
    </row>
    <row r="57" spans="1:17" x14ac:dyDescent="0.45">
      <c r="A57" s="11"/>
      <c r="B57" s="9"/>
      <c r="C57" s="10" t="s">
        <v>295</v>
      </c>
      <c r="D57" s="180" t="s">
        <v>296</v>
      </c>
      <c r="E57" s="10" t="s">
        <v>299</v>
      </c>
      <c r="F57" s="10" t="s">
        <v>300</v>
      </c>
      <c r="G57" s="12"/>
      <c r="H57" s="12"/>
      <c r="I57" s="12"/>
    </row>
    <row r="58" spans="1:17" x14ac:dyDescent="0.45">
      <c r="A58" s="11" t="s">
        <v>291</v>
      </c>
      <c r="B58" s="12">
        <f>B52</f>
        <v>50000</v>
      </c>
      <c r="C58" s="13">
        <f>C54</f>
        <v>24</v>
      </c>
      <c r="D58" s="157">
        <f>E54</f>
        <v>1084200</v>
      </c>
      <c r="E58" s="17">
        <f>RatesW!L23</f>
        <v>432.23</v>
      </c>
      <c r="F58" s="7">
        <f>E58*C58</f>
        <v>10373.52</v>
      </c>
      <c r="G58" s="12"/>
      <c r="H58" s="12"/>
      <c r="I58" s="12"/>
    </row>
    <row r="59" spans="1:17" x14ac:dyDescent="0.45">
      <c r="A59" s="11" t="s">
        <v>293</v>
      </c>
      <c r="B59" s="14">
        <f>B53</f>
        <v>50000</v>
      </c>
      <c r="C59" s="78"/>
      <c r="D59" s="181">
        <f>F54</f>
        <v>1891100</v>
      </c>
      <c r="E59" s="168">
        <f>E33</f>
        <v>7.86</v>
      </c>
      <c r="F59" s="78">
        <f t="shared" ref="F59" si="1">E59*(D59/1000)</f>
        <v>14864.046</v>
      </c>
      <c r="G59" s="12"/>
      <c r="H59" s="12"/>
      <c r="I59" s="12"/>
    </row>
    <row r="60" spans="1:17" x14ac:dyDescent="0.45">
      <c r="A60" s="11"/>
      <c r="B60" s="12" t="s">
        <v>297</v>
      </c>
      <c r="C60" s="3">
        <f>SUM(C58:C59)</f>
        <v>24</v>
      </c>
      <c r="D60" s="5">
        <f>SUM(D58:D59)</f>
        <v>2975300</v>
      </c>
      <c r="F60" s="7">
        <f>SUM(F58:F59)</f>
        <v>25237.565999999999</v>
      </c>
      <c r="G60" s="68"/>
      <c r="H60" s="12"/>
      <c r="I60" s="150"/>
    </row>
    <row r="61" spans="1:17" x14ac:dyDescent="0.45">
      <c r="A61" s="11"/>
      <c r="B61" s="12"/>
      <c r="C61" s="19"/>
      <c r="D61" s="5"/>
      <c r="F61" s="17"/>
      <c r="G61" s="12"/>
      <c r="H61" s="12"/>
      <c r="I61" s="12"/>
    </row>
    <row r="62" spans="1:17" ht="15.75" x14ac:dyDescent="0.5">
      <c r="A62" s="109" t="s">
        <v>304</v>
      </c>
      <c r="L62" s="5"/>
    </row>
    <row r="63" spans="1:17" x14ac:dyDescent="0.45">
      <c r="E63" s="2" t="s">
        <v>291</v>
      </c>
      <c r="F63" s="2" t="s">
        <v>292</v>
      </c>
      <c r="G63" s="2" t="s">
        <v>293</v>
      </c>
      <c r="I63" s="2"/>
      <c r="J63" s="2"/>
      <c r="L63" s="5"/>
    </row>
    <row r="64" spans="1:17" x14ac:dyDescent="0.45">
      <c r="B64" s="9" t="s">
        <v>294</v>
      </c>
      <c r="C64" s="10" t="s">
        <v>295</v>
      </c>
      <c r="D64" s="180" t="s">
        <v>296</v>
      </c>
      <c r="E64" s="10">
        <f>B65</f>
        <v>1000000</v>
      </c>
      <c r="F64" s="10">
        <f>B66</f>
        <v>2000000</v>
      </c>
      <c r="G64" s="10">
        <f>B67</f>
        <v>3000000</v>
      </c>
      <c r="H64" s="9" t="s">
        <v>297</v>
      </c>
      <c r="I64" s="171"/>
      <c r="J64" s="171"/>
      <c r="K64" s="2"/>
      <c r="L64" s="5"/>
    </row>
    <row r="65" spans="1:12" x14ac:dyDescent="0.45">
      <c r="A65" s="11" t="s">
        <v>291</v>
      </c>
      <c r="B65" s="12">
        <v>1000000</v>
      </c>
      <c r="C65" s="175"/>
      <c r="D65" s="157"/>
      <c r="E65" s="72">
        <f>D65</f>
        <v>0</v>
      </c>
      <c r="F65" s="72">
        <v>0</v>
      </c>
      <c r="G65" s="72">
        <v>0</v>
      </c>
      <c r="H65" s="72">
        <f>SUM(F65:G65)</f>
        <v>0</v>
      </c>
      <c r="I65" s="172"/>
      <c r="J65" s="172"/>
      <c r="K65" s="172"/>
      <c r="L65" s="5"/>
    </row>
    <row r="66" spans="1:12" x14ac:dyDescent="0.45">
      <c r="A66" s="11" t="s">
        <v>292</v>
      </c>
      <c r="B66" s="12">
        <v>2000000</v>
      </c>
      <c r="C66" s="175">
        <v>12</v>
      </c>
      <c r="D66" s="157">
        <v>24330000</v>
      </c>
      <c r="E66" s="72">
        <f>E64*C66</f>
        <v>12000000</v>
      </c>
      <c r="F66" s="72">
        <f>D66-E66</f>
        <v>12330000</v>
      </c>
      <c r="G66" s="72">
        <f>D66-E66-F66</f>
        <v>0</v>
      </c>
      <c r="H66" s="72">
        <f>SUM(E66:G66)</f>
        <v>24330000</v>
      </c>
      <c r="I66" s="172"/>
      <c r="J66" s="172"/>
      <c r="K66" s="172"/>
      <c r="L66" s="5"/>
    </row>
    <row r="67" spans="1:12" x14ac:dyDescent="0.45">
      <c r="A67" s="11" t="s">
        <v>293</v>
      </c>
      <c r="B67" s="14">
        <v>3000000</v>
      </c>
      <c r="C67" s="176"/>
      <c r="D67" s="181"/>
      <c r="E67" s="73">
        <f>$C67*E$51</f>
        <v>0</v>
      </c>
      <c r="F67" s="73">
        <f>D67-E67</f>
        <v>0</v>
      </c>
      <c r="G67" s="73">
        <f>E67-F67</f>
        <v>0</v>
      </c>
      <c r="H67" s="73">
        <f>SUM(F67:G67)</f>
        <v>0</v>
      </c>
      <c r="I67" s="172"/>
      <c r="J67" s="172"/>
      <c r="K67" s="172"/>
      <c r="L67" s="5"/>
    </row>
    <row r="68" spans="1:12" x14ac:dyDescent="0.45">
      <c r="A68" s="11"/>
      <c r="B68" s="12"/>
      <c r="C68" s="3">
        <f t="shared" ref="C68:H68" si="2">SUM(C65:C67)</f>
        <v>12</v>
      </c>
      <c r="D68" s="5">
        <f t="shared" si="2"/>
        <v>24330000</v>
      </c>
      <c r="E68" s="74">
        <f t="shared" si="2"/>
        <v>12000000</v>
      </c>
      <c r="F68" s="74">
        <f t="shared" si="2"/>
        <v>12330000</v>
      </c>
      <c r="G68" s="74">
        <f t="shared" si="2"/>
        <v>0</v>
      </c>
      <c r="H68" s="74">
        <f t="shared" si="2"/>
        <v>24330000</v>
      </c>
      <c r="I68" s="172"/>
      <c r="J68" s="172"/>
      <c r="K68" s="172"/>
      <c r="L68" s="5"/>
    </row>
    <row r="69" spans="1:12" x14ac:dyDescent="0.45">
      <c r="A69" s="11"/>
      <c r="B69" s="12"/>
      <c r="E69" s="12"/>
      <c r="F69" s="12"/>
      <c r="G69" s="12"/>
      <c r="H69" s="37"/>
      <c r="I69" s="172"/>
      <c r="J69" s="172"/>
      <c r="K69" s="172"/>
      <c r="L69" s="5"/>
    </row>
    <row r="70" spans="1:12" x14ac:dyDescent="0.45">
      <c r="A70" s="16" t="s">
        <v>298</v>
      </c>
      <c r="B70" s="16"/>
      <c r="E70" s="12"/>
      <c r="F70" s="12"/>
      <c r="G70" s="12"/>
      <c r="H70" s="37"/>
      <c r="I70" s="37"/>
      <c r="J70" s="172"/>
      <c r="K70" s="172"/>
      <c r="L70" s="5"/>
    </row>
    <row r="71" spans="1:12" x14ac:dyDescent="0.45">
      <c r="A71" s="11"/>
      <c r="B71" s="9"/>
      <c r="C71" s="10" t="s">
        <v>295</v>
      </c>
      <c r="D71" s="180" t="s">
        <v>296</v>
      </c>
      <c r="E71" s="10" t="s">
        <v>299</v>
      </c>
      <c r="F71" s="10" t="s">
        <v>300</v>
      </c>
      <c r="G71" s="12"/>
      <c r="H71" s="37"/>
      <c r="I71" s="37"/>
      <c r="J71" s="172"/>
      <c r="K71" s="172"/>
      <c r="L71" s="5"/>
    </row>
    <row r="72" spans="1:12" x14ac:dyDescent="0.45">
      <c r="A72" s="11" t="s">
        <v>291</v>
      </c>
      <c r="B72" s="12">
        <f>B65</f>
        <v>1000000</v>
      </c>
      <c r="C72" s="13">
        <f>C68</f>
        <v>12</v>
      </c>
      <c r="D72" s="157">
        <f>E68</f>
        <v>12000000</v>
      </c>
      <c r="E72" s="17">
        <v>2000</v>
      </c>
      <c r="F72" s="7">
        <f>E72*C72</f>
        <v>24000</v>
      </c>
      <c r="G72" s="12"/>
      <c r="H72" s="74"/>
      <c r="I72" s="74"/>
      <c r="J72" s="74"/>
      <c r="K72" s="74"/>
      <c r="L72" s="5"/>
    </row>
    <row r="73" spans="1:12" x14ac:dyDescent="0.45">
      <c r="A73" s="11" t="s">
        <v>292</v>
      </c>
      <c r="B73" s="12">
        <f>B66</f>
        <v>2000000</v>
      </c>
      <c r="C73" s="13"/>
      <c r="D73" s="157">
        <f>F68</f>
        <v>12330000</v>
      </c>
      <c r="E73" s="17">
        <v>2</v>
      </c>
      <c r="F73" s="7">
        <f>(D73*E73)/1000</f>
        <v>24660</v>
      </c>
      <c r="G73" s="12"/>
      <c r="H73" s="74"/>
      <c r="I73" s="74"/>
      <c r="J73" s="74"/>
      <c r="K73" s="74"/>
      <c r="L73" s="5"/>
    </row>
    <row r="74" spans="1:12" x14ac:dyDescent="0.45">
      <c r="A74" s="11" t="s">
        <v>293</v>
      </c>
      <c r="B74" s="14">
        <f>B67</f>
        <v>3000000</v>
      </c>
      <c r="C74" s="78"/>
      <c r="D74" s="181">
        <f>G68</f>
        <v>0</v>
      </c>
      <c r="E74" s="168">
        <v>2.2000000000000002</v>
      </c>
      <c r="F74" s="78">
        <f>E74*(D74/1000)</f>
        <v>0</v>
      </c>
      <c r="G74" s="12"/>
      <c r="H74" s="12"/>
      <c r="I74" s="12"/>
      <c r="L74" s="5"/>
    </row>
    <row r="75" spans="1:12" x14ac:dyDescent="0.45">
      <c r="A75" s="11"/>
      <c r="B75" s="12" t="s">
        <v>297</v>
      </c>
      <c r="C75" s="3">
        <f>SUM(C72:C74)</f>
        <v>12</v>
      </c>
      <c r="D75" s="5">
        <f>SUM(D72:D74)</f>
        <v>24330000</v>
      </c>
      <c r="F75" s="7">
        <f>SUM(F72:F74)</f>
        <v>48660</v>
      </c>
      <c r="G75" s="68"/>
      <c r="H75" s="12"/>
      <c r="I75" s="12"/>
      <c r="L75" s="5"/>
    </row>
    <row r="76" spans="1:12" x14ac:dyDescent="0.45">
      <c r="A76" s="11"/>
      <c r="B76" s="2"/>
      <c r="C76" s="171"/>
      <c r="D76" s="182"/>
      <c r="E76" s="171"/>
      <c r="F76" s="171"/>
      <c r="G76" s="12"/>
      <c r="H76" s="12"/>
      <c r="I76" s="12"/>
      <c r="L76" s="5"/>
    </row>
    <row r="77" spans="1:12" x14ac:dyDescent="0.45">
      <c r="A77" s="11"/>
      <c r="B77" s="12"/>
      <c r="C77" s="74"/>
      <c r="D77" s="148"/>
      <c r="E77" s="173"/>
      <c r="F77" s="174"/>
      <c r="G77" s="12"/>
      <c r="L77" s="5"/>
    </row>
    <row r="78" spans="1:12" x14ac:dyDescent="0.45">
      <c r="A78" s="11"/>
      <c r="B78" s="12"/>
      <c r="D78" s="148"/>
      <c r="E78" s="173"/>
      <c r="F78" s="5"/>
      <c r="G78" s="12"/>
      <c r="L78" s="5"/>
    </row>
    <row r="79" spans="1:12" x14ac:dyDescent="0.45">
      <c r="A79" s="11"/>
      <c r="B79" s="12"/>
      <c r="D79" s="148"/>
      <c r="E79" s="173"/>
      <c r="F79" s="5"/>
      <c r="G79" s="12"/>
      <c r="L79" s="5"/>
    </row>
    <row r="80" spans="1:12" x14ac:dyDescent="0.45">
      <c r="A80" s="11"/>
      <c r="B80" s="12"/>
      <c r="D80" s="148"/>
      <c r="E80" s="173"/>
      <c r="F80" s="5"/>
      <c r="G80" s="12"/>
      <c r="L80" s="5"/>
    </row>
    <row r="81" spans="1:12" x14ac:dyDescent="0.45">
      <c r="A81" s="11"/>
      <c r="B81" s="12"/>
      <c r="D81" s="148"/>
      <c r="E81" s="173"/>
      <c r="F81" s="5"/>
      <c r="G81" s="12"/>
      <c r="L81" s="5"/>
    </row>
    <row r="82" spans="1:12" x14ac:dyDescent="0.45">
      <c r="A82" s="11"/>
      <c r="B82" s="12"/>
      <c r="D82" s="148"/>
      <c r="E82" s="173"/>
      <c r="F82" s="5"/>
      <c r="G82" s="12"/>
      <c r="L82" s="5"/>
    </row>
    <row r="83" spans="1:12" x14ac:dyDescent="0.45">
      <c r="A83" s="11"/>
      <c r="B83" s="12"/>
      <c r="C83" s="5"/>
      <c r="D83" s="5"/>
      <c r="F83" s="174"/>
      <c r="G83" s="12"/>
      <c r="H83" s="12"/>
      <c r="I83" s="12"/>
      <c r="L83" s="5"/>
    </row>
    <row r="84" spans="1:12" x14ac:dyDescent="0.45">
      <c r="A84" s="11"/>
      <c r="B84" s="12"/>
      <c r="C84" s="5"/>
      <c r="D84" s="5"/>
      <c r="F84" s="174"/>
      <c r="G84" s="12"/>
      <c r="H84" s="12"/>
      <c r="I84" s="12"/>
      <c r="L84" s="5"/>
    </row>
    <row r="85" spans="1:12" ht="15.75" x14ac:dyDescent="0.5">
      <c r="A85" s="109"/>
      <c r="D85" s="5"/>
      <c r="L85" s="5"/>
    </row>
    <row r="86" spans="1:12" x14ac:dyDescent="0.45">
      <c r="D86" s="5"/>
      <c r="E86" s="2"/>
      <c r="F86" s="2"/>
      <c r="G86" s="2"/>
      <c r="H86" s="2"/>
      <c r="L86" s="5"/>
    </row>
    <row r="87" spans="1:12" x14ac:dyDescent="0.45">
      <c r="B87" s="2"/>
      <c r="C87" s="171"/>
      <c r="D87" s="182"/>
      <c r="E87" s="171"/>
      <c r="F87" s="171"/>
      <c r="G87" s="171"/>
      <c r="H87" s="171"/>
      <c r="I87" s="2"/>
      <c r="L87" s="5"/>
    </row>
    <row r="88" spans="1:12" x14ac:dyDescent="0.45">
      <c r="A88" s="11"/>
      <c r="B88" s="12"/>
      <c r="C88" s="172"/>
      <c r="D88" s="148"/>
      <c r="E88" s="172"/>
      <c r="F88" s="172"/>
      <c r="G88" s="172"/>
      <c r="H88" s="172"/>
      <c r="I88" s="172"/>
      <c r="L88" s="5"/>
    </row>
    <row r="89" spans="1:12" x14ac:dyDescent="0.45">
      <c r="A89" s="11"/>
      <c r="B89" s="12"/>
      <c r="C89" s="172"/>
      <c r="D89" s="148"/>
      <c r="E89" s="172"/>
      <c r="F89" s="172"/>
      <c r="G89" s="172"/>
      <c r="H89" s="172"/>
      <c r="I89" s="172"/>
      <c r="L89" s="5"/>
    </row>
    <row r="90" spans="1:12" x14ac:dyDescent="0.45">
      <c r="A90" s="11"/>
      <c r="B90" s="12"/>
      <c r="C90" s="172"/>
      <c r="D90" s="148"/>
      <c r="E90" s="172"/>
      <c r="F90" s="172"/>
      <c r="G90" s="172"/>
      <c r="H90" s="172"/>
      <c r="I90" s="172"/>
      <c r="L90" s="5"/>
    </row>
    <row r="91" spans="1:12" x14ac:dyDescent="0.45">
      <c r="A91" s="11"/>
      <c r="B91" s="12"/>
      <c r="C91" s="172"/>
      <c r="D91" s="148"/>
      <c r="E91" s="172"/>
      <c r="F91" s="172"/>
      <c r="G91" s="172"/>
      <c r="H91" s="172"/>
      <c r="I91" s="172"/>
      <c r="L91" s="5"/>
    </row>
    <row r="92" spans="1:12" x14ac:dyDescent="0.45">
      <c r="A92" s="11"/>
      <c r="B92" s="12"/>
      <c r="C92" s="74"/>
      <c r="D92" s="5"/>
      <c r="E92" s="74"/>
      <c r="F92" s="74"/>
      <c r="G92" s="74"/>
      <c r="H92" s="74"/>
      <c r="I92" s="74"/>
      <c r="L92" s="5"/>
    </row>
    <row r="93" spans="1:12" x14ac:dyDescent="0.45">
      <c r="A93" s="11"/>
      <c r="B93" s="12"/>
      <c r="D93" s="5"/>
      <c r="E93" s="12"/>
      <c r="F93" s="12"/>
      <c r="G93" s="12"/>
      <c r="H93" s="12"/>
      <c r="I93" s="12"/>
      <c r="L93" s="5"/>
    </row>
    <row r="94" spans="1:12" x14ac:dyDescent="0.45">
      <c r="A94" s="16"/>
      <c r="B94" s="16"/>
      <c r="D94" s="5"/>
      <c r="E94" s="12"/>
      <c r="F94" s="12"/>
      <c r="G94" s="12"/>
      <c r="H94" s="12"/>
      <c r="I94" s="12"/>
      <c r="L94" s="5"/>
    </row>
    <row r="95" spans="1:12" x14ac:dyDescent="0.45">
      <c r="A95" s="11"/>
      <c r="B95" s="2"/>
      <c r="C95" s="171"/>
      <c r="D95" s="182"/>
      <c r="E95" s="171"/>
      <c r="F95" s="171"/>
      <c r="G95" s="12"/>
      <c r="H95" s="12"/>
      <c r="I95" s="12"/>
      <c r="L95" s="5"/>
    </row>
    <row r="96" spans="1:12" x14ac:dyDescent="0.45">
      <c r="A96" s="11"/>
      <c r="B96" s="12"/>
      <c r="C96" s="74"/>
      <c r="D96" s="148"/>
      <c r="E96" s="173"/>
      <c r="F96" s="174"/>
      <c r="G96" s="12"/>
      <c r="L96" s="5"/>
    </row>
    <row r="97" spans="1:12" x14ac:dyDescent="0.45">
      <c r="A97" s="11"/>
      <c r="B97" s="12"/>
      <c r="C97" s="74"/>
      <c r="D97" s="148"/>
      <c r="E97" s="173"/>
      <c r="F97" s="174"/>
      <c r="G97" s="12"/>
      <c r="L97" s="5"/>
    </row>
    <row r="98" spans="1:12" x14ac:dyDescent="0.45">
      <c r="A98" s="11"/>
      <c r="B98" s="12"/>
      <c r="C98" s="74"/>
      <c r="D98" s="148"/>
      <c r="E98" s="173"/>
      <c r="F98" s="174"/>
      <c r="G98" s="12"/>
      <c r="L98" s="5"/>
    </row>
    <row r="99" spans="1:12" x14ac:dyDescent="0.45">
      <c r="A99" s="11"/>
      <c r="B99" s="12"/>
      <c r="D99" s="148"/>
      <c r="E99" s="173"/>
      <c r="F99" s="5"/>
      <c r="G99" s="12"/>
      <c r="L99" s="5"/>
    </row>
    <row r="100" spans="1:12" x14ac:dyDescent="0.45">
      <c r="A100" s="11"/>
      <c r="B100" s="12"/>
      <c r="C100" s="5"/>
      <c r="D100" s="5"/>
      <c r="F100" s="174"/>
      <c r="G100" s="12"/>
      <c r="H100" s="12"/>
      <c r="I100" s="12"/>
      <c r="L100" s="5"/>
    </row>
    <row r="101" spans="1:12" x14ac:dyDescent="0.45">
      <c r="A101" s="11"/>
      <c r="B101" s="12"/>
      <c r="C101" s="19"/>
      <c r="D101" s="5"/>
      <c r="F101" s="173"/>
      <c r="G101" s="12"/>
      <c r="H101" s="12"/>
      <c r="I101" s="12"/>
      <c r="L101" s="5"/>
    </row>
    <row r="102" spans="1:12" ht="15.75" x14ac:dyDescent="0.5">
      <c r="A102" s="109"/>
      <c r="D102" s="5"/>
      <c r="L102" s="5"/>
    </row>
    <row r="103" spans="1:12" x14ac:dyDescent="0.45">
      <c r="D103" s="5"/>
      <c r="E103" s="2"/>
      <c r="F103" s="2"/>
      <c r="L103" s="5"/>
    </row>
    <row r="104" spans="1:12" x14ac:dyDescent="0.45">
      <c r="B104" s="2"/>
      <c r="C104" s="171"/>
      <c r="D104" s="182"/>
      <c r="E104" s="171"/>
      <c r="F104" s="171"/>
      <c r="G104" s="2"/>
      <c r="L104" s="5"/>
    </row>
    <row r="105" spans="1:12" x14ac:dyDescent="0.45">
      <c r="A105" s="11"/>
      <c r="B105" s="12"/>
      <c r="C105" s="172"/>
      <c r="D105" s="148"/>
      <c r="E105" s="172"/>
      <c r="F105" s="172"/>
      <c r="G105" s="172"/>
      <c r="L105" s="5"/>
    </row>
    <row r="106" spans="1:12" x14ac:dyDescent="0.45">
      <c r="A106" s="11"/>
      <c r="B106" s="12"/>
      <c r="C106" s="172"/>
      <c r="D106" s="148"/>
      <c r="E106" s="172"/>
      <c r="F106" s="172"/>
      <c r="G106" s="172"/>
      <c r="H106" s="5"/>
      <c r="I106" s="5"/>
      <c r="L106" s="5"/>
    </row>
    <row r="107" spans="1:12" x14ac:dyDescent="0.45">
      <c r="A107" s="11"/>
      <c r="B107" s="12"/>
      <c r="C107" s="5"/>
      <c r="D107" s="5"/>
      <c r="E107" s="74"/>
      <c r="F107" s="74"/>
      <c r="G107" s="74"/>
      <c r="L107" s="5"/>
    </row>
    <row r="108" spans="1:12" x14ac:dyDescent="0.45">
      <c r="A108" s="11"/>
      <c r="B108" s="12"/>
      <c r="D108" s="5"/>
      <c r="E108" s="12"/>
      <c r="F108" s="12"/>
      <c r="G108" s="12"/>
      <c r="H108" s="12"/>
      <c r="I108" s="12"/>
      <c r="L108" s="5"/>
    </row>
    <row r="109" spans="1:12" x14ac:dyDescent="0.45">
      <c r="A109" s="16"/>
      <c r="B109" s="16"/>
      <c r="D109" s="5"/>
      <c r="E109" s="12"/>
      <c r="F109" s="12"/>
      <c r="G109" s="12"/>
      <c r="H109" s="12"/>
      <c r="I109" s="12"/>
      <c r="L109" s="5"/>
    </row>
    <row r="110" spans="1:12" x14ac:dyDescent="0.45">
      <c r="A110" s="11"/>
      <c r="B110" s="2"/>
      <c r="C110" s="171"/>
      <c r="D110" s="182"/>
      <c r="E110" s="171"/>
      <c r="F110" s="171"/>
      <c r="G110" s="12"/>
      <c r="H110" s="12"/>
      <c r="I110" s="12"/>
      <c r="L110" s="5"/>
    </row>
    <row r="111" spans="1:12" x14ac:dyDescent="0.45">
      <c r="A111" s="11"/>
      <c r="B111" s="12"/>
      <c r="C111" s="74"/>
      <c r="D111" s="148"/>
      <c r="E111" s="173"/>
      <c r="F111" s="174"/>
      <c r="G111" s="12"/>
      <c r="H111" s="12"/>
      <c r="I111" s="12"/>
      <c r="L111" s="5"/>
    </row>
    <row r="112" spans="1:12" x14ac:dyDescent="0.45">
      <c r="A112" s="11"/>
      <c r="B112" s="12"/>
      <c r="C112" s="5"/>
      <c r="D112" s="148"/>
      <c r="E112" s="173"/>
      <c r="F112" s="5"/>
      <c r="G112" s="12"/>
      <c r="H112" s="12"/>
      <c r="I112" s="12"/>
      <c r="L112" s="5"/>
    </row>
    <row r="113" spans="1:12" x14ac:dyDescent="0.45">
      <c r="A113" s="11"/>
      <c r="B113" s="12"/>
      <c r="C113" s="5"/>
      <c r="D113" s="5"/>
      <c r="F113" s="174"/>
      <c r="G113" s="12"/>
      <c r="H113" s="12"/>
      <c r="I113" s="12"/>
      <c r="L113" s="5"/>
    </row>
    <row r="114" spans="1:12" x14ac:dyDescent="0.45">
      <c r="D114" s="5"/>
      <c r="L114" s="5"/>
    </row>
    <row r="115" spans="1:12" x14ac:dyDescent="0.45">
      <c r="D115" s="5"/>
      <c r="L115" s="5"/>
    </row>
    <row r="116" spans="1:12" x14ac:dyDescent="0.45">
      <c r="D116" s="5"/>
      <c r="L116" s="5"/>
    </row>
    <row r="117" spans="1:12" x14ac:dyDescent="0.45">
      <c r="D117" s="5"/>
      <c r="L117" s="5"/>
    </row>
    <row r="118" spans="1:12" x14ac:dyDescent="0.45">
      <c r="D118" s="5"/>
      <c r="L118" s="5"/>
    </row>
  </sheetData>
  <mergeCells count="1">
    <mergeCell ref="A2:I2"/>
  </mergeCells>
  <printOptions horizontalCentered="1"/>
  <pageMargins left="0.85" right="0.6" top="1" bottom="1" header="0.3" footer="0.3"/>
  <pageSetup scale="66" orientation="portrait" horizontalDpi="4294967293" r:id="rId1"/>
  <ignoredErrors>
    <ignoredError sqref="H6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8"/>
  <sheetViews>
    <sheetView workbookViewId="0">
      <selection activeCell="C16" sqref="C16"/>
    </sheetView>
  </sheetViews>
  <sheetFormatPr defaultRowHeight="15" x14ac:dyDescent="0.4"/>
  <cols>
    <col min="1" max="1" width="8.44140625" customWidth="1"/>
    <col min="2" max="2" width="8.6640625" customWidth="1"/>
    <col min="3" max="3" width="8" customWidth="1"/>
    <col min="4" max="4" width="11.5546875" customWidth="1"/>
    <col min="5" max="5" width="9.77734375" customWidth="1"/>
    <col min="6" max="6" width="10.33203125" customWidth="1"/>
    <col min="7" max="7" width="9.77734375" customWidth="1"/>
    <col min="8" max="8" width="10.109375" customWidth="1"/>
    <col min="9" max="9" width="11" customWidth="1"/>
  </cols>
  <sheetData>
    <row r="1" spans="1:16" ht="18" x14ac:dyDescent="0.55000000000000004">
      <c r="A1" s="298" t="s">
        <v>335</v>
      </c>
      <c r="B1" s="298"/>
      <c r="C1" s="298"/>
      <c r="D1" s="298"/>
      <c r="E1" s="298"/>
      <c r="F1" s="298"/>
      <c r="G1" s="298"/>
      <c r="H1" s="151"/>
      <c r="I1" s="155"/>
      <c r="J1" s="3"/>
      <c r="K1" s="3"/>
      <c r="L1" s="3"/>
      <c r="M1" s="3"/>
      <c r="N1" s="3"/>
      <c r="O1" s="3"/>
      <c r="P1" s="3"/>
    </row>
    <row r="2" spans="1:16" ht="18" x14ac:dyDescent="0.45">
      <c r="A2" s="286" t="s">
        <v>336</v>
      </c>
      <c r="B2" s="286"/>
      <c r="C2" s="286"/>
      <c r="D2" s="286"/>
      <c r="E2" s="286"/>
      <c r="F2" s="286"/>
      <c r="G2" s="286"/>
      <c r="H2" s="110"/>
      <c r="I2" s="153"/>
      <c r="J2" s="3"/>
      <c r="K2" s="3"/>
      <c r="L2" s="3"/>
      <c r="M2" s="3"/>
      <c r="N2" s="3"/>
      <c r="O2" s="3"/>
      <c r="P2" s="3"/>
    </row>
    <row r="3" spans="1:16" ht="15.4" x14ac:dyDescent="0.4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3"/>
      <c r="P3" s="3"/>
    </row>
    <row r="4" spans="1:16" ht="15.4" x14ac:dyDescent="0.45">
      <c r="A4" s="1"/>
      <c r="B4" s="75" t="s">
        <v>279</v>
      </c>
      <c r="C4" s="1"/>
      <c r="D4" s="1"/>
      <c r="E4" s="1"/>
      <c r="F4" s="1"/>
      <c r="H4" s="1"/>
      <c r="I4" s="3"/>
      <c r="J4" s="3"/>
      <c r="K4" s="3"/>
      <c r="L4" s="3"/>
      <c r="M4" s="3"/>
      <c r="N4" s="3"/>
      <c r="O4" s="3"/>
      <c r="P4" s="3"/>
    </row>
    <row r="5" spans="1:16" ht="15.4" x14ac:dyDescent="0.45">
      <c r="A5" s="1"/>
      <c r="B5" s="114"/>
      <c r="C5" s="18"/>
      <c r="D5" s="9" t="s">
        <v>280</v>
      </c>
      <c r="E5" s="9" t="s">
        <v>281</v>
      </c>
      <c r="F5" s="9" t="s">
        <v>282</v>
      </c>
      <c r="H5" s="2"/>
      <c r="I5" s="3"/>
      <c r="J5" s="3"/>
      <c r="K5" s="3"/>
      <c r="L5" s="3"/>
      <c r="M5" s="3"/>
      <c r="N5" s="3"/>
      <c r="O5" s="3"/>
      <c r="P5" s="3"/>
    </row>
    <row r="6" spans="1:16" ht="15.4" x14ac:dyDescent="0.45">
      <c r="A6" s="1"/>
      <c r="B6" s="1" t="s">
        <v>306</v>
      </c>
      <c r="C6" s="1"/>
      <c r="D6" s="3">
        <f>C17</f>
        <v>3695</v>
      </c>
      <c r="E6" s="66">
        <f>D17</f>
        <v>11936710</v>
      </c>
      <c r="F6" s="183">
        <f>F23</f>
        <v>249141.75799999997</v>
      </c>
      <c r="H6" s="68"/>
      <c r="I6" s="3"/>
      <c r="J6" s="3"/>
      <c r="K6" s="3"/>
      <c r="L6" s="3"/>
      <c r="M6" s="3"/>
      <c r="N6" s="3"/>
      <c r="O6" s="3"/>
      <c r="P6" s="3"/>
    </row>
    <row r="7" spans="1:16" ht="15.4" x14ac:dyDescent="0.45">
      <c r="A7" s="1"/>
      <c r="B7" s="1"/>
      <c r="C7" s="1"/>
      <c r="D7" s="3"/>
      <c r="E7" s="66"/>
      <c r="F7" s="4"/>
      <c r="H7" s="68"/>
      <c r="I7" s="3"/>
      <c r="J7" s="3"/>
      <c r="K7" s="3"/>
      <c r="L7" s="3"/>
      <c r="M7" s="3"/>
      <c r="N7" s="3"/>
      <c r="O7" s="3"/>
      <c r="P7" s="3"/>
    </row>
    <row r="8" spans="1:16" ht="15.4" x14ac:dyDescent="0.45">
      <c r="A8" s="1"/>
      <c r="B8" s="1"/>
      <c r="C8" s="1"/>
      <c r="D8" s="250" t="s">
        <v>337</v>
      </c>
      <c r="E8" s="112"/>
      <c r="F8" s="71">
        <f>F6</f>
        <v>249141.75799999997</v>
      </c>
      <c r="H8" s="71"/>
      <c r="I8" s="157"/>
      <c r="J8" s="3"/>
      <c r="K8" s="3"/>
      <c r="L8" s="3"/>
      <c r="M8" s="3"/>
      <c r="N8" s="3"/>
      <c r="O8" s="3"/>
      <c r="P8" s="3"/>
    </row>
    <row r="9" spans="1:16" ht="15.4" x14ac:dyDescent="0.45">
      <c r="A9" s="1"/>
      <c r="B9" s="1"/>
      <c r="C9" s="1"/>
      <c r="D9" s="1"/>
      <c r="E9" s="112"/>
      <c r="F9" s="71"/>
      <c r="G9" s="169"/>
      <c r="H9" s="71"/>
      <c r="I9" s="157"/>
      <c r="J9" s="3"/>
      <c r="K9" s="3"/>
      <c r="L9" s="3"/>
      <c r="M9" s="3"/>
      <c r="N9" s="3"/>
      <c r="O9" s="3"/>
      <c r="P9" s="3"/>
    </row>
    <row r="10" spans="1:16" ht="15.4" x14ac:dyDescent="0.45">
      <c r="A10" s="1"/>
      <c r="B10" s="1"/>
      <c r="C10" s="1"/>
      <c r="D10" s="1"/>
      <c r="E10" s="152"/>
      <c r="F10" s="71"/>
      <c r="H10" s="71"/>
      <c r="I10" s="157"/>
      <c r="J10" s="3"/>
      <c r="K10" s="3"/>
      <c r="L10" s="3"/>
      <c r="M10" s="3"/>
      <c r="N10" s="3"/>
      <c r="O10" s="3"/>
      <c r="P10" s="3"/>
    </row>
    <row r="11" spans="1:16" ht="15.4" x14ac:dyDescent="0.45">
      <c r="A11" s="1"/>
      <c r="B11" s="1"/>
      <c r="C11" s="1"/>
      <c r="D11" s="1"/>
      <c r="E11" s="1"/>
      <c r="F11" s="71"/>
      <c r="G11" s="71"/>
      <c r="H11" s="1"/>
      <c r="I11" s="3"/>
      <c r="J11" s="3"/>
      <c r="K11" s="3"/>
      <c r="L11" s="3"/>
      <c r="M11" s="3"/>
      <c r="N11" s="3"/>
      <c r="O11" s="3"/>
      <c r="P11" s="3"/>
    </row>
    <row r="12" spans="1:16" ht="15.75" x14ac:dyDescent="0.5">
      <c r="A12" s="109" t="s">
        <v>308</v>
      </c>
      <c r="B12" s="1"/>
      <c r="C12" s="1"/>
      <c r="D12" s="1"/>
      <c r="E12" s="1"/>
      <c r="F12" s="1"/>
      <c r="G12" s="1"/>
      <c r="H12" s="1"/>
      <c r="I12" s="3"/>
      <c r="J12" s="3"/>
      <c r="K12" s="3"/>
      <c r="L12" s="3"/>
      <c r="M12" s="3"/>
      <c r="N12" s="3"/>
      <c r="O12" s="3"/>
      <c r="P12" s="3"/>
    </row>
    <row r="13" spans="1:16" ht="15.4" x14ac:dyDescent="0.45">
      <c r="A13" s="1"/>
      <c r="B13" s="1"/>
      <c r="C13" s="1"/>
      <c r="D13" s="1"/>
      <c r="E13" s="2" t="s">
        <v>291</v>
      </c>
      <c r="F13" s="2" t="s">
        <v>293</v>
      </c>
      <c r="G13" s="1"/>
      <c r="I13" s="3"/>
      <c r="J13" s="3"/>
      <c r="K13" s="3"/>
      <c r="L13" s="3"/>
      <c r="M13" s="3"/>
      <c r="N13" s="3"/>
      <c r="O13" s="3"/>
      <c r="P13" s="3"/>
    </row>
    <row r="14" spans="1:16" ht="15.4" x14ac:dyDescent="0.45">
      <c r="A14" s="1"/>
      <c r="B14" s="9" t="s">
        <v>294</v>
      </c>
      <c r="C14" s="10" t="s">
        <v>295</v>
      </c>
      <c r="D14" s="10" t="s">
        <v>296</v>
      </c>
      <c r="E14" s="10">
        <f>B15</f>
        <v>2000</v>
      </c>
      <c r="F14" s="10">
        <f>B16</f>
        <v>2000</v>
      </c>
      <c r="G14" s="9" t="s">
        <v>297</v>
      </c>
      <c r="I14" s="3"/>
      <c r="J14" s="3"/>
      <c r="K14" s="3"/>
      <c r="L14" s="3"/>
      <c r="M14" s="3"/>
      <c r="N14" s="3"/>
      <c r="O14" s="3"/>
      <c r="P14" s="3"/>
    </row>
    <row r="15" spans="1:16" ht="15.4" x14ac:dyDescent="0.45">
      <c r="A15" s="11" t="s">
        <v>291</v>
      </c>
      <c r="B15" s="12">
        <v>2000</v>
      </c>
      <c r="C15" s="72">
        <v>1643</v>
      </c>
      <c r="D15" s="72">
        <v>1654910</v>
      </c>
      <c r="E15" s="72">
        <f>D15</f>
        <v>1654910</v>
      </c>
      <c r="F15" s="72">
        <v>0</v>
      </c>
      <c r="G15" s="72">
        <f>SUM(E15:F15)</f>
        <v>1654910</v>
      </c>
      <c r="I15" s="3"/>
      <c r="J15" s="3"/>
      <c r="K15" s="3"/>
      <c r="L15" s="3"/>
      <c r="M15" s="3"/>
      <c r="N15" s="3"/>
      <c r="O15" s="3"/>
      <c r="P15" s="3"/>
    </row>
    <row r="16" spans="1:16" ht="15.4" x14ac:dyDescent="0.45">
      <c r="A16" s="11" t="s">
        <v>293</v>
      </c>
      <c r="B16" s="14">
        <v>2000</v>
      </c>
      <c r="C16" s="73">
        <v>2052</v>
      </c>
      <c r="D16" s="73">
        <v>10281800</v>
      </c>
      <c r="E16" s="73">
        <f>C16*E$14</f>
        <v>4104000</v>
      </c>
      <c r="F16" s="73">
        <f>D16-E16</f>
        <v>6177800</v>
      </c>
      <c r="G16" s="73">
        <f>SUM(E16:F16)</f>
        <v>10281800</v>
      </c>
      <c r="I16" s="3"/>
      <c r="J16" s="3"/>
      <c r="K16" s="3"/>
      <c r="L16" s="3"/>
      <c r="M16" s="3"/>
      <c r="N16" s="3"/>
      <c r="O16" s="3"/>
      <c r="P16" s="3"/>
    </row>
    <row r="17" spans="1:16" ht="15.4" x14ac:dyDescent="0.45">
      <c r="A17" s="11"/>
      <c r="B17" s="12"/>
      <c r="C17" s="74">
        <f>SUM(C15:C16)</f>
        <v>3695</v>
      </c>
      <c r="D17" s="74">
        <f>SUM(D15:D16)</f>
        <v>11936710</v>
      </c>
      <c r="E17" s="74">
        <f>SUM(E15:E16)</f>
        <v>5758910</v>
      </c>
      <c r="F17" s="74">
        <f>SUM(F15:F16)</f>
        <v>6177800</v>
      </c>
      <c r="G17" s="74">
        <f>SUM(G15:G16)</f>
        <v>11936710</v>
      </c>
      <c r="I17" s="3"/>
      <c r="J17" s="3"/>
      <c r="K17" s="3"/>
      <c r="L17" s="3"/>
      <c r="M17" s="3"/>
      <c r="N17" s="3"/>
      <c r="O17" s="3"/>
      <c r="P17" s="3"/>
    </row>
    <row r="18" spans="1:16" ht="15.4" x14ac:dyDescent="0.45">
      <c r="A18" s="11"/>
      <c r="B18" s="12"/>
      <c r="C18" s="1"/>
      <c r="D18" s="12"/>
      <c r="E18" s="12"/>
      <c r="F18" s="12"/>
      <c r="G18" s="12"/>
      <c r="H18" s="12"/>
      <c r="I18" s="3"/>
      <c r="J18" s="3"/>
      <c r="K18" s="3"/>
      <c r="L18" s="3"/>
      <c r="M18" s="3"/>
      <c r="N18" s="3"/>
      <c r="O18" s="3"/>
      <c r="P18" s="3"/>
    </row>
    <row r="19" spans="1:16" ht="15.4" x14ac:dyDescent="0.45">
      <c r="A19" s="16" t="s">
        <v>298</v>
      </c>
      <c r="B19" s="16"/>
      <c r="C19" s="1"/>
      <c r="D19" s="12"/>
      <c r="E19" s="12"/>
      <c r="F19" s="12"/>
      <c r="G19" s="12"/>
      <c r="H19" s="12"/>
      <c r="I19" s="3"/>
      <c r="J19" s="3"/>
      <c r="K19" s="3"/>
      <c r="L19" s="3"/>
      <c r="M19" s="3"/>
      <c r="N19" s="3"/>
      <c r="O19" s="3"/>
      <c r="P19" s="3"/>
    </row>
    <row r="20" spans="1:16" ht="15.4" x14ac:dyDescent="0.45">
      <c r="A20" s="11"/>
      <c r="B20" s="9"/>
      <c r="C20" s="10" t="s">
        <v>295</v>
      </c>
      <c r="D20" s="9" t="s">
        <v>296</v>
      </c>
      <c r="E20" s="10" t="s">
        <v>299</v>
      </c>
      <c r="F20" s="10" t="s">
        <v>300</v>
      </c>
      <c r="G20" s="12"/>
      <c r="H20" s="12"/>
      <c r="I20" s="3"/>
      <c r="J20" s="3"/>
      <c r="K20" s="3"/>
      <c r="L20" s="3"/>
      <c r="M20" s="3"/>
      <c r="N20" s="3"/>
      <c r="O20" s="3"/>
      <c r="P20" s="3"/>
    </row>
    <row r="21" spans="1:16" ht="15.4" x14ac:dyDescent="0.45">
      <c r="A21" s="11" t="s">
        <v>291</v>
      </c>
      <c r="B21" s="12">
        <f>B15</f>
        <v>2000</v>
      </c>
      <c r="C21" s="13">
        <f>C17</f>
        <v>3695</v>
      </c>
      <c r="D21" s="72">
        <f>E17</f>
        <v>5758910</v>
      </c>
      <c r="E21" s="17">
        <v>36.729999999999997</v>
      </c>
      <c r="F21" s="7">
        <f>E21*C21</f>
        <v>135717.34999999998</v>
      </c>
      <c r="G21" s="12"/>
      <c r="H21" s="1"/>
      <c r="I21" s="3"/>
      <c r="J21" s="3"/>
      <c r="K21" s="3"/>
      <c r="L21" s="3"/>
      <c r="M21" s="3"/>
      <c r="N21" s="3"/>
      <c r="O21" s="3"/>
      <c r="P21" s="3"/>
    </row>
    <row r="22" spans="1:16" ht="15.4" x14ac:dyDescent="0.45">
      <c r="A22" s="11" t="s">
        <v>293</v>
      </c>
      <c r="B22" s="14">
        <f>B16</f>
        <v>2000</v>
      </c>
      <c r="C22" s="18"/>
      <c r="D22" s="73">
        <f>F17</f>
        <v>6177800</v>
      </c>
      <c r="E22" s="254">
        <v>18.36</v>
      </c>
      <c r="F22" s="78">
        <f>(E22*D22)/1000</f>
        <v>113424.408</v>
      </c>
      <c r="G22" s="12"/>
      <c r="H22" s="1"/>
      <c r="I22" s="3"/>
      <c r="J22" s="3"/>
      <c r="K22" s="3"/>
      <c r="L22" s="3"/>
      <c r="M22" s="3"/>
      <c r="N22" s="3"/>
      <c r="O22" s="3"/>
      <c r="P22" s="3"/>
    </row>
    <row r="23" spans="1:16" ht="15.4" x14ac:dyDescent="0.45">
      <c r="A23" s="11"/>
      <c r="B23" s="12" t="s">
        <v>297</v>
      </c>
      <c r="C23" s="3">
        <f>SUM(C21:C22)</f>
        <v>3695</v>
      </c>
      <c r="D23" s="74">
        <f>SUM(D21:D22)</f>
        <v>11936710</v>
      </c>
      <c r="E23" s="1"/>
      <c r="F23" s="7">
        <f>SUM(F21:F22)</f>
        <v>249141.75799999997</v>
      </c>
      <c r="G23" s="12"/>
      <c r="H23" s="12"/>
      <c r="I23" s="3"/>
      <c r="J23" s="3"/>
      <c r="K23" s="3"/>
      <c r="L23" s="3"/>
      <c r="M23" s="3"/>
      <c r="N23" s="3"/>
      <c r="O23" s="3"/>
      <c r="P23" s="3"/>
    </row>
    <row r="24" spans="1:16" ht="15.4" x14ac:dyDescent="0.45">
      <c r="I24" s="3"/>
      <c r="J24" s="3"/>
      <c r="K24" s="3"/>
      <c r="L24" s="3"/>
      <c r="M24" s="3"/>
      <c r="N24" s="3"/>
      <c r="O24" s="3"/>
      <c r="P24" s="3"/>
    </row>
    <row r="25" spans="1:16" ht="15.4" x14ac:dyDescent="0.45">
      <c r="I25" s="3"/>
      <c r="J25" s="3"/>
      <c r="K25" s="3"/>
      <c r="L25" s="3"/>
      <c r="M25" s="3"/>
      <c r="N25" s="3"/>
      <c r="O25" s="3"/>
      <c r="P25" s="3"/>
    </row>
    <row r="26" spans="1:16" ht="15.4" x14ac:dyDescent="0.45">
      <c r="I26" s="3"/>
      <c r="J26" s="3"/>
      <c r="K26" s="3"/>
      <c r="L26" s="3"/>
      <c r="M26" s="3"/>
      <c r="N26" s="3"/>
      <c r="O26" s="3"/>
      <c r="P26" s="3"/>
    </row>
    <row r="27" spans="1:16" ht="15.4" x14ac:dyDescent="0.45">
      <c r="I27" s="3"/>
      <c r="J27" s="3"/>
      <c r="K27" s="3"/>
      <c r="L27" s="3"/>
      <c r="M27" s="3"/>
      <c r="N27" s="3"/>
      <c r="O27" s="3"/>
      <c r="P27" s="3"/>
    </row>
    <row r="28" spans="1:16" x14ac:dyDescent="0.4">
      <c r="I28" s="156"/>
      <c r="J28" s="156"/>
      <c r="K28" s="156"/>
      <c r="L28" s="156"/>
      <c r="M28" s="156"/>
      <c r="N28" s="156"/>
      <c r="O28" s="156"/>
      <c r="P28" s="156"/>
    </row>
  </sheetData>
  <mergeCells count="2">
    <mergeCell ref="A1:G1"/>
    <mergeCell ref="A2:G2"/>
  </mergeCells>
  <printOptions horizontalCentered="1"/>
  <pageMargins left="0.85" right="0.7" top="1.2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4"/>
  <sheetViews>
    <sheetView showGridLines="0" topLeftCell="A3" workbookViewId="0">
      <selection activeCell="A5" sqref="A5:D33"/>
    </sheetView>
  </sheetViews>
  <sheetFormatPr defaultColWidth="8.77734375" defaultRowHeight="14.25" x14ac:dyDescent="0.45"/>
  <cols>
    <col min="1" max="1" width="3.6640625" style="3" customWidth="1"/>
    <col min="2" max="2" width="2.6640625" style="3" customWidth="1"/>
    <col min="3" max="3" width="33.33203125" style="3" customWidth="1"/>
    <col min="4" max="4" width="9.77734375" style="3" customWidth="1"/>
    <col min="5" max="5" width="1.77734375" style="3" customWidth="1"/>
    <col min="6" max="6" width="10.21875" style="3" customWidth="1"/>
    <col min="7" max="7" width="4.88671875" style="126" customWidth="1"/>
    <col min="8" max="8" width="9.77734375" style="3" customWidth="1"/>
    <col min="9" max="9" width="4" style="3" customWidth="1"/>
    <col min="10" max="13" width="8.77734375" style="3"/>
    <col min="14" max="14" width="5.44140625" style="3" customWidth="1"/>
    <col min="15" max="16384" width="8.77734375" style="3"/>
  </cols>
  <sheetData>
    <row r="1" spans="1:10" ht="18" x14ac:dyDescent="0.4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10" ht="18" x14ac:dyDescent="0.45">
      <c r="A2" s="286" t="s">
        <v>1</v>
      </c>
      <c r="B2" s="286"/>
      <c r="C2" s="286"/>
      <c r="D2" s="286"/>
      <c r="E2" s="286"/>
      <c r="F2" s="286"/>
      <c r="G2" s="286"/>
      <c r="H2" s="286"/>
    </row>
    <row r="3" spans="1:10" ht="18" x14ac:dyDescent="0.45">
      <c r="A3" s="288" t="s">
        <v>59</v>
      </c>
      <c r="B3" s="288"/>
      <c r="C3" s="288"/>
      <c r="D3" s="288"/>
      <c r="E3" s="288"/>
      <c r="F3" s="288"/>
      <c r="G3" s="288"/>
      <c r="H3" s="288"/>
    </row>
    <row r="5" spans="1:10" x14ac:dyDescent="0.45">
      <c r="D5" s="128" t="s">
        <v>3</v>
      </c>
      <c r="E5" s="128"/>
      <c r="F5" s="128" t="s">
        <v>4</v>
      </c>
      <c r="G5" s="227" t="s">
        <v>5</v>
      </c>
      <c r="H5" s="128" t="s">
        <v>6</v>
      </c>
    </row>
    <row r="6" spans="1:10" x14ac:dyDescent="0.45">
      <c r="A6" s="129" t="s">
        <v>7</v>
      </c>
      <c r="B6" s="28"/>
      <c r="C6" s="28"/>
    </row>
    <row r="7" spans="1:10" x14ac:dyDescent="0.45">
      <c r="A7" s="28"/>
      <c r="B7" s="28" t="s">
        <v>60</v>
      </c>
      <c r="C7" s="28"/>
      <c r="D7" s="3">
        <v>207248</v>
      </c>
      <c r="F7" s="3">
        <f>ExBAs!F8-D7</f>
        <v>40487.739799999981</v>
      </c>
      <c r="G7" s="126" t="s">
        <v>61</v>
      </c>
      <c r="H7" s="3">
        <f>D7+F7</f>
        <v>247735.73979999998</v>
      </c>
      <c r="I7" s="34"/>
      <c r="J7" s="233"/>
    </row>
    <row r="8" spans="1:10" x14ac:dyDescent="0.45">
      <c r="A8" s="28"/>
      <c r="B8" s="28" t="s">
        <v>62</v>
      </c>
      <c r="C8" s="28"/>
      <c r="F8" s="239">
        <f>-SAOw!E10</f>
        <v>960</v>
      </c>
      <c r="G8" s="126" t="s">
        <v>63</v>
      </c>
      <c r="H8" s="3">
        <f>SUM(D8:F8)</f>
        <v>960</v>
      </c>
      <c r="I8" s="34"/>
      <c r="J8" s="231"/>
    </row>
    <row r="9" spans="1:10" x14ac:dyDescent="0.45">
      <c r="A9" s="130" t="s">
        <v>20</v>
      </c>
      <c r="B9" s="28"/>
      <c r="C9" s="28"/>
      <c r="D9" s="3">
        <f>SUM(D7:D8)</f>
        <v>207248</v>
      </c>
      <c r="H9" s="3">
        <f>SUM(H7:H8)</f>
        <v>248695.73979999998</v>
      </c>
    </row>
    <row r="10" spans="1:10" x14ac:dyDescent="0.45">
      <c r="A10" s="28"/>
      <c r="B10" s="28"/>
      <c r="C10" s="28"/>
    </row>
    <row r="11" spans="1:10" x14ac:dyDescent="0.45">
      <c r="A11" s="129" t="s">
        <v>21</v>
      </c>
      <c r="B11" s="28"/>
      <c r="C11" s="28"/>
    </row>
    <row r="12" spans="1:10" x14ac:dyDescent="0.45">
      <c r="A12" s="28"/>
      <c r="B12" s="28" t="s">
        <v>64</v>
      </c>
      <c r="C12" s="28"/>
    </row>
    <row r="13" spans="1:10" x14ac:dyDescent="0.45">
      <c r="A13" s="28"/>
      <c r="B13" s="28"/>
      <c r="C13" s="3" t="s">
        <v>65</v>
      </c>
      <c r="H13" s="3">
        <f>D13+F13</f>
        <v>0</v>
      </c>
      <c r="I13" s="34"/>
    </row>
    <row r="14" spans="1:10" x14ac:dyDescent="0.45">
      <c r="A14" s="28"/>
      <c r="B14" s="28"/>
      <c r="C14" s="28" t="s">
        <v>66</v>
      </c>
      <c r="D14" s="3">
        <v>50515</v>
      </c>
      <c r="H14" s="3">
        <f>D14+F14</f>
        <v>50515</v>
      </c>
      <c r="I14" s="34"/>
    </row>
    <row r="15" spans="1:10" x14ac:dyDescent="0.45">
      <c r="A15" s="28"/>
      <c r="B15" s="28" t="s">
        <v>67</v>
      </c>
      <c r="C15" s="28"/>
      <c r="D15" s="3">
        <v>21906</v>
      </c>
      <c r="H15" s="3">
        <f>SUM(D15:F15)</f>
        <v>21906</v>
      </c>
      <c r="I15" s="34"/>
    </row>
    <row r="16" spans="1:10" x14ac:dyDescent="0.45">
      <c r="A16" s="28"/>
      <c r="B16" s="28" t="s">
        <v>30</v>
      </c>
      <c r="C16" s="28"/>
      <c r="D16" s="3">
        <v>4830</v>
      </c>
      <c r="H16" s="3">
        <f>SUM(D16:F16)</f>
        <v>4830</v>
      </c>
      <c r="I16" s="34"/>
    </row>
    <row r="17" spans="1:16" x14ac:dyDescent="0.45">
      <c r="A17" s="28"/>
      <c r="B17" s="28" t="s">
        <v>68</v>
      </c>
      <c r="C17" s="28"/>
      <c r="D17" s="3">
        <v>7800</v>
      </c>
      <c r="H17" s="3">
        <f>SUM(D17:F17)</f>
        <v>7800</v>
      </c>
    </row>
    <row r="18" spans="1:16" x14ac:dyDescent="0.45">
      <c r="A18" s="28"/>
      <c r="B18" s="28" t="s">
        <v>69</v>
      </c>
      <c r="C18" s="28"/>
      <c r="H18" s="3">
        <f>SUM(D18:F18)</f>
        <v>0</v>
      </c>
    </row>
    <row r="19" spans="1:16" x14ac:dyDescent="0.45">
      <c r="A19" s="28"/>
      <c r="B19" s="3" t="s">
        <v>70</v>
      </c>
      <c r="C19" s="28"/>
    </row>
    <row r="20" spans="1:16" x14ac:dyDescent="0.45">
      <c r="A20" s="28"/>
      <c r="B20" s="28"/>
      <c r="C20" s="28" t="s">
        <v>71</v>
      </c>
      <c r="D20" s="3">
        <v>12306</v>
      </c>
      <c r="H20" s="3">
        <f t="shared" ref="H20" si="0">D20+F20</f>
        <v>12306</v>
      </c>
    </row>
    <row r="21" spans="1:16" x14ac:dyDescent="0.45">
      <c r="A21" s="28"/>
      <c r="B21" s="28" t="s">
        <v>72</v>
      </c>
      <c r="C21" s="28"/>
      <c r="N21" s="34"/>
    </row>
    <row r="22" spans="1:16" x14ac:dyDescent="0.45">
      <c r="A22" s="28"/>
      <c r="B22" s="28"/>
      <c r="C22" s="28" t="s">
        <v>73</v>
      </c>
      <c r="D22" s="3">
        <v>4435</v>
      </c>
      <c r="H22" s="3">
        <f>D22+F22</f>
        <v>4435</v>
      </c>
      <c r="I22" s="34"/>
      <c r="N22" s="34"/>
    </row>
    <row r="23" spans="1:16" x14ac:dyDescent="0.45">
      <c r="A23" s="28"/>
      <c r="B23" s="28"/>
      <c r="C23" s="28" t="s">
        <v>74</v>
      </c>
      <c r="D23" s="3">
        <v>329</v>
      </c>
      <c r="H23" s="3">
        <f>D23+F23</f>
        <v>329</v>
      </c>
      <c r="N23" s="34"/>
    </row>
    <row r="24" spans="1:16" x14ac:dyDescent="0.45">
      <c r="A24" s="28"/>
      <c r="B24" s="28"/>
      <c r="C24" s="28" t="s">
        <v>75</v>
      </c>
      <c r="D24" s="3">
        <v>3193</v>
      </c>
      <c r="H24" s="3">
        <f>D24+F24</f>
        <v>3193</v>
      </c>
      <c r="N24" s="34"/>
    </row>
    <row r="25" spans="1:16" ht="16.5" x14ac:dyDescent="0.75">
      <c r="A25" s="28"/>
      <c r="B25" s="28"/>
      <c r="C25" s="28" t="s">
        <v>26</v>
      </c>
      <c r="D25" s="3">
        <v>7747</v>
      </c>
      <c r="H25" s="3">
        <f>SUM(D25:F25)</f>
        <v>7747</v>
      </c>
      <c r="I25" s="34"/>
      <c r="J25" s="28"/>
      <c r="M25" s="63"/>
      <c r="N25" s="34"/>
    </row>
    <row r="26" spans="1:16" x14ac:dyDescent="0.45">
      <c r="A26" s="28"/>
      <c r="B26" s="28"/>
      <c r="C26" s="28" t="s">
        <v>76</v>
      </c>
      <c r="D26" s="3">
        <v>3004</v>
      </c>
      <c r="H26" s="3">
        <f>D26+F26</f>
        <v>3004</v>
      </c>
    </row>
    <row r="27" spans="1:16" x14ac:dyDescent="0.45">
      <c r="A27" s="28"/>
      <c r="B27" s="28"/>
      <c r="C27" s="28" t="s">
        <v>77</v>
      </c>
      <c r="D27" s="78">
        <v>6460</v>
      </c>
      <c r="E27" s="5"/>
      <c r="F27" s="78"/>
      <c r="H27" s="78">
        <f>SUM(D27:F27)</f>
        <v>6460</v>
      </c>
      <c r="J27" s="231"/>
    </row>
    <row r="28" spans="1:16" ht="16.5" x14ac:dyDescent="0.75">
      <c r="A28" s="28"/>
      <c r="B28" s="130" t="s">
        <v>78</v>
      </c>
      <c r="C28" s="28"/>
      <c r="D28" s="63">
        <f>SUM(D13:D27)</f>
        <v>122525</v>
      </c>
      <c r="E28" s="63"/>
      <c r="F28" s="63">
        <f>SUM(F13:F27)</f>
        <v>0</v>
      </c>
      <c r="H28" s="63">
        <f>SUM(H14:H27)-H25</f>
        <v>114778</v>
      </c>
    </row>
    <row r="29" spans="1:16" x14ac:dyDescent="0.45">
      <c r="A29" s="28"/>
      <c r="B29" s="28" t="s">
        <v>38</v>
      </c>
      <c r="C29" s="28"/>
      <c r="D29" s="3">
        <v>77810</v>
      </c>
      <c r="F29" s="3">
        <f>Depreciation!K44</f>
        <v>15339</v>
      </c>
      <c r="G29" s="126" t="s">
        <v>79</v>
      </c>
      <c r="H29" s="3">
        <f t="shared" ref="H29" si="1">D29+F29</f>
        <v>93149</v>
      </c>
      <c r="I29" s="34"/>
      <c r="J29" s="28"/>
    </row>
    <row r="30" spans="1:16" ht="16.5" x14ac:dyDescent="0.75">
      <c r="A30" s="28"/>
      <c r="B30" s="28" t="s">
        <v>40</v>
      </c>
      <c r="C30" s="28"/>
      <c r="D30" s="244"/>
      <c r="E30" s="63"/>
      <c r="F30" s="78">
        <f>Allocations!C7</f>
        <v>3864.3975</v>
      </c>
      <c r="G30" s="126" t="s">
        <v>80</v>
      </c>
      <c r="H30" s="78">
        <f>D30+F30</f>
        <v>3864.3975</v>
      </c>
      <c r="I30" s="34"/>
      <c r="J30" s="28"/>
    </row>
    <row r="31" spans="1:16" ht="16.5" x14ac:dyDescent="0.75">
      <c r="A31" s="130" t="s">
        <v>42</v>
      </c>
      <c r="B31" s="28"/>
      <c r="C31" s="28"/>
      <c r="D31" s="63">
        <f>SUM(D28:D30)</f>
        <v>200335</v>
      </c>
      <c r="E31" s="63"/>
      <c r="F31" s="63">
        <f>SUM(F28:F30)</f>
        <v>19203.397499999999</v>
      </c>
      <c r="H31" s="63">
        <f>SUM(H28:H30)</f>
        <v>211791.39749999999</v>
      </c>
    </row>
    <row r="32" spans="1:16" x14ac:dyDescent="0.45">
      <c r="A32" s="130" t="s">
        <v>43</v>
      </c>
      <c r="B32" s="28"/>
      <c r="C32" s="28"/>
      <c r="D32" s="3">
        <f>D9-D31</f>
        <v>6913</v>
      </c>
      <c r="F32" s="3">
        <f>F9-F31</f>
        <v>-19203.397499999999</v>
      </c>
      <c r="H32" s="3">
        <f>H9-H31</f>
        <v>36904.342299999989</v>
      </c>
      <c r="J32" s="157"/>
      <c r="K32" s="157"/>
      <c r="L32" s="157"/>
      <c r="M32" s="157"/>
      <c r="N32" s="157"/>
      <c r="O32" s="157"/>
      <c r="P32" s="157"/>
    </row>
    <row r="33" spans="1:19" x14ac:dyDescent="0.45">
      <c r="A33" s="28"/>
      <c r="B33" s="28"/>
      <c r="C33" s="28"/>
      <c r="J33" s="157"/>
      <c r="K33" s="157"/>
      <c r="L33" s="157"/>
      <c r="M33" s="157"/>
      <c r="N33" s="157"/>
      <c r="O33" s="157"/>
      <c r="P33" s="157"/>
    </row>
    <row r="34" spans="1:19" x14ac:dyDescent="0.45">
      <c r="A34" s="289" t="s">
        <v>44</v>
      </c>
      <c r="B34" s="289"/>
      <c r="C34" s="289"/>
      <c r="D34" s="289"/>
      <c r="E34" s="289"/>
      <c r="F34" s="289"/>
      <c r="G34" s="289"/>
      <c r="H34" s="289"/>
      <c r="J34" s="157"/>
      <c r="K34" s="157"/>
      <c r="L34" s="157"/>
      <c r="M34" s="157"/>
      <c r="N34" s="157"/>
      <c r="O34" s="157"/>
      <c r="P34" s="157"/>
    </row>
    <row r="35" spans="1:19" x14ac:dyDescent="0.45">
      <c r="A35" s="130" t="s">
        <v>45</v>
      </c>
      <c r="B35" s="28"/>
      <c r="C35" s="28"/>
      <c r="H35" s="68">
        <f>H31</f>
        <v>211791.39749999999</v>
      </c>
      <c r="J35" s="157"/>
      <c r="K35" s="157"/>
      <c r="L35" s="157"/>
      <c r="M35" s="157"/>
      <c r="N35" s="157"/>
      <c r="O35" s="157"/>
      <c r="P35" s="157"/>
    </row>
    <row r="36" spans="1:19" ht="16.5" x14ac:dyDescent="0.75">
      <c r="A36" s="28" t="s">
        <v>46</v>
      </c>
      <c r="B36" s="28"/>
      <c r="C36" s="28" t="s">
        <v>81</v>
      </c>
      <c r="G36" s="126" t="s">
        <v>82</v>
      </c>
      <c r="H36" s="3">
        <f>'Debt Service'!M32</f>
        <v>30960.799999999999</v>
      </c>
      <c r="J36" s="113"/>
      <c r="K36" s="157"/>
      <c r="L36" s="157"/>
      <c r="M36" s="157"/>
      <c r="N36" s="157"/>
      <c r="O36" s="157"/>
      <c r="P36" s="157"/>
    </row>
    <row r="37" spans="1:19" ht="16.5" x14ac:dyDescent="0.75">
      <c r="A37" s="28"/>
      <c r="B37" s="28"/>
      <c r="C37" s="28" t="s">
        <v>48</v>
      </c>
      <c r="G37" s="126" t="s">
        <v>83</v>
      </c>
      <c r="H37" s="63">
        <f>'Debt Service'!M33</f>
        <v>6192.16</v>
      </c>
      <c r="J37" s="157"/>
      <c r="K37" s="157"/>
      <c r="L37" s="157"/>
      <c r="M37" s="157"/>
      <c r="N37" s="157"/>
      <c r="O37" s="157"/>
      <c r="P37" s="157"/>
      <c r="R37" s="63"/>
    </row>
    <row r="38" spans="1:19" x14ac:dyDescent="0.45">
      <c r="A38" s="130" t="s">
        <v>49</v>
      </c>
      <c r="B38" s="28"/>
      <c r="C38" s="28"/>
      <c r="H38" s="68">
        <f>SUM(H35:H37)</f>
        <v>248944.35749999998</v>
      </c>
      <c r="J38" s="157"/>
      <c r="K38" s="157"/>
      <c r="L38" s="157"/>
      <c r="M38" s="157"/>
      <c r="N38" s="157"/>
      <c r="O38" s="157"/>
      <c r="P38" s="157"/>
    </row>
    <row r="39" spans="1:19" x14ac:dyDescent="0.45">
      <c r="A39" s="28" t="s">
        <v>50</v>
      </c>
      <c r="B39" s="28"/>
      <c r="C39" s="28" t="s">
        <v>51</v>
      </c>
      <c r="H39" s="3">
        <f>-SUM(H8:H8)</f>
        <v>-960</v>
      </c>
      <c r="J39" s="157"/>
      <c r="K39" s="157"/>
      <c r="L39" s="157"/>
      <c r="M39" s="157"/>
      <c r="N39" s="157"/>
      <c r="O39" s="157"/>
      <c r="P39" s="157"/>
    </row>
    <row r="40" spans="1:19" ht="16.5" x14ac:dyDescent="0.75">
      <c r="A40" s="130" t="s">
        <v>84</v>
      </c>
      <c r="B40" s="28"/>
      <c r="C40" s="28"/>
      <c r="H40" s="68">
        <f>H38+H39</f>
        <v>247984.35749999998</v>
      </c>
      <c r="J40" s="71"/>
      <c r="K40" s="157"/>
      <c r="L40" s="157"/>
      <c r="M40" s="157"/>
      <c r="N40" s="157"/>
      <c r="O40" s="157"/>
      <c r="P40" s="157"/>
      <c r="S40" s="63"/>
    </row>
    <row r="41" spans="1:19" ht="16.5" x14ac:dyDescent="0.75">
      <c r="A41" s="28" t="s">
        <v>50</v>
      </c>
      <c r="B41" s="28"/>
      <c r="C41" s="28" t="s">
        <v>56</v>
      </c>
      <c r="H41" s="63">
        <f>-H7</f>
        <v>-247735.73979999998</v>
      </c>
      <c r="J41" s="157"/>
      <c r="K41" s="157"/>
      <c r="L41" s="157"/>
      <c r="M41" s="157"/>
      <c r="N41" s="167"/>
      <c r="O41" s="157"/>
      <c r="P41" s="157"/>
    </row>
    <row r="42" spans="1:19" x14ac:dyDescent="0.45">
      <c r="A42" s="130" t="s">
        <v>57</v>
      </c>
      <c r="B42" s="28"/>
      <c r="C42" s="28"/>
      <c r="H42" s="68">
        <f>+H40+H41</f>
        <v>248.61770000000251</v>
      </c>
      <c r="J42" s="157"/>
      <c r="K42" s="157"/>
      <c r="L42" s="157"/>
      <c r="M42" s="157"/>
      <c r="N42" s="157"/>
      <c r="O42" s="157"/>
      <c r="P42" s="157"/>
    </row>
    <row r="43" spans="1:19" ht="15.4" x14ac:dyDescent="0.45">
      <c r="A43" s="130" t="s">
        <v>58</v>
      </c>
      <c r="B43" s="28"/>
      <c r="C43" s="28"/>
      <c r="H43" s="150">
        <f>ROUND(H42/-H41,4)</f>
        <v>1E-3</v>
      </c>
      <c r="I43"/>
      <c r="J43"/>
      <c r="K43"/>
      <c r="L43" s="157"/>
      <c r="M43" s="157"/>
      <c r="N43" s="157"/>
      <c r="O43" s="157"/>
      <c r="P43" s="157"/>
    </row>
    <row r="44" spans="1:19" x14ac:dyDescent="0.45">
      <c r="A44" s="130"/>
      <c r="B44" s="28"/>
      <c r="C44" s="28"/>
    </row>
  </sheetData>
  <mergeCells count="4">
    <mergeCell ref="A2:H2"/>
    <mergeCell ref="A3:H3"/>
    <mergeCell ref="A34:H34"/>
    <mergeCell ref="A1:H1"/>
  </mergeCells>
  <printOptions horizontalCentered="1"/>
  <pageMargins left="0.7" right="0.7" top="0.75" bottom="0.75" header="0.3" footer="0.3"/>
  <pageSetup scale="96" orientation="portrait" horizontalDpi="4294967293" r:id="rId1"/>
  <ignoredErrors>
    <ignoredError sqref="H25:H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BC55C-9469-4D5B-8A72-8CE11BC4D8B6}">
  <dimension ref="A1:II193"/>
  <sheetViews>
    <sheetView tabSelected="1" workbookViewId="0">
      <selection activeCell="C2" sqref="C2"/>
    </sheetView>
  </sheetViews>
  <sheetFormatPr defaultColWidth="8.88671875" defaultRowHeight="15.75" x14ac:dyDescent="0.5"/>
  <cols>
    <col min="1" max="1" width="3.6640625" style="23" customWidth="1"/>
    <col min="2" max="2" width="2.6640625" style="23" customWidth="1"/>
    <col min="3" max="3" width="28" style="23" customWidth="1"/>
    <col min="4" max="4" width="11.88671875" style="85" bestFit="1" customWidth="1"/>
    <col min="5" max="5" width="10.21875" style="23" customWidth="1"/>
    <col min="6" max="6" width="4.88671875" style="19" customWidth="1"/>
    <col min="7" max="7" width="40.44140625" style="266" bestFit="1" customWidth="1"/>
    <col min="8" max="9" width="10.77734375" style="23" bestFit="1" customWidth="1"/>
    <col min="10" max="243" width="9.6640625" style="23" customWidth="1"/>
    <col min="244" max="245" width="9.6640625" style="24" customWidth="1"/>
    <col min="246" max="16384" width="8.88671875" style="24"/>
  </cols>
  <sheetData>
    <row r="1" spans="1:9" ht="18" x14ac:dyDescent="0.5">
      <c r="A1" s="20"/>
      <c r="B1" s="21"/>
      <c r="C1" s="21"/>
      <c r="D1" s="163"/>
      <c r="E1" s="21"/>
      <c r="F1" s="226"/>
      <c r="G1" s="259"/>
    </row>
    <row r="2" spans="1:9" ht="18.75" customHeight="1" x14ac:dyDescent="0.5">
      <c r="A2" s="258"/>
      <c r="B2" s="258"/>
      <c r="C2" s="258" t="s">
        <v>85</v>
      </c>
      <c r="D2" s="258"/>
      <c r="E2" s="258"/>
      <c r="F2" s="258"/>
      <c r="G2" s="258"/>
    </row>
    <row r="3" spans="1:9" ht="18.75" customHeight="1" x14ac:dyDescent="0.5">
      <c r="A3" s="258"/>
      <c r="B3" s="258"/>
      <c r="C3" s="258"/>
      <c r="D3" s="258"/>
      <c r="E3" s="258"/>
      <c r="F3" s="258"/>
      <c r="G3" s="258"/>
    </row>
    <row r="4" spans="1:9" x14ac:dyDescent="0.5">
      <c r="A4" s="22"/>
      <c r="B4" s="22"/>
      <c r="C4" s="22"/>
      <c r="D4" s="165"/>
      <c r="E4" s="25"/>
      <c r="F4" s="27"/>
      <c r="G4" s="260"/>
    </row>
    <row r="5" spans="1:9" x14ac:dyDescent="0.5">
      <c r="A5" s="26"/>
      <c r="B5" s="26"/>
      <c r="C5" s="26"/>
      <c r="D5" s="128" t="s">
        <v>3</v>
      </c>
      <c r="E5" s="27"/>
      <c r="F5" s="27"/>
      <c r="G5" s="261"/>
    </row>
    <row r="6" spans="1:9" x14ac:dyDescent="0.5">
      <c r="A6" s="29" t="s">
        <v>7</v>
      </c>
      <c r="B6" s="26"/>
      <c r="C6" s="26"/>
      <c r="D6" s="28"/>
      <c r="E6" s="26"/>
      <c r="F6" s="26"/>
      <c r="G6" s="262"/>
    </row>
    <row r="7" spans="1:9" x14ac:dyDescent="0.5">
      <c r="A7" s="26"/>
      <c r="B7" s="26" t="s">
        <v>8</v>
      </c>
      <c r="C7" s="26"/>
      <c r="D7" s="28">
        <v>572507</v>
      </c>
      <c r="E7" s="262"/>
      <c r="F7" s="30"/>
      <c r="G7" s="268" t="s">
        <v>86</v>
      </c>
      <c r="H7" s="271">
        <v>-608150.74</v>
      </c>
    </row>
    <row r="8" spans="1:9" x14ac:dyDescent="0.5">
      <c r="A8" s="26"/>
      <c r="B8" s="26"/>
      <c r="C8" s="26"/>
      <c r="D8" s="28"/>
      <c r="E8" s="262"/>
      <c r="F8" s="30"/>
      <c r="G8" s="268" t="s">
        <v>87</v>
      </c>
      <c r="H8" s="270">
        <v>-21554.07</v>
      </c>
    </row>
    <row r="9" spans="1:9" x14ac:dyDescent="0.5">
      <c r="A9" s="26"/>
      <c r="B9" s="26"/>
      <c r="C9" s="26"/>
      <c r="D9" s="28"/>
      <c r="E9" s="262"/>
      <c r="F9" s="30"/>
      <c r="G9" s="281" t="s">
        <v>88</v>
      </c>
    </row>
    <row r="10" spans="1:9" x14ac:dyDescent="0.5">
      <c r="A10" s="26"/>
      <c r="B10" s="26"/>
      <c r="C10" s="26"/>
      <c r="D10" s="28"/>
      <c r="E10" s="262"/>
      <c r="F10" s="30"/>
      <c r="G10" s="281" t="s">
        <v>89</v>
      </c>
    </row>
    <row r="11" spans="1:9" x14ac:dyDescent="0.5">
      <c r="A11" s="26"/>
      <c r="B11" s="26" t="s">
        <v>14</v>
      </c>
      <c r="C11" s="26"/>
      <c r="D11" s="28"/>
      <c r="E11" s="262"/>
      <c r="F11" s="30"/>
      <c r="G11" s="281" t="s">
        <v>90</v>
      </c>
      <c r="H11" s="23">
        <v>-52865.75</v>
      </c>
    </row>
    <row r="12" spans="1:9" x14ac:dyDescent="0.5">
      <c r="A12" s="26"/>
      <c r="B12" s="26" t="s">
        <v>15</v>
      </c>
      <c r="C12" s="26"/>
      <c r="D12" s="28"/>
      <c r="E12" s="262"/>
      <c r="F12" s="30"/>
      <c r="G12" s="282" t="s">
        <v>91</v>
      </c>
      <c r="H12" s="23">
        <v>-4331.9799999999996</v>
      </c>
      <c r="I12" s="23">
        <f>H7+H8-H11-H12</f>
        <v>-572507.07999999996</v>
      </c>
    </row>
    <row r="13" spans="1:9" x14ac:dyDescent="0.5">
      <c r="A13" s="26"/>
      <c r="B13" s="26" t="s">
        <v>16</v>
      </c>
      <c r="C13" s="26"/>
      <c r="D13" s="28"/>
      <c r="E13" s="262"/>
      <c r="F13" s="30"/>
      <c r="G13" s="262"/>
    </row>
    <row r="14" spans="1:9" x14ac:dyDescent="0.5">
      <c r="A14" s="26"/>
      <c r="B14" s="26"/>
      <c r="C14" s="26" t="s">
        <v>17</v>
      </c>
      <c r="D14" s="28"/>
      <c r="E14" s="262"/>
      <c r="F14" s="30"/>
      <c r="G14" s="262"/>
    </row>
    <row r="15" spans="1:9" x14ac:dyDescent="0.5">
      <c r="A15" s="26"/>
      <c r="B15" s="26"/>
      <c r="C15" s="26" t="s">
        <v>18</v>
      </c>
      <c r="D15" s="28"/>
      <c r="E15" s="263"/>
      <c r="F15" s="30"/>
      <c r="G15" s="262"/>
    </row>
    <row r="16" spans="1:9" ht="16.5" x14ac:dyDescent="0.5">
      <c r="A16" s="26"/>
      <c r="B16" s="26"/>
      <c r="C16" s="26" t="s">
        <v>19</v>
      </c>
      <c r="D16" s="243"/>
      <c r="E16" s="264"/>
      <c r="F16" s="30"/>
      <c r="G16" s="262"/>
    </row>
    <row r="17" spans="1:9" x14ac:dyDescent="0.5">
      <c r="A17" s="31" t="s">
        <v>20</v>
      </c>
      <c r="B17" s="26"/>
      <c r="C17" s="26"/>
      <c r="D17" s="28">
        <f>SUM(D7:D16)</f>
        <v>572507</v>
      </c>
      <c r="E17" s="262"/>
      <c r="F17" s="30"/>
      <c r="G17" s="262"/>
    </row>
    <row r="18" spans="1:9" x14ac:dyDescent="0.5">
      <c r="A18" s="26"/>
      <c r="B18" s="26"/>
      <c r="C18" s="26"/>
      <c r="D18" s="28"/>
      <c r="E18" s="262"/>
      <c r="F18" s="30"/>
      <c r="G18" s="262"/>
    </row>
    <row r="19" spans="1:9" x14ac:dyDescent="0.5">
      <c r="A19" s="29" t="s">
        <v>21</v>
      </c>
      <c r="B19" s="26"/>
      <c r="C19" s="26"/>
      <c r="D19" s="28"/>
      <c r="E19" s="262"/>
      <c r="F19" s="30"/>
      <c r="G19" s="262"/>
    </row>
    <row r="20" spans="1:9" x14ac:dyDescent="0.5">
      <c r="A20" s="26"/>
      <c r="B20" s="26" t="s">
        <v>22</v>
      </c>
      <c r="C20" s="26"/>
      <c r="D20" s="28"/>
      <c r="E20" s="262"/>
      <c r="F20" s="30"/>
      <c r="G20" s="262"/>
    </row>
    <row r="21" spans="1:9" x14ac:dyDescent="0.5">
      <c r="A21" s="26"/>
      <c r="B21" s="26"/>
      <c r="C21" s="26" t="s">
        <v>23</v>
      </c>
      <c r="D21" s="28">
        <v>189192</v>
      </c>
      <c r="E21" s="262"/>
      <c r="F21" s="30"/>
      <c r="G21" s="268" t="s">
        <v>92</v>
      </c>
      <c r="H21" s="277">
        <v>189191.99</v>
      </c>
    </row>
    <row r="22" spans="1:9" x14ac:dyDescent="0.5">
      <c r="A22" s="26"/>
      <c r="B22" s="26"/>
      <c r="C22" s="26" t="s">
        <v>25</v>
      </c>
      <c r="D22" s="28">
        <v>8139</v>
      </c>
      <c r="E22" s="265"/>
      <c r="F22" s="30"/>
      <c r="G22" s="268" t="s">
        <v>93</v>
      </c>
      <c r="H22" s="272">
        <v>6281.34</v>
      </c>
    </row>
    <row r="23" spans="1:9" x14ac:dyDescent="0.5">
      <c r="A23" s="26"/>
      <c r="B23" s="26"/>
      <c r="C23" s="26"/>
      <c r="D23" s="28"/>
      <c r="E23" s="265"/>
      <c r="F23" s="30"/>
      <c r="G23" s="268" t="s">
        <v>94</v>
      </c>
      <c r="H23" s="272">
        <v>1857.91</v>
      </c>
      <c r="I23" s="23">
        <f>SUM(H22:H23)</f>
        <v>8139.25</v>
      </c>
    </row>
    <row r="24" spans="1:9" x14ac:dyDescent="0.5">
      <c r="A24" s="26"/>
      <c r="B24" s="26"/>
      <c r="C24" s="26" t="s">
        <v>26</v>
      </c>
      <c r="D24" s="28">
        <v>36181</v>
      </c>
      <c r="E24" s="262"/>
      <c r="F24" s="2"/>
      <c r="G24" s="268" t="s">
        <v>95</v>
      </c>
      <c r="H24" s="278">
        <v>58242.840000000004</v>
      </c>
    </row>
    <row r="25" spans="1:9" x14ac:dyDescent="0.5">
      <c r="A25" s="26"/>
      <c r="B25" s="26"/>
      <c r="C25" s="26"/>
      <c r="D25" s="28"/>
      <c r="E25" s="262"/>
      <c r="F25" s="2"/>
      <c r="G25" s="5" t="s">
        <v>96</v>
      </c>
      <c r="H25" s="23">
        <v>-22062</v>
      </c>
      <c r="I25" s="23">
        <f>SUM(H24:H25)</f>
        <v>36180.840000000004</v>
      </c>
    </row>
    <row r="26" spans="1:9" x14ac:dyDescent="0.5">
      <c r="A26" s="26"/>
      <c r="B26" s="26"/>
      <c r="C26" s="26"/>
      <c r="D26" s="28"/>
      <c r="E26" s="262"/>
      <c r="F26" s="2"/>
      <c r="G26" s="24"/>
      <c r="H26" s="24"/>
      <c r="I26" s="24"/>
    </row>
    <row r="27" spans="1:9" x14ac:dyDescent="0.5">
      <c r="A27" s="26"/>
      <c r="B27" s="26"/>
      <c r="C27" s="26" t="s">
        <v>27</v>
      </c>
      <c r="D27" s="28">
        <v>32351</v>
      </c>
      <c r="E27" s="262"/>
      <c r="F27" s="2"/>
      <c r="G27" s="268" t="s">
        <v>97</v>
      </c>
      <c r="H27" s="278">
        <v>32351.350000000002</v>
      </c>
    </row>
    <row r="28" spans="1:9" x14ac:dyDescent="0.5">
      <c r="A28" s="26"/>
      <c r="B28" s="26"/>
      <c r="C28" s="26" t="s">
        <v>29</v>
      </c>
      <c r="D28" s="28">
        <v>37230</v>
      </c>
      <c r="E28" s="262"/>
      <c r="F28" s="2"/>
      <c r="G28" s="268" t="s">
        <v>98</v>
      </c>
      <c r="H28" s="278">
        <v>37229.78</v>
      </c>
    </row>
    <row r="29" spans="1:9" x14ac:dyDescent="0.5">
      <c r="A29" s="26"/>
      <c r="B29" s="26"/>
      <c r="C29" s="26" t="s">
        <v>30</v>
      </c>
      <c r="D29" s="28">
        <v>13258</v>
      </c>
      <c r="E29" s="262"/>
      <c r="F29" s="30"/>
      <c r="G29" s="268" t="s">
        <v>99</v>
      </c>
      <c r="H29" s="278">
        <v>13257.94</v>
      </c>
    </row>
    <row r="30" spans="1:9" x14ac:dyDescent="0.5">
      <c r="A30" s="26"/>
      <c r="B30" s="26"/>
      <c r="C30" s="26" t="s">
        <v>31</v>
      </c>
      <c r="D30" s="28">
        <v>25980</v>
      </c>
      <c r="E30" s="262"/>
      <c r="F30" s="30"/>
      <c r="G30" s="268" t="s">
        <v>100</v>
      </c>
      <c r="H30" s="278">
        <v>13727.59</v>
      </c>
    </row>
    <row r="31" spans="1:9" x14ac:dyDescent="0.5">
      <c r="A31" s="26"/>
      <c r="B31" s="26"/>
      <c r="C31" s="26"/>
      <c r="D31" s="28"/>
      <c r="E31" s="262"/>
      <c r="F31" s="30"/>
      <c r="G31" s="268" t="s">
        <v>101</v>
      </c>
      <c r="H31" s="278">
        <v>12252.08</v>
      </c>
      <c r="I31" s="23">
        <f>SUM(H30:H31)</f>
        <v>25979.67</v>
      </c>
    </row>
    <row r="32" spans="1:9" x14ac:dyDescent="0.5">
      <c r="A32" s="26"/>
      <c r="B32" s="26"/>
      <c r="C32" s="26"/>
      <c r="D32" s="28"/>
      <c r="E32" s="262"/>
      <c r="F32" s="30"/>
      <c r="G32" s="268"/>
      <c r="H32" s="278"/>
    </row>
    <row r="33" spans="1:10" x14ac:dyDescent="0.5">
      <c r="A33" s="26"/>
      <c r="B33" s="26"/>
      <c r="C33" s="26"/>
      <c r="D33" s="28"/>
      <c r="E33" s="262"/>
      <c r="F33" s="30"/>
      <c r="G33" s="268"/>
      <c r="H33" s="278"/>
    </row>
    <row r="34" spans="1:10" x14ac:dyDescent="0.5">
      <c r="A34" s="26"/>
      <c r="B34" s="26"/>
      <c r="C34" s="26" t="s">
        <v>32</v>
      </c>
      <c r="D34" s="28">
        <f>6590+3806</f>
        <v>10396</v>
      </c>
      <c r="E34" s="262"/>
      <c r="G34" s="268" t="s">
        <v>102</v>
      </c>
      <c r="H34" s="272">
        <v>6590.41</v>
      </c>
    </row>
    <row r="35" spans="1:10" x14ac:dyDescent="0.5">
      <c r="A35" s="26"/>
      <c r="B35" s="26"/>
      <c r="C35" s="26"/>
      <c r="D35" s="28"/>
      <c r="E35" s="262"/>
      <c r="G35" s="268" t="s">
        <v>103</v>
      </c>
      <c r="H35" s="272">
        <v>3605.62</v>
      </c>
      <c r="I35" s="23">
        <f>SUM(H34:H35)</f>
        <v>10196.029999999999</v>
      </c>
      <c r="J35" s="23">
        <f>-200</f>
        <v>-200</v>
      </c>
    </row>
    <row r="36" spans="1:10" x14ac:dyDescent="0.5">
      <c r="A36" s="26"/>
      <c r="B36" s="26"/>
      <c r="C36" s="26" t="s">
        <v>33</v>
      </c>
      <c r="D36" s="28">
        <v>10812</v>
      </c>
      <c r="E36" s="262"/>
      <c r="F36" s="30"/>
      <c r="G36" s="268" t="s">
        <v>104</v>
      </c>
      <c r="H36" s="272">
        <v>6754.9400000000005</v>
      </c>
      <c r="I36" s="24"/>
    </row>
    <row r="37" spans="1:10" x14ac:dyDescent="0.5">
      <c r="A37" s="26"/>
      <c r="B37" s="26"/>
      <c r="C37" s="26"/>
      <c r="D37" s="28"/>
      <c r="E37" s="262"/>
      <c r="F37" s="30"/>
      <c r="G37" s="268" t="s">
        <v>105</v>
      </c>
      <c r="H37" s="280">
        <v>322.20999999999998</v>
      </c>
    </row>
    <row r="38" spans="1:10" x14ac:dyDescent="0.5">
      <c r="A38" s="26"/>
      <c r="B38" s="26"/>
      <c r="C38" s="26"/>
      <c r="D38" s="28"/>
      <c r="E38" s="262"/>
      <c r="F38" s="30"/>
      <c r="G38" s="268" t="s">
        <v>106</v>
      </c>
      <c r="H38" s="272">
        <v>3284.07</v>
      </c>
    </row>
    <row r="39" spans="1:10" x14ac:dyDescent="0.5">
      <c r="A39" s="26"/>
      <c r="B39" s="26"/>
      <c r="C39" s="26"/>
      <c r="D39" s="28"/>
      <c r="E39" s="262"/>
      <c r="F39" s="30"/>
      <c r="G39" s="268" t="s">
        <v>107</v>
      </c>
      <c r="H39" s="280">
        <v>450.64</v>
      </c>
      <c r="I39" s="23">
        <f>SUM(H36:H39)</f>
        <v>10811.86</v>
      </c>
    </row>
    <row r="40" spans="1:10" x14ac:dyDescent="0.5">
      <c r="A40" s="26"/>
      <c r="B40" s="26"/>
      <c r="C40" s="26"/>
      <c r="D40" s="28"/>
      <c r="E40" s="262"/>
      <c r="F40" s="30"/>
      <c r="G40" s="24"/>
      <c r="H40" s="24"/>
    </row>
    <row r="41" spans="1:10" x14ac:dyDescent="0.5">
      <c r="A41" s="26"/>
      <c r="B41" s="26"/>
      <c r="C41" s="26" t="s">
        <v>34</v>
      </c>
      <c r="D41" s="28">
        <f>11264+17794</f>
        <v>29058</v>
      </c>
      <c r="E41" s="262"/>
      <c r="F41" s="30"/>
      <c r="G41" s="268" t="s">
        <v>108</v>
      </c>
      <c r="H41" s="272">
        <v>8034.14</v>
      </c>
    </row>
    <row r="42" spans="1:10" x14ac:dyDescent="0.5">
      <c r="A42" s="26"/>
      <c r="B42" s="26"/>
      <c r="C42" s="26"/>
      <c r="D42" s="28"/>
      <c r="E42" s="262"/>
      <c r="F42" s="30"/>
      <c r="G42" s="268" t="s">
        <v>109</v>
      </c>
      <c r="H42" s="272">
        <v>3230.1</v>
      </c>
    </row>
    <row r="43" spans="1:10" x14ac:dyDescent="0.5">
      <c r="A43" s="26"/>
      <c r="B43" s="26"/>
      <c r="C43" s="26"/>
      <c r="D43" s="28"/>
      <c r="E43" s="262"/>
      <c r="F43" s="30"/>
      <c r="G43" s="268" t="s">
        <v>110</v>
      </c>
      <c r="H43" s="278">
        <v>17793.98</v>
      </c>
      <c r="I43" s="23">
        <f>SUM(H41:H43)</f>
        <v>29058.22</v>
      </c>
    </row>
    <row r="44" spans="1:10" x14ac:dyDescent="0.5">
      <c r="A44" s="26"/>
      <c r="B44" s="26"/>
      <c r="C44" s="26" t="s">
        <v>35</v>
      </c>
      <c r="D44" s="28">
        <v>79</v>
      </c>
      <c r="E44" s="262"/>
      <c r="F44" s="2"/>
      <c r="G44" s="268" t="s">
        <v>111</v>
      </c>
      <c r="H44" s="279">
        <v>78.92</v>
      </c>
    </row>
    <row r="45" spans="1:10" x14ac:dyDescent="0.5">
      <c r="A45" s="26"/>
      <c r="B45" s="26"/>
      <c r="C45" s="26" t="s">
        <v>36</v>
      </c>
      <c r="D45" s="243">
        <v>32007</v>
      </c>
      <c r="E45" s="91"/>
      <c r="F45" s="2"/>
      <c r="G45" s="268" t="s">
        <v>112</v>
      </c>
      <c r="H45" s="279">
        <v>12.69</v>
      </c>
    </row>
    <row r="46" spans="1:10" x14ac:dyDescent="0.5">
      <c r="A46" s="26"/>
      <c r="B46" s="26"/>
      <c r="C46" s="26"/>
      <c r="D46" s="262"/>
      <c r="E46" s="91"/>
      <c r="F46" s="2"/>
      <c r="G46" s="268" t="s">
        <v>113</v>
      </c>
      <c r="H46" s="272">
        <v>1987.25</v>
      </c>
    </row>
    <row r="47" spans="1:10" x14ac:dyDescent="0.5">
      <c r="A47" s="26"/>
      <c r="B47" s="26"/>
      <c r="C47" s="26"/>
      <c r="D47" s="262"/>
      <c r="E47" s="91"/>
      <c r="F47" s="2"/>
      <c r="G47" s="268" t="s">
        <v>114</v>
      </c>
      <c r="H47" s="280">
        <v>235.15</v>
      </c>
    </row>
    <row r="48" spans="1:10" x14ac:dyDescent="0.5">
      <c r="A48" s="26"/>
      <c r="B48" s="26"/>
      <c r="C48" s="26"/>
      <c r="D48" s="262"/>
      <c r="E48" s="91"/>
      <c r="F48" s="2"/>
      <c r="G48" s="268" t="s">
        <v>115</v>
      </c>
      <c r="H48" s="272">
        <v>3010.46</v>
      </c>
    </row>
    <row r="49" spans="1:10" x14ac:dyDescent="0.5">
      <c r="A49" s="26"/>
      <c r="B49" s="26"/>
      <c r="C49" s="26"/>
      <c r="D49" s="262"/>
      <c r="E49" s="91"/>
      <c r="F49" s="2"/>
      <c r="G49" s="268" t="s">
        <v>116</v>
      </c>
      <c r="H49" s="272">
        <v>1581.43</v>
      </c>
    </row>
    <row r="50" spans="1:10" x14ac:dyDescent="0.5">
      <c r="A50" s="26"/>
      <c r="B50" s="26"/>
      <c r="C50" s="26"/>
      <c r="D50" s="262"/>
      <c r="E50" s="91"/>
      <c r="F50" s="2"/>
      <c r="G50" s="268" t="s">
        <v>117</v>
      </c>
      <c r="H50" s="272">
        <v>6386.83</v>
      </c>
    </row>
    <row r="51" spans="1:10" x14ac:dyDescent="0.5">
      <c r="A51" s="26"/>
      <c r="B51" s="26"/>
      <c r="C51" s="26"/>
      <c r="D51" s="262"/>
      <c r="E51" s="91"/>
      <c r="F51" s="2"/>
      <c r="G51" s="268" t="s">
        <v>118</v>
      </c>
      <c r="H51" s="279">
        <v>11.55</v>
      </c>
    </row>
    <row r="52" spans="1:10" x14ac:dyDescent="0.5">
      <c r="A52" s="26"/>
      <c r="B52" s="26"/>
      <c r="C52" s="26"/>
      <c r="D52" s="262"/>
      <c r="E52" s="91"/>
      <c r="F52" s="2"/>
      <c r="G52" s="268" t="s">
        <v>119</v>
      </c>
      <c r="H52" s="280">
        <v>466.39</v>
      </c>
    </row>
    <row r="53" spans="1:10" x14ac:dyDescent="0.5">
      <c r="A53" s="26"/>
      <c r="B53" s="26"/>
      <c r="C53" s="26"/>
      <c r="D53" s="262"/>
      <c r="E53" s="91"/>
      <c r="F53" s="2"/>
      <c r="G53" s="268" t="s">
        <v>120</v>
      </c>
      <c r="H53" s="279">
        <v>11.55</v>
      </c>
    </row>
    <row r="54" spans="1:10" x14ac:dyDescent="0.5">
      <c r="A54" s="26"/>
      <c r="B54" s="26"/>
      <c r="C54" s="26"/>
      <c r="D54" s="262"/>
      <c r="E54" s="91"/>
      <c r="F54" s="2"/>
      <c r="G54" s="268" t="s">
        <v>121</v>
      </c>
      <c r="H54" s="272">
        <v>2862.43</v>
      </c>
    </row>
    <row r="55" spans="1:10" x14ac:dyDescent="0.5">
      <c r="A55" s="26"/>
      <c r="B55" s="26"/>
      <c r="C55" s="26"/>
      <c r="D55" s="262"/>
      <c r="E55" s="91"/>
      <c r="F55" s="2"/>
      <c r="G55" s="268" t="s">
        <v>122</v>
      </c>
      <c r="H55" s="272">
        <v>7044.54</v>
      </c>
    </row>
    <row r="56" spans="1:10" x14ac:dyDescent="0.5">
      <c r="A56" s="26"/>
      <c r="B56" s="26"/>
      <c r="C56" s="26"/>
      <c r="D56" s="262"/>
      <c r="E56" s="91"/>
      <c r="F56" s="2"/>
      <c r="G56" s="268" t="s">
        <v>123</v>
      </c>
      <c r="H56" s="280">
        <v>713.17</v>
      </c>
    </row>
    <row r="57" spans="1:10" x14ac:dyDescent="0.5">
      <c r="A57" s="26"/>
      <c r="B57" s="26"/>
      <c r="C57" s="26"/>
      <c r="D57" s="262"/>
      <c r="E57" s="91"/>
      <c r="F57" s="2"/>
      <c r="G57" s="268" t="s">
        <v>124</v>
      </c>
      <c r="H57" s="272">
        <v>3488.9700000000003</v>
      </c>
    </row>
    <row r="58" spans="1:10" x14ac:dyDescent="0.5">
      <c r="A58" s="26"/>
      <c r="B58" s="26"/>
      <c r="C58" s="26"/>
      <c r="D58" s="262"/>
      <c r="E58" s="91"/>
      <c r="F58" s="2"/>
      <c r="G58" s="268" t="s">
        <v>125</v>
      </c>
      <c r="H58" s="280">
        <v>187.5</v>
      </c>
    </row>
    <row r="59" spans="1:10" x14ac:dyDescent="0.5">
      <c r="A59" s="26"/>
      <c r="B59" s="26"/>
      <c r="C59" s="26"/>
      <c r="D59" s="262"/>
      <c r="E59" s="91"/>
      <c r="F59" s="2"/>
      <c r="G59" s="268" t="s">
        <v>126</v>
      </c>
      <c r="H59" s="280">
        <v>157.49</v>
      </c>
    </row>
    <row r="60" spans="1:10" x14ac:dyDescent="0.5">
      <c r="A60" s="26"/>
      <c r="B60" s="31" t="s">
        <v>37</v>
      </c>
      <c r="C60" s="26"/>
      <c r="D60" s="28">
        <f>SUM(D21:D45)</f>
        <v>424683</v>
      </c>
      <c r="E60" s="262"/>
      <c r="F60" s="30"/>
      <c r="G60" s="268" t="s">
        <v>127</v>
      </c>
      <c r="H60" s="280">
        <v>567.6</v>
      </c>
    </row>
    <row r="61" spans="1:10" x14ac:dyDescent="0.5">
      <c r="A61" s="26"/>
      <c r="B61" s="31"/>
      <c r="C61" s="26"/>
      <c r="D61" s="28"/>
      <c r="E61" s="262"/>
      <c r="F61" s="30"/>
      <c r="G61" s="268" t="s">
        <v>128</v>
      </c>
      <c r="H61" s="280">
        <v>569.93000000000006</v>
      </c>
    </row>
    <row r="62" spans="1:10" x14ac:dyDescent="0.5">
      <c r="A62" s="26"/>
      <c r="B62" s="31"/>
      <c r="C62" s="26"/>
      <c r="D62" s="28"/>
      <c r="E62" s="262"/>
      <c r="F62" s="30"/>
      <c r="G62" s="268" t="s">
        <v>129</v>
      </c>
      <c r="H62" s="280">
        <v>221.08</v>
      </c>
    </row>
    <row r="63" spans="1:10" x14ac:dyDescent="0.5">
      <c r="A63" s="26"/>
      <c r="B63" s="31"/>
      <c r="C63" s="26"/>
      <c r="D63" s="28"/>
      <c r="E63" s="262"/>
      <c r="F63" s="30"/>
      <c r="G63" s="268" t="s">
        <v>130</v>
      </c>
      <c r="H63" s="272">
        <v>2691.12</v>
      </c>
      <c r="I63" s="23">
        <f>SUM(H45:H64)</f>
        <v>32207.13</v>
      </c>
      <c r="J63" s="23">
        <f>200</f>
        <v>200</v>
      </c>
    </row>
    <row r="64" spans="1:10" x14ac:dyDescent="0.5">
      <c r="A64" s="26"/>
      <c r="B64" s="31"/>
      <c r="C64" s="26"/>
      <c r="D64" s="28"/>
      <c r="E64" s="262"/>
      <c r="F64" s="30"/>
      <c r="G64" s="268"/>
      <c r="H64" s="280"/>
    </row>
    <row r="65" spans="1:10" x14ac:dyDescent="0.5">
      <c r="A65" s="26"/>
      <c r="B65" s="26" t="s">
        <v>38</v>
      </c>
      <c r="C65" s="26"/>
      <c r="D65" s="28">
        <v>101505</v>
      </c>
      <c r="E65" s="262"/>
      <c r="F65" s="192"/>
      <c r="G65" s="268" t="s">
        <v>131</v>
      </c>
      <c r="H65" s="277">
        <v>180118.35</v>
      </c>
      <c r="I65" s="24"/>
      <c r="J65" s="24"/>
    </row>
    <row r="66" spans="1:10" ht="16.5" x14ac:dyDescent="0.5">
      <c r="A66" s="26"/>
      <c r="B66" s="26" t="s">
        <v>40</v>
      </c>
      <c r="C66" s="26"/>
      <c r="D66" s="122">
        <v>17542</v>
      </c>
      <c r="E66" s="264"/>
      <c r="F66" s="2"/>
      <c r="G66" s="268" t="s">
        <v>132</v>
      </c>
      <c r="H66" s="278">
        <v>14439.67</v>
      </c>
      <c r="I66" s="24"/>
      <c r="J66" s="24"/>
    </row>
    <row r="67" spans="1:10" ht="16.5" x14ac:dyDescent="0.5">
      <c r="A67" s="31" t="s">
        <v>42</v>
      </c>
      <c r="B67" s="26"/>
      <c r="C67" s="26"/>
      <c r="D67" s="122">
        <f>SUM(D60:D66)</f>
        <v>543730</v>
      </c>
      <c r="E67" s="264"/>
      <c r="F67" s="30"/>
      <c r="G67" s="268" t="s">
        <v>133</v>
      </c>
      <c r="H67" s="272">
        <v>3102.21</v>
      </c>
      <c r="I67" s="23">
        <f>SUM(H66:H67)</f>
        <v>17541.88</v>
      </c>
      <c r="J67" s="24"/>
    </row>
    <row r="68" spans="1:10" x14ac:dyDescent="0.5">
      <c r="A68" s="31" t="s">
        <v>43</v>
      </c>
      <c r="B68" s="26"/>
      <c r="C68" s="26"/>
      <c r="D68" s="28">
        <f>D17-D67</f>
        <v>28777</v>
      </c>
      <c r="E68" s="262"/>
      <c r="F68" s="30"/>
      <c r="J68" s="23">
        <f>I67-D66</f>
        <v>-0.11999999999898137</v>
      </c>
    </row>
    <row r="69" spans="1:10" x14ac:dyDescent="0.5">
      <c r="A69" s="26"/>
      <c r="B69" s="26"/>
      <c r="C69" s="26"/>
      <c r="D69" s="28"/>
      <c r="E69" s="26"/>
      <c r="F69" s="30"/>
      <c r="G69" s="24"/>
      <c r="H69" s="24"/>
      <c r="I69" s="24"/>
      <c r="J69" s="24"/>
    </row>
    <row r="70" spans="1:10" x14ac:dyDescent="0.5">
      <c r="A70" s="257"/>
      <c r="B70" s="257"/>
      <c r="C70" s="257"/>
      <c r="D70" s="257"/>
      <c r="E70" s="257"/>
      <c r="F70" s="257"/>
      <c r="G70" s="24"/>
      <c r="H70" s="24"/>
      <c r="I70" s="24"/>
      <c r="J70" s="24"/>
    </row>
    <row r="71" spans="1:10" x14ac:dyDescent="0.5">
      <c r="A71" s="3"/>
      <c r="B71" s="3"/>
      <c r="C71" s="3"/>
      <c r="D71" s="128" t="s">
        <v>3</v>
      </c>
      <c r="E71" s="257"/>
      <c r="F71" s="257"/>
      <c r="G71" s="24"/>
      <c r="H71" s="24"/>
      <c r="I71" s="24"/>
      <c r="J71" s="24"/>
    </row>
    <row r="72" spans="1:10" x14ac:dyDescent="0.5">
      <c r="A72" s="129" t="s">
        <v>7</v>
      </c>
      <c r="B72" s="28"/>
      <c r="C72" s="28"/>
      <c r="D72" s="3"/>
      <c r="E72" s="257"/>
      <c r="F72" s="257"/>
      <c r="G72" s="24"/>
      <c r="H72" s="24"/>
      <c r="I72" s="24"/>
      <c r="J72" s="24"/>
    </row>
    <row r="73" spans="1:10" x14ac:dyDescent="0.5">
      <c r="A73" s="28"/>
      <c r="B73" s="28" t="s">
        <v>60</v>
      </c>
      <c r="C73" s="28"/>
      <c r="D73" s="3">
        <v>207248</v>
      </c>
      <c r="E73" s="257"/>
      <c r="G73" s="268" t="s">
        <v>134</v>
      </c>
      <c r="H73" s="271">
        <v>-211080.98</v>
      </c>
      <c r="I73" s="24"/>
      <c r="J73" s="24"/>
    </row>
    <row r="74" spans="1:10" x14ac:dyDescent="0.5">
      <c r="A74" s="28"/>
      <c r="B74" s="28" t="s">
        <v>62</v>
      </c>
      <c r="C74" s="28"/>
      <c r="D74" s="3"/>
      <c r="E74" s="257"/>
      <c r="G74" s="268" t="s">
        <v>135</v>
      </c>
      <c r="H74" s="272">
        <v>3833.25</v>
      </c>
      <c r="I74" s="283">
        <f>SUM(H73:H74)</f>
        <v>-207247.73</v>
      </c>
      <c r="J74" s="24"/>
    </row>
    <row r="75" spans="1:10" x14ac:dyDescent="0.5">
      <c r="A75" s="130" t="s">
        <v>20</v>
      </c>
      <c r="B75" s="28"/>
      <c r="C75" s="28"/>
      <c r="D75" s="3">
        <f>SUM(D73:D74)</f>
        <v>207248</v>
      </c>
      <c r="E75" s="257"/>
      <c r="G75" s="257"/>
      <c r="H75" s="24"/>
      <c r="I75" s="24"/>
      <c r="J75" s="24"/>
    </row>
    <row r="76" spans="1:10" x14ac:dyDescent="0.5">
      <c r="A76" s="28"/>
      <c r="B76" s="28"/>
      <c r="C76" s="28"/>
      <c r="D76" s="3"/>
      <c r="E76" s="257"/>
      <c r="G76" s="257"/>
      <c r="H76" s="24"/>
      <c r="I76" s="24"/>
      <c r="J76" s="24"/>
    </row>
    <row r="77" spans="1:10" x14ac:dyDescent="0.5">
      <c r="A77" s="129" t="s">
        <v>21</v>
      </c>
      <c r="B77" s="28"/>
      <c r="C77" s="28"/>
      <c r="D77" s="3"/>
      <c r="E77" s="257"/>
      <c r="G77" s="257"/>
      <c r="H77" s="266"/>
      <c r="J77" s="24"/>
    </row>
    <row r="78" spans="1:10" x14ac:dyDescent="0.5">
      <c r="A78" s="28"/>
      <c r="B78" s="28" t="s">
        <v>64</v>
      </c>
      <c r="C78" s="28"/>
      <c r="D78" s="3"/>
      <c r="E78" s="257"/>
      <c r="G78" s="257"/>
      <c r="H78" s="24"/>
      <c r="I78" s="24"/>
      <c r="J78" s="24"/>
    </row>
    <row r="79" spans="1:10" ht="14.25" customHeight="1" x14ac:dyDescent="0.5">
      <c r="A79" s="28"/>
      <c r="B79" s="28"/>
      <c r="C79" s="3" t="s">
        <v>65</v>
      </c>
      <c r="D79" s="3"/>
      <c r="E79" s="26"/>
      <c r="G79" s="30"/>
      <c r="H79" s="24"/>
      <c r="I79" s="24"/>
    </row>
    <row r="80" spans="1:10" x14ac:dyDescent="0.5">
      <c r="A80" s="28"/>
      <c r="B80" s="28"/>
      <c r="C80" s="28" t="s">
        <v>66</v>
      </c>
      <c r="D80" s="3">
        <v>50515</v>
      </c>
      <c r="E80" s="26"/>
      <c r="F80" s="24"/>
      <c r="G80" s="268" t="s">
        <v>136</v>
      </c>
      <c r="H80" s="278">
        <v>20557.73</v>
      </c>
      <c r="I80" s="24"/>
    </row>
    <row r="81" spans="1:10" x14ac:dyDescent="0.5">
      <c r="A81" s="28"/>
      <c r="B81" s="28"/>
      <c r="C81" s="28"/>
      <c r="D81" s="3"/>
      <c r="E81" s="26"/>
      <c r="F81" s="24"/>
      <c r="G81" s="268" t="s">
        <v>137</v>
      </c>
      <c r="H81" s="278">
        <v>28096.95</v>
      </c>
      <c r="I81" s="24"/>
    </row>
    <row r="82" spans="1:10" x14ac:dyDescent="0.5">
      <c r="A82" s="28"/>
      <c r="B82" s="28"/>
      <c r="C82" s="28"/>
      <c r="D82" s="3"/>
      <c r="E82" s="26"/>
      <c r="F82" s="24"/>
      <c r="G82" s="268" t="s">
        <v>138</v>
      </c>
      <c r="H82" s="272">
        <v>1854.8400000000001</v>
      </c>
      <c r="I82" s="285">
        <f>SUM(H80:H82)</f>
        <v>50509.520000000004</v>
      </c>
      <c r="J82" s="23">
        <f>I82-D80</f>
        <v>-5.4799999999959255</v>
      </c>
    </row>
    <row r="83" spans="1:10" x14ac:dyDescent="0.5">
      <c r="A83" s="28"/>
      <c r="B83" s="28"/>
      <c r="C83" s="28"/>
      <c r="D83" s="3"/>
      <c r="E83" s="26"/>
      <c r="F83" s="24"/>
      <c r="G83" s="268"/>
      <c r="H83" s="272"/>
      <c r="I83" s="24"/>
    </row>
    <row r="84" spans="1:10" x14ac:dyDescent="0.5">
      <c r="A84" s="28"/>
      <c r="B84" s="28" t="s">
        <v>67</v>
      </c>
      <c r="C84" s="28"/>
      <c r="D84" s="3">
        <v>21906</v>
      </c>
      <c r="E84" s="26"/>
      <c r="F84" s="24"/>
      <c r="G84" s="268" t="s">
        <v>139</v>
      </c>
      <c r="H84" s="278">
        <v>21814.170000000002</v>
      </c>
      <c r="I84" s="24"/>
    </row>
    <row r="85" spans="1:10" x14ac:dyDescent="0.5">
      <c r="A85" s="28"/>
      <c r="B85" s="28"/>
      <c r="C85" s="28"/>
      <c r="D85" s="3"/>
      <c r="E85" s="26"/>
      <c r="F85" s="24"/>
      <c r="G85" s="268"/>
      <c r="H85" s="278"/>
      <c r="I85" s="24"/>
    </row>
    <row r="86" spans="1:10" x14ac:dyDescent="0.5">
      <c r="A86" s="28"/>
      <c r="B86" s="28" t="s">
        <v>30</v>
      </c>
      <c r="C86" s="28"/>
      <c r="D86" s="3">
        <v>4830</v>
      </c>
      <c r="E86" s="26"/>
      <c r="F86" s="24"/>
      <c r="G86" s="268" t="s">
        <v>140</v>
      </c>
      <c r="H86" s="272">
        <v>4830.1500000000005</v>
      </c>
      <c r="I86" s="24"/>
    </row>
    <row r="87" spans="1:10" x14ac:dyDescent="0.5">
      <c r="A87" s="28"/>
      <c r="B87" s="28"/>
      <c r="C87" s="28"/>
      <c r="D87" s="3"/>
      <c r="E87" s="26"/>
      <c r="F87" s="24"/>
      <c r="G87" s="268"/>
      <c r="H87" s="272"/>
      <c r="I87" s="24"/>
    </row>
    <row r="88" spans="1:10" x14ac:dyDescent="0.5">
      <c r="A88" s="28"/>
      <c r="B88" s="28" t="s">
        <v>68</v>
      </c>
      <c r="C88" s="28"/>
      <c r="D88" s="3">
        <v>7800</v>
      </c>
      <c r="E88" s="26"/>
      <c r="F88" s="24"/>
      <c r="G88" s="268" t="s">
        <v>141</v>
      </c>
      <c r="H88" s="272">
        <v>5390.4800000000005</v>
      </c>
      <c r="I88" s="24"/>
    </row>
    <row r="89" spans="1:10" x14ac:dyDescent="0.5">
      <c r="A89" s="28"/>
      <c r="B89" s="28" t="s">
        <v>69</v>
      </c>
      <c r="C89" s="28"/>
      <c r="D89" s="3"/>
      <c r="E89" s="26"/>
      <c r="F89" s="24"/>
      <c r="G89" s="268" t="s">
        <v>142</v>
      </c>
      <c r="H89" s="269">
        <v>3.79</v>
      </c>
      <c r="I89" s="24"/>
    </row>
    <row r="90" spans="1:10" x14ac:dyDescent="0.5">
      <c r="A90" s="28"/>
      <c r="B90" s="3" t="s">
        <v>70</v>
      </c>
      <c r="C90" s="28"/>
      <c r="D90" s="3"/>
      <c r="E90" s="26"/>
      <c r="F90" s="24"/>
      <c r="G90" s="268" t="s">
        <v>143</v>
      </c>
      <c r="H90" s="279">
        <v>97.460000000000008</v>
      </c>
      <c r="I90" s="24"/>
    </row>
    <row r="91" spans="1:10" x14ac:dyDescent="0.5">
      <c r="A91" s="28"/>
      <c r="B91" s="3"/>
      <c r="C91" s="28"/>
      <c r="D91" s="3"/>
      <c r="E91" s="26"/>
      <c r="F91" s="24"/>
      <c r="G91" s="268" t="s">
        <v>144</v>
      </c>
      <c r="H91" s="272">
        <v>1859.1000000000001</v>
      </c>
      <c r="I91" s="24"/>
    </row>
    <row r="92" spans="1:10" x14ac:dyDescent="0.5">
      <c r="A92" s="28"/>
      <c r="B92" s="3"/>
      <c r="C92" s="28"/>
      <c r="D92" s="3"/>
      <c r="E92" s="26"/>
      <c r="F92" s="24"/>
      <c r="G92" s="268" t="s">
        <v>145</v>
      </c>
      <c r="H92" s="280">
        <v>506.11</v>
      </c>
      <c r="I92" s="284">
        <f>SUM(H88:H92)</f>
        <v>7856.9400000000005</v>
      </c>
      <c r="J92" s="23">
        <f>I92-D88</f>
        <v>56.940000000000509</v>
      </c>
    </row>
    <row r="93" spans="1:10" x14ac:dyDescent="0.5">
      <c r="A93" s="28"/>
      <c r="B93" s="3"/>
      <c r="C93" s="28"/>
      <c r="D93" s="3"/>
      <c r="E93" s="26"/>
      <c r="F93" s="24"/>
      <c r="G93" s="268"/>
      <c r="H93" s="279"/>
      <c r="I93" s="24"/>
    </row>
    <row r="94" spans="1:10" x14ac:dyDescent="0.5">
      <c r="A94" s="28"/>
      <c r="B94" s="28"/>
      <c r="C94" s="28" t="s">
        <v>71</v>
      </c>
      <c r="D94" s="3">
        <v>12306</v>
      </c>
      <c r="E94" s="26"/>
      <c r="F94" s="24"/>
      <c r="G94" s="268" t="s">
        <v>146</v>
      </c>
      <c r="H94" s="278">
        <v>12305.75</v>
      </c>
      <c r="I94" s="24"/>
    </row>
    <row r="95" spans="1:10" x14ac:dyDescent="0.5">
      <c r="A95" s="28"/>
      <c r="B95" s="28" t="s">
        <v>72</v>
      </c>
      <c r="C95" s="28"/>
      <c r="D95" s="3"/>
      <c r="E95" s="26"/>
      <c r="F95" s="24"/>
      <c r="G95" s="30"/>
      <c r="H95" s="24"/>
      <c r="I95" s="24"/>
    </row>
    <row r="96" spans="1:10" x14ac:dyDescent="0.5">
      <c r="A96" s="28"/>
      <c r="B96" s="28"/>
      <c r="C96" s="28" t="s">
        <v>73</v>
      </c>
      <c r="D96" s="3">
        <v>4435</v>
      </c>
      <c r="E96" s="26"/>
      <c r="F96" s="24"/>
      <c r="G96" s="268" t="s">
        <v>147</v>
      </c>
      <c r="H96" s="272">
        <v>1940.13</v>
      </c>
      <c r="I96" s="24"/>
    </row>
    <row r="97" spans="1:10" x14ac:dyDescent="0.5">
      <c r="A97" s="28"/>
      <c r="B97" s="28"/>
      <c r="C97" s="28"/>
      <c r="D97" s="3"/>
      <c r="E97" s="26"/>
      <c r="F97" s="24"/>
      <c r="G97" s="268" t="s">
        <v>148</v>
      </c>
      <c r="H97" s="279">
        <v>26.6</v>
      </c>
      <c r="I97" s="24"/>
    </row>
    <row r="98" spans="1:10" x14ac:dyDescent="0.5">
      <c r="A98" s="28"/>
      <c r="B98" s="28"/>
      <c r="C98" s="28"/>
      <c r="D98" s="3"/>
      <c r="E98" s="26"/>
      <c r="F98" s="24"/>
      <c r="G98" s="268" t="s">
        <v>149</v>
      </c>
      <c r="H98" s="280">
        <v>388.82</v>
      </c>
      <c r="I98" s="24"/>
    </row>
    <row r="99" spans="1:10" x14ac:dyDescent="0.5">
      <c r="A99" s="28"/>
      <c r="B99" s="28"/>
      <c r="C99" s="28"/>
      <c r="D99" s="3"/>
      <c r="E99" s="26"/>
      <c r="F99" s="24"/>
      <c r="G99" s="268" t="s">
        <v>150</v>
      </c>
      <c r="H99" s="272">
        <v>1921.16</v>
      </c>
      <c r="I99" s="24"/>
    </row>
    <row r="100" spans="1:10" x14ac:dyDescent="0.5">
      <c r="A100" s="28"/>
      <c r="B100" s="28"/>
      <c r="C100" s="28"/>
      <c r="D100" s="3"/>
      <c r="E100" s="26"/>
      <c r="F100" s="24"/>
      <c r="G100" s="268" t="s">
        <v>151</v>
      </c>
      <c r="H100" s="279">
        <v>67.010000000000005</v>
      </c>
      <c r="I100" s="284">
        <f>SUM(H96:H100)</f>
        <v>4343.72</v>
      </c>
      <c r="J100" s="23">
        <f>I100-D96</f>
        <v>-91.279999999999745</v>
      </c>
    </row>
    <row r="101" spans="1:10" x14ac:dyDescent="0.5">
      <c r="A101" s="28"/>
      <c r="B101" s="28"/>
      <c r="C101" s="28"/>
      <c r="D101" s="3"/>
      <c r="E101" s="26"/>
      <c r="F101" s="24"/>
      <c r="G101" s="268"/>
      <c r="H101" s="279"/>
      <c r="I101" s="24"/>
    </row>
    <row r="102" spans="1:10" x14ac:dyDescent="0.5">
      <c r="A102" s="28"/>
      <c r="B102" s="28"/>
      <c r="C102" s="28" t="s">
        <v>74</v>
      </c>
      <c r="D102" s="3">
        <v>329</v>
      </c>
      <c r="E102" s="26"/>
      <c r="F102" s="24"/>
      <c r="G102" s="268" t="s">
        <v>152</v>
      </c>
      <c r="H102" s="280">
        <v>328.5</v>
      </c>
      <c r="I102" s="24"/>
    </row>
    <row r="103" spans="1:10" x14ac:dyDescent="0.5">
      <c r="A103" s="28"/>
      <c r="B103" s="28"/>
      <c r="C103" s="28" t="s">
        <v>75</v>
      </c>
      <c r="D103" s="3">
        <v>3193</v>
      </c>
      <c r="E103" s="26"/>
      <c r="F103" s="24"/>
      <c r="G103" s="268" t="s">
        <v>153</v>
      </c>
      <c r="H103" s="272">
        <v>2296.0100000000002</v>
      </c>
      <c r="I103" s="24"/>
    </row>
    <row r="104" spans="1:10" x14ac:dyDescent="0.5">
      <c r="A104" s="28"/>
      <c r="B104" s="28"/>
      <c r="C104" s="28"/>
      <c r="D104" s="3"/>
      <c r="E104" s="26"/>
      <c r="F104" s="24"/>
      <c r="G104" s="268" t="s">
        <v>154</v>
      </c>
      <c r="H104" s="280">
        <v>896.9</v>
      </c>
      <c r="I104" s="24"/>
    </row>
    <row r="105" spans="1:10" x14ac:dyDescent="0.5">
      <c r="A105" s="28"/>
      <c r="B105" s="28"/>
      <c r="C105" s="28"/>
      <c r="D105" s="3"/>
      <c r="E105" s="26"/>
      <c r="F105" s="24"/>
      <c r="G105" s="268"/>
      <c r="H105" s="280"/>
      <c r="I105" s="24"/>
    </row>
    <row r="106" spans="1:10" x14ac:dyDescent="0.5">
      <c r="A106" s="28"/>
      <c r="B106" s="28"/>
      <c r="C106" s="28" t="s">
        <v>26</v>
      </c>
      <c r="D106" s="3">
        <v>7747</v>
      </c>
      <c r="E106" s="19"/>
      <c r="G106" s="268" t="s">
        <v>155</v>
      </c>
      <c r="H106" s="272">
        <v>4635.75</v>
      </c>
    </row>
    <row r="107" spans="1:10" x14ac:dyDescent="0.5">
      <c r="A107" s="28"/>
      <c r="B107" s="28"/>
      <c r="C107" s="28"/>
      <c r="D107" s="3"/>
      <c r="E107" s="19"/>
      <c r="G107" s="268" t="s">
        <v>156</v>
      </c>
      <c r="H107" s="272">
        <v>1256.5</v>
      </c>
    </row>
    <row r="108" spans="1:10" x14ac:dyDescent="0.5">
      <c r="A108" s="28"/>
      <c r="B108" s="28"/>
      <c r="C108" s="28"/>
      <c r="D108" s="3"/>
      <c r="E108" s="19"/>
      <c r="G108" s="268" t="s">
        <v>157</v>
      </c>
      <c r="H108" s="272">
        <v>1860.01</v>
      </c>
      <c r="I108" s="23">
        <f>SUM(H106:H108)</f>
        <v>7752.26</v>
      </c>
      <c r="J108" s="23">
        <f>I108-D106</f>
        <v>5.2600000000002183</v>
      </c>
    </row>
    <row r="109" spans="1:10" x14ac:dyDescent="0.5">
      <c r="A109" s="28"/>
      <c r="B109" s="28"/>
      <c r="C109" s="28"/>
      <c r="D109" s="3"/>
      <c r="E109" s="19"/>
      <c r="G109" s="268"/>
      <c r="H109" s="272"/>
    </row>
    <row r="110" spans="1:10" x14ac:dyDescent="0.5">
      <c r="A110" s="28"/>
      <c r="B110" s="28"/>
      <c r="C110" s="28" t="s">
        <v>76</v>
      </c>
      <c r="D110" s="3">
        <v>3004</v>
      </c>
      <c r="E110" s="159"/>
      <c r="G110" s="268" t="s">
        <v>158</v>
      </c>
      <c r="H110" s="280">
        <v>961.15</v>
      </c>
    </row>
    <row r="111" spans="1:10" x14ac:dyDescent="0.5">
      <c r="A111" s="28"/>
      <c r="B111" s="28"/>
      <c r="C111" s="28"/>
      <c r="D111" s="3"/>
      <c r="E111" s="159"/>
      <c r="G111" s="268" t="s">
        <v>159</v>
      </c>
      <c r="H111" s="279">
        <v>82.62</v>
      </c>
    </row>
    <row r="112" spans="1:10" x14ac:dyDescent="0.5">
      <c r="A112" s="28"/>
      <c r="B112" s="28"/>
      <c r="C112" s="28"/>
      <c r="D112" s="3"/>
      <c r="E112" s="159"/>
      <c r="G112" s="268" t="s">
        <v>160</v>
      </c>
      <c r="H112" s="272">
        <v>1566</v>
      </c>
    </row>
    <row r="113" spans="1:10" x14ac:dyDescent="0.5">
      <c r="A113" s="28"/>
      <c r="B113" s="28"/>
      <c r="C113" s="28"/>
      <c r="D113" s="3"/>
      <c r="E113" s="159"/>
      <c r="G113" s="268" t="s">
        <v>161</v>
      </c>
      <c r="H113" s="279">
        <v>25.3</v>
      </c>
    </row>
    <row r="114" spans="1:10" x14ac:dyDescent="0.5">
      <c r="A114" s="28"/>
      <c r="B114" s="28"/>
      <c r="C114" s="28"/>
      <c r="D114" s="3"/>
      <c r="E114" s="159"/>
      <c r="G114" s="268" t="s">
        <v>162</v>
      </c>
      <c r="H114" s="280">
        <v>296.75</v>
      </c>
    </row>
    <row r="115" spans="1:10" x14ac:dyDescent="0.5">
      <c r="A115" s="28"/>
      <c r="B115" s="28"/>
      <c r="C115" s="28"/>
      <c r="D115" s="3"/>
      <c r="E115" s="159"/>
      <c r="G115" s="268" t="s">
        <v>163</v>
      </c>
      <c r="H115" s="279">
        <v>32.96</v>
      </c>
      <c r="I115" s="23">
        <f>SUM(H110:H115)</f>
        <v>2964.78</v>
      </c>
      <c r="J115" s="23">
        <f>I115-D110</f>
        <v>-39.2199999999998</v>
      </c>
    </row>
    <row r="116" spans="1:10" x14ac:dyDescent="0.5">
      <c r="A116" s="28"/>
      <c r="B116" s="28"/>
      <c r="C116" s="28"/>
      <c r="D116" s="3"/>
      <c r="E116" s="159"/>
      <c r="G116" s="268"/>
      <c r="H116" s="279"/>
    </row>
    <row r="117" spans="1:10" x14ac:dyDescent="0.5">
      <c r="A117" s="28"/>
      <c r="B117" s="28"/>
      <c r="C117" s="28" t="s">
        <v>77</v>
      </c>
      <c r="D117" s="78">
        <v>6460</v>
      </c>
      <c r="E117" s="159"/>
      <c r="G117" s="268" t="s">
        <v>164</v>
      </c>
      <c r="H117" s="280">
        <v>911.13</v>
      </c>
    </row>
    <row r="118" spans="1:10" ht="17.649999999999999" x14ac:dyDescent="0.75">
      <c r="A118" s="28"/>
      <c r="B118" s="130" t="s">
        <v>78</v>
      </c>
      <c r="C118" s="28"/>
      <c r="D118" s="63">
        <f>SUM(D79:D117)</f>
        <v>122525</v>
      </c>
      <c r="E118" s="267"/>
      <c r="G118" s="268" t="s">
        <v>165</v>
      </c>
      <c r="H118" s="272">
        <v>4585.82</v>
      </c>
    </row>
    <row r="119" spans="1:10" x14ac:dyDescent="0.5">
      <c r="A119" s="28"/>
      <c r="B119" s="28" t="s">
        <v>38</v>
      </c>
      <c r="C119" s="28"/>
      <c r="D119" s="3">
        <v>77810</v>
      </c>
      <c r="G119" s="268" t="s">
        <v>166</v>
      </c>
      <c r="H119" s="279">
        <v>67.210000000000008</v>
      </c>
    </row>
    <row r="120" spans="1:10" ht="17.649999999999999" x14ac:dyDescent="0.75">
      <c r="A120" s="28"/>
      <c r="B120" s="28" t="s">
        <v>40</v>
      </c>
      <c r="C120" s="28"/>
      <c r="D120" s="244"/>
      <c r="G120" s="268" t="s">
        <v>167</v>
      </c>
      <c r="H120" s="280">
        <v>253.54</v>
      </c>
    </row>
    <row r="121" spans="1:10" ht="17.649999999999999" x14ac:dyDescent="0.75">
      <c r="A121" s="130" t="s">
        <v>42</v>
      </c>
      <c r="B121" s="28"/>
      <c r="C121" s="28"/>
      <c r="D121" s="63">
        <f>SUM(D118:D120)</f>
        <v>200335</v>
      </c>
      <c r="G121" s="268" t="s">
        <v>168</v>
      </c>
      <c r="H121" s="269">
        <v>6.08</v>
      </c>
    </row>
    <row r="122" spans="1:10" x14ac:dyDescent="0.5">
      <c r="A122" s="130" t="s">
        <v>43</v>
      </c>
      <c r="B122" s="28"/>
      <c r="C122" s="28"/>
      <c r="D122" s="3">
        <f>D75-D121</f>
        <v>6913</v>
      </c>
      <c r="G122" s="268" t="s">
        <v>169</v>
      </c>
      <c r="H122" s="269">
        <v>3.75</v>
      </c>
    </row>
    <row r="123" spans="1:10" x14ac:dyDescent="0.5">
      <c r="A123" s="28"/>
      <c r="B123" s="28"/>
      <c r="C123" s="28"/>
      <c r="D123" s="3"/>
      <c r="G123" s="268" t="s">
        <v>170</v>
      </c>
      <c r="H123" s="280">
        <v>256.68</v>
      </c>
    </row>
    <row r="124" spans="1:10" x14ac:dyDescent="0.5">
      <c r="G124" s="268" t="s">
        <v>171</v>
      </c>
      <c r="H124" s="280">
        <v>219.76</v>
      </c>
      <c r="I124" s="24"/>
    </row>
    <row r="125" spans="1:10" x14ac:dyDescent="0.5">
      <c r="G125" s="268" t="s">
        <v>172</v>
      </c>
      <c r="H125" s="280">
        <v>117.21000000000001</v>
      </c>
      <c r="I125" s="23">
        <f>SUM(H117:H125)</f>
        <v>6421.18</v>
      </c>
      <c r="J125" s="23">
        <f>I125-D117</f>
        <v>-38.819999999999709</v>
      </c>
    </row>
    <row r="127" spans="1:10" x14ac:dyDescent="0.5">
      <c r="J127" s="23">
        <f>SUM(J82:J125)</f>
        <v>-112.59999999999445</v>
      </c>
    </row>
    <row r="131" spans="7:8" x14ac:dyDescent="0.5">
      <c r="G131" s="24"/>
      <c r="H131" s="24"/>
    </row>
    <row r="135" spans="7:8" x14ac:dyDescent="0.5">
      <c r="G135" s="24"/>
      <c r="H135" s="24"/>
    </row>
    <row r="136" spans="7:8" x14ac:dyDescent="0.5">
      <c r="G136" s="24"/>
      <c r="H136" s="24"/>
    </row>
    <row r="137" spans="7:8" x14ac:dyDescent="0.5">
      <c r="G137" s="24"/>
      <c r="H137" s="24"/>
    </row>
    <row r="138" spans="7:8" x14ac:dyDescent="0.5">
      <c r="G138" s="24"/>
      <c r="H138" s="24"/>
    </row>
    <row r="139" spans="7:8" x14ac:dyDescent="0.5">
      <c r="G139" s="24"/>
      <c r="H139" s="24"/>
    </row>
    <row r="141" spans="7:8" x14ac:dyDescent="0.5">
      <c r="G141" s="24"/>
      <c r="H141" s="24"/>
    </row>
    <row r="142" spans="7:8" x14ac:dyDescent="0.5">
      <c r="G142" s="268" t="s">
        <v>173</v>
      </c>
      <c r="H142" s="270">
        <v>-23575</v>
      </c>
    </row>
    <row r="144" spans="7:8" x14ac:dyDescent="0.5">
      <c r="G144" s="268" t="s">
        <v>174</v>
      </c>
      <c r="H144" s="273">
        <v>-35.480000000000004</v>
      </c>
    </row>
    <row r="145" spans="7:8" x14ac:dyDescent="0.5">
      <c r="G145" s="268" t="s">
        <v>175</v>
      </c>
      <c r="H145" s="274">
        <v>-4819.54</v>
      </c>
    </row>
    <row r="146" spans="7:8" x14ac:dyDescent="0.5">
      <c r="G146" s="268" t="s">
        <v>176</v>
      </c>
      <c r="H146" s="275">
        <v>-2.7800000000000002</v>
      </c>
    </row>
    <row r="147" spans="7:8" x14ac:dyDescent="0.5">
      <c r="G147"/>
      <c r="H147" s="276">
        <v>-865385.34</v>
      </c>
    </row>
    <row r="148" spans="7:8" x14ac:dyDescent="0.5">
      <c r="G148" s="268" t="s">
        <v>177</v>
      </c>
      <c r="H148" s="272">
        <v>4331.9800000000005</v>
      </c>
    </row>
    <row r="149" spans="7:8" x14ac:dyDescent="0.5">
      <c r="G149" s="24"/>
      <c r="H149" s="24"/>
    </row>
    <row r="150" spans="7:8" x14ac:dyDescent="0.5">
      <c r="G150" s="24"/>
      <c r="H150" s="24"/>
    </row>
    <row r="151" spans="7:8" x14ac:dyDescent="0.5">
      <c r="G151" s="24"/>
      <c r="H151" s="24"/>
    </row>
    <row r="152" spans="7:8" x14ac:dyDescent="0.5">
      <c r="G152" s="24"/>
      <c r="H152" s="24"/>
    </row>
    <row r="153" spans="7:8" x14ac:dyDescent="0.5">
      <c r="G153" s="24"/>
      <c r="H153" s="24"/>
    </row>
    <row r="154" spans="7:8" x14ac:dyDescent="0.5">
      <c r="G154" s="24"/>
      <c r="H154" s="24"/>
    </row>
    <row r="155" spans="7:8" x14ac:dyDescent="0.5">
      <c r="G155" s="268" t="s">
        <v>178</v>
      </c>
      <c r="H155" s="280">
        <v>204.11</v>
      </c>
    </row>
    <row r="156" spans="7:8" x14ac:dyDescent="0.5">
      <c r="G156" s="24"/>
      <c r="H156" s="24"/>
    </row>
    <row r="157" spans="7:8" x14ac:dyDescent="0.5">
      <c r="G157" s="24"/>
      <c r="H157" s="24"/>
    </row>
    <row r="158" spans="7:8" x14ac:dyDescent="0.5">
      <c r="G158" s="268" t="s">
        <v>179</v>
      </c>
      <c r="H158" s="278">
        <v>44220.75</v>
      </c>
    </row>
    <row r="162" spans="7:8" x14ac:dyDescent="0.5">
      <c r="G162" s="24"/>
      <c r="H162" s="24"/>
    </row>
    <row r="163" spans="7:8" x14ac:dyDescent="0.5">
      <c r="G163" s="24"/>
      <c r="H163" s="24"/>
    </row>
    <row r="164" spans="7:8" x14ac:dyDescent="0.5">
      <c r="G164" s="24"/>
      <c r="H164" s="24"/>
    </row>
    <row r="165" spans="7:8" x14ac:dyDescent="0.5">
      <c r="G165" s="24"/>
      <c r="H165" s="24"/>
    </row>
    <row r="166" spans="7:8" x14ac:dyDescent="0.5">
      <c r="G166" s="24"/>
      <c r="H166" s="24"/>
    </row>
    <row r="167" spans="7:8" x14ac:dyDescent="0.5">
      <c r="G167" s="24"/>
      <c r="H167" s="24"/>
    </row>
    <row r="168" spans="7:8" x14ac:dyDescent="0.5">
      <c r="G168" s="24"/>
      <c r="H168" s="24"/>
    </row>
    <row r="169" spans="7:8" x14ac:dyDescent="0.5">
      <c r="G169" s="24"/>
      <c r="H169" s="24"/>
    </row>
    <row r="170" spans="7:8" x14ac:dyDescent="0.5">
      <c r="G170" s="24"/>
      <c r="H170" s="24"/>
    </row>
    <row r="171" spans="7:8" x14ac:dyDescent="0.5">
      <c r="G171" s="24"/>
      <c r="H171" s="24"/>
    </row>
    <row r="172" spans="7:8" x14ac:dyDescent="0.5">
      <c r="G172" s="24"/>
      <c r="H172" s="24"/>
    </row>
    <row r="173" spans="7:8" x14ac:dyDescent="0.5">
      <c r="G173" s="24"/>
      <c r="H173" s="24"/>
    </row>
    <row r="174" spans="7:8" x14ac:dyDescent="0.5">
      <c r="G174" s="24"/>
      <c r="H174" s="24"/>
    </row>
    <row r="175" spans="7:8" x14ac:dyDescent="0.5">
      <c r="G175" s="24"/>
      <c r="H175" s="24"/>
    </row>
    <row r="176" spans="7:8" x14ac:dyDescent="0.5">
      <c r="G176" s="24"/>
      <c r="H176" s="24"/>
    </row>
    <row r="177" spans="7:8" x14ac:dyDescent="0.5">
      <c r="G177" s="24"/>
      <c r="H177" s="24"/>
    </row>
    <row r="178" spans="7:8" x14ac:dyDescent="0.5">
      <c r="G178" s="24"/>
      <c r="H178" s="24"/>
    </row>
    <row r="179" spans="7:8" x14ac:dyDescent="0.5">
      <c r="G179" s="24"/>
      <c r="H179" s="24"/>
    </row>
    <row r="180" spans="7:8" x14ac:dyDescent="0.5">
      <c r="G180" s="24"/>
      <c r="H180" s="24"/>
    </row>
    <row r="181" spans="7:8" x14ac:dyDescent="0.5">
      <c r="G181" s="24"/>
      <c r="H181" s="24"/>
    </row>
    <row r="182" spans="7:8" x14ac:dyDescent="0.5">
      <c r="G182" s="24"/>
      <c r="H182" s="24"/>
    </row>
    <row r="183" spans="7:8" x14ac:dyDescent="0.5">
      <c r="G183" s="24"/>
      <c r="H183" s="24"/>
    </row>
    <row r="184" spans="7:8" x14ac:dyDescent="0.5">
      <c r="G184" s="24"/>
      <c r="H184" s="24"/>
    </row>
    <row r="185" spans="7:8" x14ac:dyDescent="0.5">
      <c r="G185" s="24"/>
      <c r="H185" s="24"/>
    </row>
    <row r="186" spans="7:8" x14ac:dyDescent="0.5">
      <c r="G186" s="24"/>
      <c r="H186" s="24"/>
    </row>
    <row r="187" spans="7:8" x14ac:dyDescent="0.5">
      <c r="G187" s="24"/>
      <c r="H187" s="24"/>
    </row>
    <row r="188" spans="7:8" x14ac:dyDescent="0.5">
      <c r="G188" s="24"/>
      <c r="H188" s="24"/>
    </row>
    <row r="189" spans="7:8" x14ac:dyDescent="0.5">
      <c r="G189" s="24"/>
      <c r="H189" s="24"/>
    </row>
    <row r="190" spans="7:8" x14ac:dyDescent="0.5">
      <c r="G190" s="24"/>
      <c r="H190" s="24"/>
    </row>
    <row r="191" spans="7:8" x14ac:dyDescent="0.5">
      <c r="G191" s="24"/>
      <c r="H191" s="24"/>
    </row>
    <row r="192" spans="7:8" x14ac:dyDescent="0.5">
      <c r="G192" s="24"/>
      <c r="H192" s="24"/>
    </row>
    <row r="193" spans="7:8" x14ac:dyDescent="0.5">
      <c r="G193" s="24"/>
      <c r="H193" s="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41B6-7F0D-41FA-BD5E-2E476BD0FD02}">
  <dimension ref="B4:C7"/>
  <sheetViews>
    <sheetView workbookViewId="0">
      <selection activeCell="C7" sqref="C7"/>
    </sheetView>
  </sheetViews>
  <sheetFormatPr defaultRowHeight="15" x14ac:dyDescent="0.4"/>
  <cols>
    <col min="2" max="2" width="30.88671875" bestFit="1" customWidth="1"/>
    <col min="3" max="3" width="11" bestFit="1" customWidth="1"/>
  </cols>
  <sheetData>
    <row r="4" spans="2:3" x14ac:dyDescent="0.4">
      <c r="B4" t="s">
        <v>180</v>
      </c>
      <c r="C4" s="256">
        <v>50515</v>
      </c>
    </row>
    <row r="5" spans="2:3" x14ac:dyDescent="0.4">
      <c r="B5" t="s">
        <v>181</v>
      </c>
      <c r="C5" s="255">
        <v>7.6499999999999999E-2</v>
      </c>
    </row>
    <row r="7" spans="2:3" x14ac:dyDescent="0.4">
      <c r="B7" t="s">
        <v>182</v>
      </c>
      <c r="C7" s="256">
        <f>C4*C5</f>
        <v>3864.3975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A8B0-F762-46FE-983B-3C13E80AB2A8}">
  <dimension ref="C3:E6"/>
  <sheetViews>
    <sheetView workbookViewId="0">
      <selection activeCell="C7" sqref="C7"/>
    </sheetView>
  </sheetViews>
  <sheetFormatPr defaultRowHeight="15" x14ac:dyDescent="0.4"/>
  <cols>
    <col min="3" max="3" width="28.77734375" bestFit="1" customWidth="1"/>
    <col min="4" max="4" width="1.77734375" customWidth="1"/>
  </cols>
  <sheetData>
    <row r="3" spans="3:5" x14ac:dyDescent="0.4">
      <c r="C3" t="s">
        <v>183</v>
      </c>
      <c r="E3">
        <f>6*1325</f>
        <v>7950</v>
      </c>
    </row>
    <row r="5" spans="3:5" x14ac:dyDescent="0.4">
      <c r="C5" t="s">
        <v>184</v>
      </c>
      <c r="E5">
        <f>E3/2</f>
        <v>3975</v>
      </c>
    </row>
    <row r="6" spans="3:5" x14ac:dyDescent="0.4">
      <c r="C6" t="s">
        <v>185</v>
      </c>
      <c r="E6">
        <f>E3/2</f>
        <v>3975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7014-9138-4EA8-BD4C-4A4A86D801AE}">
  <dimension ref="A1:F38"/>
  <sheetViews>
    <sheetView topLeftCell="A9" workbookViewId="0">
      <selection activeCell="D28" sqref="D28"/>
    </sheetView>
  </sheetViews>
  <sheetFormatPr defaultRowHeight="15" x14ac:dyDescent="0.4"/>
  <cols>
    <col min="1" max="1" width="18.77734375" customWidth="1"/>
    <col min="2" max="2" width="9.88671875" bestFit="1" customWidth="1"/>
    <col min="3" max="3" width="8.88671875" bestFit="1" customWidth="1"/>
    <col min="4" max="4" width="9.6640625" bestFit="1" customWidth="1"/>
  </cols>
  <sheetData>
    <row r="1" spans="1:6" ht="15.4" x14ac:dyDescent="0.45">
      <c r="A1" s="1" t="s">
        <v>186</v>
      </c>
      <c r="B1" s="1"/>
      <c r="C1" s="1"/>
      <c r="D1" s="1"/>
      <c r="E1" s="1"/>
      <c r="F1" s="1"/>
    </row>
    <row r="2" spans="1:6" ht="15.4" x14ac:dyDescent="0.45">
      <c r="A2" s="1" t="s">
        <v>187</v>
      </c>
      <c r="B2" s="1"/>
      <c r="C2" s="1">
        <v>77540</v>
      </c>
      <c r="D2" s="1"/>
      <c r="E2" s="1"/>
      <c r="F2" s="1"/>
    </row>
    <row r="3" spans="1:6" ht="15.4" x14ac:dyDescent="0.45">
      <c r="A3" s="1" t="s">
        <v>188</v>
      </c>
      <c r="B3" s="1"/>
      <c r="C3" s="50">
        <v>19018.560000000001</v>
      </c>
      <c r="D3" s="1"/>
      <c r="E3" s="1"/>
      <c r="F3" s="1"/>
    </row>
    <row r="4" spans="1:6" ht="15.4" x14ac:dyDescent="0.45">
      <c r="A4" s="1" t="s">
        <v>189</v>
      </c>
      <c r="B4" s="1"/>
      <c r="C4" s="19">
        <f>C2+C3</f>
        <v>96558.56</v>
      </c>
      <c r="D4" s="1"/>
      <c r="E4" s="1"/>
      <c r="F4" s="1"/>
    </row>
    <row r="5" spans="1:6" ht="15.4" x14ac:dyDescent="0.45">
      <c r="A5" s="1"/>
      <c r="B5" s="1"/>
      <c r="C5" s="1"/>
      <c r="D5" s="1"/>
      <c r="E5" s="1"/>
      <c r="F5" s="1"/>
    </row>
    <row r="6" spans="1:6" ht="15.4" x14ac:dyDescent="0.45">
      <c r="A6" s="1" t="s">
        <v>190</v>
      </c>
      <c r="B6" s="1"/>
      <c r="C6" s="19">
        <f>69031.22</f>
        <v>69031.22</v>
      </c>
      <c r="D6" s="1"/>
      <c r="E6" s="1"/>
      <c r="F6" s="1"/>
    </row>
    <row r="7" spans="1:6" ht="15.4" x14ac:dyDescent="0.45">
      <c r="A7" s="1"/>
      <c r="B7" s="1"/>
      <c r="C7" s="1"/>
      <c r="D7" s="1"/>
      <c r="E7" s="1"/>
      <c r="F7" s="1"/>
    </row>
    <row r="8" spans="1:6" ht="15.4" x14ac:dyDescent="0.45">
      <c r="A8" s="1" t="s">
        <v>191</v>
      </c>
      <c r="B8" s="1"/>
      <c r="C8" s="1"/>
      <c r="D8" s="1"/>
      <c r="E8" s="1"/>
      <c r="F8" s="1"/>
    </row>
    <row r="9" spans="1:6" ht="15.4" x14ac:dyDescent="0.45">
      <c r="A9" s="1" t="s">
        <v>192</v>
      </c>
      <c r="B9" s="1">
        <v>848.59</v>
      </c>
      <c r="C9" s="1"/>
      <c r="D9" s="1"/>
      <c r="E9" s="1"/>
      <c r="F9" s="1"/>
    </row>
    <row r="10" spans="1:6" ht="15.4" x14ac:dyDescent="0.45">
      <c r="A10" s="1" t="s">
        <v>193</v>
      </c>
      <c r="B10" s="1">
        <v>46.53</v>
      </c>
      <c r="C10" s="1"/>
      <c r="D10" s="1"/>
      <c r="E10" s="1"/>
      <c r="F10" s="1"/>
    </row>
    <row r="11" spans="1:6" ht="15.4" x14ac:dyDescent="0.45">
      <c r="A11" s="1" t="s">
        <v>194</v>
      </c>
      <c r="B11" s="19">
        <v>1204.2</v>
      </c>
      <c r="C11" s="1"/>
      <c r="D11" s="1"/>
      <c r="E11" s="1"/>
      <c r="F11" s="1"/>
    </row>
    <row r="12" spans="1:6" ht="15.4" x14ac:dyDescent="0.45">
      <c r="A12" s="1" t="s">
        <v>195</v>
      </c>
      <c r="B12" s="19">
        <v>109</v>
      </c>
      <c r="C12" s="1"/>
      <c r="D12" s="1"/>
      <c r="E12" s="1"/>
      <c r="F12" s="1"/>
    </row>
    <row r="13" spans="1:6" ht="15.4" x14ac:dyDescent="0.45">
      <c r="A13" s="1" t="s">
        <v>196</v>
      </c>
      <c r="B13" s="1">
        <v>10.5</v>
      </c>
      <c r="C13" s="1"/>
      <c r="D13" s="1"/>
      <c r="E13" s="1"/>
      <c r="F13" s="1"/>
    </row>
    <row r="14" spans="1:6" ht="15.4" x14ac:dyDescent="0.45">
      <c r="A14" s="1" t="s">
        <v>197</v>
      </c>
      <c r="B14" s="1"/>
      <c r="C14" s="19">
        <f>SUM(B9:B13)</f>
        <v>2218.8200000000002</v>
      </c>
      <c r="D14" s="1"/>
      <c r="E14" s="1"/>
      <c r="F14" s="1"/>
    </row>
    <row r="15" spans="1:6" ht="15.4" x14ac:dyDescent="0.45">
      <c r="A15" s="1"/>
      <c r="B15" s="1"/>
      <c r="C15" s="1"/>
      <c r="D15" s="1"/>
      <c r="E15" s="1"/>
      <c r="F15" s="1"/>
    </row>
    <row r="16" spans="1:6" ht="15.4" x14ac:dyDescent="0.45">
      <c r="A16" s="1" t="s">
        <v>198</v>
      </c>
      <c r="B16" s="1"/>
      <c r="C16" s="1"/>
      <c r="D16" s="1"/>
      <c r="E16" s="1"/>
      <c r="F16" s="1"/>
    </row>
    <row r="17" spans="1:6" ht="15.4" x14ac:dyDescent="0.45">
      <c r="A17" s="1" t="s">
        <v>199</v>
      </c>
      <c r="B17" s="19">
        <v>0</v>
      </c>
      <c r="C17" s="1"/>
      <c r="D17" s="1"/>
      <c r="E17" s="1"/>
      <c r="F17" s="1"/>
    </row>
    <row r="18" spans="1:6" ht="15.4" x14ac:dyDescent="0.45">
      <c r="A18" s="1" t="s">
        <v>200</v>
      </c>
      <c r="B18" s="1">
        <v>3682</v>
      </c>
      <c r="C18" s="1"/>
      <c r="D18" s="1"/>
      <c r="E18" s="1"/>
      <c r="F18" s="1"/>
    </row>
    <row r="19" spans="1:6" ht="15.4" x14ac:dyDescent="0.45">
      <c r="A19" s="1" t="s">
        <v>201</v>
      </c>
      <c r="B19" s="1">
        <v>5318.21</v>
      </c>
      <c r="C19" s="1"/>
      <c r="D19" s="1"/>
      <c r="E19" s="1"/>
      <c r="F19" s="1"/>
    </row>
    <row r="20" spans="1:6" ht="15.4" x14ac:dyDescent="0.45">
      <c r="A20" s="1" t="s">
        <v>202</v>
      </c>
      <c r="B20" s="19">
        <v>16308.31</v>
      </c>
      <c r="C20" s="1"/>
      <c r="D20" s="1"/>
      <c r="E20" s="1"/>
      <c r="F20" s="1"/>
    </row>
    <row r="21" spans="1:6" ht="15.4" x14ac:dyDescent="0.45">
      <c r="A21" s="1" t="s">
        <v>203</v>
      </c>
      <c r="B21" s="1"/>
      <c r="C21" s="50">
        <f>SUM(B17:B20)</f>
        <v>25308.519999999997</v>
      </c>
      <c r="D21" s="1"/>
      <c r="E21" s="1"/>
      <c r="F21" s="1"/>
    </row>
    <row r="22" spans="1:6" ht="15.4" x14ac:dyDescent="0.45">
      <c r="A22" s="1" t="s">
        <v>204</v>
      </c>
      <c r="B22" s="1"/>
      <c r="C22" s="19">
        <f>C6+C14+C21</f>
        <v>96558.56</v>
      </c>
      <c r="D22" s="1"/>
      <c r="E22" s="1"/>
      <c r="F22" s="1"/>
    </row>
    <row r="23" spans="1:6" ht="15.4" x14ac:dyDescent="0.45">
      <c r="A23" s="1"/>
      <c r="B23" s="1"/>
      <c r="C23" s="1"/>
      <c r="D23" s="1"/>
      <c r="E23" s="1"/>
      <c r="F23" s="1"/>
    </row>
    <row r="24" spans="1:6" ht="15.4" x14ac:dyDescent="0.45">
      <c r="A24" s="1"/>
      <c r="B24" s="1"/>
      <c r="C24" s="1"/>
      <c r="D24" s="1"/>
      <c r="E24" s="1"/>
      <c r="F24" s="1"/>
    </row>
    <row r="25" spans="1:6" ht="15.4" x14ac:dyDescent="0.45">
      <c r="A25" s="1"/>
      <c r="B25" s="1"/>
      <c r="C25" s="1"/>
      <c r="D25" s="222">
        <f>C21/C4</f>
        <v>0.2621054000805314</v>
      </c>
      <c r="E25" s="1" t="s">
        <v>205</v>
      </c>
      <c r="F25" s="1"/>
    </row>
    <row r="26" spans="1:6" ht="15.4" x14ac:dyDescent="0.45">
      <c r="A26" s="1"/>
      <c r="B26" s="1"/>
      <c r="C26" s="1"/>
      <c r="D26" s="222">
        <v>0.15</v>
      </c>
      <c r="E26" s="1" t="s">
        <v>206</v>
      </c>
      <c r="F26" s="1"/>
    </row>
    <row r="27" spans="1:6" ht="15.4" x14ac:dyDescent="0.45">
      <c r="A27" s="1"/>
      <c r="B27" s="1"/>
      <c r="C27" s="1"/>
      <c r="D27" s="222">
        <f>D25-D26</f>
        <v>0.11210540008053141</v>
      </c>
      <c r="E27" s="1" t="s">
        <v>207</v>
      </c>
      <c r="F27" s="1"/>
    </row>
    <row r="28" spans="1:6" ht="15.4" x14ac:dyDescent="0.45">
      <c r="A28" s="1"/>
      <c r="B28" s="1"/>
      <c r="C28" s="1"/>
      <c r="D28" s="1"/>
      <c r="E28" s="1"/>
      <c r="F28" s="1"/>
    </row>
    <row r="29" spans="1:6" ht="15.4" x14ac:dyDescent="0.45">
      <c r="A29" s="1" t="s">
        <v>208</v>
      </c>
      <c r="B29" s="1"/>
      <c r="C29" s="1"/>
      <c r="D29" s="1" t="s">
        <v>209</v>
      </c>
      <c r="E29" s="1"/>
      <c r="F29" s="1"/>
    </row>
    <row r="30" spans="1:6" ht="15.4" x14ac:dyDescent="0.45">
      <c r="A30" s="1" t="s">
        <v>27</v>
      </c>
      <c r="B30" s="224">
        <f>SAOw!D24</f>
        <v>32351</v>
      </c>
      <c r="C30" s="1"/>
      <c r="D30" s="224">
        <f>B30*$D$27</f>
        <v>3626.7217980052715</v>
      </c>
      <c r="E30" s="1"/>
      <c r="F30" s="1"/>
    </row>
    <row r="31" spans="1:6" ht="15.4" x14ac:dyDescent="0.45">
      <c r="A31" s="1" t="s">
        <v>29</v>
      </c>
      <c r="B31" s="224">
        <f>SAOw!D25</f>
        <v>37230</v>
      </c>
      <c r="C31" s="1"/>
      <c r="D31" s="224">
        <f t="shared" ref="D31:D32" si="0">B31*$D$27</f>
        <v>4173.6840449981846</v>
      </c>
      <c r="E31" s="1"/>
      <c r="F31" s="1"/>
    </row>
    <row r="32" spans="1:6" ht="15.4" x14ac:dyDescent="0.45">
      <c r="A32" s="1" t="s">
        <v>30</v>
      </c>
      <c r="B32" s="225">
        <f>SAOw!D26</f>
        <v>13258</v>
      </c>
      <c r="C32" s="1"/>
      <c r="D32" s="225">
        <f t="shared" si="0"/>
        <v>1486.2933942676855</v>
      </c>
      <c r="E32" s="1"/>
      <c r="F32" s="1"/>
    </row>
    <row r="33" spans="1:6" ht="15.4" x14ac:dyDescent="0.45">
      <c r="A33" s="1" t="s">
        <v>210</v>
      </c>
      <c r="B33" s="224">
        <f>SUM(B30:B32)</f>
        <v>82839</v>
      </c>
      <c r="C33" s="1"/>
      <c r="D33" s="224">
        <f>SUM(D30:D32)</f>
        <v>9286.6992372711429</v>
      </c>
      <c r="E33" s="1"/>
      <c r="F33" s="1"/>
    </row>
    <row r="34" spans="1:6" ht="15.4" x14ac:dyDescent="0.45">
      <c r="A34" s="1"/>
      <c r="B34" s="1"/>
      <c r="C34" s="1"/>
      <c r="D34" s="1"/>
      <c r="E34" s="1"/>
      <c r="F34" s="1"/>
    </row>
    <row r="35" spans="1:6" ht="15.4" x14ac:dyDescent="0.45">
      <c r="A35" s="1" t="s">
        <v>211</v>
      </c>
      <c r="B35" s="1"/>
      <c r="C35" s="1"/>
      <c r="D35" s="1"/>
      <c r="E35" s="1"/>
      <c r="F35" s="1"/>
    </row>
    <row r="36" spans="1:6" ht="15.4" x14ac:dyDescent="0.45">
      <c r="A36" s="1" t="s">
        <v>212</v>
      </c>
      <c r="B36" s="1"/>
      <c r="C36" s="1"/>
      <c r="D36" s="71">
        <f>D33</f>
        <v>9286.6992372711429</v>
      </c>
      <c r="E36" s="1"/>
      <c r="F36" s="1"/>
    </row>
    <row r="37" spans="1:6" ht="15.4" x14ac:dyDescent="0.45">
      <c r="A37" s="1" t="s">
        <v>213</v>
      </c>
      <c r="B37" s="1"/>
      <c r="C37" s="1"/>
      <c r="D37" s="50">
        <f>ExBAw!E9</f>
        <v>10297</v>
      </c>
      <c r="E37" s="1"/>
      <c r="F37" s="1"/>
    </row>
    <row r="38" spans="1:6" ht="15.4" x14ac:dyDescent="0.45">
      <c r="A38" s="1" t="s">
        <v>214</v>
      </c>
      <c r="B38" s="1"/>
      <c r="C38" s="1"/>
      <c r="D38" s="223">
        <f>D36/D37</f>
        <v>0.9018839698233605</v>
      </c>
      <c r="E38" s="1"/>
      <c r="F38" s="1"/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C47"/>
  <sheetViews>
    <sheetView showGridLines="0" topLeftCell="A11" workbookViewId="0">
      <selection activeCell="F44" sqref="F44"/>
    </sheetView>
  </sheetViews>
  <sheetFormatPr defaultColWidth="8.88671875" defaultRowHeight="14.25" x14ac:dyDescent="0.45"/>
  <cols>
    <col min="1" max="1" width="1.88671875" style="1" customWidth="1"/>
    <col min="2" max="2" width="1.77734375" style="1" customWidth="1"/>
    <col min="3" max="3" width="1.6640625" style="19" customWidth="1"/>
    <col min="4" max="4" width="29.33203125" style="19" customWidth="1"/>
    <col min="5" max="5" width="7.77734375" style="192" customWidth="1"/>
    <col min="6" max="6" width="10.109375" style="200" customWidth="1"/>
    <col min="7" max="7" width="7.33203125" style="126" bestFit="1" customWidth="1"/>
    <col min="8" max="8" width="8.77734375" style="211" customWidth="1"/>
    <col min="9" max="9" width="5.77734375" style="55" customWidth="1"/>
    <col min="10" max="10" width="8.77734375" style="19" customWidth="1"/>
    <col min="11" max="11" width="10" style="19" customWidth="1"/>
    <col min="12" max="12" width="1.77734375" style="19" customWidth="1"/>
    <col min="13" max="13" width="2.33203125" style="19" customWidth="1"/>
    <col min="14" max="256" width="9.6640625" style="19" customWidth="1"/>
    <col min="257" max="16384" width="8.88671875" style="1"/>
  </cols>
  <sheetData>
    <row r="1" spans="2:25" x14ac:dyDescent="0.45">
      <c r="N1" s="40"/>
    </row>
    <row r="2" spans="2:25" x14ac:dyDescent="0.45">
      <c r="B2" s="41"/>
      <c r="C2" s="42"/>
      <c r="D2" s="42"/>
      <c r="E2" s="195"/>
      <c r="F2" s="201"/>
      <c r="G2" s="198"/>
      <c r="H2" s="212"/>
      <c r="I2" s="56"/>
      <c r="J2" s="42"/>
      <c r="K2" s="42"/>
      <c r="L2" s="43"/>
    </row>
    <row r="3" spans="2:25" ht="18" x14ac:dyDescent="0.55000000000000004">
      <c r="B3" s="44"/>
      <c r="C3" s="292" t="s">
        <v>215</v>
      </c>
      <c r="D3" s="292"/>
      <c r="E3" s="292"/>
      <c r="F3" s="292"/>
      <c r="G3" s="292"/>
      <c r="H3" s="292"/>
      <c r="I3" s="292"/>
      <c r="J3" s="292"/>
      <c r="K3" s="292"/>
      <c r="L3" s="46"/>
    </row>
    <row r="4" spans="2:25" ht="18" x14ac:dyDescent="0.55000000000000004">
      <c r="B4" s="44"/>
      <c r="C4" s="291" t="s">
        <v>216</v>
      </c>
      <c r="D4" s="291"/>
      <c r="E4" s="291"/>
      <c r="F4" s="291"/>
      <c r="G4" s="291"/>
      <c r="H4" s="291"/>
      <c r="I4" s="291"/>
      <c r="J4" s="291"/>
      <c r="K4" s="291"/>
      <c r="L4" s="46"/>
    </row>
    <row r="5" spans="2:25" ht="15" customHeight="1" x14ac:dyDescent="0.45">
      <c r="B5" s="44"/>
      <c r="C5" s="286" t="s">
        <v>217</v>
      </c>
      <c r="D5" s="286"/>
      <c r="E5" s="286"/>
      <c r="F5" s="286"/>
      <c r="G5" s="286"/>
      <c r="H5" s="286"/>
      <c r="I5" s="286"/>
      <c r="J5" s="286"/>
      <c r="K5" s="286"/>
      <c r="L5" s="46"/>
      <c r="Q5" s="62"/>
      <c r="R5" s="62"/>
      <c r="S5" s="62"/>
      <c r="T5" s="62"/>
      <c r="U5" s="62"/>
      <c r="V5" s="62"/>
      <c r="W5" s="62"/>
      <c r="X5" s="62"/>
      <c r="Y5" s="62"/>
    </row>
    <row r="6" spans="2:25" ht="15" customHeight="1" x14ac:dyDescent="0.45">
      <c r="B6" s="44"/>
      <c r="C6" s="110"/>
      <c r="D6" s="110"/>
      <c r="E6" s="110"/>
      <c r="F6" s="202"/>
      <c r="G6" s="189"/>
      <c r="H6" s="213"/>
      <c r="I6" s="110"/>
      <c r="J6" s="110"/>
      <c r="K6" s="110"/>
      <c r="L6" s="46"/>
      <c r="Q6" s="62"/>
      <c r="R6" s="62"/>
      <c r="S6" s="62"/>
      <c r="T6" s="62"/>
      <c r="U6" s="62"/>
      <c r="V6" s="62"/>
      <c r="W6" s="62"/>
      <c r="X6" s="62"/>
      <c r="Y6" s="62"/>
    </row>
    <row r="7" spans="2:25" ht="15" customHeight="1" x14ac:dyDescent="0.45">
      <c r="B7" s="44"/>
      <c r="F7" s="203"/>
      <c r="G7" s="182"/>
      <c r="H7" s="214"/>
      <c r="I7" s="57"/>
      <c r="K7" s="47" t="s">
        <v>218</v>
      </c>
      <c r="L7" s="46"/>
    </row>
    <row r="8" spans="2:25" ht="15" customHeight="1" x14ac:dyDescent="0.45">
      <c r="B8" s="44"/>
      <c r="C8" s="48"/>
      <c r="D8" s="48"/>
      <c r="E8" s="48" t="s">
        <v>219</v>
      </c>
      <c r="F8" s="204" t="s">
        <v>220</v>
      </c>
      <c r="G8" s="125" t="s">
        <v>221</v>
      </c>
      <c r="H8" s="215"/>
      <c r="I8" s="58" t="s">
        <v>222</v>
      </c>
      <c r="J8" s="45"/>
      <c r="K8" s="47" t="s">
        <v>223</v>
      </c>
      <c r="L8" s="46"/>
      <c r="N8" s="47"/>
    </row>
    <row r="9" spans="2:25" ht="15" customHeight="1" x14ac:dyDescent="0.45">
      <c r="B9" s="44"/>
      <c r="C9" s="47"/>
      <c r="D9" s="47" t="s">
        <v>224</v>
      </c>
      <c r="E9" s="47" t="s">
        <v>225</v>
      </c>
      <c r="F9" s="205" t="s">
        <v>226</v>
      </c>
      <c r="G9" s="125" t="s">
        <v>227</v>
      </c>
      <c r="H9" s="216" t="s">
        <v>228</v>
      </c>
      <c r="I9" s="59" t="s">
        <v>227</v>
      </c>
      <c r="J9" s="47" t="s">
        <v>228</v>
      </c>
      <c r="K9" s="47" t="s">
        <v>209</v>
      </c>
      <c r="L9" s="46"/>
      <c r="N9" s="47"/>
    </row>
    <row r="10" spans="2:25" ht="15" customHeight="1" x14ac:dyDescent="0.45">
      <c r="B10" s="44"/>
      <c r="C10" s="47"/>
      <c r="D10" s="47"/>
      <c r="E10" s="47"/>
      <c r="F10" s="205"/>
      <c r="G10" s="125"/>
      <c r="H10" s="216"/>
      <c r="I10" s="59"/>
      <c r="J10" s="47"/>
      <c r="K10" s="47"/>
      <c r="L10" s="46"/>
      <c r="N10" s="47"/>
    </row>
    <row r="11" spans="2:25" ht="24.95" customHeight="1" x14ac:dyDescent="0.5">
      <c r="B11" s="41"/>
      <c r="C11" s="290" t="s">
        <v>229</v>
      </c>
      <c r="D11" s="290"/>
      <c r="E11" s="145"/>
      <c r="F11" s="206"/>
      <c r="G11" s="190"/>
      <c r="H11" s="217"/>
      <c r="I11" s="146"/>
      <c r="J11" s="145"/>
      <c r="K11" s="145"/>
      <c r="L11" s="43"/>
      <c r="N11" s="47"/>
    </row>
    <row r="12" spans="2:25" ht="15" customHeight="1" x14ac:dyDescent="0.45">
      <c r="B12" s="44"/>
      <c r="C12" s="38"/>
      <c r="E12" s="36"/>
      <c r="F12" s="207"/>
      <c r="G12" s="182"/>
      <c r="H12" s="218"/>
      <c r="I12" s="57"/>
      <c r="J12" s="37"/>
      <c r="K12" s="37"/>
      <c r="L12" s="46"/>
      <c r="N12" s="47"/>
    </row>
    <row r="13" spans="2:25" ht="15" customHeight="1" x14ac:dyDescent="0.45">
      <c r="B13" s="44"/>
      <c r="C13" s="35" t="s">
        <v>230</v>
      </c>
      <c r="E13" s="36"/>
      <c r="F13" s="207"/>
      <c r="G13" s="182"/>
      <c r="H13" s="218"/>
      <c r="I13" s="57"/>
      <c r="J13" s="4"/>
      <c r="K13" s="4"/>
      <c r="L13" s="46"/>
      <c r="N13" s="47"/>
    </row>
    <row r="14" spans="2:25" ht="15" customHeight="1" x14ac:dyDescent="0.45">
      <c r="B14" s="44"/>
      <c r="C14" s="47"/>
      <c r="D14" s="19" t="s">
        <v>231</v>
      </c>
      <c r="E14" s="192" t="s">
        <v>232</v>
      </c>
      <c r="F14" s="247">
        <v>392303</v>
      </c>
      <c r="G14" s="182" t="s">
        <v>233</v>
      </c>
      <c r="H14" s="247">
        <v>8793</v>
      </c>
      <c r="I14" s="193">
        <v>37.5</v>
      </c>
      <c r="J14" s="248">
        <f>F14/I14</f>
        <v>10461.413333333334</v>
      </c>
      <c r="K14" s="248">
        <f>J14-H14</f>
        <v>1668.4133333333339</v>
      </c>
      <c r="L14" s="46"/>
      <c r="N14" s="47"/>
    </row>
    <row r="15" spans="2:25" ht="15" customHeight="1" x14ac:dyDescent="0.45">
      <c r="B15" s="44"/>
      <c r="C15" s="35"/>
      <c r="E15" s="36"/>
      <c r="F15" s="207"/>
      <c r="G15" s="182"/>
      <c r="H15" s="218"/>
      <c r="I15" s="57"/>
      <c r="J15" s="5"/>
      <c r="K15" s="5"/>
      <c r="L15" s="46"/>
      <c r="N15" s="47"/>
    </row>
    <row r="16" spans="2:25" ht="15" customHeight="1" x14ac:dyDescent="0.45">
      <c r="B16" s="44"/>
      <c r="C16" s="35" t="s">
        <v>234</v>
      </c>
      <c r="E16" s="36"/>
      <c r="F16" s="207"/>
      <c r="G16" s="182"/>
      <c r="H16" s="218"/>
      <c r="I16" s="57"/>
      <c r="J16" s="5"/>
      <c r="K16" s="5"/>
      <c r="L16" s="46"/>
      <c r="N16" s="47"/>
    </row>
    <row r="17" spans="2:263" ht="15" customHeight="1" x14ac:dyDescent="0.45">
      <c r="B17" s="44"/>
      <c r="C17" s="35"/>
      <c r="D17" s="19" t="s">
        <v>235</v>
      </c>
      <c r="E17" s="36">
        <v>38537</v>
      </c>
      <c r="F17" s="207">
        <v>8585</v>
      </c>
      <c r="G17" s="182">
        <v>15</v>
      </c>
      <c r="H17" s="218">
        <v>2862</v>
      </c>
      <c r="I17" s="57">
        <v>12.5</v>
      </c>
      <c r="J17" s="5">
        <v>0</v>
      </c>
      <c r="K17" s="5">
        <f>J17-H17</f>
        <v>-2862</v>
      </c>
      <c r="L17" s="46"/>
      <c r="N17" s="47"/>
    </row>
    <row r="18" spans="2:263" ht="15" customHeight="1" x14ac:dyDescent="0.45">
      <c r="B18" s="44"/>
      <c r="C18" s="1"/>
      <c r="D18" s="1"/>
      <c r="E18" s="2"/>
      <c r="F18" s="208"/>
      <c r="G18" s="47"/>
      <c r="H18" s="218"/>
      <c r="I18" s="1"/>
      <c r="J18" s="35"/>
      <c r="K18" s="3"/>
      <c r="L18" s="234"/>
      <c r="M18" s="5"/>
      <c r="N18" s="182"/>
      <c r="O18" s="5"/>
      <c r="P18" s="57"/>
      <c r="Q18" s="5"/>
      <c r="R18" s="5"/>
      <c r="S18" s="46"/>
      <c r="U18" s="47"/>
      <c r="IW18" s="19"/>
      <c r="IX18" s="19"/>
      <c r="IY18" s="19"/>
      <c r="IZ18" s="19"/>
      <c r="JA18" s="19"/>
      <c r="JB18" s="19"/>
      <c r="JC18" s="19"/>
    </row>
    <row r="19" spans="2:263" ht="15" customHeight="1" x14ac:dyDescent="0.45">
      <c r="B19" s="44"/>
      <c r="C19" s="35" t="s">
        <v>236</v>
      </c>
      <c r="E19" s="36"/>
      <c r="F19" s="207"/>
      <c r="G19" s="182"/>
      <c r="H19" s="218"/>
      <c r="I19" s="57"/>
      <c r="J19" s="5"/>
      <c r="K19" s="5"/>
      <c r="L19" s="46"/>
      <c r="N19" s="47"/>
    </row>
    <row r="20" spans="2:263" ht="15" customHeight="1" x14ac:dyDescent="0.45">
      <c r="B20" s="44"/>
      <c r="C20" s="38"/>
      <c r="D20" s="19" t="s">
        <v>237</v>
      </c>
      <c r="E20" s="2">
        <v>2008</v>
      </c>
      <c r="F20" s="207">
        <v>17845</v>
      </c>
      <c r="G20" s="182">
        <v>20</v>
      </c>
      <c r="H20" s="218">
        <f>F20/G20</f>
        <v>892.25</v>
      </c>
      <c r="I20" s="57">
        <v>10</v>
      </c>
      <c r="J20" s="5">
        <f>F20/I20</f>
        <v>1784.5</v>
      </c>
      <c r="K20" s="5">
        <v>893</v>
      </c>
      <c r="L20" s="46"/>
      <c r="N20" s="47"/>
    </row>
    <row r="21" spans="2:263" ht="15" customHeight="1" x14ac:dyDescent="0.45">
      <c r="B21" s="44"/>
      <c r="C21" s="35"/>
      <c r="E21" s="124"/>
      <c r="F21" s="207"/>
      <c r="G21" s="182"/>
      <c r="H21" s="218"/>
      <c r="I21" s="57"/>
      <c r="J21" s="5"/>
      <c r="K21" s="5"/>
      <c r="L21" s="46"/>
      <c r="N21" s="47"/>
    </row>
    <row r="22" spans="2:263" ht="15" customHeight="1" x14ac:dyDescent="0.45">
      <c r="B22" s="44"/>
      <c r="C22" s="38" t="s">
        <v>238</v>
      </c>
      <c r="E22" s="124"/>
      <c r="F22" s="207"/>
      <c r="G22" s="182"/>
      <c r="H22" s="218"/>
      <c r="I22" s="57"/>
      <c r="J22" s="5"/>
      <c r="K22" s="5"/>
      <c r="L22" s="46"/>
      <c r="N22" s="47"/>
    </row>
    <row r="23" spans="2:263" ht="15" customHeight="1" x14ac:dyDescent="0.45">
      <c r="B23" s="44"/>
      <c r="C23" s="35"/>
      <c r="D23" s="19" t="s">
        <v>239</v>
      </c>
      <c r="E23" s="2">
        <v>1990</v>
      </c>
      <c r="F23" s="207">
        <v>42579</v>
      </c>
      <c r="G23" s="182">
        <v>45</v>
      </c>
      <c r="H23" s="218">
        <v>946</v>
      </c>
      <c r="I23" s="57">
        <v>45</v>
      </c>
      <c r="J23" s="192">
        <f t="shared" ref="J23:J25" si="0">F23/I23</f>
        <v>946.2</v>
      </c>
      <c r="K23" s="126">
        <v>0</v>
      </c>
      <c r="L23" s="46"/>
      <c r="N23" s="47"/>
    </row>
    <row r="24" spans="2:263" ht="15" customHeight="1" x14ac:dyDescent="0.45">
      <c r="B24" s="44"/>
      <c r="C24" s="35"/>
      <c r="D24" s="19" t="s">
        <v>240</v>
      </c>
      <c r="E24" s="36" t="s">
        <v>232</v>
      </c>
      <c r="F24" s="207">
        <v>136851</v>
      </c>
      <c r="G24" s="182">
        <v>45</v>
      </c>
      <c r="H24" s="218">
        <v>3041</v>
      </c>
      <c r="I24" s="57">
        <v>30</v>
      </c>
      <c r="J24" s="192">
        <f t="shared" si="0"/>
        <v>4561.7</v>
      </c>
      <c r="K24" s="126">
        <f t="shared" ref="K24:K25" si="1">J24-H24</f>
        <v>1520.6999999999998</v>
      </c>
      <c r="L24" s="46"/>
      <c r="N24" s="47"/>
    </row>
    <row r="25" spans="2:263" ht="15" customHeight="1" x14ac:dyDescent="0.45">
      <c r="B25" s="44"/>
      <c r="C25" s="35"/>
      <c r="D25" s="19" t="s">
        <v>241</v>
      </c>
      <c r="E25" s="2">
        <v>2016</v>
      </c>
      <c r="F25" s="207">
        <v>821721</v>
      </c>
      <c r="G25" s="182">
        <v>45</v>
      </c>
      <c r="H25" s="218">
        <v>18260</v>
      </c>
      <c r="I25" s="57">
        <v>35</v>
      </c>
      <c r="J25" s="192">
        <f t="shared" si="0"/>
        <v>23477.742857142857</v>
      </c>
      <c r="K25" s="126">
        <f t="shared" si="1"/>
        <v>5217.7428571428572</v>
      </c>
      <c r="L25" s="46"/>
      <c r="N25" s="47"/>
    </row>
    <row r="26" spans="2:263" ht="15" customHeight="1" x14ac:dyDescent="0.45">
      <c r="B26" s="44"/>
      <c r="C26" s="35"/>
      <c r="E26" s="124"/>
      <c r="F26" s="207"/>
      <c r="G26" s="182"/>
      <c r="H26" s="218"/>
      <c r="I26" s="57"/>
      <c r="J26" s="4"/>
      <c r="K26" s="5"/>
      <c r="L26" s="46"/>
      <c r="N26" s="47"/>
    </row>
    <row r="27" spans="2:263" ht="15" customHeight="1" x14ac:dyDescent="0.45">
      <c r="B27" s="44"/>
      <c r="C27" s="38" t="s">
        <v>242</v>
      </c>
      <c r="D27" s="38"/>
      <c r="F27" s="203"/>
      <c r="G27" s="182"/>
      <c r="H27" s="219"/>
      <c r="I27" s="61"/>
      <c r="J27" s="39"/>
      <c r="K27" s="246"/>
      <c r="L27" s="46"/>
    </row>
    <row r="28" spans="2:263" ht="15" customHeight="1" x14ac:dyDescent="0.45">
      <c r="B28" s="44"/>
      <c r="D28" s="19" t="s">
        <v>231</v>
      </c>
      <c r="E28" s="192" t="s">
        <v>232</v>
      </c>
      <c r="F28" s="203">
        <v>68902</v>
      </c>
      <c r="G28" s="182" t="s">
        <v>233</v>
      </c>
      <c r="H28" s="218">
        <v>2629</v>
      </c>
      <c r="I28" s="57">
        <v>20</v>
      </c>
      <c r="J28" s="192">
        <f>F28/I28</f>
        <v>3445.1</v>
      </c>
      <c r="K28" s="126">
        <f>J28-H28</f>
        <v>816.09999999999991</v>
      </c>
      <c r="L28" s="46"/>
    </row>
    <row r="29" spans="2:263" ht="15" customHeight="1" x14ac:dyDescent="0.5">
      <c r="B29" s="44"/>
      <c r="C29" s="197"/>
      <c r="D29" s="197"/>
      <c r="F29" s="203"/>
      <c r="G29" s="182"/>
      <c r="H29" s="219"/>
      <c r="I29" s="61"/>
      <c r="J29" s="39"/>
      <c r="K29" s="246"/>
      <c r="L29" s="46"/>
    </row>
    <row r="30" spans="2:263" ht="15" customHeight="1" x14ac:dyDescent="0.45">
      <c r="B30" s="44"/>
      <c r="C30" s="38" t="s">
        <v>243</v>
      </c>
      <c r="E30" s="36"/>
      <c r="F30" s="207"/>
      <c r="G30" s="182"/>
      <c r="H30" s="218"/>
      <c r="I30" s="57"/>
      <c r="J30" s="37"/>
      <c r="K30" s="3"/>
      <c r="L30" s="46"/>
    </row>
    <row r="31" spans="2:263" ht="15" customHeight="1" x14ac:dyDescent="0.45">
      <c r="B31" s="44"/>
      <c r="D31" s="19" t="s">
        <v>231</v>
      </c>
      <c r="E31" s="36" t="s">
        <v>232</v>
      </c>
      <c r="F31" s="207">
        <v>4225540</v>
      </c>
      <c r="G31" s="182">
        <v>65</v>
      </c>
      <c r="H31" s="218">
        <v>65008</v>
      </c>
      <c r="I31" s="57">
        <v>62.5</v>
      </c>
      <c r="J31" s="5">
        <f>F31/I31</f>
        <v>67608.639999999999</v>
      </c>
      <c r="K31" s="5">
        <f>J31-H31</f>
        <v>2600.6399999999994</v>
      </c>
      <c r="L31" s="46"/>
    </row>
    <row r="32" spans="2:263" ht="15" customHeight="1" x14ac:dyDescent="0.45">
      <c r="B32" s="44"/>
      <c r="C32" s="38"/>
      <c r="D32" s="38"/>
      <c r="F32" s="203"/>
      <c r="G32" s="182"/>
      <c r="H32" s="219"/>
      <c r="I32" s="61"/>
      <c r="J32" s="39"/>
      <c r="K32" s="39"/>
      <c r="L32" s="46"/>
    </row>
    <row r="33" spans="2:17" ht="15" customHeight="1" x14ac:dyDescent="0.45">
      <c r="B33" s="44"/>
      <c r="C33" s="38" t="s">
        <v>244</v>
      </c>
      <c r="D33" s="38"/>
      <c r="E33" s="194"/>
      <c r="F33" s="199"/>
      <c r="G33" s="191"/>
      <c r="H33" s="199">
        <f>SUM(H14:H31)</f>
        <v>102431.25</v>
      </c>
      <c r="I33" s="61"/>
      <c r="J33" s="199">
        <f>SUM(J14:J31)</f>
        <v>112285.29619047619</v>
      </c>
      <c r="K33" s="199">
        <v>9854</v>
      </c>
      <c r="L33" s="46"/>
    </row>
    <row r="34" spans="2:17" ht="15" customHeight="1" x14ac:dyDescent="0.45">
      <c r="B34" s="49"/>
      <c r="C34" s="50"/>
      <c r="D34" s="50"/>
      <c r="E34" s="196"/>
      <c r="F34" s="209"/>
      <c r="G34" s="180"/>
      <c r="H34" s="220"/>
      <c r="I34" s="60"/>
      <c r="J34" s="50"/>
      <c r="K34" s="51"/>
      <c r="L34" s="52"/>
      <c r="M34" s="53"/>
      <c r="Q34" s="158"/>
    </row>
    <row r="35" spans="2:17" ht="15" customHeight="1" x14ac:dyDescent="0.45">
      <c r="F35" s="207"/>
      <c r="G35" s="182"/>
      <c r="H35" s="218"/>
      <c r="I35" s="54"/>
    </row>
    <row r="36" spans="2:17" ht="15.75" x14ac:dyDescent="0.5">
      <c r="B36" s="41"/>
      <c r="C36" s="290" t="s">
        <v>245</v>
      </c>
      <c r="D36" s="290"/>
      <c r="E36" s="195"/>
      <c r="F36" s="210"/>
      <c r="G36" s="198"/>
      <c r="H36" s="221"/>
      <c r="I36" s="144"/>
      <c r="J36" s="143"/>
      <c r="K36" s="143"/>
      <c r="L36" s="43"/>
    </row>
    <row r="37" spans="2:17" x14ac:dyDescent="0.45">
      <c r="B37" s="44"/>
      <c r="D37" s="38"/>
      <c r="F37" s="203"/>
      <c r="G37" s="182"/>
      <c r="H37" s="219"/>
      <c r="I37" s="61"/>
      <c r="J37" s="192"/>
      <c r="K37" s="192"/>
      <c r="L37" s="46"/>
    </row>
    <row r="38" spans="2:17" x14ac:dyDescent="0.45">
      <c r="B38" s="44"/>
      <c r="C38" s="38" t="s">
        <v>246</v>
      </c>
      <c r="D38" s="38"/>
      <c r="F38" s="203"/>
      <c r="G38" s="182"/>
      <c r="H38" s="219"/>
      <c r="I38" s="61"/>
      <c r="J38" s="192"/>
      <c r="K38" s="192"/>
      <c r="L38" s="46"/>
    </row>
    <row r="39" spans="2:17" x14ac:dyDescent="0.45">
      <c r="B39" s="44"/>
      <c r="D39" s="19" t="s">
        <v>247</v>
      </c>
      <c r="E39" s="36" t="s">
        <v>232</v>
      </c>
      <c r="F39" s="207">
        <v>1151175</v>
      </c>
      <c r="G39" s="182" t="s">
        <v>248</v>
      </c>
      <c r="H39" s="218">
        <v>23034</v>
      </c>
      <c r="I39" s="57">
        <v>30</v>
      </c>
      <c r="J39" s="192">
        <f t="shared" ref="J39" si="2">F39/I39</f>
        <v>38372.5</v>
      </c>
      <c r="K39" s="192">
        <f t="shared" ref="K39" si="3">J39-H39</f>
        <v>15338.5</v>
      </c>
      <c r="L39" s="46"/>
    </row>
    <row r="40" spans="2:17" x14ac:dyDescent="0.45">
      <c r="B40" s="44"/>
      <c r="E40" s="36"/>
      <c r="F40" s="207"/>
      <c r="G40" s="182"/>
      <c r="H40" s="218"/>
      <c r="I40" s="57"/>
      <c r="J40" s="192"/>
      <c r="K40" s="192"/>
      <c r="L40" s="46"/>
    </row>
    <row r="41" spans="2:17" x14ac:dyDescent="0.45">
      <c r="B41" s="44"/>
      <c r="C41" s="38" t="s">
        <v>249</v>
      </c>
      <c r="D41" s="1"/>
      <c r="E41" s="36"/>
      <c r="F41" s="207"/>
      <c r="G41" s="182"/>
      <c r="H41" s="218"/>
      <c r="I41" s="57"/>
      <c r="J41" s="192"/>
      <c r="K41" s="192"/>
      <c r="L41" s="46"/>
    </row>
    <row r="42" spans="2:17" x14ac:dyDescent="0.45">
      <c r="B42" s="44"/>
      <c r="D42" s="19" t="s">
        <v>231</v>
      </c>
      <c r="E42" s="2">
        <v>2011</v>
      </c>
      <c r="F42" s="207">
        <v>4100000</v>
      </c>
      <c r="G42" s="182">
        <v>75</v>
      </c>
      <c r="H42" s="218">
        <v>54667</v>
      </c>
      <c r="I42" s="57">
        <v>75</v>
      </c>
      <c r="J42" s="192">
        <f>F42/I42</f>
        <v>54666.666666666664</v>
      </c>
      <c r="K42" s="192">
        <f>J42-H42</f>
        <v>-0.33333333333575865</v>
      </c>
      <c r="L42" s="46"/>
    </row>
    <row r="43" spans="2:17" x14ac:dyDescent="0.45">
      <c r="B43" s="44"/>
      <c r="D43" s="38"/>
      <c r="F43" s="203"/>
      <c r="G43" s="182"/>
      <c r="H43" s="219"/>
      <c r="I43" s="61"/>
      <c r="J43" s="39"/>
      <c r="K43" s="39"/>
      <c r="L43" s="46"/>
    </row>
    <row r="44" spans="2:17" x14ac:dyDescent="0.45">
      <c r="B44" s="44"/>
      <c r="D44" s="38" t="s">
        <v>250</v>
      </c>
      <c r="F44" s="219"/>
      <c r="G44" s="182"/>
      <c r="H44" s="219">
        <f>SUM(H37:H42)</f>
        <v>77701</v>
      </c>
      <c r="I44" s="61"/>
      <c r="J44" s="219">
        <v>93040</v>
      </c>
      <c r="K44" s="219">
        <v>15339</v>
      </c>
      <c r="L44" s="46"/>
    </row>
    <row r="45" spans="2:17" x14ac:dyDescent="0.45">
      <c r="B45" s="49"/>
      <c r="C45" s="50"/>
      <c r="D45" s="50"/>
      <c r="E45" s="196"/>
      <c r="F45" s="209"/>
      <c r="G45" s="180"/>
      <c r="H45" s="220"/>
      <c r="I45" s="60"/>
      <c r="J45" s="50"/>
      <c r="K45" s="51"/>
      <c r="L45" s="52"/>
    </row>
    <row r="47" spans="2:17" x14ac:dyDescent="0.45">
      <c r="D47" s="19" t="s">
        <v>251</v>
      </c>
    </row>
  </sheetData>
  <mergeCells count="5">
    <mergeCell ref="C36:D36"/>
    <mergeCell ref="C5:K5"/>
    <mergeCell ref="C4:K4"/>
    <mergeCell ref="C3:K3"/>
    <mergeCell ref="C11:D11"/>
  </mergeCells>
  <printOptions horizontalCentered="1"/>
  <pageMargins left="0.75" right="0.55000000000000004" top="0.75" bottom="0.25" header="0" footer="0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showGridLines="0" workbookViewId="0">
      <selection activeCell="L29" sqref="L29"/>
    </sheetView>
  </sheetViews>
  <sheetFormatPr defaultColWidth="8.88671875" defaultRowHeight="14.25" x14ac:dyDescent="0.45"/>
  <cols>
    <col min="1" max="1" width="1.6640625" style="13" customWidth="1"/>
    <col min="2" max="2" width="16.33203125" style="184" bestFit="1" customWidth="1"/>
    <col min="3" max="7" width="7.77734375" style="13" bestFit="1" customWidth="1"/>
    <col min="8" max="8" width="7.77734375" style="13" customWidth="1"/>
    <col min="9" max="12" width="7.77734375" style="13" bestFit="1" customWidth="1"/>
    <col min="13" max="13" width="10" style="13" customWidth="1"/>
    <col min="14" max="14" width="0.77734375" style="13" customWidth="1"/>
    <col min="15" max="15" width="2.21875" style="13" customWidth="1"/>
    <col min="16" max="16384" width="8.88671875" style="13"/>
  </cols>
  <sheetData>
    <row r="1" spans="1:19" ht="15.4" x14ac:dyDescent="0.45">
      <c r="A1"/>
    </row>
    <row r="2" spans="1:19" ht="15.4" x14ac:dyDescent="0.45">
      <c r="A2"/>
      <c r="B2" s="10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9" ht="18" x14ac:dyDescent="0.55000000000000004">
      <c r="A3"/>
      <c r="B3" s="293" t="s">
        <v>252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82"/>
    </row>
    <row r="4" spans="1:19" ht="18" x14ac:dyDescent="0.55000000000000004">
      <c r="A4"/>
      <c r="B4" s="295" t="s">
        <v>253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82"/>
    </row>
    <row r="5" spans="1:19" ht="15.75" x14ac:dyDescent="0.45">
      <c r="A5"/>
      <c r="B5" s="296" t="s">
        <v>254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82"/>
    </row>
    <row r="6" spans="1:19" ht="15.75" x14ac:dyDescent="0.5">
      <c r="A6"/>
      <c r="B6" s="297" t="s">
        <v>255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82"/>
    </row>
    <row r="7" spans="1:19" ht="15.4" x14ac:dyDescent="0.45">
      <c r="A7"/>
      <c r="B7" s="185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82"/>
    </row>
    <row r="8" spans="1:19" ht="15.4" x14ac:dyDescent="0.45">
      <c r="A8"/>
      <c r="B8" s="131"/>
      <c r="C8" s="101"/>
      <c r="D8" s="115"/>
      <c r="E8" s="101"/>
      <c r="F8" s="116"/>
      <c r="G8" s="101"/>
      <c r="H8" s="116"/>
      <c r="I8" s="101"/>
      <c r="J8" s="116"/>
      <c r="K8" s="101"/>
      <c r="L8" s="116"/>
      <c r="M8" s="115"/>
      <c r="N8" s="80"/>
    </row>
    <row r="9" spans="1:19" ht="15.75" customHeight="1" x14ac:dyDescent="0.45">
      <c r="A9"/>
      <c r="B9" s="135"/>
      <c r="C9" s="117" t="s">
        <v>256</v>
      </c>
      <c r="D9" s="99"/>
      <c r="E9" s="117" t="s">
        <v>257</v>
      </c>
      <c r="F9" s="132"/>
      <c r="G9" s="117" t="s">
        <v>258</v>
      </c>
      <c r="H9" s="132"/>
      <c r="I9" s="117" t="s">
        <v>259</v>
      </c>
      <c r="J9" s="132"/>
      <c r="K9" s="117" t="s">
        <v>260</v>
      </c>
      <c r="L9" s="132"/>
      <c r="N9" s="82"/>
    </row>
    <row r="10" spans="1:19" ht="16.5" x14ac:dyDescent="0.45">
      <c r="A10"/>
      <c r="B10" s="135"/>
      <c r="C10" s="102" t="s">
        <v>261</v>
      </c>
      <c r="D10" s="133" t="s">
        <v>262</v>
      </c>
      <c r="E10" s="102" t="s">
        <v>261</v>
      </c>
      <c r="F10" s="134" t="s">
        <v>262</v>
      </c>
      <c r="G10" s="102" t="s">
        <v>261</v>
      </c>
      <c r="H10" s="134" t="s">
        <v>262</v>
      </c>
      <c r="I10" s="102" t="s">
        <v>261</v>
      </c>
      <c r="J10" s="134" t="s">
        <v>262</v>
      </c>
      <c r="K10" s="102" t="s">
        <v>261</v>
      </c>
      <c r="L10" s="134" t="s">
        <v>262</v>
      </c>
      <c r="M10" s="118" t="s">
        <v>263</v>
      </c>
      <c r="N10" s="82"/>
    </row>
    <row r="11" spans="1:19" ht="17.649999999999999" x14ac:dyDescent="0.75">
      <c r="A11"/>
      <c r="B11" s="186" t="s">
        <v>2</v>
      </c>
      <c r="C11" s="102"/>
      <c r="D11" s="133"/>
      <c r="E11" s="102"/>
      <c r="F11" s="134"/>
      <c r="G11" s="102"/>
      <c r="H11" s="134"/>
      <c r="I11" s="102"/>
      <c r="J11" s="134"/>
      <c r="K11" s="102"/>
      <c r="L11" s="134"/>
      <c r="M11" s="118"/>
      <c r="N11" s="82"/>
    </row>
    <row r="12" spans="1:19" ht="15.4" x14ac:dyDescent="0.45">
      <c r="A12"/>
      <c r="B12" s="135" t="s">
        <v>264</v>
      </c>
      <c r="C12" s="103">
        <v>14000</v>
      </c>
      <c r="D12" s="136">
        <v>4718</v>
      </c>
      <c r="E12" s="103">
        <v>15000</v>
      </c>
      <c r="F12" s="137">
        <v>3793</v>
      </c>
      <c r="G12" s="103">
        <v>16000</v>
      </c>
      <c r="H12" s="137">
        <v>2805</v>
      </c>
      <c r="I12" s="103">
        <v>17000</v>
      </c>
      <c r="J12" s="137">
        <v>1753</v>
      </c>
      <c r="K12" s="103">
        <v>19000</v>
      </c>
      <c r="L12" s="137">
        <v>606</v>
      </c>
      <c r="M12" s="119">
        <f t="shared" ref="M12:M16" si="0">SUM(C12:L12)</f>
        <v>94675</v>
      </c>
      <c r="N12" s="82"/>
      <c r="R12" s="13" t="s">
        <v>265</v>
      </c>
      <c r="S12" s="161"/>
    </row>
    <row r="13" spans="1:19" ht="15.4" x14ac:dyDescent="0.45">
      <c r="A13"/>
      <c r="B13" s="135" t="s">
        <v>266</v>
      </c>
      <c r="C13" s="104">
        <v>2500</v>
      </c>
      <c r="D13" s="105">
        <v>755</v>
      </c>
      <c r="E13" s="104">
        <v>2600</v>
      </c>
      <c r="F13" s="138">
        <v>605</v>
      </c>
      <c r="G13" s="104">
        <v>2800</v>
      </c>
      <c r="H13" s="138">
        <v>447</v>
      </c>
      <c r="I13" s="104">
        <v>3000</v>
      </c>
      <c r="J13" s="138">
        <v>276</v>
      </c>
      <c r="K13" s="104">
        <v>3200</v>
      </c>
      <c r="L13" s="138">
        <v>94</v>
      </c>
      <c r="M13" s="139">
        <f t="shared" si="0"/>
        <v>16277</v>
      </c>
      <c r="N13" s="82"/>
      <c r="R13" s="13" t="s">
        <v>267</v>
      </c>
      <c r="S13" s="161"/>
    </row>
    <row r="14" spans="1:19" ht="15.4" x14ac:dyDescent="0.45">
      <c r="A14"/>
      <c r="B14" s="135" t="s">
        <v>268</v>
      </c>
      <c r="C14" s="104">
        <v>8500</v>
      </c>
      <c r="D14" s="105">
        <v>7369</v>
      </c>
      <c r="E14" s="104">
        <v>9500</v>
      </c>
      <c r="F14" s="138">
        <v>6964</v>
      </c>
      <c r="G14" s="104">
        <v>9500</v>
      </c>
      <c r="H14" s="138">
        <v>6536</v>
      </c>
      <c r="I14" s="104">
        <v>10000</v>
      </c>
      <c r="J14" s="138">
        <v>6098</v>
      </c>
      <c r="K14" s="104">
        <v>10500</v>
      </c>
      <c r="L14" s="138">
        <v>5636</v>
      </c>
      <c r="M14" s="139">
        <f t="shared" si="0"/>
        <v>80603</v>
      </c>
      <c r="N14" s="82"/>
      <c r="S14" s="161"/>
    </row>
    <row r="15" spans="1:19" ht="15.4" x14ac:dyDescent="0.45">
      <c r="A15"/>
      <c r="B15" s="135" t="s">
        <v>269</v>
      </c>
      <c r="C15" s="104">
        <v>8000</v>
      </c>
      <c r="D15" s="105">
        <v>11293</v>
      </c>
      <c r="E15" s="104">
        <v>9000</v>
      </c>
      <c r="F15" s="138">
        <v>10913</v>
      </c>
      <c r="G15" s="104">
        <v>9000</v>
      </c>
      <c r="H15" s="138">
        <v>10508</v>
      </c>
      <c r="I15" s="104">
        <v>9000</v>
      </c>
      <c r="J15" s="138">
        <v>10102</v>
      </c>
      <c r="K15" s="104">
        <v>10000</v>
      </c>
      <c r="L15" s="138">
        <v>9675</v>
      </c>
      <c r="M15" s="139">
        <f t="shared" si="0"/>
        <v>97491</v>
      </c>
      <c r="N15" s="82"/>
      <c r="S15" s="161"/>
    </row>
    <row r="16" spans="1:19" ht="15.4" x14ac:dyDescent="0.45">
      <c r="A16"/>
      <c r="B16" s="135" t="s">
        <v>270</v>
      </c>
      <c r="C16" s="104">
        <v>29990</v>
      </c>
      <c r="D16" s="105">
        <v>4335</v>
      </c>
      <c r="E16" s="104">
        <v>30215</v>
      </c>
      <c r="F16" s="105">
        <v>4035</v>
      </c>
      <c r="G16" s="104">
        <v>30442</v>
      </c>
      <c r="H16" s="105">
        <v>3732</v>
      </c>
      <c r="I16" s="104">
        <v>30671</v>
      </c>
      <c r="J16" s="105">
        <v>3427</v>
      </c>
      <c r="K16" s="104">
        <v>31001</v>
      </c>
      <c r="L16" s="138">
        <v>3120</v>
      </c>
      <c r="M16" s="139">
        <f t="shared" si="0"/>
        <v>170968</v>
      </c>
      <c r="N16" s="82"/>
      <c r="S16" s="161"/>
    </row>
    <row r="17" spans="1:19" ht="15.4" x14ac:dyDescent="0.45">
      <c r="A17"/>
      <c r="B17" s="185"/>
      <c r="C17" s="245"/>
      <c r="D17" s="105"/>
      <c r="E17" s="245"/>
      <c r="F17" s="105"/>
      <c r="G17" s="245"/>
      <c r="H17" s="105"/>
      <c r="I17" s="245"/>
      <c r="J17" s="105"/>
      <c r="K17" s="245"/>
      <c r="L17" s="245"/>
      <c r="M17" s="139"/>
      <c r="N17" s="82"/>
      <c r="S17" s="161"/>
    </row>
    <row r="18" spans="1:19" ht="15.4" x14ac:dyDescent="0.45">
      <c r="A18"/>
      <c r="B18" s="187" t="s">
        <v>271</v>
      </c>
      <c r="C18" s="142">
        <f t="shared" ref="C18:M18" si="1">SUM(C12:C16)</f>
        <v>62990</v>
      </c>
      <c r="D18" s="142">
        <f t="shared" si="1"/>
        <v>28470</v>
      </c>
      <c r="E18" s="142">
        <f t="shared" si="1"/>
        <v>66315</v>
      </c>
      <c r="F18" s="142">
        <f t="shared" si="1"/>
        <v>26310</v>
      </c>
      <c r="G18" s="142">
        <f t="shared" si="1"/>
        <v>67742</v>
      </c>
      <c r="H18" s="142">
        <f t="shared" si="1"/>
        <v>24028</v>
      </c>
      <c r="I18" s="142">
        <f t="shared" si="1"/>
        <v>69671</v>
      </c>
      <c r="J18" s="142">
        <f t="shared" si="1"/>
        <v>21656</v>
      </c>
      <c r="K18" s="142">
        <f t="shared" si="1"/>
        <v>73701</v>
      </c>
      <c r="L18" s="142">
        <f t="shared" si="1"/>
        <v>19131</v>
      </c>
      <c r="M18" s="142">
        <f t="shared" si="1"/>
        <v>460014</v>
      </c>
      <c r="N18" s="84"/>
      <c r="P18" s="13">
        <f>SUM(C18:L18)</f>
        <v>460014</v>
      </c>
    </row>
    <row r="19" spans="1:19" ht="15.4" x14ac:dyDescent="0.45">
      <c r="A19"/>
      <c r="B19" s="188"/>
      <c r="C19" s="106"/>
      <c r="D19" s="106"/>
      <c r="E19" s="106"/>
      <c r="F19" s="106"/>
      <c r="G19" s="106"/>
      <c r="H19" s="106"/>
      <c r="I19" s="106"/>
      <c r="J19" s="86"/>
      <c r="K19" s="86"/>
      <c r="L19" s="86"/>
      <c r="M19" s="106"/>
      <c r="N19" s="82"/>
    </row>
    <row r="20" spans="1:19" ht="15.4" x14ac:dyDescent="0.45">
      <c r="A20"/>
      <c r="B20" s="188"/>
      <c r="C20" s="108"/>
      <c r="D20" s="107"/>
      <c r="E20" s="108"/>
      <c r="F20" s="108"/>
      <c r="G20" s="108"/>
      <c r="H20" s="107" t="s">
        <v>272</v>
      </c>
      <c r="K20" s="83"/>
      <c r="L20" s="140"/>
      <c r="M20" s="108">
        <f>M18/5</f>
        <v>92002.8</v>
      </c>
      <c r="N20" s="82"/>
    </row>
    <row r="21" spans="1:19" ht="15.4" x14ac:dyDescent="0.45">
      <c r="A21"/>
      <c r="B21" s="188"/>
      <c r="C21" s="107"/>
      <c r="D21" s="107"/>
      <c r="E21" s="107"/>
      <c r="F21" s="107"/>
      <c r="G21" s="107"/>
      <c r="H21" s="107" t="s">
        <v>273</v>
      </c>
      <c r="K21" s="83"/>
      <c r="L21" s="107"/>
      <c r="M21" s="108">
        <f>M20*0.2</f>
        <v>18400.560000000001</v>
      </c>
      <c r="N21" s="82"/>
      <c r="P21" s="13">
        <f>M21+M20</f>
        <v>110403.36</v>
      </c>
    </row>
    <row r="22" spans="1:19" ht="15.4" x14ac:dyDescent="0.45">
      <c r="A22"/>
      <c r="B22" s="188"/>
      <c r="C22" s="83"/>
      <c r="D22" s="83"/>
      <c r="E22" s="83"/>
      <c r="F22" s="83"/>
      <c r="G22" s="83"/>
      <c r="H22" s="83"/>
      <c r="I22" s="74"/>
      <c r="J22" s="74"/>
      <c r="K22" s="83"/>
      <c r="L22" s="83"/>
      <c r="M22" s="140"/>
      <c r="N22" s="82"/>
    </row>
    <row r="23" spans="1:19" ht="15.4" x14ac:dyDescent="0.45">
      <c r="A23"/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2"/>
    </row>
    <row r="24" spans="1:19" ht="15.4" customHeight="1" x14ac:dyDescent="0.45">
      <c r="A24"/>
      <c r="B24" s="131"/>
      <c r="C24" s="101"/>
      <c r="D24" s="115"/>
      <c r="E24" s="101"/>
      <c r="F24" s="116"/>
      <c r="G24" s="101"/>
      <c r="H24" s="116"/>
      <c r="I24" s="101"/>
      <c r="J24" s="116"/>
      <c r="K24" s="101"/>
      <c r="L24" s="116"/>
      <c r="M24" s="115"/>
      <c r="N24" s="80"/>
    </row>
    <row r="25" spans="1:19" ht="15.4" customHeight="1" x14ac:dyDescent="0.45">
      <c r="A25"/>
      <c r="B25" s="135"/>
      <c r="C25" s="117" t="s">
        <v>256</v>
      </c>
      <c r="D25" s="99"/>
      <c r="E25" s="117" t="s">
        <v>257</v>
      </c>
      <c r="F25" s="132"/>
      <c r="G25" s="117" t="s">
        <v>258</v>
      </c>
      <c r="H25" s="132"/>
      <c r="I25" s="117" t="s">
        <v>259</v>
      </c>
      <c r="J25" s="132"/>
      <c r="K25" s="117" t="s">
        <v>260</v>
      </c>
      <c r="L25" s="132"/>
      <c r="N25" s="82"/>
    </row>
    <row r="26" spans="1:19" ht="15.4" customHeight="1" x14ac:dyDescent="0.45">
      <c r="A26"/>
      <c r="B26" s="135"/>
      <c r="C26" s="102" t="s">
        <v>261</v>
      </c>
      <c r="D26" s="133" t="s">
        <v>262</v>
      </c>
      <c r="E26" s="102" t="s">
        <v>261</v>
      </c>
      <c r="F26" s="134" t="s">
        <v>262</v>
      </c>
      <c r="G26" s="102" t="s">
        <v>261</v>
      </c>
      <c r="H26" s="134" t="s">
        <v>262</v>
      </c>
      <c r="I26" s="102" t="s">
        <v>261</v>
      </c>
      <c r="J26" s="134" t="s">
        <v>262</v>
      </c>
      <c r="K26" s="102" t="s">
        <v>261</v>
      </c>
      <c r="L26" s="134" t="s">
        <v>262</v>
      </c>
      <c r="M26" s="118" t="s">
        <v>263</v>
      </c>
      <c r="N26" s="82"/>
    </row>
    <row r="27" spans="1:19" ht="16.5" x14ac:dyDescent="0.75">
      <c r="B27" s="186" t="s">
        <v>59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</row>
    <row r="28" spans="1:19" x14ac:dyDescent="0.45">
      <c r="B28" s="135" t="s">
        <v>274</v>
      </c>
      <c r="C28" s="81">
        <v>16500</v>
      </c>
      <c r="D28" s="74">
        <v>14237</v>
      </c>
      <c r="E28" s="81">
        <v>17000</v>
      </c>
      <c r="F28" s="74">
        <v>13860</v>
      </c>
      <c r="G28" s="81">
        <v>17500</v>
      </c>
      <c r="H28" s="74">
        <v>13472</v>
      </c>
      <c r="I28" s="81">
        <v>18000</v>
      </c>
      <c r="J28" s="74">
        <v>13073</v>
      </c>
      <c r="K28" s="81">
        <v>18500</v>
      </c>
      <c r="L28" s="82">
        <v>12662</v>
      </c>
      <c r="M28" s="139">
        <f t="shared" ref="M28" si="2">SUM(C28:L28)</f>
        <v>154804</v>
      </c>
      <c r="N28" s="82"/>
      <c r="R28" s="13" t="s">
        <v>275</v>
      </c>
    </row>
    <row r="29" spans="1:19" x14ac:dyDescent="0.45">
      <c r="B29" s="135"/>
      <c r="C29" s="81"/>
      <c r="D29" s="74"/>
      <c r="E29" s="81"/>
      <c r="F29" s="74"/>
      <c r="G29" s="81"/>
      <c r="H29" s="74"/>
      <c r="I29" s="81"/>
      <c r="J29" s="74"/>
      <c r="K29" s="81"/>
      <c r="L29" s="74"/>
      <c r="M29" s="139"/>
      <c r="N29" s="82"/>
    </row>
    <row r="30" spans="1:19" x14ac:dyDescent="0.45">
      <c r="B30" s="141" t="s">
        <v>271</v>
      </c>
      <c r="C30" s="104">
        <f>C28</f>
        <v>16500</v>
      </c>
      <c r="D30" s="104">
        <f t="shared" ref="D30:M30" si="3">D28</f>
        <v>14237</v>
      </c>
      <c r="E30" s="104">
        <f t="shared" si="3"/>
        <v>17000</v>
      </c>
      <c r="F30" s="104">
        <f t="shared" si="3"/>
        <v>13860</v>
      </c>
      <c r="G30" s="104">
        <f t="shared" si="3"/>
        <v>17500</v>
      </c>
      <c r="H30" s="104">
        <f t="shared" si="3"/>
        <v>13472</v>
      </c>
      <c r="I30" s="104">
        <f t="shared" si="3"/>
        <v>18000</v>
      </c>
      <c r="J30" s="104">
        <f t="shared" si="3"/>
        <v>13073</v>
      </c>
      <c r="K30" s="104">
        <f t="shared" si="3"/>
        <v>18500</v>
      </c>
      <c r="L30" s="104">
        <f t="shared" si="3"/>
        <v>12662</v>
      </c>
      <c r="M30" s="104">
        <f t="shared" si="3"/>
        <v>154804</v>
      </c>
      <c r="N30" s="84"/>
      <c r="P30" s="13">
        <f>SUM(C30:L30)</f>
        <v>154804</v>
      </c>
    </row>
    <row r="31" spans="1:19" x14ac:dyDescent="0.45">
      <c r="B31" s="10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</row>
    <row r="32" spans="1:19" x14ac:dyDescent="0.45">
      <c r="B32" s="185"/>
      <c r="C32" s="74"/>
      <c r="D32" s="74"/>
      <c r="E32" s="74"/>
      <c r="F32" s="74"/>
      <c r="G32" s="74"/>
      <c r="H32" s="83" t="s">
        <v>276</v>
      </c>
      <c r="J32" s="74"/>
      <c r="K32" s="83"/>
      <c r="L32" s="140"/>
      <c r="M32" s="140">
        <f>M30/5</f>
        <v>30960.799999999999</v>
      </c>
      <c r="N32" s="82"/>
    </row>
    <row r="33" spans="2:14" x14ac:dyDescent="0.45">
      <c r="B33" s="185"/>
      <c r="C33" s="74"/>
      <c r="D33" s="74"/>
      <c r="E33" s="74"/>
      <c r="F33" s="74"/>
      <c r="G33" s="74"/>
      <c r="H33" s="107" t="s">
        <v>273</v>
      </c>
      <c r="J33" s="74"/>
      <c r="K33" s="83"/>
      <c r="L33" s="83"/>
      <c r="M33" s="140">
        <f>M32*0.2</f>
        <v>6192.16</v>
      </c>
      <c r="N33" s="82"/>
    </row>
    <row r="34" spans="2:14" x14ac:dyDescent="0.45">
      <c r="B34" s="18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84"/>
    </row>
  </sheetData>
  <mergeCells count="4">
    <mergeCell ref="B3:M3"/>
    <mergeCell ref="B4:M4"/>
    <mergeCell ref="B5:M5"/>
    <mergeCell ref="B6:M6"/>
  </mergeCells>
  <printOptions horizontalCentered="1"/>
  <pageMargins left="0.6" right="0.5" top="1.5" bottom="0.75" header="0.3" footer="0.3"/>
  <pageSetup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17"/>
  <sheetViews>
    <sheetView zoomScaleNormal="100" workbookViewId="0">
      <selection activeCell="G15" sqref="G15"/>
    </sheetView>
  </sheetViews>
  <sheetFormatPr defaultColWidth="8.88671875" defaultRowHeight="14.25" x14ac:dyDescent="0.45"/>
  <cols>
    <col min="1" max="1" width="8.44140625" style="1" customWidth="1"/>
    <col min="2" max="2" width="8.6640625" style="1" customWidth="1"/>
    <col min="3" max="3" width="8" style="1" customWidth="1"/>
    <col min="4" max="4" width="11.5546875" style="3" customWidth="1"/>
    <col min="5" max="5" width="9.77734375" style="1" customWidth="1"/>
    <col min="6" max="6" width="10.33203125" style="1" customWidth="1"/>
    <col min="7" max="7" width="9.5546875" style="1" bestFit="1" customWidth="1"/>
    <col min="8" max="9" width="9.77734375" style="1" customWidth="1"/>
    <col min="10" max="11" width="9.88671875" style="1" bestFit="1" customWidth="1"/>
    <col min="12" max="12" width="10.5546875" style="3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" x14ac:dyDescent="0.55000000000000004">
      <c r="A1" s="70" t="s">
        <v>277</v>
      </c>
      <c r="B1" s="6"/>
      <c r="C1" s="6"/>
      <c r="D1" s="179"/>
      <c r="E1" s="6"/>
      <c r="F1" s="6"/>
      <c r="G1" s="6"/>
      <c r="H1" s="6"/>
      <c r="I1" s="6"/>
    </row>
    <row r="2" spans="1:17" ht="18" x14ac:dyDescent="0.45">
      <c r="A2" s="286" t="s">
        <v>278</v>
      </c>
      <c r="B2" s="286"/>
      <c r="C2" s="286"/>
      <c r="D2" s="286"/>
      <c r="E2" s="286"/>
      <c r="F2" s="286"/>
      <c r="G2" s="286"/>
      <c r="H2" s="286"/>
      <c r="I2" s="286"/>
    </row>
    <row r="3" spans="1:17" x14ac:dyDescent="0.45">
      <c r="M3" s="3"/>
      <c r="Q3" s="3"/>
    </row>
    <row r="4" spans="1:17" ht="16.5" x14ac:dyDescent="0.75">
      <c r="C4" s="75" t="s">
        <v>279</v>
      </c>
      <c r="M4" s="71"/>
      <c r="Q4" s="111"/>
    </row>
    <row r="5" spans="1:17" x14ac:dyDescent="0.45">
      <c r="C5" s="114"/>
      <c r="D5" s="78"/>
      <c r="E5" s="9" t="s">
        <v>280</v>
      </c>
      <c r="F5" s="9" t="s">
        <v>281</v>
      </c>
      <c r="G5" s="9" t="s">
        <v>282</v>
      </c>
      <c r="H5" s="2"/>
      <c r="J5" s="120"/>
      <c r="K5" s="3"/>
      <c r="L5" s="120"/>
      <c r="M5" s="3"/>
      <c r="Q5" s="37"/>
    </row>
    <row r="6" spans="1:17" x14ac:dyDescent="0.45">
      <c r="C6" s="1" t="s">
        <v>283</v>
      </c>
      <c r="E6" s="3">
        <f>C25</f>
        <v>10273</v>
      </c>
      <c r="F6" s="66">
        <f>D25</f>
        <v>33372810</v>
      </c>
      <c r="G6" s="68">
        <f>F33</f>
        <v>379186.46476</v>
      </c>
      <c r="H6" s="68"/>
      <c r="J6" s="120"/>
      <c r="K6" s="37"/>
    </row>
    <row r="7" spans="1:17" x14ac:dyDescent="0.45">
      <c r="C7" s="1" t="s">
        <v>284</v>
      </c>
      <c r="E7" s="3">
        <f>C40</f>
        <v>0</v>
      </c>
      <c r="F7" s="66">
        <f>D40</f>
        <v>0</v>
      </c>
      <c r="G7" s="3">
        <f>F46</f>
        <v>0</v>
      </c>
      <c r="H7" s="3"/>
      <c r="J7" s="120"/>
      <c r="K7" s="3"/>
    </row>
    <row r="8" spans="1:17" x14ac:dyDescent="0.45">
      <c r="C8" s="1" t="s">
        <v>285</v>
      </c>
      <c r="E8" s="78">
        <f>C53</f>
        <v>24</v>
      </c>
      <c r="F8" s="178">
        <f>D53</f>
        <v>2975300</v>
      </c>
      <c r="G8" s="78">
        <f>F59</f>
        <v>19226.04</v>
      </c>
      <c r="H8" s="3"/>
      <c r="J8" s="120"/>
      <c r="K8" s="3"/>
    </row>
    <row r="9" spans="1:17" x14ac:dyDescent="0.45">
      <c r="C9" s="1" t="s">
        <v>271</v>
      </c>
      <c r="E9" s="37">
        <f>SUM(E6:E8)</f>
        <v>10297</v>
      </c>
      <c r="F9" s="5">
        <f>SUM(F6:F8)</f>
        <v>36348110</v>
      </c>
      <c r="G9" s="4">
        <f>SUM(G6:G8)</f>
        <v>398412.50475999998</v>
      </c>
      <c r="H9" s="4"/>
      <c r="J9" s="120"/>
      <c r="K9" s="37"/>
      <c r="M9" s="67"/>
    </row>
    <row r="10" spans="1:17" x14ac:dyDescent="0.45">
      <c r="E10" s="37"/>
      <c r="F10" s="5"/>
      <c r="G10" s="4"/>
      <c r="H10" s="4"/>
      <c r="J10" s="120"/>
      <c r="K10" s="37"/>
      <c r="M10" s="67"/>
    </row>
    <row r="11" spans="1:17" x14ac:dyDescent="0.45">
      <c r="D11" s="37" t="s">
        <v>286</v>
      </c>
      <c r="F11" s="5"/>
      <c r="G11" s="149">
        <f>G9+G10</f>
        <v>398412.50475999998</v>
      </c>
      <c r="H11" s="4"/>
      <c r="J11" s="120"/>
      <c r="K11" s="37"/>
      <c r="M11" s="67"/>
    </row>
    <row r="12" spans="1:17" x14ac:dyDescent="0.45">
      <c r="D12" s="3" t="s">
        <v>287</v>
      </c>
      <c r="E12" s="37"/>
      <c r="F12" s="5"/>
      <c r="G12" s="149">
        <f>F74</f>
        <v>48660</v>
      </c>
      <c r="H12" s="4"/>
      <c r="J12" s="120"/>
      <c r="K12" s="67"/>
    </row>
    <row r="13" spans="1:17" x14ac:dyDescent="0.45">
      <c r="D13" s="157" t="s">
        <v>288</v>
      </c>
      <c r="F13" s="112"/>
      <c r="G13" s="71">
        <f>G11+G12</f>
        <v>447072.50475999998</v>
      </c>
      <c r="H13" s="169"/>
      <c r="I13" s="71"/>
      <c r="J13" s="120"/>
      <c r="O13" s="37"/>
    </row>
    <row r="14" spans="1:17" x14ac:dyDescent="0.45">
      <c r="D14" s="157" t="s">
        <v>289</v>
      </c>
      <c r="F14" s="112"/>
      <c r="G14" s="148">
        <f>G11-SAOw!D7-SAOw!E7-SAOw!E9-SAOw!E10</f>
        <v>-7950</v>
      </c>
      <c r="I14" s="71"/>
      <c r="J14" s="120"/>
    </row>
    <row r="15" spans="1:17" x14ac:dyDescent="0.45">
      <c r="D15" s="157"/>
      <c r="F15" s="112"/>
      <c r="G15" s="157"/>
      <c r="I15" s="71"/>
    </row>
    <row r="16" spans="1:17" x14ac:dyDescent="0.45">
      <c r="F16" s="147"/>
      <c r="G16" s="71"/>
    </row>
    <row r="17" spans="1:19" x14ac:dyDescent="0.45">
      <c r="F17" s="71"/>
      <c r="G17" s="71"/>
    </row>
    <row r="18" spans="1:19" ht="15.75" x14ac:dyDescent="0.5">
      <c r="A18" s="109" t="s">
        <v>290</v>
      </c>
      <c r="N18"/>
      <c r="O18"/>
      <c r="P18"/>
      <c r="Q18"/>
      <c r="R18"/>
      <c r="S18"/>
    </row>
    <row r="19" spans="1:19" ht="15.4" x14ac:dyDescent="0.45">
      <c r="E19" s="2" t="s">
        <v>291</v>
      </c>
      <c r="F19" s="2" t="s">
        <v>292</v>
      </c>
      <c r="G19" s="2" t="s">
        <v>292</v>
      </c>
      <c r="H19" s="2" t="s">
        <v>293</v>
      </c>
      <c r="K19"/>
      <c r="L19"/>
      <c r="M19"/>
      <c r="N19"/>
      <c r="O19"/>
      <c r="P19"/>
    </row>
    <row r="20" spans="1:19" ht="15.4" x14ac:dyDescent="0.45">
      <c r="B20" s="9" t="s">
        <v>294</v>
      </c>
      <c r="C20" s="10" t="s">
        <v>295</v>
      </c>
      <c r="D20" s="180" t="s">
        <v>296</v>
      </c>
      <c r="E20" s="10">
        <f>B21</f>
        <v>2000</v>
      </c>
      <c r="F20" s="10">
        <f>B22</f>
        <v>3000</v>
      </c>
      <c r="G20" s="10">
        <f>B23</f>
        <v>5000</v>
      </c>
      <c r="H20" s="10">
        <f>B24</f>
        <v>10000</v>
      </c>
      <c r="I20" s="9" t="s">
        <v>297</v>
      </c>
      <c r="K20"/>
      <c r="L20"/>
      <c r="M20"/>
      <c r="N20"/>
      <c r="O20"/>
      <c r="P20"/>
    </row>
    <row r="21" spans="1:19" ht="15.4" x14ac:dyDescent="0.45">
      <c r="A21" s="11" t="s">
        <v>291</v>
      </c>
      <c r="B21" s="12">
        <v>2000</v>
      </c>
      <c r="C21" s="175">
        <v>4163</v>
      </c>
      <c r="D21" s="157">
        <v>3966086</v>
      </c>
      <c r="E21" s="72">
        <f>D21</f>
        <v>3966086</v>
      </c>
      <c r="F21" s="72">
        <v>0</v>
      </c>
      <c r="G21" s="72">
        <v>0</v>
      </c>
      <c r="H21" s="72">
        <v>0</v>
      </c>
      <c r="I21" s="72">
        <f>SUM(E21:H21)</f>
        <v>3966086</v>
      </c>
      <c r="K21"/>
      <c r="L21"/>
      <c r="M21"/>
      <c r="N21"/>
      <c r="O21"/>
      <c r="P21"/>
    </row>
    <row r="22" spans="1:19" ht="15.4" x14ac:dyDescent="0.45">
      <c r="A22" s="11" t="s">
        <v>292</v>
      </c>
      <c r="B22" s="12">
        <v>3000</v>
      </c>
      <c r="C22" s="175">
        <v>4418</v>
      </c>
      <c r="D22" s="157">
        <v>14276870</v>
      </c>
      <c r="E22" s="72">
        <f>C22*E$20</f>
        <v>8836000</v>
      </c>
      <c r="F22" s="72">
        <f>D22-E22</f>
        <v>5440870</v>
      </c>
      <c r="G22" s="72">
        <v>0</v>
      </c>
      <c r="H22" s="72">
        <v>0</v>
      </c>
      <c r="I22" s="72">
        <f>SUM(E22:H22)</f>
        <v>14276870</v>
      </c>
      <c r="K22"/>
      <c r="L22"/>
      <c r="M22"/>
      <c r="N22"/>
      <c r="O22"/>
      <c r="P22"/>
    </row>
    <row r="23" spans="1:19" ht="15.4" x14ac:dyDescent="0.45">
      <c r="A23" s="11" t="s">
        <v>292</v>
      </c>
      <c r="B23" s="12">
        <v>5000</v>
      </c>
      <c r="C23" s="175">
        <v>1345</v>
      </c>
      <c r="D23" s="157">
        <v>8865724</v>
      </c>
      <c r="E23" s="72">
        <f>C23*E$20</f>
        <v>2690000</v>
      </c>
      <c r="F23" s="72">
        <f>$C23*F$20</f>
        <v>4035000</v>
      </c>
      <c r="G23" s="72">
        <f>D23-(F23+E23)</f>
        <v>2140724</v>
      </c>
      <c r="H23" s="72">
        <v>0</v>
      </c>
      <c r="I23" s="72">
        <f>SUM(E23:H23)</f>
        <v>8865724</v>
      </c>
      <c r="K23"/>
      <c r="L23"/>
      <c r="M23"/>
      <c r="N23"/>
      <c r="O23"/>
      <c r="P23"/>
    </row>
    <row r="24" spans="1:19" ht="15.4" x14ac:dyDescent="0.45">
      <c r="A24" s="11" t="s">
        <v>293</v>
      </c>
      <c r="B24" s="14">
        <v>10000</v>
      </c>
      <c r="C24" s="176">
        <v>347</v>
      </c>
      <c r="D24" s="181">
        <v>6264130</v>
      </c>
      <c r="E24" s="73">
        <f>C24*E$20</f>
        <v>694000</v>
      </c>
      <c r="F24" s="73">
        <f>$C24*F$20</f>
        <v>1041000</v>
      </c>
      <c r="G24" s="73">
        <f>$C24*G$20</f>
        <v>1735000</v>
      </c>
      <c r="H24" s="73">
        <f>D24-E24-F24-G24</f>
        <v>2794130</v>
      </c>
      <c r="I24" s="73">
        <f>SUM(E24:H24)</f>
        <v>6264130</v>
      </c>
      <c r="K24"/>
      <c r="L24"/>
      <c r="M24"/>
      <c r="N24"/>
      <c r="O24"/>
      <c r="P24"/>
    </row>
    <row r="25" spans="1:19" ht="15.4" x14ac:dyDescent="0.45">
      <c r="A25" s="11"/>
      <c r="B25" s="12" t="s">
        <v>297</v>
      </c>
      <c r="C25" s="74">
        <f t="shared" ref="C25:I25" si="0">SUM(C21:C24)</f>
        <v>10273</v>
      </c>
      <c r="D25" s="5">
        <f t="shared" si="0"/>
        <v>33372810</v>
      </c>
      <c r="E25" s="74">
        <f t="shared" si="0"/>
        <v>16186086</v>
      </c>
      <c r="F25" s="74">
        <f t="shared" si="0"/>
        <v>10516870</v>
      </c>
      <c r="G25" s="74">
        <f t="shared" si="0"/>
        <v>3875724</v>
      </c>
      <c r="H25" s="74">
        <f t="shared" si="0"/>
        <v>2794130</v>
      </c>
      <c r="I25" s="74">
        <f t="shared" si="0"/>
        <v>33372810</v>
      </c>
      <c r="J25" s="3"/>
      <c r="K25"/>
      <c r="L25"/>
      <c r="M25"/>
      <c r="N25"/>
      <c r="O25"/>
      <c r="P25"/>
    </row>
    <row r="26" spans="1:19" ht="15.4" x14ac:dyDescent="0.45">
      <c r="A26" s="11"/>
      <c r="B26" s="12"/>
      <c r="E26" s="12"/>
      <c r="F26" s="12"/>
      <c r="G26" s="12"/>
      <c r="H26" s="12"/>
      <c r="I26" s="12"/>
      <c r="N26"/>
      <c r="O26"/>
      <c r="P26"/>
      <c r="Q26"/>
      <c r="R26"/>
      <c r="S26"/>
    </row>
    <row r="27" spans="1:19" ht="15.4" x14ac:dyDescent="0.45">
      <c r="A27" s="16" t="s">
        <v>298</v>
      </c>
      <c r="B27" s="16"/>
      <c r="E27" s="12"/>
      <c r="F27" s="12"/>
      <c r="G27" s="12"/>
      <c r="H27" s="12"/>
      <c r="I27" s="12"/>
      <c r="N27"/>
      <c r="O27"/>
      <c r="P27"/>
      <c r="Q27"/>
      <c r="R27"/>
      <c r="S27"/>
    </row>
    <row r="28" spans="1:19" ht="15.4" x14ac:dyDescent="0.45">
      <c r="A28" s="11"/>
      <c r="B28" s="9"/>
      <c r="C28" s="10" t="s">
        <v>295</v>
      </c>
      <c r="D28" s="180" t="s">
        <v>296</v>
      </c>
      <c r="E28" s="10" t="s">
        <v>299</v>
      </c>
      <c r="F28" s="10" t="s">
        <v>300</v>
      </c>
      <c r="G28" s="12"/>
      <c r="H28" s="12"/>
      <c r="I28" s="12"/>
      <c r="N28"/>
      <c r="O28"/>
      <c r="P28"/>
      <c r="Q28"/>
      <c r="R28"/>
      <c r="S28"/>
    </row>
    <row r="29" spans="1:19" ht="15.4" x14ac:dyDescent="0.45">
      <c r="A29" s="11" t="s">
        <v>291</v>
      </c>
      <c r="B29" s="12">
        <f>B21</f>
        <v>2000</v>
      </c>
      <c r="C29" s="13">
        <f>C25</f>
        <v>10273</v>
      </c>
      <c r="D29" s="157">
        <f>E25</f>
        <v>16186086</v>
      </c>
      <c r="E29" s="17">
        <v>2312</v>
      </c>
      <c r="F29" s="7">
        <f>(E29*C29)/100</f>
        <v>237511.76</v>
      </c>
      <c r="G29" s="12"/>
      <c r="N29"/>
      <c r="O29"/>
      <c r="P29"/>
      <c r="Q29"/>
      <c r="R29"/>
      <c r="S29"/>
    </row>
    <row r="30" spans="1:19" ht="15.4" x14ac:dyDescent="0.45">
      <c r="A30" s="11" t="s">
        <v>292</v>
      </c>
      <c r="B30" s="12">
        <f>B22</f>
        <v>3000</v>
      </c>
      <c r="D30" s="157">
        <f>F25</f>
        <v>10516870</v>
      </c>
      <c r="E30" s="17">
        <v>9.08</v>
      </c>
      <c r="F30" s="3">
        <f>E30*(D30/1000)</f>
        <v>95493.179600000003</v>
      </c>
      <c r="G30" s="12"/>
      <c r="N30"/>
      <c r="O30"/>
      <c r="P30"/>
      <c r="Q30"/>
      <c r="R30"/>
      <c r="S30"/>
    </row>
    <row r="31" spans="1:19" ht="15.4" x14ac:dyDescent="0.45">
      <c r="A31" s="11" t="s">
        <v>292</v>
      </c>
      <c r="B31" s="12">
        <f>B23</f>
        <v>5000</v>
      </c>
      <c r="D31" s="157">
        <f>G25</f>
        <v>3875724</v>
      </c>
      <c r="E31" s="17">
        <v>7.59</v>
      </c>
      <c r="F31" s="3">
        <f>E31*(D31/1000)</f>
        <v>29416.745160000002</v>
      </c>
      <c r="G31" s="12"/>
      <c r="N31"/>
      <c r="O31"/>
      <c r="P31"/>
      <c r="Q31"/>
      <c r="R31"/>
      <c r="S31"/>
    </row>
    <row r="32" spans="1:19" x14ac:dyDescent="0.45">
      <c r="A32" s="11" t="s">
        <v>293</v>
      </c>
      <c r="B32" s="14">
        <f>B24</f>
        <v>10000</v>
      </c>
      <c r="C32" s="18"/>
      <c r="D32" s="181">
        <f>H25</f>
        <v>2794130</v>
      </c>
      <c r="E32" s="168">
        <v>6</v>
      </c>
      <c r="F32" s="78">
        <f>E32*(D32/1000)</f>
        <v>16764.78</v>
      </c>
      <c r="G32" s="12"/>
      <c r="Q32" s="3">
        <f>Q26/12</f>
        <v>0</v>
      </c>
    </row>
    <row r="33" spans="1:12" x14ac:dyDescent="0.45">
      <c r="A33" s="11"/>
      <c r="B33" s="12" t="s">
        <v>297</v>
      </c>
      <c r="C33" s="3">
        <f>SUM(C29:C32)</f>
        <v>10273</v>
      </c>
      <c r="D33" s="5">
        <f>SUM(D29:D32)</f>
        <v>33372810</v>
      </c>
      <c r="F33" s="7">
        <f>SUM(F29:F32)</f>
        <v>379186.46476</v>
      </c>
      <c r="G33" s="68"/>
      <c r="H33" s="12"/>
      <c r="I33" s="150"/>
    </row>
    <row r="34" spans="1:12" x14ac:dyDescent="0.45">
      <c r="A34" s="11"/>
      <c r="B34" s="12"/>
      <c r="C34" s="3"/>
      <c r="D34" s="5"/>
      <c r="F34" s="7"/>
      <c r="G34" s="12"/>
      <c r="H34" s="12"/>
      <c r="I34" s="12"/>
    </row>
    <row r="35" spans="1:12" ht="15.75" x14ac:dyDescent="0.5">
      <c r="A35" s="109" t="s">
        <v>301</v>
      </c>
    </row>
    <row r="36" spans="1:12" x14ac:dyDescent="0.45">
      <c r="E36" s="2" t="s">
        <v>291</v>
      </c>
      <c r="F36" s="2" t="s">
        <v>293</v>
      </c>
      <c r="L36" s="1"/>
    </row>
    <row r="37" spans="1:12" x14ac:dyDescent="0.45">
      <c r="B37" s="9" t="s">
        <v>294</v>
      </c>
      <c r="C37" s="10" t="s">
        <v>295</v>
      </c>
      <c r="D37" s="180" t="s">
        <v>296</v>
      </c>
      <c r="E37" s="10">
        <f>B38</f>
        <v>10000</v>
      </c>
      <c r="F37" s="10">
        <f>B39</f>
        <v>10000</v>
      </c>
      <c r="G37" s="9" t="s">
        <v>297</v>
      </c>
      <c r="L37" s="1"/>
    </row>
    <row r="38" spans="1:12" x14ac:dyDescent="0.45">
      <c r="A38" s="11" t="s">
        <v>291</v>
      </c>
      <c r="B38" s="12">
        <v>10000</v>
      </c>
      <c r="C38" s="175"/>
      <c r="D38" s="157"/>
      <c r="E38" s="72">
        <f>D38</f>
        <v>0</v>
      </c>
      <c r="F38" s="72">
        <v>0</v>
      </c>
      <c r="G38" s="72">
        <f>SUM(E38:F38)</f>
        <v>0</v>
      </c>
      <c r="L38" s="1"/>
    </row>
    <row r="39" spans="1:12" x14ac:dyDescent="0.45">
      <c r="A39" s="11" t="s">
        <v>293</v>
      </c>
      <c r="B39" s="14">
        <v>10000</v>
      </c>
      <c r="C39" s="176"/>
      <c r="D39" s="181"/>
      <c r="E39" s="73">
        <f>$C39*E$37</f>
        <v>0</v>
      </c>
      <c r="F39" s="73">
        <f>D39-E39</f>
        <v>0</v>
      </c>
      <c r="G39" s="73">
        <f>SUM(E39:F39)</f>
        <v>0</v>
      </c>
      <c r="L39" s="1"/>
    </row>
    <row r="40" spans="1:12" x14ac:dyDescent="0.45">
      <c r="A40" s="11"/>
      <c r="B40" s="12"/>
      <c r="C40" s="177">
        <f>SUM(C38:C39)</f>
        <v>0</v>
      </c>
      <c r="D40" s="5">
        <f>SUM(D38:D39)</f>
        <v>0</v>
      </c>
      <c r="E40" s="74">
        <f>SUM(E38:E39)</f>
        <v>0</v>
      </c>
      <c r="F40" s="74">
        <f>SUM(F38:F39)</f>
        <v>0</v>
      </c>
      <c r="G40" s="74">
        <f>SUM(G38:G39)</f>
        <v>0</v>
      </c>
      <c r="H40" s="97"/>
      <c r="J40" s="3"/>
      <c r="L40" s="1"/>
    </row>
    <row r="41" spans="1:12" x14ac:dyDescent="0.45">
      <c r="A41" s="11"/>
      <c r="B41" s="12"/>
      <c r="E41" s="12"/>
      <c r="F41" s="12"/>
      <c r="G41" s="12"/>
      <c r="H41" s="12"/>
      <c r="I41" s="12"/>
    </row>
    <row r="42" spans="1:12" x14ac:dyDescent="0.45">
      <c r="A42" s="16" t="s">
        <v>298</v>
      </c>
      <c r="B42" s="16"/>
      <c r="E42" s="12"/>
      <c r="F42" s="12"/>
      <c r="G42" s="12"/>
      <c r="H42" s="12"/>
      <c r="I42" s="12"/>
    </row>
    <row r="43" spans="1:12" x14ac:dyDescent="0.45">
      <c r="A43" s="11"/>
      <c r="B43" s="9"/>
      <c r="C43" s="10" t="s">
        <v>295</v>
      </c>
      <c r="D43" s="180" t="s">
        <v>296</v>
      </c>
      <c r="E43" s="10" t="s">
        <v>299</v>
      </c>
      <c r="F43" s="10" t="s">
        <v>300</v>
      </c>
      <c r="G43" s="12"/>
      <c r="H43" s="12"/>
      <c r="I43" s="12"/>
    </row>
    <row r="44" spans="1:12" x14ac:dyDescent="0.45">
      <c r="A44" s="11" t="s">
        <v>291</v>
      </c>
      <c r="B44" s="12">
        <f>B38</f>
        <v>10000</v>
      </c>
      <c r="C44" s="13">
        <f>C40</f>
        <v>0</v>
      </c>
      <c r="D44" s="157">
        <f>E40</f>
        <v>0</v>
      </c>
      <c r="E44" s="17">
        <v>78.3</v>
      </c>
      <c r="F44" s="7">
        <f>E44*C44</f>
        <v>0</v>
      </c>
      <c r="G44" s="12"/>
    </row>
    <row r="45" spans="1:12" x14ac:dyDescent="0.45">
      <c r="A45" s="11" t="s">
        <v>293</v>
      </c>
      <c r="B45" s="14">
        <f>B39</f>
        <v>10000</v>
      </c>
      <c r="C45" s="18"/>
      <c r="D45" s="181">
        <f>F40</f>
        <v>0</v>
      </c>
      <c r="E45" s="168">
        <v>5.32</v>
      </c>
      <c r="F45" s="78">
        <f>E45*(D45/1000)</f>
        <v>0</v>
      </c>
      <c r="G45" s="12"/>
    </row>
    <row r="46" spans="1:12" x14ac:dyDescent="0.45">
      <c r="A46" s="11"/>
      <c r="B46" s="12" t="s">
        <v>297</v>
      </c>
      <c r="C46" s="3">
        <f>SUM(C44:C45)</f>
        <v>0</v>
      </c>
      <c r="D46" s="5">
        <f>SUM(D44:D45)</f>
        <v>0</v>
      </c>
      <c r="F46" s="7">
        <f>SUM(F44:F45)</f>
        <v>0</v>
      </c>
      <c r="G46" s="68"/>
      <c r="H46" s="12"/>
      <c r="I46" s="150"/>
    </row>
    <row r="47" spans="1:12" x14ac:dyDescent="0.45">
      <c r="A47" s="11"/>
      <c r="B47" s="12"/>
      <c r="C47" s="19"/>
      <c r="D47" s="5"/>
      <c r="F47" s="17"/>
      <c r="G47" s="12"/>
      <c r="H47" s="12"/>
      <c r="I47" s="12"/>
    </row>
    <row r="48" spans="1:12" ht="15.75" x14ac:dyDescent="0.5">
      <c r="A48" s="109" t="s">
        <v>302</v>
      </c>
    </row>
    <row r="49" spans="1:17" x14ac:dyDescent="0.45">
      <c r="E49" s="2" t="s">
        <v>291</v>
      </c>
      <c r="F49" s="2" t="s">
        <v>293</v>
      </c>
      <c r="K49" s="3"/>
      <c r="L49" s="1"/>
    </row>
    <row r="50" spans="1:17" x14ac:dyDescent="0.45">
      <c r="B50" s="9" t="s">
        <v>294</v>
      </c>
      <c r="C50" s="10" t="s">
        <v>295</v>
      </c>
      <c r="D50" s="180" t="s">
        <v>296</v>
      </c>
      <c r="E50" s="10">
        <f>B51</f>
        <v>50000</v>
      </c>
      <c r="F50" s="10">
        <f>B52</f>
        <v>50000</v>
      </c>
      <c r="G50" s="9" t="s">
        <v>297</v>
      </c>
      <c r="L50" s="1"/>
      <c r="Q50" s="1" t="s">
        <v>303</v>
      </c>
    </row>
    <row r="51" spans="1:17" x14ac:dyDescent="0.45">
      <c r="A51" s="11" t="s">
        <v>291</v>
      </c>
      <c r="B51" s="12">
        <v>50000</v>
      </c>
      <c r="C51" s="175">
        <v>4</v>
      </c>
      <c r="D51" s="157">
        <v>84200</v>
      </c>
      <c r="E51" s="72">
        <f>D51</f>
        <v>84200</v>
      </c>
      <c r="F51" s="72">
        <v>0</v>
      </c>
      <c r="G51" s="72">
        <f>SUM(E51:F51)</f>
        <v>84200</v>
      </c>
      <c r="K51" s="77"/>
      <c r="L51" s="1"/>
    </row>
    <row r="52" spans="1:17" x14ac:dyDescent="0.45">
      <c r="A52" s="11" t="s">
        <v>293</v>
      </c>
      <c r="B52" s="14">
        <v>50000</v>
      </c>
      <c r="C52" s="176">
        <v>20</v>
      </c>
      <c r="D52" s="181">
        <v>2891100</v>
      </c>
      <c r="E52" s="73">
        <f>$C52*E$50</f>
        <v>1000000</v>
      </c>
      <c r="F52" s="73">
        <f>D52-E52</f>
        <v>1891100</v>
      </c>
      <c r="G52" s="73">
        <f>SUM(E52:F52)</f>
        <v>2891100</v>
      </c>
      <c r="H52" s="3"/>
      <c r="I52" s="3"/>
      <c r="K52" s="2"/>
      <c r="L52" s="1"/>
    </row>
    <row r="53" spans="1:17" x14ac:dyDescent="0.45">
      <c r="A53" s="11"/>
      <c r="B53" s="12"/>
      <c r="C53" s="3">
        <f>SUM(C51:C52)</f>
        <v>24</v>
      </c>
      <c r="D53" s="5">
        <f>SUM(D51:D52)</f>
        <v>2975300</v>
      </c>
      <c r="E53" s="74">
        <f>SUM(E51:E52)</f>
        <v>1084200</v>
      </c>
      <c r="F53" s="74">
        <f>SUM(F51:F52)</f>
        <v>1891100</v>
      </c>
      <c r="G53" s="74">
        <f>SUM(G51:G52)</f>
        <v>2975300</v>
      </c>
    </row>
    <row r="54" spans="1:17" x14ac:dyDescent="0.45">
      <c r="A54" s="11"/>
      <c r="B54" s="12"/>
      <c r="E54" s="12"/>
      <c r="F54" s="12"/>
      <c r="G54" s="12"/>
      <c r="H54" s="12"/>
      <c r="I54" s="12"/>
    </row>
    <row r="55" spans="1:17" x14ac:dyDescent="0.45">
      <c r="A55" s="16" t="s">
        <v>298</v>
      </c>
      <c r="B55" s="16"/>
      <c r="E55" s="12"/>
      <c r="F55" s="12"/>
      <c r="G55" s="12"/>
      <c r="H55" s="12"/>
      <c r="I55" s="12"/>
    </row>
    <row r="56" spans="1:17" x14ac:dyDescent="0.45">
      <c r="A56" s="11"/>
      <c r="B56" s="9"/>
      <c r="C56" s="10" t="s">
        <v>295</v>
      </c>
      <c r="D56" s="180" t="s">
        <v>296</v>
      </c>
      <c r="E56" s="10" t="s">
        <v>299</v>
      </c>
      <c r="F56" s="10" t="s">
        <v>300</v>
      </c>
      <c r="G56" s="12"/>
      <c r="H56" s="12"/>
      <c r="I56" s="12"/>
    </row>
    <row r="57" spans="1:17" x14ac:dyDescent="0.45">
      <c r="A57" s="11" t="s">
        <v>291</v>
      </c>
      <c r="B57" s="12">
        <f>B51</f>
        <v>50000</v>
      </c>
      <c r="C57" s="13">
        <f>C53</f>
        <v>24</v>
      </c>
      <c r="D57" s="157">
        <f>E53</f>
        <v>1084200</v>
      </c>
      <c r="E57" s="17">
        <v>328.31</v>
      </c>
      <c r="F57" s="7">
        <f>E57*C57</f>
        <v>7879.4400000000005</v>
      </c>
      <c r="G57" s="12"/>
      <c r="H57" s="12"/>
      <c r="I57" s="12"/>
    </row>
    <row r="58" spans="1:17" x14ac:dyDescent="0.45">
      <c r="A58" s="11" t="s">
        <v>293</v>
      </c>
      <c r="B58" s="14">
        <f>B52</f>
        <v>50000</v>
      </c>
      <c r="C58" s="78"/>
      <c r="D58" s="181">
        <f>F53</f>
        <v>1891100</v>
      </c>
      <c r="E58" s="168">
        <v>6</v>
      </c>
      <c r="F58" s="78">
        <f t="shared" ref="F58" si="1">E58*(D58/1000)</f>
        <v>11346.599999999999</v>
      </c>
      <c r="G58" s="12"/>
      <c r="H58" s="12"/>
      <c r="I58" s="12"/>
    </row>
    <row r="59" spans="1:17" x14ac:dyDescent="0.45">
      <c r="A59" s="11"/>
      <c r="B59" s="12" t="s">
        <v>297</v>
      </c>
      <c r="C59" s="3">
        <f>SUM(C57:C58)</f>
        <v>24</v>
      </c>
      <c r="D59" s="5">
        <f>SUM(D57:D58)</f>
        <v>2975300</v>
      </c>
      <c r="F59" s="7">
        <f>SUM(F57:F58)</f>
        <v>19226.04</v>
      </c>
      <c r="G59" s="68"/>
      <c r="H59" s="12"/>
      <c r="I59" s="150"/>
    </row>
    <row r="60" spans="1:17" x14ac:dyDescent="0.45">
      <c r="A60" s="11"/>
      <c r="B60" s="12"/>
      <c r="C60" s="19"/>
      <c r="D60" s="5"/>
      <c r="F60" s="17"/>
      <c r="G60" s="12"/>
      <c r="H60" s="12"/>
      <c r="I60" s="12"/>
    </row>
    <row r="61" spans="1:17" ht="15.75" x14ac:dyDescent="0.5">
      <c r="A61" s="109" t="s">
        <v>304</v>
      </c>
      <c r="L61" s="5"/>
    </row>
    <row r="62" spans="1:17" x14ac:dyDescent="0.45">
      <c r="E62" s="2" t="s">
        <v>291</v>
      </c>
      <c r="F62" s="2" t="s">
        <v>292</v>
      </c>
      <c r="G62" s="2" t="s">
        <v>293</v>
      </c>
      <c r="I62" s="2"/>
      <c r="J62" s="2"/>
      <c r="L62" s="5"/>
    </row>
    <row r="63" spans="1:17" x14ac:dyDescent="0.45">
      <c r="B63" s="9" t="s">
        <v>294</v>
      </c>
      <c r="C63" s="10" t="s">
        <v>295</v>
      </c>
      <c r="D63" s="180" t="s">
        <v>296</v>
      </c>
      <c r="E63" s="10">
        <f>B64</f>
        <v>1000000</v>
      </c>
      <c r="F63" s="10">
        <f>B65</f>
        <v>2000000</v>
      </c>
      <c r="G63" s="10">
        <f>B66</f>
        <v>3000000</v>
      </c>
      <c r="H63" s="9" t="s">
        <v>297</v>
      </c>
      <c r="I63" s="171"/>
      <c r="J63" s="171"/>
      <c r="K63" s="2"/>
      <c r="L63" s="5"/>
    </row>
    <row r="64" spans="1:17" x14ac:dyDescent="0.45">
      <c r="A64" s="11" t="s">
        <v>291</v>
      </c>
      <c r="B64" s="12">
        <v>1000000</v>
      </c>
      <c r="C64" s="175"/>
      <c r="D64" s="157"/>
      <c r="E64" s="72">
        <f>D64</f>
        <v>0</v>
      </c>
      <c r="F64" s="72">
        <v>0</v>
      </c>
      <c r="G64" s="72">
        <v>0</v>
      </c>
      <c r="H64" s="72">
        <f>SUM(F64:G64)</f>
        <v>0</v>
      </c>
      <c r="I64" s="172"/>
      <c r="J64" s="172"/>
      <c r="K64" s="172"/>
      <c r="L64" s="5"/>
    </row>
    <row r="65" spans="1:12" x14ac:dyDescent="0.45">
      <c r="A65" s="11" t="s">
        <v>292</v>
      </c>
      <c r="B65" s="12">
        <v>2000000</v>
      </c>
      <c r="C65" s="175">
        <v>12</v>
      </c>
      <c r="D65" s="157">
        <v>24330000</v>
      </c>
      <c r="E65" s="72">
        <f>E63*C65</f>
        <v>12000000</v>
      </c>
      <c r="F65" s="72">
        <f>D65-E65</f>
        <v>12330000</v>
      </c>
      <c r="G65" s="72">
        <f>D65-E65-F65</f>
        <v>0</v>
      </c>
      <c r="H65" s="72">
        <f>SUM(E65:G65)</f>
        <v>24330000</v>
      </c>
      <c r="I65" s="172"/>
      <c r="J65" s="172"/>
      <c r="K65" s="172"/>
      <c r="L65" s="5"/>
    </row>
    <row r="66" spans="1:12" x14ac:dyDescent="0.45">
      <c r="A66" s="11" t="s">
        <v>293</v>
      </c>
      <c r="B66" s="14">
        <v>3000000</v>
      </c>
      <c r="C66" s="176"/>
      <c r="D66" s="181"/>
      <c r="E66" s="73">
        <f>$C66*E$50</f>
        <v>0</v>
      </c>
      <c r="F66" s="73">
        <f>D66-E66</f>
        <v>0</v>
      </c>
      <c r="G66" s="73">
        <f>E66-F66</f>
        <v>0</v>
      </c>
      <c r="H66" s="73">
        <f>SUM(F66:G66)</f>
        <v>0</v>
      </c>
      <c r="I66" s="172"/>
      <c r="J66" s="172"/>
      <c r="K66" s="172"/>
      <c r="L66" s="5"/>
    </row>
    <row r="67" spans="1:12" x14ac:dyDescent="0.45">
      <c r="A67" s="11"/>
      <c r="B67" s="12"/>
      <c r="C67" s="3">
        <f t="shared" ref="C67:H67" si="2">SUM(C64:C66)</f>
        <v>12</v>
      </c>
      <c r="D67" s="5">
        <f t="shared" si="2"/>
        <v>24330000</v>
      </c>
      <c r="E67" s="74">
        <f t="shared" si="2"/>
        <v>12000000</v>
      </c>
      <c r="F67" s="74">
        <f t="shared" si="2"/>
        <v>12330000</v>
      </c>
      <c r="G67" s="74">
        <f t="shared" si="2"/>
        <v>0</v>
      </c>
      <c r="H67" s="74">
        <f t="shared" si="2"/>
        <v>24330000</v>
      </c>
      <c r="I67" s="172"/>
      <c r="J67" s="172"/>
      <c r="K67" s="172"/>
      <c r="L67" s="5"/>
    </row>
    <row r="68" spans="1:12" x14ac:dyDescent="0.45">
      <c r="A68" s="11"/>
      <c r="B68" s="12"/>
      <c r="E68" s="12"/>
      <c r="F68" s="12"/>
      <c r="G68" s="12"/>
      <c r="H68" s="37"/>
      <c r="I68" s="172"/>
      <c r="J68" s="172"/>
      <c r="K68" s="172"/>
      <c r="L68" s="5"/>
    </row>
    <row r="69" spans="1:12" x14ac:dyDescent="0.45">
      <c r="A69" s="16" t="s">
        <v>298</v>
      </c>
      <c r="B69" s="16"/>
      <c r="E69" s="12"/>
      <c r="F69" s="12"/>
      <c r="G69" s="12"/>
      <c r="H69" s="37"/>
      <c r="I69" s="37"/>
      <c r="J69" s="172"/>
      <c r="K69" s="172"/>
      <c r="L69" s="5"/>
    </row>
    <row r="70" spans="1:12" x14ac:dyDescent="0.45">
      <c r="A70" s="11"/>
      <c r="B70" s="9"/>
      <c r="C70" s="10" t="s">
        <v>295</v>
      </c>
      <c r="D70" s="180" t="s">
        <v>296</v>
      </c>
      <c r="E70" s="10" t="s">
        <v>299</v>
      </c>
      <c r="F70" s="10" t="s">
        <v>300</v>
      </c>
      <c r="G70" s="12"/>
      <c r="H70" s="37"/>
      <c r="I70" s="37"/>
      <c r="J70" s="172"/>
      <c r="K70" s="172"/>
      <c r="L70" s="5"/>
    </row>
    <row r="71" spans="1:12" x14ac:dyDescent="0.45">
      <c r="A71" s="11" t="s">
        <v>291</v>
      </c>
      <c r="B71" s="12">
        <f>B64</f>
        <v>1000000</v>
      </c>
      <c r="C71" s="13">
        <f>C67</f>
        <v>12</v>
      </c>
      <c r="D71" s="157">
        <f>E67</f>
        <v>12000000</v>
      </c>
      <c r="E71" s="17">
        <v>2000</v>
      </c>
      <c r="F71" s="7">
        <f>E71*C71</f>
        <v>24000</v>
      </c>
      <c r="G71" s="12"/>
      <c r="H71" s="74"/>
      <c r="I71" s="74"/>
      <c r="J71" s="74"/>
      <c r="K71" s="74"/>
      <c r="L71" s="5"/>
    </row>
    <row r="72" spans="1:12" x14ac:dyDescent="0.45">
      <c r="A72" s="11" t="s">
        <v>292</v>
      </c>
      <c r="B72" s="12">
        <f>B65</f>
        <v>2000000</v>
      </c>
      <c r="C72" s="13"/>
      <c r="D72" s="157">
        <f>F67</f>
        <v>12330000</v>
      </c>
      <c r="E72" s="17">
        <v>2</v>
      </c>
      <c r="F72" s="7">
        <f>(D72*E72)/1000</f>
        <v>24660</v>
      </c>
      <c r="G72" s="12"/>
      <c r="H72" s="74"/>
      <c r="I72" s="74"/>
      <c r="J72" s="74"/>
      <c r="K72" s="74"/>
      <c r="L72" s="5"/>
    </row>
    <row r="73" spans="1:12" x14ac:dyDescent="0.45">
      <c r="A73" s="11" t="s">
        <v>293</v>
      </c>
      <c r="B73" s="14">
        <f>B66</f>
        <v>3000000</v>
      </c>
      <c r="C73" s="78"/>
      <c r="D73" s="181">
        <f>G67</f>
        <v>0</v>
      </c>
      <c r="E73" s="168">
        <v>2.2000000000000002</v>
      </c>
      <c r="F73" s="78">
        <f>E73*(D73/1000)</f>
        <v>0</v>
      </c>
      <c r="G73" s="12"/>
      <c r="H73" s="12"/>
      <c r="I73" s="12"/>
      <c r="L73" s="5"/>
    </row>
    <row r="74" spans="1:12" x14ac:dyDescent="0.45">
      <c r="A74" s="11"/>
      <c r="B74" s="12" t="s">
        <v>297</v>
      </c>
      <c r="C74" s="3">
        <f>SUM(C71:C73)</f>
        <v>12</v>
      </c>
      <c r="D74" s="5">
        <f>SUM(D71:D73)</f>
        <v>24330000</v>
      </c>
      <c r="F74" s="7">
        <f>SUM(F71:F73)</f>
        <v>48660</v>
      </c>
      <c r="G74" s="68"/>
      <c r="H74" s="12"/>
      <c r="I74" s="12"/>
      <c r="L74" s="5"/>
    </row>
    <row r="75" spans="1:12" x14ac:dyDescent="0.45">
      <c r="A75" s="11"/>
      <c r="B75" s="2"/>
      <c r="C75" s="171"/>
      <c r="D75" s="182"/>
      <c r="E75" s="171"/>
      <c r="F75" s="171"/>
      <c r="G75" s="12"/>
      <c r="H75" s="12"/>
      <c r="I75" s="12"/>
      <c r="L75" s="5"/>
    </row>
    <row r="76" spans="1:12" x14ac:dyDescent="0.45">
      <c r="A76" s="11"/>
      <c r="B76" s="12"/>
      <c r="C76" s="74"/>
      <c r="D76" s="148"/>
      <c r="E76" s="173"/>
      <c r="F76" s="174"/>
      <c r="G76" s="12"/>
      <c r="L76" s="5"/>
    </row>
    <row r="77" spans="1:12" x14ac:dyDescent="0.45">
      <c r="A77" s="11"/>
      <c r="B77" s="12"/>
      <c r="D77" s="148"/>
      <c r="E77" s="173"/>
      <c r="F77" s="5"/>
      <c r="G77" s="12"/>
      <c r="L77" s="5"/>
    </row>
    <row r="78" spans="1:12" x14ac:dyDescent="0.45">
      <c r="A78" s="11"/>
      <c r="B78" s="12"/>
      <c r="D78" s="148"/>
      <c r="E78" s="173"/>
      <c r="F78" s="5"/>
      <c r="G78" s="12"/>
      <c r="L78" s="5"/>
    </row>
    <row r="79" spans="1:12" x14ac:dyDescent="0.45">
      <c r="A79" s="11"/>
      <c r="B79" s="12"/>
      <c r="D79" s="148"/>
      <c r="E79" s="173"/>
      <c r="F79" s="5"/>
      <c r="G79" s="12"/>
      <c r="L79" s="5"/>
    </row>
    <row r="80" spans="1:12" x14ac:dyDescent="0.45">
      <c r="A80" s="11"/>
      <c r="B80" s="12"/>
      <c r="D80" s="148"/>
      <c r="E80" s="173"/>
      <c r="F80" s="5"/>
      <c r="G80" s="12"/>
      <c r="L80" s="5"/>
    </row>
    <row r="81" spans="1:12" x14ac:dyDescent="0.45">
      <c r="A81" s="11"/>
      <c r="B81" s="12"/>
      <c r="D81" s="148"/>
      <c r="E81" s="173"/>
      <c r="F81" s="5"/>
      <c r="G81" s="12"/>
      <c r="L81" s="5"/>
    </row>
    <row r="82" spans="1:12" x14ac:dyDescent="0.45">
      <c r="A82" s="11"/>
      <c r="B82" s="12"/>
      <c r="C82" s="5"/>
      <c r="D82" s="5"/>
      <c r="F82" s="174"/>
      <c r="G82" s="12"/>
      <c r="H82" s="12"/>
      <c r="I82" s="12"/>
      <c r="L82" s="5"/>
    </row>
    <row r="83" spans="1:12" x14ac:dyDescent="0.45">
      <c r="A83" s="11"/>
      <c r="B83" s="12"/>
      <c r="C83" s="5"/>
      <c r="D83" s="5"/>
      <c r="F83" s="174"/>
      <c r="G83" s="12"/>
      <c r="H83" s="12"/>
      <c r="I83" s="12"/>
      <c r="L83" s="5"/>
    </row>
    <row r="84" spans="1:12" ht="15.75" x14ac:dyDescent="0.5">
      <c r="A84" s="109"/>
      <c r="D84" s="5"/>
      <c r="L84" s="5"/>
    </row>
    <row r="85" spans="1:12" x14ac:dyDescent="0.45">
      <c r="D85" s="5"/>
      <c r="E85" s="2"/>
      <c r="F85" s="2"/>
      <c r="G85" s="2"/>
      <c r="H85" s="2"/>
      <c r="L85" s="5"/>
    </row>
    <row r="86" spans="1:12" x14ac:dyDescent="0.45">
      <c r="B86" s="2"/>
      <c r="C86" s="171"/>
      <c r="D86" s="182"/>
      <c r="E86" s="171"/>
      <c r="F86" s="171"/>
      <c r="G86" s="171"/>
      <c r="H86" s="171"/>
      <c r="I86" s="2"/>
      <c r="L86" s="5"/>
    </row>
    <row r="87" spans="1:12" x14ac:dyDescent="0.45">
      <c r="A87" s="11"/>
      <c r="B87" s="12"/>
      <c r="C87" s="172"/>
      <c r="D87" s="148"/>
      <c r="E87" s="172"/>
      <c r="F87" s="172"/>
      <c r="G87" s="172"/>
      <c r="H87" s="172"/>
      <c r="I87" s="172"/>
      <c r="L87" s="5"/>
    </row>
    <row r="88" spans="1:12" x14ac:dyDescent="0.45">
      <c r="A88" s="11"/>
      <c r="B88" s="12"/>
      <c r="C88" s="172"/>
      <c r="D88" s="148"/>
      <c r="E88" s="172"/>
      <c r="F88" s="172"/>
      <c r="G88" s="172"/>
      <c r="H88" s="172"/>
      <c r="I88" s="172"/>
      <c r="L88" s="5"/>
    </row>
    <row r="89" spans="1:12" x14ac:dyDescent="0.45">
      <c r="A89" s="11"/>
      <c r="B89" s="12"/>
      <c r="C89" s="172"/>
      <c r="D89" s="148"/>
      <c r="E89" s="172"/>
      <c r="F89" s="172"/>
      <c r="G89" s="172"/>
      <c r="H89" s="172"/>
      <c r="I89" s="172"/>
      <c r="L89" s="5"/>
    </row>
    <row r="90" spans="1:12" x14ac:dyDescent="0.45">
      <c r="A90" s="11"/>
      <c r="B90" s="12"/>
      <c r="C90" s="172"/>
      <c r="D90" s="148"/>
      <c r="E90" s="172"/>
      <c r="F90" s="172"/>
      <c r="G90" s="172"/>
      <c r="H90" s="172"/>
      <c r="I90" s="172"/>
      <c r="L90" s="5"/>
    </row>
    <row r="91" spans="1:12" x14ac:dyDescent="0.45">
      <c r="A91" s="11"/>
      <c r="B91" s="12"/>
      <c r="C91" s="74"/>
      <c r="D91" s="5"/>
      <c r="E91" s="74"/>
      <c r="F91" s="74"/>
      <c r="G91" s="74"/>
      <c r="H91" s="74"/>
      <c r="I91" s="74"/>
      <c r="L91" s="5"/>
    </row>
    <row r="92" spans="1:12" x14ac:dyDescent="0.45">
      <c r="A92" s="11"/>
      <c r="B92" s="12"/>
      <c r="D92" s="5"/>
      <c r="E92" s="12"/>
      <c r="F92" s="12"/>
      <c r="G92" s="12"/>
      <c r="H92" s="12"/>
      <c r="I92" s="12"/>
      <c r="L92" s="5"/>
    </row>
    <row r="93" spans="1:12" x14ac:dyDescent="0.45">
      <c r="A93" s="16"/>
      <c r="B93" s="16"/>
      <c r="D93" s="5"/>
      <c r="E93" s="12"/>
      <c r="F93" s="12"/>
      <c r="G93" s="12"/>
      <c r="H93" s="12"/>
      <c r="I93" s="12"/>
      <c r="L93" s="5"/>
    </row>
    <row r="94" spans="1:12" x14ac:dyDescent="0.45">
      <c r="A94" s="11"/>
      <c r="B94" s="2"/>
      <c r="C94" s="171"/>
      <c r="D94" s="182"/>
      <c r="E94" s="171"/>
      <c r="F94" s="171"/>
      <c r="G94" s="12"/>
      <c r="H94" s="12"/>
      <c r="I94" s="12"/>
      <c r="L94" s="5"/>
    </row>
    <row r="95" spans="1:12" x14ac:dyDescent="0.45">
      <c r="A95" s="11"/>
      <c r="B95" s="12"/>
      <c r="C95" s="74"/>
      <c r="D95" s="148"/>
      <c r="E95" s="173"/>
      <c r="F95" s="174"/>
      <c r="G95" s="12"/>
      <c r="L95" s="5"/>
    </row>
    <row r="96" spans="1:12" x14ac:dyDescent="0.45">
      <c r="A96" s="11"/>
      <c r="B96" s="12"/>
      <c r="C96" s="74"/>
      <c r="D96" s="148"/>
      <c r="E96" s="173"/>
      <c r="F96" s="174"/>
      <c r="G96" s="12"/>
      <c r="L96" s="5"/>
    </row>
    <row r="97" spans="1:12" x14ac:dyDescent="0.45">
      <c r="A97" s="11"/>
      <c r="B97" s="12"/>
      <c r="C97" s="74"/>
      <c r="D97" s="148"/>
      <c r="E97" s="173"/>
      <c r="F97" s="174"/>
      <c r="G97" s="12"/>
      <c r="L97" s="5"/>
    </row>
    <row r="98" spans="1:12" x14ac:dyDescent="0.45">
      <c r="A98" s="11"/>
      <c r="B98" s="12"/>
      <c r="D98" s="148"/>
      <c r="E98" s="173"/>
      <c r="F98" s="5"/>
      <c r="G98" s="12"/>
      <c r="L98" s="5"/>
    </row>
    <row r="99" spans="1:12" x14ac:dyDescent="0.45">
      <c r="A99" s="11"/>
      <c r="B99" s="12"/>
      <c r="C99" s="5"/>
      <c r="D99" s="5"/>
      <c r="F99" s="174"/>
      <c r="G99" s="12"/>
      <c r="H99" s="12"/>
      <c r="I99" s="12"/>
      <c r="L99" s="5"/>
    </row>
    <row r="100" spans="1:12" x14ac:dyDescent="0.45">
      <c r="A100" s="11"/>
      <c r="B100" s="12"/>
      <c r="C100" s="19"/>
      <c r="D100" s="5"/>
      <c r="F100" s="173"/>
      <c r="G100" s="12"/>
      <c r="H100" s="12"/>
      <c r="I100" s="12"/>
      <c r="L100" s="5"/>
    </row>
    <row r="101" spans="1:12" ht="15.75" x14ac:dyDescent="0.5">
      <c r="A101" s="109"/>
      <c r="D101" s="5"/>
      <c r="L101" s="5"/>
    </row>
    <row r="102" spans="1:12" x14ac:dyDescent="0.45">
      <c r="D102" s="5"/>
      <c r="E102" s="2"/>
      <c r="F102" s="2"/>
      <c r="L102" s="5"/>
    </row>
    <row r="103" spans="1:12" x14ac:dyDescent="0.45">
      <c r="B103" s="2"/>
      <c r="C103" s="171"/>
      <c r="D103" s="182"/>
      <c r="E103" s="171"/>
      <c r="F103" s="171"/>
      <c r="G103" s="2"/>
      <c r="L103" s="5"/>
    </row>
    <row r="104" spans="1:12" x14ac:dyDescent="0.45">
      <c r="A104" s="11"/>
      <c r="B104" s="12"/>
      <c r="C104" s="172"/>
      <c r="D104" s="148"/>
      <c r="E104" s="172"/>
      <c r="F104" s="172"/>
      <c r="G104" s="172"/>
      <c r="L104" s="5"/>
    </row>
    <row r="105" spans="1:12" x14ac:dyDescent="0.45">
      <c r="A105" s="11"/>
      <c r="B105" s="12"/>
      <c r="C105" s="172"/>
      <c r="D105" s="148"/>
      <c r="E105" s="172"/>
      <c r="F105" s="172"/>
      <c r="G105" s="172"/>
      <c r="H105" s="5"/>
      <c r="I105" s="5"/>
      <c r="L105" s="5"/>
    </row>
    <row r="106" spans="1:12" x14ac:dyDescent="0.45">
      <c r="A106" s="11"/>
      <c r="B106" s="12"/>
      <c r="C106" s="5"/>
      <c r="D106" s="5"/>
      <c r="E106" s="74"/>
      <c r="F106" s="74"/>
      <c r="G106" s="74"/>
      <c r="L106" s="5"/>
    </row>
    <row r="107" spans="1:12" x14ac:dyDescent="0.45">
      <c r="A107" s="11"/>
      <c r="B107" s="12"/>
      <c r="D107" s="5"/>
      <c r="E107" s="12"/>
      <c r="F107" s="12"/>
      <c r="G107" s="12"/>
      <c r="H107" s="12"/>
      <c r="I107" s="12"/>
      <c r="L107" s="5"/>
    </row>
    <row r="108" spans="1:12" x14ac:dyDescent="0.45">
      <c r="A108" s="16"/>
      <c r="B108" s="16"/>
      <c r="D108" s="5"/>
      <c r="E108" s="12"/>
      <c r="F108" s="12"/>
      <c r="G108" s="12"/>
      <c r="H108" s="12"/>
      <c r="I108" s="12"/>
      <c r="L108" s="5"/>
    </row>
    <row r="109" spans="1:12" x14ac:dyDescent="0.45">
      <c r="A109" s="11"/>
      <c r="B109" s="2"/>
      <c r="C109" s="171"/>
      <c r="D109" s="182"/>
      <c r="E109" s="171"/>
      <c r="F109" s="171"/>
      <c r="G109" s="12"/>
      <c r="H109" s="12"/>
      <c r="I109" s="12"/>
      <c r="L109" s="5"/>
    </row>
    <row r="110" spans="1:12" x14ac:dyDescent="0.45">
      <c r="A110" s="11"/>
      <c r="B110" s="12"/>
      <c r="C110" s="74"/>
      <c r="D110" s="148"/>
      <c r="E110" s="173"/>
      <c r="F110" s="174"/>
      <c r="G110" s="12"/>
      <c r="H110" s="12"/>
      <c r="I110" s="12"/>
      <c r="L110" s="5"/>
    </row>
    <row r="111" spans="1:12" x14ac:dyDescent="0.45">
      <c r="A111" s="11"/>
      <c r="B111" s="12"/>
      <c r="C111" s="5"/>
      <c r="D111" s="148"/>
      <c r="E111" s="173"/>
      <c r="F111" s="5"/>
      <c r="G111" s="12"/>
      <c r="H111" s="12"/>
      <c r="I111" s="12"/>
      <c r="L111" s="5"/>
    </row>
    <row r="112" spans="1:12" x14ac:dyDescent="0.45">
      <c r="A112" s="11"/>
      <c r="B112" s="12"/>
      <c r="C112" s="5"/>
      <c r="D112" s="5"/>
      <c r="F112" s="174"/>
      <c r="G112" s="12"/>
      <c r="H112" s="12"/>
      <c r="I112" s="12"/>
      <c r="L112" s="5"/>
    </row>
    <row r="113" spans="4:12" x14ac:dyDescent="0.45">
      <c r="D113" s="5"/>
      <c r="L113" s="5"/>
    </row>
    <row r="114" spans="4:12" x14ac:dyDescent="0.45">
      <c r="D114" s="5"/>
      <c r="L114" s="5"/>
    </row>
    <row r="115" spans="4:12" x14ac:dyDescent="0.45">
      <c r="D115" s="5"/>
      <c r="L115" s="5"/>
    </row>
    <row r="116" spans="4:12" x14ac:dyDescent="0.45">
      <c r="D116" s="5"/>
      <c r="L116" s="5"/>
    </row>
    <row r="117" spans="4:12" x14ac:dyDescent="0.45">
      <c r="D117" s="5"/>
      <c r="L117" s="5"/>
    </row>
  </sheetData>
  <mergeCells count="1">
    <mergeCell ref="A2:I2"/>
  </mergeCells>
  <printOptions horizontalCentered="1"/>
  <pageMargins left="0.85" right="0.6" top="0.9" bottom="1" header="0.3" footer="0.3"/>
  <pageSetup scale="67" orientation="portrait" horizontalDpi="4294967293" r:id="rId1"/>
  <rowBreaks count="1" manualBreakCount="1">
    <brk id="47" max="10" man="1"/>
  </rowBreaks>
  <ignoredErrors>
    <ignoredError sqref="H65 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SAOw</vt:lpstr>
      <vt:lpstr>SAOs</vt:lpstr>
      <vt:lpstr>1c Reconciliation AR to TB</vt:lpstr>
      <vt:lpstr>Allocations</vt:lpstr>
      <vt:lpstr>Tap Fees</vt:lpstr>
      <vt:lpstr>Water Loss</vt:lpstr>
      <vt:lpstr>Depreciation</vt:lpstr>
      <vt:lpstr>Debt Service</vt:lpstr>
      <vt:lpstr>ExBAw</vt:lpstr>
      <vt:lpstr>ExBAs</vt:lpstr>
      <vt:lpstr>RatesW</vt:lpstr>
      <vt:lpstr>PropBAw</vt:lpstr>
      <vt:lpstr>PropBAs</vt:lpstr>
      <vt:lpstr>'Debt Service'!Print_Area</vt:lpstr>
      <vt:lpstr>Depreciation!Print_Area</vt:lpstr>
      <vt:lpstr>ExBAs!Print_Area</vt:lpstr>
      <vt:lpstr>ExBAw!Print_Area</vt:lpstr>
      <vt:lpstr>PropBAw!Print_Area</vt:lpstr>
      <vt:lpstr>RatesW!Print_Area</vt:lpstr>
      <vt:lpstr>SAOs!Print_Area</vt:lpstr>
      <vt:lpstr>SAOw!Print_Area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Robert Miller</cp:lastModifiedBy>
  <cp:revision/>
  <dcterms:created xsi:type="dcterms:W3CDTF">2016-05-18T14:12:06Z</dcterms:created>
  <dcterms:modified xsi:type="dcterms:W3CDTF">2024-02-15T19:24:19Z</dcterms:modified>
  <cp:category/>
  <cp:contentStatus/>
</cp:coreProperties>
</file>