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620783bd5d64abe/Peaks Mill WD/"/>
    </mc:Choice>
  </mc:AlternateContent>
  <xr:revisionPtr revIDLastSave="754" documentId="8_{DE7BA6DE-81D9-4E7E-8330-766003A5DBF2}" xr6:coauthVersionLast="47" xr6:coauthVersionMax="47" xr10:uidLastSave="{D5BD0E81-7B01-4B0D-8E40-1A16F35CEFC1}"/>
  <bookViews>
    <workbookView xWindow="-98" yWindow="-98" windowWidth="20715" windowHeight="13155" firstSheet="9" activeTab="9" xr2:uid="{0F1842A8-D1BD-41C7-BAE9-74C53D2D578E}"/>
  </bookViews>
  <sheets>
    <sheet name="SAO" sheetId="3" r:id="rId1"/>
    <sheet name="Adjustments" sheetId="16" r:id="rId2"/>
    <sheet name="Depreciation" sheetId="1" r:id="rId3"/>
    <sheet name="Debt Service" sheetId="5" r:id="rId4"/>
    <sheet name="Allocate Plant" sheetId="28" r:id="rId5"/>
    <sheet name="Matrix" sheetId="29" r:id="rId6"/>
    <sheet name="Allocate OM" sheetId="32" r:id="rId7"/>
    <sheet name="Summary of Allocations" sheetId="33" r:id="rId8"/>
    <sheet name="Units" sheetId="35" r:id="rId9"/>
    <sheet name="CalcRet" sheetId="34" r:id="rId10"/>
    <sheet name="Rates" sheetId="2" r:id="rId11"/>
    <sheet name="Customer Notice" sheetId="38" r:id="rId12"/>
    <sheet name="Bills" sheetId="36" r:id="rId13"/>
    <sheet name="Bills with Surcharge" sheetId="37" r:id="rId14"/>
    <sheet name="Usage" sheetId="31" r:id="rId15"/>
    <sheet name="ExBA" sheetId="10" r:id="rId16"/>
    <sheet name="PropBA" sheetId="15" r:id="rId17"/>
  </sheets>
  <externalReferences>
    <externalReference r:id="rId18"/>
    <externalReference r:id="rId19"/>
  </externalReferences>
  <definedNames>
    <definedName name="_xlnm.Print_Area" localSheetId="6">'Allocate OM'!$B$2:$J$36</definedName>
    <definedName name="_xlnm.Print_Area" localSheetId="4">'Allocate Plant'!$B$2:$K$33</definedName>
    <definedName name="_xlnm.Print_Area" localSheetId="12">Bills!$B$1:$I$31</definedName>
    <definedName name="_xlnm.Print_Area" localSheetId="13">'Bills with Surcharge'!$B$1:$I$32</definedName>
    <definedName name="_xlnm.Print_Area" localSheetId="9">CalcRet!$B$1:$H$45</definedName>
    <definedName name="_xlnm.Print_Area" localSheetId="11">'Customer Notice'!$A$1:$P$50</definedName>
    <definedName name="_xlnm.Print_Area" localSheetId="3">'Debt Service'!$B$2:$K$24</definedName>
    <definedName name="_xlnm.Print_Area" localSheetId="2">Depreciation!$C$3:$M$36</definedName>
    <definedName name="_xlnm.Print_Area" localSheetId="15">ExBA!$A$1:$J$27</definedName>
    <definedName name="_xlnm.Print_Area" localSheetId="5">Matrix!$B$1:$N$51</definedName>
    <definedName name="_xlnm.Print_Area" localSheetId="16">PropBA!$A$1:$J$65</definedName>
    <definedName name="_xlnm.Print_Area" localSheetId="10">Rates!$B$2:$M$45</definedName>
    <definedName name="_xlnm.Print_Area" localSheetId="0">SAO!$A$1:$K$66</definedName>
    <definedName name="_xlnm.Print_Area" localSheetId="7">'Summary of Allocations'!$B$2:$I$23</definedName>
    <definedName name="_xlnm.Print_Area" localSheetId="8">Units!$B$1:$K$40</definedName>
    <definedName name="_xlnm.Print_Area" localSheetId="14">Usage!$Z$1:$AF$30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5" l="1"/>
  <c r="F37" i="15"/>
  <c r="E18" i="36"/>
  <c r="H10" i="10"/>
  <c r="N48" i="38" l="1"/>
  <c r="D48" i="38"/>
  <c r="J48" i="38"/>
  <c r="T9" i="38"/>
  <c r="T8" i="38"/>
  <c r="T7" i="38"/>
  <c r="J6" i="38"/>
  <c r="F24" i="32"/>
  <c r="D24" i="32"/>
  <c r="D25" i="32"/>
  <c r="I39" i="1"/>
  <c r="F30" i="29" l="1"/>
  <c r="G30" i="29"/>
  <c r="R12" i="16"/>
  <c r="C37" i="29"/>
  <c r="F44" i="3"/>
  <c r="I43" i="3"/>
  <c r="C48" i="29" s="1"/>
  <c r="G43" i="3"/>
  <c r="G42" i="3"/>
  <c r="I36" i="3"/>
  <c r="C41" i="29" s="1"/>
  <c r="F41" i="29" s="1"/>
  <c r="F16" i="3" l="1"/>
  <c r="G9" i="10"/>
  <c r="G10" i="10" s="1"/>
  <c r="G9" i="3" s="1"/>
  <c r="I10" i="3" s="1"/>
  <c r="I62" i="3" s="1"/>
  <c r="I22" i="31"/>
  <c r="E22" i="31"/>
  <c r="M25" i="31"/>
  <c r="G7" i="10"/>
  <c r="R11" i="16" l="1"/>
  <c r="R10" i="16"/>
  <c r="R9" i="16"/>
  <c r="R8" i="16"/>
  <c r="R7" i="16"/>
  <c r="H22" i="31"/>
  <c r="D22" i="31"/>
  <c r="H16" i="35"/>
  <c r="F16" i="35"/>
  <c r="E16" i="35"/>
  <c r="D16" i="35"/>
  <c r="M26" i="31"/>
  <c r="C21" i="31"/>
  <c r="C18" i="31"/>
  <c r="C9" i="31"/>
  <c r="C8" i="31"/>
  <c r="C7" i="31"/>
  <c r="C6" i="31"/>
  <c r="C5" i="31"/>
  <c r="B21" i="31"/>
  <c r="B18" i="31"/>
  <c r="B9" i="31"/>
  <c r="B8" i="31"/>
  <c r="B7" i="31"/>
  <c r="B6" i="31"/>
  <c r="B5" i="31"/>
  <c r="D55" i="15"/>
  <c r="C55" i="15"/>
  <c r="D41" i="15"/>
  <c r="I19" i="31"/>
  <c r="H19" i="31"/>
  <c r="G11" i="31"/>
  <c r="F11" i="31"/>
  <c r="G10" i="31"/>
  <c r="F10" i="31"/>
  <c r="E21" i="31"/>
  <c r="D21" i="31"/>
  <c r="E19" i="31"/>
  <c r="D19" i="31"/>
  <c r="E18" i="31"/>
  <c r="D18" i="31"/>
  <c r="E17" i="31"/>
  <c r="D17" i="31"/>
  <c r="E16" i="31"/>
  <c r="D16" i="31"/>
  <c r="E15" i="31"/>
  <c r="D15" i="31"/>
  <c r="E11" i="31"/>
  <c r="D11" i="31"/>
  <c r="E10" i="31"/>
  <c r="D10" i="31"/>
  <c r="E9" i="31"/>
  <c r="D9" i="31"/>
  <c r="E8" i="31"/>
  <c r="D8" i="31"/>
  <c r="E7" i="31"/>
  <c r="D7" i="31"/>
  <c r="E6" i="31"/>
  <c r="D6" i="31"/>
  <c r="E5" i="31"/>
  <c r="D5" i="31"/>
  <c r="E13" i="31"/>
  <c r="D13" i="31"/>
  <c r="E12" i="31"/>
  <c r="D12" i="31"/>
  <c r="C10" i="31"/>
  <c r="B10" i="31"/>
  <c r="C22" i="31"/>
  <c r="C20" i="31"/>
  <c r="C19" i="31"/>
  <c r="C17" i="31"/>
  <c r="C15" i="31"/>
  <c r="B22" i="31"/>
  <c r="B20" i="31"/>
  <c r="B19" i="31"/>
  <c r="B17" i="31"/>
  <c r="C16" i="31"/>
  <c r="B16" i="31"/>
  <c r="B15" i="31"/>
  <c r="C14" i="31"/>
  <c r="B14" i="31"/>
  <c r="C13" i="31"/>
  <c r="B13" i="31"/>
  <c r="C12" i="31"/>
  <c r="B12" i="31"/>
  <c r="C11" i="31"/>
  <c r="B11" i="31"/>
  <c r="L37" i="29" l="1"/>
  <c r="C25" i="29"/>
  <c r="C24" i="29"/>
  <c r="C23" i="29"/>
  <c r="C22" i="29"/>
  <c r="C20" i="29"/>
  <c r="C17" i="29"/>
  <c r="C16" i="29"/>
  <c r="H16" i="29" s="1"/>
  <c r="C13" i="29"/>
  <c r="C10" i="29"/>
  <c r="C9" i="29"/>
  <c r="C8" i="29"/>
  <c r="C7" i="29"/>
  <c r="C6" i="29"/>
  <c r="C5" i="29"/>
  <c r="N11" i="16"/>
  <c r="M11" i="16"/>
  <c r="N10" i="16"/>
  <c r="M10" i="16"/>
  <c r="H31" i="29" l="1"/>
  <c r="H48" i="29" s="1"/>
  <c r="G31" i="29"/>
  <c r="G48" i="29" s="1"/>
  <c r="O11" i="16"/>
  <c r="O10" i="16"/>
  <c r="F16" i="29"/>
  <c r="G16" i="29"/>
  <c r="I19" i="1"/>
  <c r="G19" i="1"/>
  <c r="E17" i="28" s="1"/>
  <c r="I18" i="1"/>
  <c r="G18" i="1"/>
  <c r="E16" i="28" s="1"/>
  <c r="I17" i="1"/>
  <c r="G17" i="1"/>
  <c r="E15" i="28" s="1"/>
  <c r="I23" i="1"/>
  <c r="G23" i="1"/>
  <c r="E21" i="28" s="1"/>
  <c r="I27" i="1"/>
  <c r="G27" i="1"/>
  <c r="I26" i="1"/>
  <c r="G26" i="1"/>
  <c r="I32" i="1"/>
  <c r="G32" i="1"/>
  <c r="I31" i="1"/>
  <c r="G31" i="1"/>
  <c r="I30" i="1"/>
  <c r="G30" i="1"/>
  <c r="I14" i="1"/>
  <c r="L14" i="1" s="1"/>
  <c r="G14" i="1"/>
  <c r="E12" i="28" s="1"/>
  <c r="E24" i="28" l="1"/>
  <c r="I20" i="1"/>
  <c r="E27" i="28"/>
  <c r="G20" i="1"/>
  <c r="E18" i="28" s="1"/>
  <c r="F16" i="5"/>
  <c r="F15" i="5"/>
  <c r="F14" i="5"/>
  <c r="F13" i="5"/>
  <c r="F12" i="5"/>
  <c r="E16" i="5"/>
  <c r="E15" i="5"/>
  <c r="E14" i="5"/>
  <c r="E13" i="5"/>
  <c r="E12" i="5"/>
  <c r="D16" i="5"/>
  <c r="D15" i="5"/>
  <c r="D14" i="5"/>
  <c r="D13" i="5"/>
  <c r="D12" i="5"/>
  <c r="C16" i="5"/>
  <c r="C15" i="5"/>
  <c r="C14" i="5"/>
  <c r="C13" i="5"/>
  <c r="C12" i="5"/>
  <c r="I16" i="5"/>
  <c r="I15" i="5"/>
  <c r="I14" i="5"/>
  <c r="I13" i="5"/>
  <c r="I12" i="5"/>
  <c r="H16" i="5"/>
  <c r="H15" i="5"/>
  <c r="H14" i="5"/>
  <c r="H13" i="5"/>
  <c r="H12" i="5"/>
  <c r="G16" i="5"/>
  <c r="G15" i="5"/>
  <c r="G14" i="5"/>
  <c r="G13" i="5"/>
  <c r="G12" i="5"/>
  <c r="K32" i="1"/>
  <c r="L32" i="1" s="1"/>
  <c r="K31" i="1"/>
  <c r="K30" i="1"/>
  <c r="K27" i="1"/>
  <c r="G26" i="32" s="1"/>
  <c r="K26" i="1"/>
  <c r="K23" i="1"/>
  <c r="L23" i="1" s="1"/>
  <c r="K19" i="1"/>
  <c r="L19" i="1" s="1"/>
  <c r="K18" i="1"/>
  <c r="E19" i="37"/>
  <c r="E20" i="37" s="1"/>
  <c r="E18" i="37"/>
  <c r="E12" i="37"/>
  <c r="E13" i="37" s="1"/>
  <c r="E14" i="37" s="1"/>
  <c r="E15" i="37" s="1"/>
  <c r="E16" i="37" s="1"/>
  <c r="E11" i="37"/>
  <c r="E19" i="36"/>
  <c r="E17" i="36"/>
  <c r="E11" i="36"/>
  <c r="E12" i="36" s="1"/>
  <c r="E13" i="36" s="1"/>
  <c r="E14" i="36" s="1"/>
  <c r="E15" i="36" s="1"/>
  <c r="E10" i="36"/>
  <c r="H26" i="32" l="1"/>
  <c r="L18" i="1"/>
  <c r="E26" i="32"/>
  <c r="L27" i="1"/>
  <c r="L30" i="1"/>
  <c r="L31" i="1"/>
  <c r="L26" i="1"/>
  <c r="J16" i="5"/>
  <c r="J15" i="5"/>
  <c r="J14" i="5"/>
  <c r="J13" i="5"/>
  <c r="K17" i="1"/>
  <c r="K20" i="1"/>
  <c r="I34" i="1"/>
  <c r="L39" i="1" s="1"/>
  <c r="G46" i="3" s="1"/>
  <c r="E24" i="37"/>
  <c r="E25" i="37" s="1"/>
  <c r="E26" i="37" s="1"/>
  <c r="E27" i="37" s="1"/>
  <c r="E21" i="37"/>
  <c r="E22" i="37" s="1"/>
  <c r="E23" i="36"/>
  <c r="E24" i="36" s="1"/>
  <c r="E25" i="36" s="1"/>
  <c r="E26" i="36" s="1"/>
  <c r="E20" i="36"/>
  <c r="E21" i="36" s="1"/>
  <c r="R15" i="2"/>
  <c r="R14" i="2"/>
  <c r="C57" i="15"/>
  <c r="D56" i="15"/>
  <c r="C56" i="15"/>
  <c r="D20" i="15"/>
  <c r="C20" i="15"/>
  <c r="D19" i="15"/>
  <c r="C19" i="15"/>
  <c r="D18" i="15"/>
  <c r="C18" i="15"/>
  <c r="R13" i="2"/>
  <c r="H24" i="28"/>
  <c r="H29" i="28" s="1"/>
  <c r="I27" i="28"/>
  <c r="J29" i="28"/>
  <c r="G21" i="28"/>
  <c r="F17" i="28"/>
  <c r="F16" i="28"/>
  <c r="G15" i="28"/>
  <c r="F12" i="28"/>
  <c r="G18" i="28"/>
  <c r="F11" i="35"/>
  <c r="D11" i="35"/>
  <c r="F26" i="32" l="1"/>
  <c r="G34" i="1"/>
  <c r="E35" i="28" s="1"/>
  <c r="L20" i="1"/>
  <c r="K34" i="1"/>
  <c r="L17" i="1"/>
  <c r="G29" i="28"/>
  <c r="E29" i="28"/>
  <c r="F29" i="28"/>
  <c r="I29" i="28"/>
  <c r="I23" i="32"/>
  <c r="H17" i="29"/>
  <c r="J6" i="29"/>
  <c r="F10" i="29"/>
  <c r="H13" i="29"/>
  <c r="D9" i="29"/>
  <c r="D8" i="29"/>
  <c r="J8" i="29" s="1"/>
  <c r="G24" i="29"/>
  <c r="H23" i="29"/>
  <c r="H22" i="29"/>
  <c r="H21" i="29"/>
  <c r="H20" i="29"/>
  <c r="F35" i="28" l="1"/>
  <c r="L34" i="1"/>
  <c r="G45" i="3" s="1"/>
  <c r="I46" i="3" s="1"/>
  <c r="D26" i="32" s="1"/>
  <c r="K26" i="32" l="1"/>
  <c r="I37" i="3"/>
  <c r="C44" i="29" s="1"/>
  <c r="I18" i="5"/>
  <c r="H18" i="5"/>
  <c r="G18" i="5"/>
  <c r="F18" i="5"/>
  <c r="E18" i="5"/>
  <c r="D18" i="5"/>
  <c r="C18" i="5"/>
  <c r="J12" i="5"/>
  <c r="D19" i="32" l="1"/>
  <c r="I19" i="32" s="1"/>
  <c r="K19" i="32" s="1"/>
  <c r="H44" i="29"/>
  <c r="J44" i="29" s="1"/>
  <c r="J18" i="5"/>
  <c r="J21" i="5" s="1"/>
  <c r="M18" i="5"/>
  <c r="J23" i="5" l="1"/>
  <c r="E32" i="28" s="1"/>
  <c r="I55" i="3"/>
  <c r="G23" i="3"/>
  <c r="G47" i="3" s="1"/>
  <c r="I47" i="3" s="1"/>
  <c r="W8" i="16"/>
  <c r="W7" i="16"/>
  <c r="O16" i="16"/>
  <c r="O22" i="16" s="1"/>
  <c r="N9" i="16"/>
  <c r="M9" i="16"/>
  <c r="N8" i="16"/>
  <c r="M8" i="16"/>
  <c r="N7" i="16"/>
  <c r="M7" i="16"/>
  <c r="E37" i="28" l="1"/>
  <c r="F37" i="28" s="1"/>
  <c r="D13" i="33"/>
  <c r="M23" i="5"/>
  <c r="I56" i="3"/>
  <c r="O7" i="16"/>
  <c r="W11" i="16"/>
  <c r="G30" i="3" s="1"/>
  <c r="O9" i="16"/>
  <c r="O8" i="16"/>
  <c r="D18" i="32" l="1"/>
  <c r="I33" i="3"/>
  <c r="C43" i="29" s="1"/>
  <c r="O12" i="16"/>
  <c r="O15" i="16" s="1"/>
  <c r="G13" i="3"/>
  <c r="I12" i="3"/>
  <c r="I40" i="3"/>
  <c r="C46" i="29" s="1"/>
  <c r="I39" i="3"/>
  <c r="X14" i="31"/>
  <c r="X13" i="31"/>
  <c r="X12" i="31"/>
  <c r="X11" i="31"/>
  <c r="X10" i="31"/>
  <c r="X9" i="31"/>
  <c r="M22" i="31"/>
  <c r="X22" i="31" s="1"/>
  <c r="M21" i="31"/>
  <c r="X21" i="31" s="1"/>
  <c r="M20" i="31"/>
  <c r="X20" i="31" s="1"/>
  <c r="M19" i="31"/>
  <c r="X19" i="31" s="1"/>
  <c r="M18" i="31"/>
  <c r="X18" i="31" s="1"/>
  <c r="M17" i="31"/>
  <c r="X17" i="31" s="1"/>
  <c r="M16" i="31"/>
  <c r="X16" i="31" s="1"/>
  <c r="M15" i="31"/>
  <c r="X15" i="31" s="1"/>
  <c r="K22" i="31"/>
  <c r="J21" i="31"/>
  <c r="K20" i="31"/>
  <c r="J20" i="31"/>
  <c r="J19" i="31"/>
  <c r="J18" i="31"/>
  <c r="K17" i="31"/>
  <c r="J17" i="31"/>
  <c r="J16" i="31"/>
  <c r="K15" i="31"/>
  <c r="J15" i="31"/>
  <c r="K14" i="31"/>
  <c r="J14" i="31"/>
  <c r="J13" i="31"/>
  <c r="K12" i="31"/>
  <c r="J12" i="31"/>
  <c r="K9" i="31"/>
  <c r="J9" i="31"/>
  <c r="J8" i="31"/>
  <c r="K7" i="31"/>
  <c r="J7" i="31"/>
  <c r="K6" i="31"/>
  <c r="K5" i="31"/>
  <c r="J5" i="31"/>
  <c r="J22" i="31"/>
  <c r="K21" i="31"/>
  <c r="K18" i="31"/>
  <c r="K16" i="31"/>
  <c r="K13" i="31"/>
  <c r="K11" i="31"/>
  <c r="C40" i="15"/>
  <c r="D39" i="15"/>
  <c r="C39" i="15"/>
  <c r="K8" i="31"/>
  <c r="K19" i="31"/>
  <c r="F43" i="29" l="1"/>
  <c r="F18" i="32" s="1"/>
  <c r="G43" i="29"/>
  <c r="H43" i="29"/>
  <c r="I18" i="32" s="1"/>
  <c r="I15" i="3"/>
  <c r="I59" i="3" s="1"/>
  <c r="G16" i="3"/>
  <c r="D18" i="33"/>
  <c r="D15" i="10"/>
  <c r="P9" i="31"/>
  <c r="Y9" i="31" s="1"/>
  <c r="K10" i="31"/>
  <c r="D17" i="10" s="1"/>
  <c r="D12" i="35"/>
  <c r="C38" i="15"/>
  <c r="J11" i="31"/>
  <c r="C18" i="10" s="1"/>
  <c r="I26" i="31"/>
  <c r="D57" i="15"/>
  <c r="D40" i="15"/>
  <c r="F12" i="35"/>
  <c r="D38" i="15"/>
  <c r="J6" i="31"/>
  <c r="C15" i="10" s="1"/>
  <c r="J10" i="31"/>
  <c r="C17" i="10" s="1"/>
  <c r="D18" i="10"/>
  <c r="C16" i="10"/>
  <c r="D16" i="10"/>
  <c r="T21" i="31"/>
  <c r="D21" i="32"/>
  <c r="I21" i="32" s="1"/>
  <c r="K21" i="32" s="1"/>
  <c r="H46" i="29"/>
  <c r="J46" i="29" s="1"/>
  <c r="L43" i="29"/>
  <c r="G18" i="32" s="1"/>
  <c r="J43" i="29" l="1"/>
  <c r="I16" i="3"/>
  <c r="S21" i="31"/>
  <c r="S27" i="31" s="1"/>
  <c r="N9" i="31"/>
  <c r="T27" i="31"/>
  <c r="M43" i="29"/>
  <c r="H18" i="32" s="1"/>
  <c r="K18" i="32" s="1"/>
  <c r="K43" i="34"/>
  <c r="K42" i="34"/>
  <c r="K41" i="34"/>
  <c r="U21" i="31" l="1"/>
  <c r="H36" i="35"/>
  <c r="H35" i="35"/>
  <c r="H34" i="35"/>
  <c r="G16" i="35"/>
  <c r="I16" i="35" s="1"/>
  <c r="E11" i="35"/>
  <c r="J17" i="35"/>
  <c r="E15" i="35"/>
  <c r="E12" i="35"/>
  <c r="G12" i="35" s="1"/>
  <c r="H12" i="35" s="1"/>
  <c r="D17" i="35" l="1"/>
  <c r="H15" i="35"/>
  <c r="H14" i="35"/>
  <c r="E17" i="35"/>
  <c r="F17" i="35"/>
  <c r="G11" i="35"/>
  <c r="I17" i="35" l="1"/>
  <c r="G24" i="35" s="1"/>
  <c r="G17" i="35"/>
  <c r="H11" i="35"/>
  <c r="H17" i="35" s="1"/>
  <c r="G23" i="35" s="1"/>
  <c r="G26" i="35" l="1"/>
  <c r="B64" i="15" l="1"/>
  <c r="B63" i="15"/>
  <c r="B62" i="15"/>
  <c r="G54" i="15"/>
  <c r="F54" i="15"/>
  <c r="E54" i="15"/>
  <c r="G37" i="15"/>
  <c r="B48" i="15"/>
  <c r="B47" i="15"/>
  <c r="E57" i="15" l="1"/>
  <c r="F57" i="15"/>
  <c r="D20" i="33"/>
  <c r="C21" i="15" l="1"/>
  <c r="D21" i="15"/>
  <c r="G23" i="31" l="1"/>
  <c r="F23" i="31"/>
  <c r="C41" i="15"/>
  <c r="G41" i="15" s="1"/>
  <c r="I23" i="31"/>
  <c r="H23" i="31"/>
  <c r="G37" i="35" s="1"/>
  <c r="A10" i="31"/>
  <c r="A11" i="31" s="1"/>
  <c r="A12" i="31" s="1"/>
  <c r="A13" i="31" s="1"/>
  <c r="A14" i="31" s="1"/>
  <c r="K44" i="34" l="1"/>
  <c r="H37" i="35"/>
  <c r="I25" i="31"/>
  <c r="E56" i="15"/>
  <c r="S22" i="31"/>
  <c r="T22" i="31"/>
  <c r="T28" i="31" s="1"/>
  <c r="D23" i="31"/>
  <c r="C23" i="31"/>
  <c r="B23" i="31"/>
  <c r="E23" i="31"/>
  <c r="G33" i="35" l="1"/>
  <c r="K40" i="34" s="1"/>
  <c r="E25" i="31"/>
  <c r="G32" i="35"/>
  <c r="J24" i="31"/>
  <c r="C25" i="31"/>
  <c r="K24" i="31"/>
  <c r="M27" i="31" s="1"/>
  <c r="C58" i="15"/>
  <c r="C62" i="15" s="1"/>
  <c r="C65" i="15" s="1"/>
  <c r="D8" i="15" s="1"/>
  <c r="T10" i="31"/>
  <c r="T26" i="31" s="1"/>
  <c r="U26" i="31" s="1"/>
  <c r="S28" i="31"/>
  <c r="V28" i="31" s="1"/>
  <c r="R22" i="31"/>
  <c r="E55" i="15"/>
  <c r="D58" i="15"/>
  <c r="U22" i="31"/>
  <c r="N10" i="31"/>
  <c r="N11" i="31" s="1"/>
  <c r="N12" i="31" s="1"/>
  <c r="N13" i="31" s="1"/>
  <c r="N14" i="31" s="1"/>
  <c r="N15" i="31" s="1"/>
  <c r="N16" i="31" s="1"/>
  <c r="N17" i="31" s="1"/>
  <c r="N18" i="31" s="1"/>
  <c r="N19" i="31" s="1"/>
  <c r="S10" i="31"/>
  <c r="K23" i="31"/>
  <c r="V21" i="31" s="1"/>
  <c r="J23" i="31"/>
  <c r="P10" i="31"/>
  <c r="H33" i="35" l="1"/>
  <c r="P11" i="31"/>
  <c r="Q11" i="31" s="1"/>
  <c r="Y10" i="31"/>
  <c r="N20" i="31"/>
  <c r="O19" i="31"/>
  <c r="K39" i="34"/>
  <c r="H32" i="35"/>
  <c r="G38" i="35"/>
  <c r="D34" i="34" s="1"/>
  <c r="V10" i="31"/>
  <c r="U28" i="31"/>
  <c r="W28" i="31" s="1"/>
  <c r="W29" i="31" s="1"/>
  <c r="F25" i="35" s="1"/>
  <c r="H25" i="35" s="1"/>
  <c r="G10" i="34" s="1"/>
  <c r="G21" i="34" s="1"/>
  <c r="U27" i="31"/>
  <c r="V27" i="31" s="1"/>
  <c r="V29" i="31" s="1"/>
  <c r="F24" i="35" s="1"/>
  <c r="H24" i="35" s="1"/>
  <c r="F10" i="34" s="1"/>
  <c r="U10" i="31"/>
  <c r="S26" i="31"/>
  <c r="G55" i="15"/>
  <c r="J55" i="15" s="1"/>
  <c r="T29" i="31"/>
  <c r="V22" i="31"/>
  <c r="Q10" i="31"/>
  <c r="Q9" i="31"/>
  <c r="O13" i="31"/>
  <c r="O12" i="31"/>
  <c r="O15" i="31"/>
  <c r="O11" i="31"/>
  <c r="O16" i="31"/>
  <c r="O10" i="31"/>
  <c r="O14" i="31"/>
  <c r="O9" i="31"/>
  <c r="O18" i="31"/>
  <c r="O17" i="31"/>
  <c r="H38" i="35" l="1"/>
  <c r="E34" i="34" s="1"/>
  <c r="N21" i="31"/>
  <c r="O20" i="31"/>
  <c r="Y11" i="31"/>
  <c r="P12" i="31"/>
  <c r="F14" i="34"/>
  <c r="F21" i="34"/>
  <c r="U29" i="31"/>
  <c r="G14" i="34"/>
  <c r="F23" i="35" l="1"/>
  <c r="F26" i="35" s="1"/>
  <c r="Y29" i="31"/>
  <c r="P13" i="31"/>
  <c r="Y12" i="31"/>
  <c r="Q12" i="31"/>
  <c r="N22" i="31"/>
  <c r="O22" i="31" s="1"/>
  <c r="O21" i="31"/>
  <c r="G41" i="29"/>
  <c r="E41" i="29"/>
  <c r="D41" i="29"/>
  <c r="H39" i="29"/>
  <c r="G39" i="29"/>
  <c r="E39" i="29"/>
  <c r="J22" i="29"/>
  <c r="J21" i="29"/>
  <c r="J20" i="29"/>
  <c r="J14" i="29"/>
  <c r="J12" i="29"/>
  <c r="J11" i="29"/>
  <c r="J24" i="29"/>
  <c r="J23" i="29"/>
  <c r="J19" i="29"/>
  <c r="J18" i="29"/>
  <c r="J17" i="29"/>
  <c r="J16" i="29"/>
  <c r="J15" i="29"/>
  <c r="J13" i="29"/>
  <c r="J10" i="29"/>
  <c r="J9" i="29"/>
  <c r="F48" i="29"/>
  <c r="E48" i="29"/>
  <c r="D48" i="29"/>
  <c r="H47" i="29"/>
  <c r="G47" i="29"/>
  <c r="F47" i="29"/>
  <c r="E47" i="29"/>
  <c r="D47" i="29"/>
  <c r="G45" i="29"/>
  <c r="F45" i="29"/>
  <c r="E45" i="29"/>
  <c r="D45" i="29"/>
  <c r="C26" i="29"/>
  <c r="H23" i="35" l="1"/>
  <c r="E10" i="34" s="1"/>
  <c r="D10" i="34" s="1"/>
  <c r="P14" i="31"/>
  <c r="Y13" i="31"/>
  <c r="Q13" i="31"/>
  <c r="J47" i="29"/>
  <c r="G23" i="32"/>
  <c r="K23" i="32" s="1"/>
  <c r="L48" i="29"/>
  <c r="J41" i="29"/>
  <c r="G22" i="32"/>
  <c r="L47" i="29"/>
  <c r="J48" i="29"/>
  <c r="J25" i="29"/>
  <c r="E14" i="34" l="1"/>
  <c r="D14" i="34" s="1"/>
  <c r="E15" i="34" s="1"/>
  <c r="E21" i="34"/>
  <c r="H26" i="35"/>
  <c r="P15" i="31"/>
  <c r="Y14" i="31"/>
  <c r="Q14" i="31"/>
  <c r="E11" i="34"/>
  <c r="G11" i="34"/>
  <c r="F11" i="34"/>
  <c r="J30" i="28"/>
  <c r="J32" i="28" s="1"/>
  <c r="H30" i="28"/>
  <c r="H32" i="28" s="1"/>
  <c r="G13" i="33" s="1"/>
  <c r="I30" i="28"/>
  <c r="I32" i="28" s="1"/>
  <c r="H13" i="33" s="1"/>
  <c r="P16" i="31" l="1"/>
  <c r="Y15" i="31"/>
  <c r="Q15" i="31"/>
  <c r="D11" i="34"/>
  <c r="F15" i="34"/>
  <c r="G15" i="34"/>
  <c r="P17" i="31" l="1"/>
  <c r="Y16" i="31"/>
  <c r="Q16" i="31"/>
  <c r="D15" i="34"/>
  <c r="F30" i="28"/>
  <c r="P18" i="31" l="1"/>
  <c r="Y17" i="31"/>
  <c r="Q17" i="31"/>
  <c r="F32" i="28"/>
  <c r="E13" i="33" s="1"/>
  <c r="M29" i="28"/>
  <c r="N29" i="28" s="1"/>
  <c r="P19" i="31" l="1"/>
  <c r="Y18" i="31"/>
  <c r="Q18" i="31"/>
  <c r="G30" i="28"/>
  <c r="P20" i="31" l="1"/>
  <c r="Q19" i="31"/>
  <c r="Y19" i="31"/>
  <c r="E30" i="28"/>
  <c r="G32" i="28"/>
  <c r="F13" i="33" s="1"/>
  <c r="P21" i="31" l="1"/>
  <c r="Q20" i="31"/>
  <c r="Y20" i="31"/>
  <c r="M32" i="28"/>
  <c r="N32" i="28" s="1"/>
  <c r="I28" i="3"/>
  <c r="C40" i="29" l="1"/>
  <c r="F40" i="29" s="1"/>
  <c r="J40" i="29" s="1"/>
  <c r="Y21" i="31"/>
  <c r="Q21" i="31"/>
  <c r="P22" i="31"/>
  <c r="B49" i="15"/>
  <c r="B46" i="15"/>
  <c r="H37" i="15"/>
  <c r="B29" i="15"/>
  <c r="B28" i="15"/>
  <c r="B27" i="15"/>
  <c r="B26" i="15"/>
  <c r="H17" i="15"/>
  <c r="G17" i="15"/>
  <c r="F17" i="15"/>
  <c r="E17" i="15"/>
  <c r="D16" i="32" l="1"/>
  <c r="E16" i="32" s="1"/>
  <c r="K16" i="32" s="1"/>
  <c r="Y22" i="31"/>
  <c r="Q22" i="31"/>
  <c r="G57" i="15"/>
  <c r="F40" i="15"/>
  <c r="E40" i="15"/>
  <c r="E38" i="15"/>
  <c r="J38" i="15" s="1"/>
  <c r="E18" i="15"/>
  <c r="J18" i="15" s="1"/>
  <c r="G21" i="15"/>
  <c r="C42" i="15"/>
  <c r="C46" i="15" s="1"/>
  <c r="C50" i="15" s="1"/>
  <c r="E39" i="15"/>
  <c r="F39" i="15" s="1"/>
  <c r="F41" i="15"/>
  <c r="E41" i="15"/>
  <c r="E21" i="15"/>
  <c r="F21" i="15"/>
  <c r="G40" i="15" l="1"/>
  <c r="G42" i="15" s="1"/>
  <c r="D48" i="15" s="1"/>
  <c r="J57" i="15"/>
  <c r="G58" i="15"/>
  <c r="D64" i="15" s="1"/>
  <c r="F56" i="15"/>
  <c r="F58" i="15" s="1"/>
  <c r="D63" i="15" s="1"/>
  <c r="E58" i="15"/>
  <c r="D62" i="15" s="1"/>
  <c r="E19" i="15"/>
  <c r="F19" i="15" s="1"/>
  <c r="J19" i="15" s="1"/>
  <c r="F20" i="15"/>
  <c r="E20" i="15"/>
  <c r="E42" i="15"/>
  <c r="D46" i="15" s="1"/>
  <c r="C22" i="15"/>
  <c r="D6" i="15" s="1"/>
  <c r="H41" i="15"/>
  <c r="J41" i="15" s="1"/>
  <c r="D42" i="15"/>
  <c r="E7" i="15" s="1"/>
  <c r="D7" i="15"/>
  <c r="F42" i="15"/>
  <c r="D47" i="15" s="1"/>
  <c r="D22" i="15"/>
  <c r="E6" i="15" s="1"/>
  <c r="J39" i="15"/>
  <c r="H21" i="15"/>
  <c r="H22" i="15" s="1"/>
  <c r="D29" i="15" s="1"/>
  <c r="J40" i="15" l="1"/>
  <c r="J42" i="15" s="1"/>
  <c r="E22" i="15"/>
  <c r="D26" i="15" s="1"/>
  <c r="D65" i="15"/>
  <c r="E8" i="15" s="1"/>
  <c r="J56" i="15"/>
  <c r="J58" i="15" s="1"/>
  <c r="H42" i="15"/>
  <c r="D49" i="15" s="1"/>
  <c r="D50" i="15" s="1"/>
  <c r="D9" i="15"/>
  <c r="C26" i="15"/>
  <c r="C30" i="15" s="1"/>
  <c r="F22" i="15"/>
  <c r="D27" i="15" s="1"/>
  <c r="G20" i="15"/>
  <c r="J21" i="15"/>
  <c r="E9" i="15" l="1"/>
  <c r="G22" i="15"/>
  <c r="D28" i="15" s="1"/>
  <c r="D30" i="15" s="1"/>
  <c r="J20" i="15"/>
  <c r="J22" i="15" s="1"/>
  <c r="G18" i="33" l="1"/>
  <c r="O19" i="16" l="1"/>
  <c r="D19" i="33" l="1"/>
  <c r="G19" i="33" l="1"/>
  <c r="I41" i="3"/>
  <c r="C47" i="29" s="1"/>
  <c r="I38" i="3"/>
  <c r="I22" i="3"/>
  <c r="I29" i="3"/>
  <c r="C42" i="29" s="1"/>
  <c r="D23" i="32"/>
  <c r="C45" i="29" l="1"/>
  <c r="D20" i="32" s="1"/>
  <c r="I20" i="32" s="1"/>
  <c r="K20" i="32" s="1"/>
  <c r="C36" i="29"/>
  <c r="D13" i="32" s="1"/>
  <c r="H42" i="29"/>
  <c r="J42" i="29" s="1"/>
  <c r="D17" i="32"/>
  <c r="I17" i="32" s="1"/>
  <c r="K17" i="32" s="1"/>
  <c r="H36" i="29"/>
  <c r="H45" i="29"/>
  <c r="J45" i="29" s="1"/>
  <c r="J12" i="2"/>
  <c r="I13" i="32" l="1"/>
  <c r="K13" i="32" s="1"/>
  <c r="J36" i="29"/>
  <c r="O21" i="16"/>
  <c r="D22" i="32" l="1"/>
  <c r="K22" i="32"/>
  <c r="O23" i="16"/>
  <c r="O17" i="16"/>
  <c r="G20" i="3" s="1"/>
  <c r="H14" i="10"/>
  <c r="G14" i="10"/>
  <c r="C28" i="29"/>
  <c r="I21" i="3" l="1"/>
  <c r="F48" i="3"/>
  <c r="C35" i="29" l="1"/>
  <c r="I11" i="32"/>
  <c r="D12" i="32"/>
  <c r="D11" i="32"/>
  <c r="G35" i="29" l="1"/>
  <c r="F35" i="29"/>
  <c r="F11" i="32" s="1"/>
  <c r="F25" i="32" s="1"/>
  <c r="D5" i="29"/>
  <c r="D7" i="29"/>
  <c r="D37" i="29"/>
  <c r="F7" i="29"/>
  <c r="F5" i="29"/>
  <c r="F26" i="29" s="1"/>
  <c r="F37" i="29"/>
  <c r="H7" i="29"/>
  <c r="H5" i="29"/>
  <c r="H26" i="29" s="1"/>
  <c r="H37" i="29"/>
  <c r="G5" i="29"/>
  <c r="G37" i="29"/>
  <c r="G49" i="29" s="1"/>
  <c r="G7" i="29"/>
  <c r="E5" i="29"/>
  <c r="E7" i="29"/>
  <c r="E37" i="29"/>
  <c r="E49" i="29" s="1"/>
  <c r="M35" i="29"/>
  <c r="J35" i="29"/>
  <c r="J37" i="29" l="1"/>
  <c r="E26" i="29"/>
  <c r="G26" i="29"/>
  <c r="J7" i="29"/>
  <c r="J5" i="29"/>
  <c r="D26" i="29"/>
  <c r="H11" i="32"/>
  <c r="H25" i="32" s="1"/>
  <c r="I12" i="32"/>
  <c r="I27" i="32" s="1"/>
  <c r="D28" i="32" s="1"/>
  <c r="H49" i="29"/>
  <c r="L35" i="29"/>
  <c r="I26" i="29" l="1"/>
  <c r="I28" i="29" s="1"/>
  <c r="J26" i="29"/>
  <c r="J28" i="29" s="1"/>
  <c r="L49" i="29"/>
  <c r="G11" i="32"/>
  <c r="G25" i="32" s="1"/>
  <c r="K25" i="32" s="1"/>
  <c r="E15" i="10"/>
  <c r="G18" i="10"/>
  <c r="B25" i="10"/>
  <c r="G12" i="32" l="1"/>
  <c r="M37" i="29"/>
  <c r="K11" i="32"/>
  <c r="E14" i="10"/>
  <c r="F14" i="10"/>
  <c r="B23" i="10"/>
  <c r="B24" i="10"/>
  <c r="B26" i="10"/>
  <c r="C19" i="10"/>
  <c r="D15" i="16"/>
  <c r="D12" i="16"/>
  <c r="G27" i="32" l="1"/>
  <c r="H12" i="32"/>
  <c r="H27" i="32" s="1"/>
  <c r="M49" i="29"/>
  <c r="N49" i="29" s="1"/>
  <c r="F17" i="10"/>
  <c r="C23" i="10"/>
  <c r="F23" i="10" s="1"/>
  <c r="E6" i="10"/>
  <c r="G70" i="3" s="1"/>
  <c r="I58" i="3"/>
  <c r="E16" i="10"/>
  <c r="F16" i="10" s="1"/>
  <c r="E17" i="10"/>
  <c r="E18" i="10"/>
  <c r="E15" i="16"/>
  <c r="E17" i="16" s="1"/>
  <c r="C16" i="16"/>
  <c r="D19" i="10"/>
  <c r="F18" i="10"/>
  <c r="J15" i="10"/>
  <c r="F49" i="3"/>
  <c r="K12" i="32" l="1"/>
  <c r="H18" i="10"/>
  <c r="H19" i="10" s="1"/>
  <c r="G24" i="3"/>
  <c r="G27" i="3"/>
  <c r="I27" i="3" s="1"/>
  <c r="C39" i="29" s="1"/>
  <c r="G17" i="10"/>
  <c r="G19" i="10" s="1"/>
  <c r="C27" i="10"/>
  <c r="F6" i="10"/>
  <c r="F19" i="10"/>
  <c r="J16" i="10"/>
  <c r="E19" i="10"/>
  <c r="I26" i="3" l="1"/>
  <c r="G44" i="3"/>
  <c r="G48" i="3" s="1"/>
  <c r="G49" i="3" s="1"/>
  <c r="G69" i="3"/>
  <c r="G71" i="3" s="1"/>
  <c r="J44" i="2" s="1"/>
  <c r="D39" i="29"/>
  <c r="D26" i="10"/>
  <c r="F26" i="10" s="1"/>
  <c r="D25" i="10"/>
  <c r="F25" i="10" s="1"/>
  <c r="D24" i="10"/>
  <c r="F24" i="10" s="1"/>
  <c r="D23" i="10"/>
  <c r="J18" i="10"/>
  <c r="J17" i="10"/>
  <c r="C38" i="29" l="1"/>
  <c r="I44" i="3"/>
  <c r="I48" i="3"/>
  <c r="C49" i="29"/>
  <c r="D15" i="32"/>
  <c r="F15" i="32" s="1"/>
  <c r="K15" i="32" s="1"/>
  <c r="D38" i="29"/>
  <c r="D14" i="32"/>
  <c r="F27" i="10"/>
  <c r="G6" i="10" s="1"/>
  <c r="G8" i="10" s="1"/>
  <c r="D27" i="10"/>
  <c r="J19" i="10"/>
  <c r="C51" i="29" l="1"/>
  <c r="D27" i="32"/>
  <c r="E14" i="32"/>
  <c r="J39" i="29"/>
  <c r="F49" i="29"/>
  <c r="J38" i="29"/>
  <c r="D49" i="29"/>
  <c r="I54" i="3"/>
  <c r="I57" i="3" s="1"/>
  <c r="I61" i="3" s="1"/>
  <c r="F12" i="15" l="1"/>
  <c r="D29" i="32"/>
  <c r="H31" i="32" s="1"/>
  <c r="H33" i="32" s="1"/>
  <c r="H35" i="32" s="1"/>
  <c r="H12" i="33" s="1"/>
  <c r="H14" i="33" s="1"/>
  <c r="D12" i="33"/>
  <c r="J49" i="29"/>
  <c r="J51" i="29" s="1"/>
  <c r="I49" i="29"/>
  <c r="I51" i="29" s="1"/>
  <c r="K14" i="32"/>
  <c r="E27" i="32"/>
  <c r="G31" i="32" l="1"/>
  <c r="G33" i="32" s="1"/>
  <c r="G35" i="32" s="1"/>
  <c r="G12" i="33" s="1"/>
  <c r="G14" i="33" s="1"/>
  <c r="E31" i="32"/>
  <c r="E33" i="32" s="1"/>
  <c r="E35" i="32" s="1"/>
  <c r="E12" i="33" s="1"/>
  <c r="F27" i="32" l="1"/>
  <c r="E14" i="33"/>
  <c r="F31" i="32" l="1"/>
  <c r="K27" i="32"/>
  <c r="F33" i="32" l="1"/>
  <c r="D31" i="32"/>
  <c r="F35" i="32" l="1"/>
  <c r="D33" i="32"/>
  <c r="D35" i="32" s="1"/>
  <c r="D38" i="32" s="1"/>
  <c r="K33" i="32"/>
  <c r="F12" i="33" l="1"/>
  <c r="K35" i="32"/>
  <c r="K38" i="32" s="1"/>
  <c r="F14" i="33" l="1"/>
  <c r="F15" i="33"/>
  <c r="F20" i="33" s="1"/>
  <c r="F22" i="33" l="1"/>
  <c r="J14" i="33"/>
  <c r="G15" i="33"/>
  <c r="G20" i="33" s="1"/>
  <c r="G22" i="33" s="1"/>
  <c r="D14" i="33"/>
  <c r="D22" i="33" s="1"/>
  <c r="H15" i="33"/>
  <c r="E15" i="33"/>
  <c r="K14" i="33" l="1"/>
  <c r="J15" i="33"/>
  <c r="H20" i="33"/>
  <c r="H22" i="33" s="1"/>
  <c r="E33" i="34" s="1"/>
  <c r="E35" i="34" s="1"/>
  <c r="E20" i="33"/>
  <c r="E22" i="33" s="1"/>
  <c r="D18" i="34"/>
  <c r="D33" i="34"/>
  <c r="F42" i="34" l="1"/>
  <c r="F44" i="34"/>
  <c r="F40" i="34"/>
  <c r="F41" i="34"/>
  <c r="F43" i="34"/>
  <c r="F39" i="34"/>
  <c r="G18" i="34"/>
  <c r="E18" i="34"/>
  <c r="F18" i="34"/>
  <c r="J33" i="34"/>
  <c r="D35" i="34"/>
  <c r="D17" i="34" l="1"/>
  <c r="J22" i="33"/>
  <c r="K22" i="33" s="1"/>
  <c r="I18" i="34"/>
  <c r="D42" i="34"/>
  <c r="G42" i="34" s="1"/>
  <c r="D41" i="34"/>
  <c r="G41" i="34" s="1"/>
  <c r="D40" i="34"/>
  <c r="G40" i="34" s="1"/>
  <c r="D44" i="34"/>
  <c r="G44" i="34" s="1"/>
  <c r="D39" i="34"/>
  <c r="G39" i="34" s="1"/>
  <c r="D43" i="34"/>
  <c r="G43" i="34" s="1"/>
  <c r="F17" i="34" l="1"/>
  <c r="F19" i="34" s="1"/>
  <c r="F23" i="34" s="1"/>
  <c r="F25" i="34" s="1"/>
  <c r="G17" i="34"/>
  <c r="G19" i="34" s="1"/>
  <c r="G23" i="34" s="1"/>
  <c r="G25" i="34" s="1"/>
  <c r="E17" i="34"/>
  <c r="D19" i="34"/>
  <c r="J34" i="34" s="1"/>
  <c r="L42" i="34"/>
  <c r="L43" i="34"/>
  <c r="L41" i="34"/>
  <c r="L39" i="34"/>
  <c r="L44" i="34"/>
  <c r="L40" i="34"/>
  <c r="L9" i="38" l="1"/>
  <c r="N9" i="38" s="1"/>
  <c r="O9" i="38" s="1"/>
  <c r="L16" i="38"/>
  <c r="L44" i="38"/>
  <c r="N44" i="38" s="1"/>
  <c r="O44" i="38" s="1"/>
  <c r="L37" i="38"/>
  <c r="N37" i="38" s="1"/>
  <c r="O37" i="38" s="1"/>
  <c r="L30" i="38"/>
  <c r="N30" i="38" s="1"/>
  <c r="O30" i="38" s="1"/>
  <c r="L23" i="38"/>
  <c r="N23" i="38" s="1"/>
  <c r="O23" i="38" s="1"/>
  <c r="L17" i="38"/>
  <c r="N17" i="38" s="1"/>
  <c r="O17" i="38" s="1"/>
  <c r="L10" i="38"/>
  <c r="N10" i="38" s="1"/>
  <c r="O10" i="38" s="1"/>
  <c r="L40" i="2"/>
  <c r="E63" i="15" s="1"/>
  <c r="I17" i="34"/>
  <c r="E19" i="34"/>
  <c r="L15" i="2"/>
  <c r="L41" i="2" s="1"/>
  <c r="E64" i="15" s="1"/>
  <c r="L21" i="2"/>
  <c r="E49" i="15" s="1"/>
  <c r="F49" i="15" s="1"/>
  <c r="L45" i="34"/>
  <c r="N16" i="38" l="1"/>
  <c r="O16" i="38" s="1"/>
  <c r="L45" i="38"/>
  <c r="N45" i="38" s="1"/>
  <c r="O45" i="38" s="1"/>
  <c r="L31" i="38"/>
  <c r="N31" i="38" s="1"/>
  <c r="O31" i="38" s="1"/>
  <c r="L38" i="38"/>
  <c r="N38" i="38" s="1"/>
  <c r="O38" i="38" s="1"/>
  <c r="L24" i="38"/>
  <c r="N24" i="38" s="1"/>
  <c r="O24" i="38" s="1"/>
  <c r="L20" i="2"/>
  <c r="E48" i="15" s="1"/>
  <c r="F48" i="15" s="1"/>
  <c r="L14" i="2"/>
  <c r="E28" i="15" s="1"/>
  <c r="F28" i="15" s="1"/>
  <c r="L25" i="2"/>
  <c r="L35" i="2"/>
  <c r="L30" i="2"/>
  <c r="F63" i="15"/>
  <c r="E29" i="15"/>
  <c r="F29" i="15" s="1"/>
  <c r="L26" i="2"/>
  <c r="L31" i="2"/>
  <c r="L36" i="2"/>
  <c r="F64" i="15" s="1"/>
  <c r="I19" i="34"/>
  <c r="E23" i="34"/>
  <c r="E25" i="34" s="1"/>
  <c r="L14" i="38" l="1"/>
  <c r="N14" i="38" s="1"/>
  <c r="O14" i="38" s="1"/>
  <c r="L13" i="38"/>
  <c r="L18" i="2"/>
  <c r="L7" i="38"/>
  <c r="L6" i="38"/>
  <c r="L41" i="38"/>
  <c r="L27" i="38"/>
  <c r="N27" i="38" s="1"/>
  <c r="O27" i="38" s="1"/>
  <c r="L20" i="38"/>
  <c r="N20" i="38" s="1"/>
  <c r="O20" i="38" s="1"/>
  <c r="L34" i="38"/>
  <c r="N34" i="38" s="1"/>
  <c r="O34" i="38" s="1"/>
  <c r="L34" i="2"/>
  <c r="L39" i="2"/>
  <c r="L29" i="2"/>
  <c r="L19" i="2"/>
  <c r="L13" i="2"/>
  <c r="E27" i="15" s="1"/>
  <c r="F27" i="15" s="1"/>
  <c r="L24" i="2"/>
  <c r="L12" i="2"/>
  <c r="U8" i="38" l="1"/>
  <c r="V8" i="38" s="1"/>
  <c r="W8" i="38" s="1"/>
  <c r="E47" i="15"/>
  <c r="F47" i="15" s="1"/>
  <c r="F19" i="37"/>
  <c r="F19" i="36"/>
  <c r="F11" i="37"/>
  <c r="G11" i="37" s="1"/>
  <c r="H11" i="37" s="1"/>
  <c r="F18" i="36"/>
  <c r="U9" i="38"/>
  <c r="V9" i="38" s="1"/>
  <c r="W9" i="38" s="1"/>
  <c r="N41" i="38"/>
  <c r="O41" i="38" s="1"/>
  <c r="N7" i="38"/>
  <c r="O7" i="38" s="1"/>
  <c r="N13" i="38"/>
  <c r="O13" i="38" s="1"/>
  <c r="U7" i="38"/>
  <c r="V7" i="38" s="1"/>
  <c r="W7" i="38" s="1"/>
  <c r="N6" i="38"/>
  <c r="O6" i="38" s="1"/>
  <c r="F18" i="37"/>
  <c r="G18" i="37" s="1"/>
  <c r="H18" i="37" s="1"/>
  <c r="F23" i="36"/>
  <c r="F24" i="36" s="1"/>
  <c r="F24" i="37"/>
  <c r="S13" i="2"/>
  <c r="T13" i="2" s="1"/>
  <c r="U13" i="2" s="1"/>
  <c r="F10" i="36"/>
  <c r="S14" i="2"/>
  <c r="T14" i="2" s="1"/>
  <c r="U14" i="2" s="1"/>
  <c r="F17" i="36"/>
  <c r="G17" i="36" s="1"/>
  <c r="H17" i="36" s="1"/>
  <c r="E62" i="15"/>
  <c r="F62" i="15" s="1"/>
  <c r="F65" i="15" s="1"/>
  <c r="F8" i="15" s="1"/>
  <c r="S15" i="2"/>
  <c r="T15" i="2" s="1"/>
  <c r="U15" i="2" s="1"/>
  <c r="E26" i="15"/>
  <c r="F26" i="15" s="1"/>
  <c r="F30" i="15" s="1"/>
  <c r="F6" i="15" s="1"/>
  <c r="E46" i="15"/>
  <c r="F46" i="15" s="1"/>
  <c r="F50" i="15" l="1"/>
  <c r="F7" i="15" s="1"/>
  <c r="F9" i="15" s="1"/>
  <c r="F12" i="37"/>
  <c r="G12" i="37" s="1"/>
  <c r="H12" i="37" s="1"/>
  <c r="G23" i="36"/>
  <c r="H23" i="36" s="1"/>
  <c r="F25" i="37"/>
  <c r="G24" i="37"/>
  <c r="H24" i="37" s="1"/>
  <c r="F20" i="37"/>
  <c r="G19" i="37"/>
  <c r="H19" i="37" s="1"/>
  <c r="F13" i="37"/>
  <c r="F25" i="36"/>
  <c r="G24" i="36"/>
  <c r="H24" i="36" s="1"/>
  <c r="G18" i="36"/>
  <c r="H18" i="36" s="1"/>
  <c r="F11" i="36"/>
  <c r="G10" i="36"/>
  <c r="H10" i="36" s="1"/>
  <c r="F14" i="37" l="1"/>
  <c r="G13" i="37"/>
  <c r="H13" i="37" s="1"/>
  <c r="F21" i="37"/>
  <c r="G20" i="37"/>
  <c r="H20" i="37" s="1"/>
  <c r="F26" i="37"/>
  <c r="G25" i="37"/>
  <c r="H25" i="37" s="1"/>
  <c r="F12" i="36"/>
  <c r="G11" i="36"/>
  <c r="H11" i="36" s="1"/>
  <c r="F20" i="36"/>
  <c r="G19" i="36"/>
  <c r="H19" i="36" s="1"/>
  <c r="F26" i="36"/>
  <c r="G26" i="36" s="1"/>
  <c r="H26" i="36" s="1"/>
  <c r="G25" i="36"/>
  <c r="H25" i="36" s="1"/>
  <c r="F27" i="37" l="1"/>
  <c r="G27" i="37" s="1"/>
  <c r="H27" i="37" s="1"/>
  <c r="G26" i="37"/>
  <c r="H26" i="37" s="1"/>
  <c r="F22" i="37"/>
  <c r="G22" i="37" s="1"/>
  <c r="H22" i="37" s="1"/>
  <c r="G21" i="37"/>
  <c r="H21" i="37" s="1"/>
  <c r="F15" i="37"/>
  <c r="G14" i="37"/>
  <c r="H14" i="37" s="1"/>
  <c r="F21" i="36"/>
  <c r="G21" i="36" s="1"/>
  <c r="H21" i="36" s="1"/>
  <c r="G20" i="36"/>
  <c r="H20" i="36" s="1"/>
  <c r="F13" i="36"/>
  <c r="G12" i="36"/>
  <c r="H12" i="36" s="1"/>
  <c r="F16" i="37" l="1"/>
  <c r="G16" i="37" s="1"/>
  <c r="H16" i="37" s="1"/>
  <c r="G15" i="37"/>
  <c r="H15" i="37" s="1"/>
  <c r="F14" i="36"/>
  <c r="G13" i="36"/>
  <c r="H13" i="36" s="1"/>
  <c r="F15" i="36" l="1"/>
  <c r="G15" i="36" s="1"/>
  <c r="H15" i="36" s="1"/>
  <c r="G14" i="36"/>
  <c r="H14" i="36" s="1"/>
  <c r="I49" i="3"/>
  <c r="I63" i="3"/>
  <c r="I64" i="3" s="1"/>
  <c r="F10" i="15" s="1"/>
  <c r="F11" i="15" s="1"/>
  <c r="F13" i="15" l="1"/>
  <c r="G13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Alan Vilines</author>
  </authors>
  <commentList>
    <comment ref="D46" authorId="0" shapeId="0" xr:uid="{807BC59E-BC40-49FA-91C9-DA84E64C450A}">
      <text>
        <r>
          <rPr>
            <b/>
            <sz val="9"/>
            <color indexed="81"/>
            <rFont val="Tahoma"/>
            <family val="2"/>
          </rPr>
          <t>Alan Vilines:</t>
        </r>
        <r>
          <rPr>
            <sz val="9"/>
            <color indexed="81"/>
            <rFont val="Tahoma"/>
            <family val="2"/>
          </rPr>
          <t xml:space="preserve">
from Purch Water 2020 spreadsheet
</t>
        </r>
      </text>
    </comment>
  </commentList>
</comments>
</file>

<file path=xl/sharedStrings.xml><?xml version="1.0" encoding="utf-8"?>
<sst xmlns="http://schemas.openxmlformats.org/spreadsheetml/2006/main" count="985" uniqueCount="412">
  <si>
    <t>Table B</t>
  </si>
  <si>
    <t>DEPRECIATION EXPENSE ADJUSTMENTS</t>
  </si>
  <si>
    <t>TOTALS</t>
  </si>
  <si>
    <t>Date in</t>
  </si>
  <si>
    <t>Service</t>
  </si>
  <si>
    <t>various</t>
  </si>
  <si>
    <t>Original</t>
  </si>
  <si>
    <t>Life</t>
  </si>
  <si>
    <t>Depr. Exp.</t>
  </si>
  <si>
    <t>Adjustment</t>
  </si>
  <si>
    <t>Operating Revenues</t>
  </si>
  <si>
    <t>Total Operating Revenues</t>
  </si>
  <si>
    <t>Operating Expenses</t>
  </si>
  <si>
    <t>Total Operating Expenses</t>
  </si>
  <si>
    <t>Pro Forma Operating Expenses</t>
  </si>
  <si>
    <t>Required Revenue Increase</t>
  </si>
  <si>
    <t>Percent Increase</t>
  </si>
  <si>
    <t>Operation and Maintenance</t>
  </si>
  <si>
    <t>Total Operation and Mnt. Expenses</t>
  </si>
  <si>
    <t>Depreciation Expense</t>
  </si>
  <si>
    <t>Taxes Other Than Income</t>
  </si>
  <si>
    <t>Salaries and Wages - Employees</t>
  </si>
  <si>
    <t>Salaries and Wages - Officers</t>
  </si>
  <si>
    <t>Employee Pensions and Benefits</t>
  </si>
  <si>
    <t>Purchased Power</t>
  </si>
  <si>
    <t>Miscellaneous Expenses</t>
  </si>
  <si>
    <t>Additional Working Capital</t>
  </si>
  <si>
    <t>Adjustments</t>
  </si>
  <si>
    <t>SCHEDULE OF ADJUSTED OPERATIONS</t>
  </si>
  <si>
    <t>Net Utility Operating Income</t>
  </si>
  <si>
    <t>Total Revenue Requirement</t>
  </si>
  <si>
    <t>Revenue from Sales at Present Rates</t>
  </si>
  <si>
    <t>Forfeited Discounts</t>
  </si>
  <si>
    <t>Misc. Service Revenues</t>
  </si>
  <si>
    <t>Other Water Revenues:</t>
  </si>
  <si>
    <t>Depreciation</t>
  </si>
  <si>
    <t>Expense</t>
  </si>
  <si>
    <t>DEBT SERVICE SCHDULE</t>
  </si>
  <si>
    <t>Principal</t>
  </si>
  <si>
    <t>Interest</t>
  </si>
  <si>
    <t>Totals</t>
  </si>
  <si>
    <t>REVENUE REQUIREMENTS</t>
  </si>
  <si>
    <t>Table A</t>
  </si>
  <si>
    <t>Ref.</t>
  </si>
  <si>
    <t>Revenue</t>
  </si>
  <si>
    <t>Avg. Annual Principal and Interest Payments</t>
  </si>
  <si>
    <t>Gallons Sold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</si>
  <si>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</si>
  <si>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</si>
  <si>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</si>
  <si>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</si>
  <si>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</si>
  <si>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</si>
  <si>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</si>
  <si>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</si>
  <si>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</si>
  <si>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Reported</t>
  </si>
  <si>
    <t>Interest Income</t>
  </si>
  <si>
    <t>Water Loss Adjustment:</t>
  </si>
  <si>
    <t>Produced &amp; Purchased</t>
  </si>
  <si>
    <t>Sold</t>
  </si>
  <si>
    <t>Uses:</t>
  </si>
  <si>
    <t xml:space="preserve">  WTP</t>
  </si>
  <si>
    <t xml:space="preserve">  Flushing</t>
  </si>
  <si>
    <t xml:space="preserve">  Fire</t>
  </si>
  <si>
    <t xml:space="preserve">  Other</t>
  </si>
  <si>
    <t>Line Brks.</t>
  </si>
  <si>
    <t>Line Leaks</t>
  </si>
  <si>
    <t xml:space="preserve">  water loss percentage</t>
  </si>
  <si>
    <t>check</t>
  </si>
  <si>
    <t xml:space="preserve">  allowable in rates</t>
  </si>
  <si>
    <t>NEXT</t>
  </si>
  <si>
    <t>First</t>
  </si>
  <si>
    <t>Next</t>
  </si>
  <si>
    <t>Over</t>
  </si>
  <si>
    <t>No. of Bills</t>
  </si>
  <si>
    <t>gallons</t>
  </si>
  <si>
    <t>Minimum Bill</t>
  </si>
  <si>
    <t>per 1,000 gallons</t>
  </si>
  <si>
    <t>Gallons</t>
  </si>
  <si>
    <t>Bill</t>
  </si>
  <si>
    <t>CURRENT RATE SCHEDULE</t>
  </si>
  <si>
    <t>CURRENT AND PROPOSED RATES</t>
  </si>
  <si>
    <t>Pro Forma</t>
  </si>
  <si>
    <t>Test Year</t>
  </si>
  <si>
    <t xml:space="preserve">  SUMMARY  </t>
  </si>
  <si>
    <t>Cost *</t>
  </si>
  <si>
    <t xml:space="preserve">   Plus:</t>
  </si>
  <si>
    <t xml:space="preserve">   Less:</t>
  </si>
  <si>
    <t>A</t>
  </si>
  <si>
    <t>B</t>
  </si>
  <si>
    <t>C</t>
  </si>
  <si>
    <t>E</t>
  </si>
  <si>
    <t>F</t>
  </si>
  <si>
    <t>Revenue Required From Water Sales</t>
  </si>
  <si>
    <t>5/8" x 3/4" METERS</t>
  </si>
  <si>
    <t>1" METERS</t>
  </si>
  <si>
    <t xml:space="preserve">     5/8" X 3/4" Meters</t>
  </si>
  <si>
    <t xml:space="preserve">     1" Meters</t>
  </si>
  <si>
    <t>1" Meters</t>
  </si>
  <si>
    <t>2" Meters</t>
  </si>
  <si>
    <t>Pro Forma Salaries &amp; Wages Expense</t>
  </si>
  <si>
    <t xml:space="preserve"> </t>
  </si>
  <si>
    <t>Pro Forma Salaries and Wages Expense</t>
  </si>
  <si>
    <t>Times: 7.65 Percent FICA Rate</t>
  </si>
  <si>
    <t>Pro Forma Payroll Taxes</t>
  </si>
  <si>
    <t>Less: Test Year Payroll Taxes</t>
  </si>
  <si>
    <t>Payroll Tax Adjustment</t>
  </si>
  <si>
    <t>Salaries &amp; Wages and Associated Adjustments</t>
  </si>
  <si>
    <t>Pro Forma Salaries &amp; Wages Adj'mt</t>
  </si>
  <si>
    <t>D</t>
  </si>
  <si>
    <t>Meter Size</t>
  </si>
  <si>
    <t>Proposed</t>
  </si>
  <si>
    <t>Bad Debt</t>
  </si>
  <si>
    <t>1-1/2" Meters</t>
  </si>
  <si>
    <t>3" Meters</t>
  </si>
  <si>
    <t>Total Retail Metered Sales</t>
  </si>
  <si>
    <t>Addition to Depreciation Expense:</t>
  </si>
  <si>
    <t>Chemicals</t>
  </si>
  <si>
    <t>Insurance</t>
  </si>
  <si>
    <t>Total Pro Forma Sales Revenue</t>
  </si>
  <si>
    <t>Entire Group</t>
  </si>
  <si>
    <t>Remainder of Group</t>
  </si>
  <si>
    <t>Bills</t>
  </si>
  <si>
    <t>Size</t>
  </si>
  <si>
    <t>General</t>
  </si>
  <si>
    <t>Supply</t>
  </si>
  <si>
    <t>Tanks</t>
  </si>
  <si>
    <t>Customer</t>
  </si>
  <si>
    <t xml:space="preserve">     TOTALS</t>
  </si>
  <si>
    <t>Table F</t>
  </si>
  <si>
    <t>ALLOCATION OF PLANT VALUE AND DEBT SERVICE</t>
  </si>
  <si>
    <t>Total</t>
  </si>
  <si>
    <t>Values</t>
  </si>
  <si>
    <t>Treatment</t>
  </si>
  <si>
    <t>Services</t>
  </si>
  <si>
    <t>Hydrants</t>
  </si>
  <si>
    <t>Plant Value Percentages</t>
  </si>
  <si>
    <t>AS REPORTED:</t>
  </si>
  <si>
    <t>Trans &amp; Dist</t>
  </si>
  <si>
    <t>Admin</t>
  </si>
  <si>
    <t>Sal &amp; Wages - Empl</t>
  </si>
  <si>
    <t>Sal &amp; Wages - Comm</t>
  </si>
  <si>
    <t>Empl. Pen &amp; Bene</t>
  </si>
  <si>
    <t>Purch Water</t>
  </si>
  <si>
    <t>Purch Power</t>
  </si>
  <si>
    <t>Mat'ls &amp; Supplies</t>
  </si>
  <si>
    <t>Contr Serv - Acct.</t>
  </si>
  <si>
    <t>Contr Serv - Legal</t>
  </si>
  <si>
    <t>Contr Serv - Testing</t>
  </si>
  <si>
    <t>Contr Serv - Other</t>
  </si>
  <si>
    <t>Rentals - Bldg</t>
  </si>
  <si>
    <t>Rentals - Equip</t>
  </si>
  <si>
    <t>Transportation</t>
  </si>
  <si>
    <t>Ins - Gen Liab</t>
  </si>
  <si>
    <t>Ins - Workers Comp</t>
  </si>
  <si>
    <t>Ins -  Other</t>
  </si>
  <si>
    <t>Advertising</t>
  </si>
  <si>
    <t>Miscellaneous</t>
  </si>
  <si>
    <t>PRO FORMA</t>
  </si>
  <si>
    <t>Empl. Pen &amp; Ben + Taxes</t>
  </si>
  <si>
    <t>Salaries &amp; Wages</t>
  </si>
  <si>
    <t>Employee Benefits + Taxes</t>
  </si>
  <si>
    <t>Contr Serv - Engr.</t>
  </si>
  <si>
    <t>Table E</t>
  </si>
  <si>
    <t>Table G</t>
  </si>
  <si>
    <t>5/8/ x 3/4" Meters</t>
  </si>
  <si>
    <t>Up to:</t>
  </si>
  <si>
    <t>Usage</t>
  </si>
  <si>
    <t>Avg.</t>
  </si>
  <si>
    <t>BY BLOCKS</t>
  </si>
  <si>
    <t>Billing &amp;</t>
  </si>
  <si>
    <t>Meters &amp;</t>
  </si>
  <si>
    <t>Admin. &amp;</t>
  </si>
  <si>
    <t>Commodity</t>
  </si>
  <si>
    <t>Demand</t>
  </si>
  <si>
    <t>Collecting</t>
  </si>
  <si>
    <t>Salaries - Officers (A &amp; G)</t>
  </si>
  <si>
    <t>Misc. Expense</t>
  </si>
  <si>
    <t xml:space="preserve">     Less Admin. &amp; General</t>
  </si>
  <si>
    <t>Total w/o A &amp; G</t>
  </si>
  <si>
    <t>Percentages w/o A &amp; G</t>
  </si>
  <si>
    <t>Allocation of Admin. &amp; General</t>
  </si>
  <si>
    <t>Total O &amp; M Expense Allocations</t>
  </si>
  <si>
    <t>Operation &amp; Maintenance Expenses</t>
  </si>
  <si>
    <t xml:space="preserve">     Allocation Percentages</t>
  </si>
  <si>
    <t>Less:</t>
  </si>
  <si>
    <t xml:space="preserve">     Forfeited Discounts</t>
  </si>
  <si>
    <t xml:space="preserve">     Miscellaneous Service Revenues</t>
  </si>
  <si>
    <t xml:space="preserve">   Interest Income</t>
  </si>
  <si>
    <t>Commodity Percentages</t>
  </si>
  <si>
    <t>Demand Weighting Factor</t>
  </si>
  <si>
    <t>Demand Weighted Sales</t>
  </si>
  <si>
    <t>Demand Percentages</t>
  </si>
  <si>
    <t>Commodity Costs</t>
  </si>
  <si>
    <t>Demand Costs</t>
  </si>
  <si>
    <t xml:space="preserve">     Total Costs</t>
  </si>
  <si>
    <t>CALCULATED USAGE RATES</t>
  </si>
  <si>
    <t>PROPOSED USAGE RATES</t>
  </si>
  <si>
    <t>(adjusted per Billing Analysis to result in required revenue)</t>
  </si>
  <si>
    <t>CALCULATION OF CUSTOMER CHARGES:</t>
  </si>
  <si>
    <t>Expenses to be Allocated</t>
  </si>
  <si>
    <t>No. of Bills or Equivalents</t>
  </si>
  <si>
    <t>Unit Cost of Service</t>
  </si>
  <si>
    <t>Ratio</t>
  </si>
  <si>
    <t>Charge</t>
  </si>
  <si>
    <t>5/8 x 3/4"</t>
  </si>
  <si>
    <t>1"</t>
  </si>
  <si>
    <t>1-1/2"</t>
  </si>
  <si>
    <t>2"</t>
  </si>
  <si>
    <t>3"</t>
  </si>
  <si>
    <t>Number of Services and Equivalents:</t>
  </si>
  <si>
    <t>Meter</t>
  </si>
  <si>
    <t>No. of</t>
  </si>
  <si>
    <t>Equivalents</t>
  </si>
  <si>
    <t>10,000</t>
  </si>
  <si>
    <t>No. of Gallons Sold x 1,000</t>
  </si>
  <si>
    <t>UNITS OF SERVICE</t>
  </si>
  <si>
    <t>Adjustment for Minimum Bill Usage:</t>
  </si>
  <si>
    <t>Gallons Not Used By Block</t>
  </si>
  <si>
    <t>Min. Bills</t>
  </si>
  <si>
    <t>Allowed</t>
  </si>
  <si>
    <t>Used</t>
  </si>
  <si>
    <t>Not Used</t>
  </si>
  <si>
    <t>0 - 10</t>
  </si>
  <si>
    <t>Water Usage By Block:</t>
  </si>
  <si>
    <t>Annual</t>
  </si>
  <si>
    <t>Adjusted</t>
  </si>
  <si>
    <t>Block</t>
  </si>
  <si>
    <t>Sales</t>
  </si>
  <si>
    <t>for Min.</t>
  </si>
  <si>
    <t xml:space="preserve"> 0 - 10</t>
  </si>
  <si>
    <t>Service Bills</t>
  </si>
  <si>
    <t>Adjusted Commodity Sales</t>
  </si>
  <si>
    <t>no. of min. bills:</t>
  </si>
  <si>
    <t>revenue</t>
  </si>
  <si>
    <t>CUMULATIVE BILLED USAGE</t>
  </si>
  <si>
    <t>PROPOSED RATE SCHEDULE</t>
  </si>
  <si>
    <t>5/8 x 3/4</t>
  </si>
  <si>
    <t>Present</t>
  </si>
  <si>
    <t>Change ($)</t>
  </si>
  <si>
    <t>Change %</t>
  </si>
  <si>
    <t>VCB Meters</t>
  </si>
  <si>
    <t>4" Meters</t>
  </si>
  <si>
    <t>PEAKS MILL WATER DISTRICT</t>
  </si>
  <si>
    <t>Purchased Water</t>
  </si>
  <si>
    <t>Contractual Services - Other</t>
  </si>
  <si>
    <t>Contractual Services - Acct.</t>
  </si>
  <si>
    <t>Insurance - General Liability</t>
  </si>
  <si>
    <t>Insurance - Other</t>
  </si>
  <si>
    <t>Advertising Expenses</t>
  </si>
  <si>
    <t>Rental of Bldg/Real Property</t>
  </si>
  <si>
    <t>Peaks Mill Water District</t>
  </si>
  <si>
    <t>WL adjmt req'd</t>
  </si>
  <si>
    <t xml:space="preserve"> ALL METERS</t>
  </si>
  <si>
    <t xml:space="preserve">     All Meters</t>
  </si>
  <si>
    <t xml:space="preserve">     Less:  Applicable Billing Adjustments</t>
  </si>
  <si>
    <t xml:space="preserve">Pro Forma </t>
  </si>
  <si>
    <t>Employee</t>
  </si>
  <si>
    <t>Reg. Hrs</t>
  </si>
  <si>
    <t>O. T. Hours</t>
  </si>
  <si>
    <t>Wage Rate</t>
  </si>
  <si>
    <t>Reg. Wages</t>
  </si>
  <si>
    <t>O. T. Wages</t>
  </si>
  <si>
    <t>Wages</t>
  </si>
  <si>
    <t>Andrea Breeck</t>
  </si>
  <si>
    <t>Nancy Sherrow</t>
  </si>
  <si>
    <t>Roseanne Wise</t>
  </si>
  <si>
    <t>Test Year Salaries &amp; Wages Exp</t>
  </si>
  <si>
    <t>New Meter Installations:</t>
  </si>
  <si>
    <t>No.</t>
  </si>
  <si>
    <t>3/4" meters</t>
  </si>
  <si>
    <t>1" meters</t>
  </si>
  <si>
    <t>Contractual Serv. adjustment</t>
  </si>
  <si>
    <t>KIA Loan</t>
  </si>
  <si>
    <t>Fees</t>
  </si>
  <si>
    <t xml:space="preserve">                        5 Year Average Principal &amp; Interest </t>
  </si>
  <si>
    <t xml:space="preserve">                         5 Year Average Coverage</t>
  </si>
  <si>
    <t>1997 Bonds (91-03)</t>
  </si>
  <si>
    <t>1997 Bonds (91-05)</t>
  </si>
  <si>
    <t>Pro forma</t>
  </si>
  <si>
    <t>Asset</t>
  </si>
  <si>
    <t>Pumps, Lines &amp; Meters</t>
  </si>
  <si>
    <t>Pumping Plant</t>
  </si>
  <si>
    <t>Metering Equipment</t>
  </si>
  <si>
    <t>Trailer</t>
  </si>
  <si>
    <t>*  Only includes the costs of assets that contribute to depreciation expense in the test year.</t>
  </si>
  <si>
    <t>WL adj</t>
  </si>
  <si>
    <t>Surcharge</t>
  </si>
  <si>
    <t>Contr Services - Acct</t>
  </si>
  <si>
    <t>Contr Services - Other</t>
  </si>
  <si>
    <t>4"</t>
  </si>
  <si>
    <t>10 - 100</t>
  </si>
  <si>
    <t>Over 100</t>
  </si>
  <si>
    <t>100 +</t>
  </si>
  <si>
    <t>Master Meter</t>
  </si>
  <si>
    <t>Land &amp; Land Rights</t>
  </si>
  <si>
    <t>Revenue Required from Water Sales</t>
  </si>
  <si>
    <t>All Meters</t>
  </si>
  <si>
    <t>SUMMARY OF ALLOCATIONS</t>
  </si>
  <si>
    <t>90,000</t>
  </si>
  <si>
    <t>100,000</t>
  </si>
  <si>
    <t>5/8 x 3/4" Meters</t>
  </si>
  <si>
    <t>4" METERS</t>
  </si>
  <si>
    <t>Water Sales Billed</t>
  </si>
  <si>
    <t>Total Proposed Sales Revenue</t>
  </si>
  <si>
    <t xml:space="preserve">     4" Meters</t>
  </si>
  <si>
    <t>CALCULATION OF WATER RATES</t>
  </si>
  <si>
    <t>EXISTING AND PROPOSED BILLS</t>
  </si>
  <si>
    <t>Existing</t>
  </si>
  <si>
    <t>per Month*</t>
  </si>
  <si>
    <t>Change</t>
  </si>
  <si>
    <t>* Highlighted usage represents the average bill for meter size.</t>
  </si>
  <si>
    <t>Bill **</t>
  </si>
  <si>
    <t>Table C</t>
  </si>
  <si>
    <t>Table D</t>
  </si>
  <si>
    <t>% Change</t>
  </si>
  <si>
    <t>Water Loss Reduction Surcharge</t>
  </si>
  <si>
    <t>per customer</t>
  </si>
  <si>
    <t>Appendix A</t>
  </si>
  <si>
    <t>TABLE J</t>
  </si>
  <si>
    <t>including Water Loss Reduction Surcharge</t>
  </si>
  <si>
    <t>** Bills do not include water loss reduction surcharge.</t>
  </si>
  <si>
    <t>** Bills include water loss reduction surcharge.</t>
  </si>
  <si>
    <t>varies</t>
  </si>
  <si>
    <t>Vehlicles &amp; Office Equipment</t>
  </si>
  <si>
    <t>Utility Trucks</t>
  </si>
  <si>
    <t>Computers</t>
  </si>
  <si>
    <t>SCADA</t>
  </si>
  <si>
    <t>Land</t>
  </si>
  <si>
    <t>Debt Service &amp; Coverage Allocation</t>
  </si>
  <si>
    <t>Radio Read Equipment</t>
  </si>
  <si>
    <t>Vehicles &amp; Office Equipment</t>
  </si>
  <si>
    <t>Check Total Plant</t>
  </si>
  <si>
    <t>Check Total Debt Service &amp; Coverage</t>
  </si>
  <si>
    <t>Blake Gates</t>
  </si>
  <si>
    <t>Tim Shera</t>
  </si>
  <si>
    <t>Wages Allocation</t>
  </si>
  <si>
    <t>Check Total</t>
  </si>
  <si>
    <t>Check Totals</t>
  </si>
  <si>
    <t>Total Expenses</t>
  </si>
  <si>
    <t xml:space="preserve">Debt Service &amp; Coverage </t>
  </si>
  <si>
    <t>CURRENT BILLING ANALYSIS - 2022 USAGE &amp; EXISTING RATES</t>
  </si>
  <si>
    <t>Avg. Usage / Mtr. Size</t>
  </si>
  <si>
    <t>Total from Usage Report</t>
  </si>
  <si>
    <t>Less adjustments</t>
  </si>
  <si>
    <t>Actual Total Usage</t>
  </si>
  <si>
    <t>&gt;100,000</t>
  </si>
  <si>
    <t>Customer Accounts</t>
  </si>
  <si>
    <t>Transmission &amp; Distribution</t>
  </si>
  <si>
    <t>CY 2024 - 2028</t>
  </si>
  <si>
    <t>G</t>
  </si>
  <si>
    <t>Table H</t>
  </si>
  <si>
    <t>Table I</t>
  </si>
  <si>
    <t>H</t>
  </si>
  <si>
    <t>Required Revenue</t>
  </si>
  <si>
    <t>Difference</t>
  </si>
  <si>
    <t>Professional Judgement</t>
  </si>
  <si>
    <t>Less Revenue from Annual Report</t>
  </si>
  <si>
    <t>Miscellaneous Service Revenues</t>
  </si>
  <si>
    <t>Adjust wages to new rates.</t>
  </si>
  <si>
    <t>Adjust wages to reflect staffing changes.</t>
  </si>
  <si>
    <t>Move Social Security from Employee Pensions to Taxes.</t>
  </si>
  <si>
    <t>New Broadband Income.</t>
  </si>
  <si>
    <t>Increased Customer Fee to Elkhorn Water District.</t>
  </si>
  <si>
    <t>Move Forfeited Discounts from Miscellaneous Service Revenues.</t>
  </si>
  <si>
    <t>Adjust Revenue to Current Revenue Amounts.</t>
  </si>
  <si>
    <t>Adjust Revenue to Current Billing Analysis.</t>
  </si>
  <si>
    <t>Reduce Purchased Water to reflect 15% water loss limit.</t>
  </si>
  <si>
    <t>Reduce Purchased Power to reflect 15% water loss limit.</t>
  </si>
  <si>
    <t>Reduce Contractual Services used on tapping fees.</t>
  </si>
  <si>
    <t>Reduce Depreciation to reflect allowable useful lives.</t>
  </si>
  <si>
    <t>Five year average debt service.</t>
  </si>
  <si>
    <t>Coverage required on debt service.</t>
  </si>
  <si>
    <t>Reduce Purchased Water based on reduced leakage.</t>
  </si>
  <si>
    <t>Reduced Purchased Water based on lower rate from Frankfort for flushed water.</t>
  </si>
  <si>
    <t>Add Blue Water Kentucky engineering fee.</t>
  </si>
  <si>
    <t>Add Jeff Lee licensed operator fee.</t>
  </si>
  <si>
    <t>I*</t>
  </si>
  <si>
    <t>J*</t>
  </si>
  <si>
    <t>K*</t>
  </si>
  <si>
    <t>L*</t>
  </si>
  <si>
    <t>M*</t>
  </si>
  <si>
    <t>N*</t>
  </si>
  <si>
    <t>O*</t>
  </si>
  <si>
    <t>P*</t>
  </si>
  <si>
    <t>Q*</t>
  </si>
  <si>
    <t>Reduce Contractual Services to reflect lower usage and exclude materials.</t>
  </si>
  <si>
    <t>Materials</t>
  </si>
  <si>
    <t>Move Materials from Contractual Services.</t>
  </si>
  <si>
    <t>Reduce Materials used on service installations.</t>
  </si>
  <si>
    <t>Reduce Materials to reflect buildup of inventory during test year.</t>
  </si>
  <si>
    <t>R*</t>
  </si>
  <si>
    <t>S*</t>
  </si>
  <si>
    <t>T*</t>
  </si>
  <si>
    <t>U*</t>
  </si>
  <si>
    <t>Reflect increase in lease costs.</t>
  </si>
  <si>
    <t>V*</t>
  </si>
  <si>
    <t>W*</t>
  </si>
  <si>
    <t>Reduce phone and internet costs.</t>
  </si>
  <si>
    <t>Reduce laboratory services costs.</t>
  </si>
  <si>
    <t>Miscellaneous Allocation</t>
  </si>
  <si>
    <t>Depreciation from Annual Report</t>
  </si>
  <si>
    <t>Taxes</t>
  </si>
  <si>
    <t>ALLOCATION OF OPERATING EXPENSES</t>
  </si>
  <si>
    <t>Reduce Depreciation to reconcile Annual Report amount to Depreciation Register.</t>
  </si>
  <si>
    <t>DIFFERENCE</t>
  </si>
  <si>
    <t>Amount</t>
  </si>
  <si>
    <t>Percent</t>
  </si>
  <si>
    <t xml:space="preserve">                                                                                                                           </t>
  </si>
  <si>
    <t>Board Requested</t>
  </si>
  <si>
    <t>PROPOSED BILLING ANALYSIS - 2022 USAGE &amp; PROPOSED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</si>
</sst>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mm/dd/yy;@"/>
    <numFmt numFmtId="166" formatCode="_([$$-409]* #,##0_);_([$$-409]* \(#,##0\);_([$$-409]* &quot;-&quot;??_);_(@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0.000%"/>
    <numFmt numFmtId="171" formatCode="&quot;$&quot;#,##0.00"/>
    <numFmt numFmtId="172" formatCode="_(* #,##0.00000_);_(* \(#,##0.00000\);_(* &quot;-&quot;??_);_(@_)"/>
    <numFmt numFmtId="173" formatCode="_(* #,##0.000000_);_(* \(#,##0.000000\);_(* &quot;-&quot;??_);_(@_)"/>
    <numFmt numFmtId="174" formatCode="_(* #,##0.0000_);_(* \(#,##0.0000\);_(* &quot;-&quot;??_);_(@_)"/>
  </numFmts>
  <fonts count="40" x14ac:knownFonts="1">
    <font>
      <sz val="12"/>
      <name val="Arial"/>
    </font>
    <font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b/>
      <u val="singleAccounting"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name val="Segoe UI"/>
      <family val="2"/>
    </font>
    <font>
      <sz val="10"/>
      <name val="Times New Roman"/>
      <family val="1"/>
    </font>
    <font>
      <sz val="11"/>
      <color rgb="FFC00000"/>
      <name val="Calibri"/>
      <family val="2"/>
      <scheme val="minor"/>
    </font>
    <font>
      <b/>
      <sz val="12"/>
      <name val="Arial"/>
      <family val="2"/>
    </font>
    <font>
      <b/>
      <u val="singleAccounting"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 val="singleAccounting"/>
      <sz val="11"/>
      <name val="Calibri"/>
      <family val="2"/>
    </font>
    <font>
      <u val="singleAccounting"/>
      <sz val="11"/>
      <name val="Calibri"/>
      <family val="2"/>
    </font>
    <font>
      <b/>
      <sz val="12"/>
      <name val="Calibri"/>
      <family val="2"/>
    </font>
    <font>
      <b/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name val="Calibri"/>
      <family val="2"/>
      <scheme val="minor"/>
    </font>
    <font>
      <b/>
      <u/>
      <sz val="11"/>
      <name val="Calibri"/>
      <family val="2"/>
    </font>
    <font>
      <u val="singleAccounting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164" fontId="4" fillId="0" borderId="0" xfId="2" applyNumberFormat="1" applyFont="1" applyBorder="1"/>
    <xf numFmtId="167" fontId="4" fillId="0" borderId="0" xfId="1" applyNumberFormat="1" applyFont="1" applyBorder="1"/>
    <xf numFmtId="164" fontId="4" fillId="0" borderId="0" xfId="4" applyNumberFormat="1" applyFont="1"/>
    <xf numFmtId="0" fontId="6" fillId="0" borderId="0" xfId="0" applyFont="1"/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37" fontId="4" fillId="0" borderId="0" xfId="0" applyNumberFormat="1" applyFont="1"/>
    <xf numFmtId="167" fontId="4" fillId="0" borderId="0" xfId="5" applyNumberFormat="1" applyFont="1"/>
    <xf numFmtId="37" fontId="4" fillId="0" borderId="1" xfId="0" applyNumberFormat="1" applyFont="1" applyBorder="1"/>
    <xf numFmtId="167" fontId="4" fillId="0" borderId="1" xfId="5" applyNumberFormat="1" applyFont="1" applyBorder="1"/>
    <xf numFmtId="0" fontId="3" fillId="0" borderId="0" xfId="0" applyFont="1" applyAlignment="1">
      <alignment horizontal="left"/>
    </xf>
    <xf numFmtId="44" fontId="4" fillId="0" borderId="0" xfId="4" applyFont="1"/>
    <xf numFmtId="0" fontId="4" fillId="0" borderId="1" xfId="0" applyFont="1" applyBorder="1"/>
    <xf numFmtId="43" fontId="4" fillId="0" borderId="1" xfId="5" applyFont="1" applyBorder="1"/>
    <xf numFmtId="3" fontId="4" fillId="0" borderId="0" xfId="0" applyNumberFormat="1" applyFont="1"/>
    <xf numFmtId="3" fontId="11" fillId="0" borderId="0" xfId="0" applyNumberFormat="1" applyFont="1" applyAlignment="1">
      <alignment vertical="center"/>
    </xf>
    <xf numFmtId="3" fontId="11" fillId="0" borderId="0" xfId="0" applyNumberFormat="1" applyFont="1"/>
    <xf numFmtId="0" fontId="11" fillId="0" borderId="0" xfId="0" applyFont="1"/>
    <xf numFmtId="3" fontId="4" fillId="0" borderId="0" xfId="0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167" fontId="4" fillId="0" borderId="0" xfId="1" applyNumberFormat="1" applyFont="1" applyAlignment="1"/>
    <xf numFmtId="168" fontId="4" fillId="0" borderId="0" xfId="0" applyNumberFormat="1" applyFont="1" applyAlignment="1">
      <alignment vertical="center"/>
    </xf>
    <xf numFmtId="43" fontId="4" fillId="0" borderId="0" xfId="5" applyFont="1"/>
    <xf numFmtId="3" fontId="4" fillId="0" borderId="1" xfId="0" applyNumberFormat="1" applyFont="1" applyBorder="1"/>
    <xf numFmtId="3" fontId="6" fillId="0" borderId="0" xfId="0" applyNumberFormat="1" applyFont="1"/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0" fontId="4" fillId="0" borderId="3" xfId="0" applyFont="1" applyBorder="1"/>
    <xf numFmtId="3" fontId="4" fillId="0" borderId="4" xfId="0" applyNumberFormat="1" applyFont="1" applyBorder="1"/>
    <xf numFmtId="3" fontId="4" fillId="0" borderId="5" xfId="0" applyNumberFormat="1" applyFont="1" applyBorder="1"/>
    <xf numFmtId="0" fontId="4" fillId="0" borderId="2" xfId="0" applyFont="1" applyBorder="1"/>
    <xf numFmtId="3" fontId="4" fillId="0" borderId="6" xfId="0" applyNumberFormat="1" applyFont="1" applyBorder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7" xfId="0" applyFont="1" applyBorder="1"/>
    <xf numFmtId="3" fontId="4" fillId="0" borderId="8" xfId="0" applyNumberFormat="1" applyFont="1" applyBorder="1"/>
    <xf numFmtId="4" fontId="4" fillId="0" borderId="0" xfId="0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right"/>
    </xf>
    <xf numFmtId="43" fontId="4" fillId="0" borderId="0" xfId="0" applyNumberFormat="1" applyFont="1"/>
    <xf numFmtId="164" fontId="4" fillId="0" borderId="0" xfId="2" applyNumberFormat="1" applyFont="1"/>
    <xf numFmtId="167" fontId="4" fillId="0" borderId="0" xfId="5" applyNumberFormat="1" applyFont="1" applyFill="1"/>
    <xf numFmtId="167" fontId="4" fillId="0" borderId="1" xfId="5" applyNumberFormat="1" applyFont="1" applyFill="1" applyBorder="1"/>
    <xf numFmtId="167" fontId="4" fillId="0" borderId="0" xfId="5" applyNumberFormat="1" applyFont="1" applyBorder="1"/>
    <xf numFmtId="0" fontId="6" fillId="0" borderId="0" xfId="0" applyFont="1" applyAlignment="1">
      <alignment horizontal="right"/>
    </xf>
    <xf numFmtId="167" fontId="4" fillId="0" borderId="1" xfId="1" applyNumberFormat="1" applyFont="1" applyBorder="1"/>
    <xf numFmtId="167" fontId="4" fillId="0" borderId="3" xfId="5" applyNumberFormat="1" applyFont="1" applyBorder="1"/>
    <xf numFmtId="167" fontId="4" fillId="0" borderId="4" xfId="5" applyNumberFormat="1" applyFont="1" applyBorder="1"/>
    <xf numFmtId="167" fontId="4" fillId="0" borderId="5" xfId="5" applyNumberFormat="1" applyFont="1" applyBorder="1"/>
    <xf numFmtId="167" fontId="4" fillId="0" borderId="2" xfId="5" applyNumberFormat="1" applyFont="1" applyBorder="1"/>
    <xf numFmtId="167" fontId="4" fillId="0" borderId="6" xfId="5" applyNumberFormat="1" applyFont="1" applyBorder="1"/>
    <xf numFmtId="167" fontId="4" fillId="0" borderId="7" xfId="5" applyNumberFormat="1" applyFont="1" applyBorder="1"/>
    <xf numFmtId="167" fontId="4" fillId="0" borderId="8" xfId="5" applyNumberFormat="1" applyFont="1" applyBorder="1"/>
    <xf numFmtId="167" fontId="11" fillId="0" borderId="0" xfId="1" applyNumberFormat="1" applyFont="1" applyAlignment="1"/>
    <xf numFmtId="0" fontId="11" fillId="0" borderId="2" xfId="0" applyFont="1" applyBorder="1"/>
    <xf numFmtId="0" fontId="11" fillId="0" borderId="3" xfId="0" applyFont="1" applyBorder="1"/>
    <xf numFmtId="0" fontId="11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7" fontId="4" fillId="0" borderId="0" xfId="1" applyNumberFormat="1" applyFont="1" applyBorder="1" applyAlignment="1"/>
    <xf numFmtId="44" fontId="4" fillId="0" borderId="0" xfId="2" applyFont="1" applyBorder="1" applyAlignment="1"/>
    <xf numFmtId="43" fontId="4" fillId="0" borderId="0" xfId="1" applyFont="1" applyBorder="1" applyAlignment="1"/>
    <xf numFmtId="167" fontId="4" fillId="0" borderId="1" xfId="1" applyNumberFormat="1" applyFont="1" applyBorder="1" applyAlignment="1"/>
    <xf numFmtId="0" fontId="4" fillId="0" borderId="8" xfId="0" applyFont="1" applyBorder="1"/>
    <xf numFmtId="0" fontId="14" fillId="0" borderId="0" xfId="0" applyFont="1" applyAlignment="1">
      <alignment horizontal="center"/>
    </xf>
    <xf numFmtId="168" fontId="4" fillId="0" borderId="0" xfId="3" applyNumberFormat="1" applyFont="1" applyAlignment="1"/>
    <xf numFmtId="167" fontId="4" fillId="0" borderId="2" xfId="5" applyNumberFormat="1" applyFont="1" applyBorder="1" applyAlignment="1">
      <alignment horizontal="center"/>
    </xf>
    <xf numFmtId="167" fontId="4" fillId="0" borderId="0" xfId="5" applyNumberFormat="1" applyFont="1" applyAlignment="1">
      <alignment horizontal="center"/>
    </xf>
    <xf numFmtId="167" fontId="3" fillId="0" borderId="0" xfId="5" applyNumberFormat="1" applyFont="1" applyAlignment="1">
      <alignment horizontal="right"/>
    </xf>
    <xf numFmtId="167" fontId="3" fillId="0" borderId="0" xfId="5" applyNumberFormat="1" applyFont="1"/>
    <xf numFmtId="167" fontId="8" fillId="0" borderId="0" xfId="1" applyNumberFormat="1" applyFont="1" applyAlignment="1">
      <alignment horizontal="right"/>
    </xf>
    <xf numFmtId="0" fontId="13" fillId="0" borderId="0" xfId="0" applyFont="1"/>
    <xf numFmtId="3" fontId="9" fillId="0" borderId="0" xfId="0" applyNumberFormat="1" applyFont="1" applyAlignment="1">
      <alignment horizontal="center" vertical="center"/>
    </xf>
    <xf numFmtId="164" fontId="4" fillId="0" borderId="0" xfId="0" applyNumberFormat="1" applyFont="1"/>
    <xf numFmtId="167" fontId="8" fillId="0" borderId="0" xfId="1" applyNumberFormat="1" applyFont="1" applyFill="1"/>
    <xf numFmtId="0" fontId="4" fillId="0" borderId="1" xfId="0" applyFont="1" applyBorder="1" applyAlignment="1">
      <alignment horizontal="left"/>
    </xf>
    <xf numFmtId="43" fontId="4" fillId="0" borderId="0" xfId="1" applyFont="1"/>
    <xf numFmtId="43" fontId="8" fillId="0" borderId="0" xfId="1" applyFont="1"/>
    <xf numFmtId="43" fontId="4" fillId="0" borderId="0" xfId="1" applyFont="1" applyFill="1"/>
    <xf numFmtId="43" fontId="4" fillId="0" borderId="0" xfId="1" applyFont="1" applyAlignment="1"/>
    <xf numFmtId="43" fontId="8" fillId="0" borderId="0" xfId="5" applyFont="1" applyAlignment="1">
      <alignment horizontal="center"/>
    </xf>
    <xf numFmtId="9" fontId="4" fillId="0" borderId="0" xfId="3" applyFont="1"/>
    <xf numFmtId="43" fontId="4" fillId="0" borderId="0" xfId="1" applyFont="1" applyAlignment="1">
      <alignment horizontal="right"/>
    </xf>
    <xf numFmtId="43" fontId="11" fillId="0" borderId="0" xfId="3" applyNumberFormat="1" applyFont="1" applyAlignment="1"/>
    <xf numFmtId="166" fontId="4" fillId="0" borderId="0" xfId="0" applyNumberFormat="1" applyFont="1"/>
    <xf numFmtId="0" fontId="18" fillId="0" borderId="0" xfId="0" applyFont="1" applyAlignment="1">
      <alignment horizontal="center"/>
    </xf>
    <xf numFmtId="0" fontId="19" fillId="0" borderId="0" xfId="0" applyFont="1"/>
    <xf numFmtId="164" fontId="19" fillId="0" borderId="9" xfId="2" applyNumberFormat="1" applyFont="1" applyBorder="1"/>
    <xf numFmtId="164" fontId="4" fillId="0" borderId="1" xfId="2" applyNumberFormat="1" applyFont="1" applyBorder="1"/>
    <xf numFmtId="10" fontId="4" fillId="0" borderId="1" xfId="0" applyNumberFormat="1" applyFont="1" applyBorder="1"/>
    <xf numFmtId="43" fontId="3" fillId="0" borderId="0" xfId="1" applyFont="1"/>
    <xf numFmtId="43" fontId="3" fillId="0" borderId="0" xfId="1" applyFont="1" applyAlignment="1">
      <alignment horizontal="right"/>
    </xf>
    <xf numFmtId="0" fontId="3" fillId="0" borderId="0" xfId="0" applyFont="1"/>
    <xf numFmtId="167" fontId="3" fillId="0" borderId="0" xfId="1" applyNumberFormat="1" applyFont="1"/>
    <xf numFmtId="167" fontId="7" fillId="0" borderId="0" xfId="1" applyNumberFormat="1" applyFont="1"/>
    <xf numFmtId="167" fontId="3" fillId="0" borderId="0" xfId="0" applyNumberFormat="1" applyFont="1"/>
    <xf numFmtId="3" fontId="20" fillId="0" borderId="0" xfId="0" applyNumberFormat="1" applyFont="1"/>
    <xf numFmtId="167" fontId="16" fillId="0" borderId="0" xfId="1" applyNumberFormat="1" applyFont="1"/>
    <xf numFmtId="173" fontId="4" fillId="0" borderId="0" xfId="0" applyNumberFormat="1" applyFont="1"/>
    <xf numFmtId="172" fontId="4" fillId="0" borderId="0" xfId="1" applyNumberFormat="1" applyFont="1" applyFill="1" applyBorder="1"/>
    <xf numFmtId="167" fontId="4" fillId="0" borderId="0" xfId="1" applyNumberFormat="1" applyFont="1" applyFill="1" applyBorder="1"/>
    <xf numFmtId="0" fontId="5" fillId="0" borderId="0" xfId="0" applyFont="1" applyAlignment="1">
      <alignment horizontal="right"/>
    </xf>
    <xf numFmtId="172" fontId="4" fillId="0" borderId="0" xfId="0" applyNumberFormat="1" applyFont="1"/>
    <xf numFmtId="0" fontId="23" fillId="0" borderId="0" xfId="0" applyFont="1" applyAlignment="1">
      <alignment horizontal="right"/>
    </xf>
    <xf numFmtId="43" fontId="3" fillId="0" borderId="0" xfId="0" applyNumberFormat="1" applyFont="1"/>
    <xf numFmtId="43" fontId="3" fillId="0" borderId="0" xfId="5" applyFont="1" applyAlignment="1">
      <alignment horizontal="right"/>
    </xf>
    <xf numFmtId="167" fontId="3" fillId="0" borderId="0" xfId="1" applyNumberFormat="1" applyFont="1" applyAlignment="1">
      <alignment horizontal="right"/>
    </xf>
    <xf numFmtId="0" fontId="24" fillId="0" borderId="0" xfId="0" applyFont="1" applyAlignment="1">
      <alignment vertical="center"/>
    </xf>
    <xf numFmtId="0" fontId="12" fillId="0" borderId="0" xfId="0" applyFont="1"/>
    <xf numFmtId="10" fontId="4" fillId="0" borderId="0" xfId="3" applyNumberFormat="1" applyFont="1"/>
    <xf numFmtId="167" fontId="4" fillId="0" borderId="6" xfId="5" applyNumberFormat="1" applyFont="1" applyBorder="1" applyAlignment="1">
      <alignment horizontal="center"/>
    </xf>
    <xf numFmtId="167" fontId="3" fillId="0" borderId="0" xfId="5" applyNumberFormat="1" applyFont="1" applyBorder="1"/>
    <xf numFmtId="164" fontId="3" fillId="0" borderId="0" xfId="4" applyNumberFormat="1" applyFont="1" applyBorder="1"/>
    <xf numFmtId="167" fontId="4" fillId="0" borderId="0" xfId="5" applyNumberFormat="1" applyFont="1" applyFill="1" applyBorder="1"/>
    <xf numFmtId="43" fontId="4" fillId="0" borderId="0" xfId="1" applyFont="1" applyBorder="1"/>
    <xf numFmtId="3" fontId="4" fillId="0" borderId="0" xfId="0" quotePrefix="1" applyNumberFormat="1" applyFont="1"/>
    <xf numFmtId="3" fontId="9" fillId="0" borderId="6" xfId="0" applyNumberFormat="1" applyFont="1" applyBorder="1" applyAlignment="1">
      <alignment horizontal="center" vertical="center"/>
    </xf>
    <xf numFmtId="10" fontId="4" fillId="0" borderId="0" xfId="0" applyNumberFormat="1" applyFont="1"/>
    <xf numFmtId="0" fontId="3" fillId="0" borderId="0" xfId="0" applyFont="1" applyAlignment="1">
      <alignment horizontal="center"/>
    </xf>
    <xf numFmtId="168" fontId="4" fillId="0" borderId="0" xfId="3" applyNumberFormat="1" applyFont="1"/>
    <xf numFmtId="167" fontId="4" fillId="0" borderId="0" xfId="1" applyNumberFormat="1" applyFont="1" applyAlignment="1">
      <alignment horizontal="center"/>
    </xf>
    <xf numFmtId="167" fontId="26" fillId="0" borderId="0" xfId="1" applyNumberFormat="1" applyFont="1"/>
    <xf numFmtId="167" fontId="4" fillId="0" borderId="0" xfId="1" applyNumberFormat="1" applyFont="1" applyFill="1"/>
    <xf numFmtId="3" fontId="3" fillId="0" borderId="0" xfId="0" applyNumberFormat="1" applyFont="1" applyAlignment="1">
      <alignment horizontal="left"/>
    </xf>
    <xf numFmtId="164" fontId="3" fillId="0" borderId="0" xfId="0" applyNumberFormat="1" applyFont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vertical="center"/>
    </xf>
    <xf numFmtId="167" fontId="4" fillId="0" borderId="0" xfId="1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7" fontId="4" fillId="0" borderId="6" xfId="1" applyNumberFormat="1" applyFont="1" applyBorder="1" applyAlignment="1">
      <alignment vertical="center"/>
    </xf>
    <xf numFmtId="167" fontId="8" fillId="0" borderId="0" xfId="1" applyNumberFormat="1" applyFont="1" applyBorder="1" applyAlignment="1">
      <alignment vertical="center"/>
    </xf>
    <xf numFmtId="167" fontId="8" fillId="0" borderId="6" xfId="1" applyNumberFormat="1" applyFont="1" applyBorder="1" applyAlignment="1">
      <alignment vertical="center"/>
    </xf>
    <xf numFmtId="37" fontId="4" fillId="0" borderId="6" xfId="0" applyNumberFormat="1" applyFont="1" applyBorder="1" applyAlignment="1">
      <alignment vertical="center"/>
    </xf>
    <xf numFmtId="0" fontId="25" fillId="0" borderId="0" xfId="0" applyFont="1" applyAlignment="1">
      <alignment horizontal="center"/>
    </xf>
    <xf numFmtId="3" fontId="3" fillId="0" borderId="0" xfId="0" applyNumberFormat="1" applyFont="1" applyAlignment="1">
      <alignment vertical="center"/>
    </xf>
    <xf numFmtId="167" fontId="11" fillId="0" borderId="6" xfId="1" applyNumberFormat="1" applyFont="1" applyBorder="1"/>
    <xf numFmtId="167" fontId="4" fillId="0" borderId="6" xfId="1" quotePrefix="1" applyNumberFormat="1" applyFont="1" applyBorder="1" applyAlignment="1">
      <alignment vertical="center"/>
    </xf>
    <xf numFmtId="164" fontId="4" fillId="0" borderId="6" xfId="2" applyNumberFormat="1" applyFont="1" applyBorder="1" applyAlignment="1">
      <alignment vertical="center"/>
    </xf>
    <xf numFmtId="10" fontId="4" fillId="0" borderId="6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167" fontId="4" fillId="0" borderId="0" xfId="1" quotePrefix="1" applyNumberFormat="1" applyFont="1" applyBorder="1" applyAlignment="1">
      <alignment vertical="center"/>
    </xf>
    <xf numFmtId="164" fontId="4" fillId="0" borderId="0" xfId="2" applyNumberFormat="1" applyFont="1" applyBorder="1" applyAlignment="1">
      <alignment vertical="center"/>
    </xf>
    <xf numFmtId="10" fontId="4" fillId="0" borderId="0" xfId="0" applyNumberFormat="1" applyFont="1" applyAlignment="1">
      <alignment vertical="center"/>
    </xf>
    <xf numFmtId="3" fontId="13" fillId="0" borderId="6" xfId="0" applyNumberFormat="1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7" fontId="8" fillId="0" borderId="0" xfId="1" applyNumberFormat="1" applyFont="1" applyAlignment="1">
      <alignment horizontal="center"/>
    </xf>
    <xf numFmtId="0" fontId="1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7" fontId="4" fillId="0" borderId="0" xfId="5" applyNumberFormat="1" applyFont="1" applyBorder="1" applyAlignment="1"/>
    <xf numFmtId="43" fontId="4" fillId="0" borderId="0" xfId="5" applyFont="1" applyBorder="1" applyAlignment="1"/>
    <xf numFmtId="43" fontId="4" fillId="0" borderId="0" xfId="5" applyFont="1" applyBorder="1"/>
    <xf numFmtId="169" fontId="4" fillId="0" borderId="0" xfId="5" applyNumberFormat="1" applyFont="1" applyBorder="1" applyAlignment="1"/>
    <xf numFmtId="3" fontId="12" fillId="0" borderId="0" xfId="0" applyNumberFormat="1" applyFont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10" fontId="4" fillId="0" borderId="0" xfId="6" applyNumberFormat="1" applyFont="1" applyBorder="1"/>
    <xf numFmtId="10" fontId="4" fillId="0" borderId="6" xfId="6" applyNumberFormat="1" applyFont="1" applyBorder="1"/>
    <xf numFmtId="3" fontId="9" fillId="0" borderId="6" xfId="0" applyNumberFormat="1" applyFont="1" applyBorder="1" applyAlignment="1">
      <alignment horizontal="center"/>
    </xf>
    <xf numFmtId="43" fontId="4" fillId="0" borderId="6" xfId="5" applyFont="1" applyBorder="1" applyAlignment="1"/>
    <xf numFmtId="168" fontId="4" fillId="0" borderId="0" xfId="6" applyNumberFormat="1" applyFont="1" applyBorder="1" applyAlignment="1"/>
    <xf numFmtId="168" fontId="4" fillId="0" borderId="0" xfId="0" applyNumberFormat="1" applyFont="1"/>
    <xf numFmtId="164" fontId="3" fillId="0" borderId="1" xfId="4" applyNumberFormat="1" applyFont="1" applyBorder="1"/>
    <xf numFmtId="44" fontId="4" fillId="0" borderId="0" xfId="4" applyFont="1" applyBorder="1"/>
    <xf numFmtId="44" fontId="4" fillId="0" borderId="6" xfId="4" applyFont="1" applyBorder="1"/>
    <xf numFmtId="43" fontId="4" fillId="0" borderId="0" xfId="1" applyFont="1" applyBorder="1" applyAlignment="1">
      <alignment vertical="center"/>
    </xf>
    <xf numFmtId="3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6" xfId="0" applyFont="1" applyBorder="1" applyAlignment="1">
      <alignment horizontal="center"/>
    </xf>
    <xf numFmtId="167" fontId="8" fillId="0" borderId="0" xfId="5" applyNumberFormat="1" applyFont="1" applyBorder="1" applyAlignment="1">
      <alignment horizontal="center"/>
    </xf>
    <xf numFmtId="43" fontId="3" fillId="0" borderId="0" xfId="5" applyFont="1" applyBorder="1"/>
    <xf numFmtId="43" fontId="3" fillId="0" borderId="0" xfId="5" applyFont="1" applyBorder="1" applyAlignment="1"/>
    <xf numFmtId="43" fontId="3" fillId="0" borderId="1" xfId="5" applyFont="1" applyBorder="1" applyAlignment="1"/>
    <xf numFmtId="167" fontId="7" fillId="0" borderId="0" xfId="5" quotePrefix="1" applyNumberFormat="1" applyFont="1" applyBorder="1" applyAlignment="1">
      <alignment horizontal="center"/>
    </xf>
    <xf numFmtId="167" fontId="4" fillId="0" borderId="0" xfId="5" applyNumberFormat="1" applyFont="1" applyAlignment="1">
      <alignment horizontal="right"/>
    </xf>
    <xf numFmtId="167" fontId="7" fillId="0" borderId="0" xfId="5" applyNumberFormat="1" applyFont="1" applyAlignment="1">
      <alignment horizontal="center"/>
    </xf>
    <xf numFmtId="167" fontId="7" fillId="0" borderId="0" xfId="5" applyNumberFormat="1" applyFont="1" applyBorder="1" applyAlignment="1">
      <alignment horizontal="center"/>
    </xf>
    <xf numFmtId="167" fontId="8" fillId="0" borderId="0" xfId="5" applyNumberFormat="1" applyFont="1" applyAlignment="1">
      <alignment horizontal="center"/>
    </xf>
    <xf numFmtId="167" fontId="4" fillId="0" borderId="2" xfId="1" applyNumberFormat="1" applyFont="1" applyBorder="1"/>
    <xf numFmtId="167" fontId="14" fillId="0" borderId="0" xfId="5" applyNumberFormat="1" applyFont="1" applyBorder="1" applyAlignment="1">
      <alignment horizontal="center"/>
    </xf>
    <xf numFmtId="167" fontId="8" fillId="0" borderId="0" xfId="5" applyNumberFormat="1" applyFont="1" applyBorder="1"/>
    <xf numFmtId="174" fontId="4" fillId="0" borderId="0" xfId="5" applyNumberFormat="1" applyFont="1"/>
    <xf numFmtId="167" fontId="9" fillId="0" borderId="0" xfId="5" applyNumberFormat="1" applyFont="1" applyBorder="1" applyAlignment="1">
      <alignment horizontal="center" vertical="center"/>
    </xf>
    <xf numFmtId="167" fontId="9" fillId="0" borderId="6" xfId="5" applyNumberFormat="1" applyFont="1" applyBorder="1" applyAlignment="1">
      <alignment horizontal="center" vertical="center"/>
    </xf>
    <xf numFmtId="167" fontId="14" fillId="0" borderId="6" xfId="5" applyNumberFormat="1" applyFont="1" applyBorder="1" applyAlignment="1">
      <alignment horizontal="center"/>
    </xf>
    <xf numFmtId="167" fontId="8" fillId="0" borderId="6" xfId="5" applyNumberFormat="1" applyFont="1" applyBorder="1"/>
    <xf numFmtId="0" fontId="4" fillId="0" borderId="0" xfId="0" applyFont="1" applyAlignment="1">
      <alignment horizontal="left" vertical="top"/>
    </xf>
    <xf numFmtId="167" fontId="8" fillId="0" borderId="0" xfId="5" applyNumberFormat="1" applyFont="1"/>
    <xf numFmtId="167" fontId="4" fillId="0" borderId="0" xfId="5" applyNumberFormat="1" applyFont="1" applyBorder="1" applyAlignment="1">
      <alignment horizontal="center"/>
    </xf>
    <xf numFmtId="167" fontId="8" fillId="0" borderId="0" xfId="5" quotePrefix="1" applyNumberFormat="1" applyFont="1" applyBorder="1" applyAlignment="1">
      <alignment horizontal="center"/>
    </xf>
    <xf numFmtId="167" fontId="8" fillId="0" borderId="6" xfId="5" quotePrefix="1" applyNumberFormat="1" applyFont="1" applyBorder="1" applyAlignment="1">
      <alignment horizontal="center"/>
    </xf>
    <xf numFmtId="9" fontId="4" fillId="0" borderId="0" xfId="6" quotePrefix="1" applyFont="1"/>
    <xf numFmtId="43" fontId="4" fillId="0" borderId="6" xfId="5" applyFont="1" applyBorder="1"/>
    <xf numFmtId="171" fontId="4" fillId="0" borderId="0" xfId="5" applyNumberFormat="1" applyFont="1" applyBorder="1"/>
    <xf numFmtId="171" fontId="4" fillId="0" borderId="6" xfId="5" applyNumberFormat="1" applyFont="1" applyBorder="1"/>
    <xf numFmtId="171" fontId="3" fillId="0" borderId="0" xfId="5" applyNumberFormat="1" applyFont="1" applyBorder="1"/>
    <xf numFmtId="171" fontId="4" fillId="0" borderId="0" xfId="4" applyNumberFormat="1" applyFont="1" applyBorder="1"/>
    <xf numFmtId="171" fontId="3" fillId="0" borderId="0" xfId="5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1" fontId="3" fillId="0" borderId="0" xfId="4" applyNumberFormat="1" applyFont="1" applyBorder="1" applyAlignment="1">
      <alignment horizontal="center"/>
    </xf>
    <xf numFmtId="171" fontId="6" fillId="0" borderId="0" xfId="4" applyNumberFormat="1" applyFont="1" applyBorder="1" applyAlignment="1">
      <alignment horizontal="right"/>
    </xf>
    <xf numFmtId="167" fontId="29" fillId="0" borderId="0" xfId="5" quotePrefix="1" applyNumberFormat="1" applyFont="1" applyAlignment="1">
      <alignment horizontal="right"/>
    </xf>
    <xf numFmtId="167" fontId="29" fillId="0" borderId="0" xfId="5" applyNumberFormat="1" applyFont="1" applyAlignment="1">
      <alignment horizontal="right"/>
    </xf>
    <xf numFmtId="171" fontId="4" fillId="0" borderId="8" xfId="5" applyNumberFormat="1" applyFont="1" applyBorder="1"/>
    <xf numFmtId="167" fontId="30" fillId="0" borderId="0" xfId="5" applyNumberFormat="1" applyFont="1" applyBorder="1"/>
    <xf numFmtId="167" fontId="29" fillId="0" borderId="0" xfId="5" applyNumberFormat="1" applyFont="1" applyBorder="1"/>
    <xf numFmtId="167" fontId="29" fillId="0" borderId="6" xfId="5" applyNumberFormat="1" applyFont="1" applyBorder="1"/>
    <xf numFmtId="167" fontId="30" fillId="0" borderId="0" xfId="5" applyNumberFormat="1" applyFont="1" applyBorder="1" applyAlignment="1">
      <alignment horizontal="center"/>
    </xf>
    <xf numFmtId="167" fontId="31" fillId="0" borderId="0" xfId="5" applyNumberFormat="1" applyFont="1" applyBorder="1" applyAlignment="1">
      <alignment horizontal="center"/>
    </xf>
    <xf numFmtId="167" fontId="29" fillId="0" borderId="0" xfId="5" quotePrefix="1" applyNumberFormat="1" applyFont="1" applyBorder="1" applyAlignment="1">
      <alignment horizontal="right"/>
    </xf>
    <xf numFmtId="43" fontId="29" fillId="0" borderId="0" xfId="5" applyFont="1" applyBorder="1"/>
    <xf numFmtId="167" fontId="29" fillId="0" borderId="0" xfId="5" applyNumberFormat="1" applyFont="1" applyBorder="1" applyAlignment="1">
      <alignment horizontal="right"/>
    </xf>
    <xf numFmtId="167" fontId="32" fillId="0" borderId="0" xfId="5" applyNumberFormat="1" applyFont="1" applyBorder="1"/>
    <xf numFmtId="3" fontId="12" fillId="0" borderId="0" xfId="0" applyNumberFormat="1" applyFont="1" applyAlignment="1">
      <alignment vertical="center"/>
    </xf>
    <xf numFmtId="3" fontId="12" fillId="0" borderId="8" xfId="0" applyNumberFormat="1" applyFont="1" applyBorder="1" applyAlignment="1">
      <alignment vertical="center"/>
    </xf>
    <xf numFmtId="167" fontId="12" fillId="0" borderId="0" xfId="5" applyNumberFormat="1" applyFont="1" applyBorder="1"/>
    <xf numFmtId="167" fontId="11" fillId="0" borderId="0" xfId="5" applyNumberFormat="1" applyFont="1" applyBorder="1"/>
    <xf numFmtId="167" fontId="29" fillId="0" borderId="0" xfId="5" applyNumberFormat="1" applyFont="1"/>
    <xf numFmtId="167" fontId="29" fillId="0" borderId="3" xfId="5" applyNumberFormat="1" applyFont="1" applyBorder="1"/>
    <xf numFmtId="167" fontId="29" fillId="0" borderId="4" xfId="5" applyNumberFormat="1" applyFont="1" applyBorder="1"/>
    <xf numFmtId="167" fontId="29" fillId="0" borderId="5" xfId="5" applyNumberFormat="1" applyFont="1" applyBorder="1"/>
    <xf numFmtId="167" fontId="29" fillId="0" borderId="2" xfId="5" applyNumberFormat="1" applyFont="1" applyBorder="1"/>
    <xf numFmtId="167" fontId="12" fillId="0" borderId="6" xfId="5" applyNumberFormat="1" applyFont="1" applyBorder="1" applyAlignment="1">
      <alignment horizontal="center"/>
    </xf>
    <xf numFmtId="167" fontId="12" fillId="0" borderId="0" xfId="5" applyNumberFormat="1" applyFont="1" applyBorder="1" applyAlignment="1">
      <alignment horizontal="center"/>
    </xf>
    <xf numFmtId="43" fontId="33" fillId="0" borderId="1" xfId="5" applyFont="1" applyBorder="1" applyAlignment="1">
      <alignment horizontal="left"/>
    </xf>
    <xf numFmtId="43" fontId="30" fillId="0" borderId="1" xfId="5" applyFont="1" applyBorder="1" applyAlignment="1">
      <alignment horizontal="left"/>
    </xf>
    <xf numFmtId="167" fontId="31" fillId="0" borderId="6" xfId="5" applyNumberFormat="1" applyFont="1" applyBorder="1" applyAlignment="1">
      <alignment horizontal="center"/>
    </xf>
    <xf numFmtId="167" fontId="31" fillId="0" borderId="0" xfId="5" applyNumberFormat="1" applyFont="1" applyAlignment="1">
      <alignment horizontal="center"/>
    </xf>
    <xf numFmtId="167" fontId="31" fillId="0" borderId="0" xfId="5" quotePrefix="1" applyNumberFormat="1" applyFont="1" applyBorder="1" applyAlignment="1">
      <alignment horizontal="center"/>
    </xf>
    <xf numFmtId="167" fontId="31" fillId="0" borderId="6" xfId="5" quotePrefix="1" applyNumberFormat="1" applyFont="1" applyBorder="1" applyAlignment="1">
      <alignment horizontal="center"/>
    </xf>
    <xf numFmtId="167" fontId="31" fillId="0" borderId="0" xfId="5" quotePrefix="1" applyNumberFormat="1" applyFont="1" applyAlignment="1">
      <alignment horizontal="center"/>
    </xf>
    <xf numFmtId="167" fontId="29" fillId="0" borderId="0" xfId="5" quotePrefix="1" applyNumberFormat="1" applyFont="1" applyBorder="1" applyAlignment="1">
      <alignment horizontal="center"/>
    </xf>
    <xf numFmtId="167" fontId="29" fillId="0" borderId="0" xfId="5" applyNumberFormat="1" applyFont="1" applyBorder="1" applyAlignment="1">
      <alignment horizontal="center"/>
    </xf>
    <xf numFmtId="167" fontId="30" fillId="0" borderId="0" xfId="5" applyNumberFormat="1" applyFont="1" applyBorder="1" applyAlignment="1">
      <alignment horizontal="right"/>
    </xf>
    <xf numFmtId="167" fontId="33" fillId="0" borderId="1" xfId="5" applyNumberFormat="1" applyFont="1" applyBorder="1"/>
    <xf numFmtId="167" fontId="29" fillId="0" borderId="1" xfId="5" applyNumberFormat="1" applyFont="1" applyBorder="1"/>
    <xf numFmtId="167" fontId="29" fillId="0" borderId="0" xfId="5" quotePrefix="1" applyNumberFormat="1" applyFont="1" applyBorder="1"/>
    <xf numFmtId="167" fontId="29" fillId="0" borderId="7" xfId="5" applyNumberFormat="1" applyFont="1" applyBorder="1"/>
    <xf numFmtId="167" fontId="29" fillId="0" borderId="8" xfId="5" applyNumberFormat="1" applyFont="1" applyBorder="1"/>
    <xf numFmtId="167" fontId="12" fillId="0" borderId="1" xfId="5" applyNumberFormat="1" applyFont="1" applyBorder="1" applyAlignment="1">
      <alignment horizontal="center"/>
    </xf>
    <xf numFmtId="167" fontId="12" fillId="0" borderId="8" xfId="5" applyNumberFormat="1" applyFont="1" applyBorder="1" applyAlignment="1">
      <alignment horizontal="center"/>
    </xf>
    <xf numFmtId="43" fontId="31" fillId="0" borderId="0" xfId="1" quotePrefix="1" applyFont="1" applyBorder="1" applyAlignment="1">
      <alignment horizontal="center"/>
    </xf>
    <xf numFmtId="167" fontId="12" fillId="2" borderId="14" xfId="5" applyNumberFormat="1" applyFont="1" applyFill="1" applyBorder="1"/>
    <xf numFmtId="167" fontId="3" fillId="2" borderId="15" xfId="5" applyNumberFormat="1" applyFont="1" applyFill="1" applyBorder="1"/>
    <xf numFmtId="171" fontId="3" fillId="2" borderId="10" xfId="5" applyNumberFormat="1" applyFont="1" applyFill="1" applyBorder="1" applyAlignment="1">
      <alignment horizontal="center"/>
    </xf>
    <xf numFmtId="171" fontId="3" fillId="2" borderId="11" xfId="5" applyNumberFormat="1" applyFont="1" applyFill="1" applyBorder="1" applyAlignment="1">
      <alignment horizontal="center"/>
    </xf>
    <xf numFmtId="167" fontId="7" fillId="2" borderId="11" xfId="5" applyNumberFormat="1" applyFont="1" applyFill="1" applyBorder="1" applyAlignment="1">
      <alignment horizontal="center"/>
    </xf>
    <xf numFmtId="43" fontId="4" fillId="2" borderId="11" xfId="1" applyFont="1" applyFill="1" applyBorder="1"/>
    <xf numFmtId="43" fontId="4" fillId="2" borderId="12" xfId="1" applyFont="1" applyFill="1" applyBorder="1"/>
    <xf numFmtId="167" fontId="4" fillId="3" borderId="0" xfId="0" applyNumberFormat="1" applyFont="1" applyFill="1"/>
    <xf numFmtId="167" fontId="4" fillId="3" borderId="0" xfId="5" applyNumberFormat="1" applyFont="1" applyFill="1"/>
    <xf numFmtId="167" fontId="4" fillId="4" borderId="0" xfId="5" applyNumberFormat="1" applyFont="1" applyFill="1"/>
    <xf numFmtId="167" fontId="4" fillId="2" borderId="3" xfId="1" applyNumberFormat="1" applyFont="1" applyFill="1" applyBorder="1"/>
    <xf numFmtId="167" fontId="4" fillId="2" borderId="4" xfId="1" applyNumberFormat="1" applyFont="1" applyFill="1" applyBorder="1"/>
    <xf numFmtId="167" fontId="7" fillId="2" borderId="4" xfId="5" applyNumberFormat="1" applyFont="1" applyFill="1" applyBorder="1" applyAlignment="1">
      <alignment horizontal="center"/>
    </xf>
    <xf numFmtId="167" fontId="7" fillId="2" borderId="4" xfId="1" quotePrefix="1" applyNumberFormat="1" applyFont="1" applyFill="1" applyBorder="1" applyAlignment="1">
      <alignment horizontal="center"/>
    </xf>
    <xf numFmtId="167" fontId="7" fillId="2" borderId="5" xfId="1" quotePrefix="1" applyNumberFormat="1" applyFont="1" applyFill="1" applyBorder="1" applyAlignment="1">
      <alignment horizontal="center"/>
    </xf>
    <xf numFmtId="167" fontId="4" fillId="2" borderId="2" xfId="1" applyNumberFormat="1" applyFont="1" applyFill="1" applyBorder="1"/>
    <xf numFmtId="167" fontId="4" fillId="2" borderId="0" xfId="1" quotePrefix="1" applyNumberFormat="1" applyFont="1" applyFill="1" applyBorder="1" applyAlignment="1">
      <alignment horizontal="right"/>
    </xf>
    <xf numFmtId="167" fontId="4" fillId="2" borderId="0" xfId="1" applyNumberFormat="1" applyFont="1" applyFill="1" applyBorder="1"/>
    <xf numFmtId="167" fontId="4" fillId="2" borderId="6" xfId="1" applyNumberFormat="1" applyFont="1" applyFill="1" applyBorder="1"/>
    <xf numFmtId="167" fontId="8" fillId="2" borderId="0" xfId="1" applyNumberFormat="1" applyFont="1" applyFill="1" applyBorder="1"/>
    <xf numFmtId="167" fontId="8" fillId="2" borderId="6" xfId="1" applyNumberFormat="1" applyFont="1" applyFill="1" applyBorder="1"/>
    <xf numFmtId="167" fontId="4" fillId="2" borderId="7" xfId="1" applyNumberFormat="1" applyFont="1" applyFill="1" applyBorder="1"/>
    <xf numFmtId="167" fontId="4" fillId="2" borderId="1" xfId="1" applyNumberFormat="1" applyFont="1" applyFill="1" applyBorder="1"/>
    <xf numFmtId="167" fontId="4" fillId="2" borderId="1" xfId="1" applyNumberFormat="1" applyFont="1" applyFill="1" applyBorder="1" applyAlignment="1">
      <alignment vertical="top"/>
    </xf>
    <xf numFmtId="167" fontId="4" fillId="2" borderId="8" xfId="1" applyNumberFormat="1" applyFont="1" applyFill="1" applyBorder="1" applyAlignment="1">
      <alignment vertical="top"/>
    </xf>
    <xf numFmtId="10" fontId="14" fillId="0" borderId="0" xfId="3" applyNumberFormat="1" applyFont="1"/>
    <xf numFmtId="44" fontId="4" fillId="0" borderId="0" xfId="2" applyFont="1"/>
    <xf numFmtId="167" fontId="17" fillId="0" borderId="0" xfId="5" applyNumberFormat="1" applyFont="1"/>
    <xf numFmtId="167" fontId="11" fillId="0" borderId="0" xfId="1" applyNumberFormat="1" applyFont="1" applyBorder="1"/>
    <xf numFmtId="168" fontId="4" fillId="0" borderId="0" xfId="3" applyNumberFormat="1" applyFont="1" applyBorder="1"/>
    <xf numFmtId="3" fontId="4" fillId="0" borderId="1" xfId="0" applyNumberFormat="1" applyFont="1" applyBorder="1" applyAlignment="1">
      <alignment vertical="center"/>
    </xf>
    <xf numFmtId="37" fontId="4" fillId="0" borderId="1" xfId="0" applyNumberFormat="1" applyFont="1" applyBorder="1" applyAlignment="1">
      <alignment vertical="center"/>
    </xf>
    <xf numFmtId="37" fontId="4" fillId="0" borderId="8" xfId="0" applyNumberFormat="1" applyFont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43" fontId="4" fillId="0" borderId="0" xfId="5" applyFont="1" applyAlignment="1">
      <alignment horizontal="right"/>
    </xf>
    <xf numFmtId="43" fontId="4" fillId="0" borderId="0" xfId="5" quotePrefix="1" applyFont="1" applyAlignment="1">
      <alignment horizontal="right"/>
    </xf>
    <xf numFmtId="167" fontId="7" fillId="0" borderId="0" xfId="5" applyNumberFormat="1" applyFont="1"/>
    <xf numFmtId="43" fontId="3" fillId="0" borderId="0" xfId="5" applyFont="1"/>
    <xf numFmtId="0" fontId="9" fillId="0" borderId="2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44" fontId="4" fillId="0" borderId="0" xfId="4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4" xfId="4" applyNumberFormat="1" applyFont="1" applyBorder="1" applyAlignment="1">
      <alignment horizontal="center"/>
    </xf>
    <xf numFmtId="0" fontId="3" fillId="0" borderId="5" xfId="4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4" fontId="3" fillId="0" borderId="14" xfId="4" applyFont="1" applyBorder="1" applyAlignment="1">
      <alignment horizontal="center" vertical="center"/>
    </xf>
    <xf numFmtId="44" fontId="3" fillId="0" borderId="13" xfId="4" applyFont="1" applyBorder="1" applyAlignment="1">
      <alignment horizontal="center" vertical="center"/>
    </xf>
    <xf numFmtId="44" fontId="3" fillId="0" borderId="15" xfId="4" applyFont="1" applyBorder="1" applyAlignment="1">
      <alignment horizontal="center" vertical="center"/>
    </xf>
    <xf numFmtId="44" fontId="3" fillId="0" borderId="16" xfId="4" applyFont="1" applyBorder="1" applyAlignment="1">
      <alignment horizontal="center" vertical="center"/>
    </xf>
    <xf numFmtId="44" fontId="3" fillId="0" borderId="1" xfId="4" applyFont="1" applyBorder="1" applyAlignment="1">
      <alignment horizontal="center" vertical="center"/>
    </xf>
    <xf numFmtId="44" fontId="3" fillId="0" borderId="3" xfId="4" applyFont="1" applyBorder="1" applyAlignment="1">
      <alignment horizontal="center" vertical="center"/>
    </xf>
    <xf numFmtId="44" fontId="3" fillId="0" borderId="4" xfId="4" applyFont="1" applyBorder="1" applyAlignment="1">
      <alignment horizontal="center" vertical="center"/>
    </xf>
    <xf numFmtId="44" fontId="3" fillId="0" borderId="5" xfId="4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/>
    </xf>
    <xf numFmtId="167" fontId="4" fillId="0" borderId="2" xfId="5" quotePrefix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4" fontId="4" fillId="0" borderId="2" xfId="4" applyFont="1" applyBorder="1"/>
    <xf numFmtId="0" fontId="3" fillId="0" borderId="2" xfId="0" applyFont="1" applyBorder="1" applyAlignment="1">
      <alignment horizontal="center"/>
    </xf>
    <xf numFmtId="164" fontId="3" fillId="0" borderId="2" xfId="4" applyNumberFormat="1" applyFont="1" applyBorder="1"/>
    <xf numFmtId="164" fontId="3" fillId="0" borderId="6" xfId="4" applyNumberFormat="1" applyFont="1" applyBorder="1"/>
    <xf numFmtId="164" fontId="4" fillId="0" borderId="6" xfId="0" applyNumberFormat="1" applyFont="1" applyBorder="1"/>
    <xf numFmtId="0" fontId="3" fillId="0" borderId="7" xfId="0" applyFont="1" applyBorder="1" applyAlignment="1">
      <alignment horizontal="right"/>
    </xf>
    <xf numFmtId="164" fontId="3" fillId="0" borderId="7" xfId="4" applyNumberFormat="1" applyFont="1" applyBorder="1"/>
    <xf numFmtId="164" fontId="3" fillId="0" borderId="8" xfId="4" applyNumberFormat="1" applyFont="1" applyBorder="1"/>
    <xf numFmtId="164" fontId="4" fillId="0" borderId="8" xfId="0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4" fillId="0" borderId="7" xfId="0" applyFont="1" applyBorder="1" applyAlignment="1">
      <alignment horizontal="center"/>
    </xf>
    <xf numFmtId="44" fontId="4" fillId="0" borderId="1" xfId="4" applyFont="1" applyFill="1" applyBorder="1"/>
    <xf numFmtId="167" fontId="14" fillId="0" borderId="0" xfId="1" applyNumberFormat="1" applyFont="1" applyAlignment="1">
      <alignment vertical="center"/>
    </xf>
    <xf numFmtId="43" fontId="4" fillId="0" borderId="0" xfId="5" applyFont="1" applyAlignment="1"/>
    <xf numFmtId="169" fontId="4" fillId="0" borderId="0" xfId="5" applyNumberFormat="1" applyFont="1" applyAlignment="1"/>
    <xf numFmtId="43" fontId="4" fillId="0" borderId="4" xfId="5" applyFont="1" applyBorder="1"/>
    <xf numFmtId="3" fontId="4" fillId="0" borderId="4" xfId="0" applyNumberFormat="1" applyFont="1" applyBorder="1" applyAlignment="1">
      <alignment horizontal="center"/>
    </xf>
    <xf numFmtId="169" fontId="4" fillId="0" borderId="4" xfId="5" applyNumberFormat="1" applyFont="1" applyBorder="1"/>
    <xf numFmtId="43" fontId="15" fillId="0" borderId="0" xfId="5" applyFont="1" applyBorder="1" applyAlignment="1">
      <alignment horizontal="center"/>
    </xf>
    <xf numFmtId="43" fontId="15" fillId="0" borderId="1" xfId="5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3" fillId="0" borderId="0" xfId="5" applyFont="1" applyBorder="1" applyAlignment="1">
      <alignment horizontal="center"/>
    </xf>
    <xf numFmtId="169" fontId="6" fillId="0" borderId="0" xfId="5" applyNumberFormat="1" applyFont="1" applyBorder="1" applyAlignment="1">
      <alignment horizontal="centerContinuous"/>
    </xf>
    <xf numFmtId="43" fontId="6" fillId="0" borderId="0" xfId="5" applyFont="1" applyBorder="1" applyAlignment="1">
      <alignment horizontal="center"/>
    </xf>
    <xf numFmtId="169" fontId="6" fillId="0" borderId="0" xfId="5" applyNumberFormat="1" applyFont="1" applyBorder="1" applyAlignment="1">
      <alignment horizontal="center"/>
    </xf>
    <xf numFmtId="165" fontId="4" fillId="0" borderId="0" xfId="0" quotePrefix="1" applyNumberFormat="1" applyFont="1" applyAlignment="1">
      <alignment horizontal="center"/>
    </xf>
    <xf numFmtId="169" fontId="4" fillId="0" borderId="0" xfId="5" applyNumberFormat="1" applyFont="1" applyBorder="1"/>
    <xf numFmtId="167" fontId="34" fillId="0" borderId="0" xfId="5" applyNumberFormat="1" applyFont="1"/>
    <xf numFmtId="44" fontId="34" fillId="0" borderId="0" xfId="4" applyFont="1" applyAlignment="1"/>
    <xf numFmtId="164" fontId="34" fillId="0" borderId="0" xfId="2" applyNumberFormat="1" applyFont="1"/>
    <xf numFmtId="167" fontId="11" fillId="0" borderId="0" xfId="0" applyNumberFormat="1" applyFont="1"/>
    <xf numFmtId="167" fontId="7" fillId="0" borderId="19" xfId="5" applyNumberFormat="1" applyFont="1" applyBorder="1" applyAlignment="1">
      <alignment horizontal="center"/>
    </xf>
    <xf numFmtId="167" fontId="7" fillId="0" borderId="20" xfId="5" applyNumberFormat="1" applyFont="1" applyBorder="1" applyAlignment="1">
      <alignment horizontal="center"/>
    </xf>
    <xf numFmtId="167" fontId="4" fillId="0" borderId="19" xfId="1" applyNumberFormat="1" applyFont="1" applyBorder="1"/>
    <xf numFmtId="167" fontId="4" fillId="0" borderId="20" xfId="1" applyNumberFormat="1" applyFont="1" applyBorder="1"/>
    <xf numFmtId="167" fontId="8" fillId="0" borderId="19" xfId="1" applyNumberFormat="1" applyFont="1" applyBorder="1"/>
    <xf numFmtId="167" fontId="8" fillId="0" borderId="20" xfId="1" applyNumberFormat="1" applyFont="1" applyBorder="1"/>
    <xf numFmtId="167" fontId="4" fillId="0" borderId="21" xfId="1" applyNumberFormat="1" applyFont="1" applyBorder="1"/>
    <xf numFmtId="167" fontId="4" fillId="0" borderId="22" xfId="1" applyNumberFormat="1" applyFont="1" applyBorder="1"/>
    <xf numFmtId="43" fontId="8" fillId="0" borderId="0" xfId="1" applyFont="1" applyBorder="1" applyAlignment="1">
      <alignment horizontal="center"/>
    </xf>
    <xf numFmtId="44" fontId="4" fillId="0" borderId="0" xfId="2" applyFont="1" applyBorder="1"/>
    <xf numFmtId="44" fontId="4" fillId="2" borderId="11" xfId="2" applyFont="1" applyFill="1" applyBorder="1"/>
    <xf numFmtId="0" fontId="6" fillId="0" borderId="0" xfId="0" quotePrefix="1" applyFont="1"/>
    <xf numFmtId="10" fontId="11" fillId="0" borderId="0" xfId="3" applyNumberFormat="1" applyFont="1"/>
    <xf numFmtId="44" fontId="4" fillId="0" borderId="0" xfId="5" applyNumberFormat="1" applyFont="1" applyBorder="1"/>
    <xf numFmtId="167" fontId="4" fillId="2" borderId="0" xfId="5" applyNumberFormat="1" applyFont="1" applyFill="1" applyBorder="1"/>
    <xf numFmtId="43" fontId="4" fillId="2" borderId="0" xfId="5" applyFont="1" applyFill="1" applyBorder="1"/>
    <xf numFmtId="43" fontId="4" fillId="0" borderId="7" xfId="5" applyFont="1" applyBorder="1"/>
    <xf numFmtId="0" fontId="35" fillId="0" borderId="0" xfId="0" applyFont="1" applyAlignment="1">
      <alignment horizontal="center"/>
    </xf>
    <xf numFmtId="43" fontId="36" fillId="0" borderId="0" xfId="1" applyFont="1" applyAlignment="1">
      <alignment horizontal="center"/>
    </xf>
    <xf numFmtId="0" fontId="17" fillId="0" borderId="0" xfId="0" quotePrefix="1" applyFont="1"/>
    <xf numFmtId="167" fontId="17" fillId="0" borderId="0" xfId="1" applyNumberFormat="1" applyFont="1" applyAlignment="1"/>
    <xf numFmtId="44" fontId="17" fillId="0" borderId="0" xfId="0" applyNumberFormat="1" applyFont="1"/>
    <xf numFmtId="10" fontId="17" fillId="0" borderId="0" xfId="3" applyNumberFormat="1" applyFont="1" applyAlignment="1"/>
    <xf numFmtId="0" fontId="17" fillId="0" borderId="0" xfId="0" applyFont="1"/>
    <xf numFmtId="43" fontId="17" fillId="0" borderId="0" xfId="1" quotePrefix="1" applyFont="1" applyAlignment="1"/>
    <xf numFmtId="43" fontId="17" fillId="0" borderId="0" xfId="1" applyFont="1" applyAlignment="1"/>
    <xf numFmtId="43" fontId="4" fillId="0" borderId="6" xfId="1" applyFont="1" applyBorder="1"/>
    <xf numFmtId="0" fontId="11" fillId="0" borderId="6" xfId="0" applyFont="1" applyBorder="1"/>
    <xf numFmtId="43" fontId="4" fillId="0" borderId="0" xfId="5" quotePrefix="1" applyFont="1" applyBorder="1" applyAlignment="1">
      <alignment horizontal="center"/>
    </xf>
    <xf numFmtId="168" fontId="4" fillId="0" borderId="0" xfId="6" applyNumberFormat="1" applyFont="1" applyBorder="1"/>
    <xf numFmtId="43" fontId="4" fillId="2" borderId="0" xfId="5" quotePrefix="1" applyFont="1" applyFill="1" applyBorder="1" applyAlignment="1">
      <alignment horizontal="center"/>
    </xf>
    <xf numFmtId="43" fontId="4" fillId="0" borderId="5" xfId="5" applyFont="1" applyBorder="1"/>
    <xf numFmtId="43" fontId="3" fillId="0" borderId="6" xfId="5" applyFont="1" applyBorder="1" applyAlignment="1">
      <alignment horizontal="center"/>
    </xf>
    <xf numFmtId="43" fontId="8" fillId="0" borderId="0" xfId="5" quotePrefix="1" applyFont="1" applyBorder="1" applyAlignment="1">
      <alignment horizontal="center"/>
    </xf>
    <xf numFmtId="167" fontId="4" fillId="0" borderId="0" xfId="5" quotePrefix="1" applyNumberFormat="1" applyFont="1" applyBorder="1"/>
    <xf numFmtId="43" fontId="4" fillId="0" borderId="8" xfId="5" applyFont="1" applyBorder="1"/>
    <xf numFmtId="168" fontId="4" fillId="2" borderId="0" xfId="6" applyNumberFormat="1" applyFont="1" applyFill="1" applyBorder="1"/>
    <xf numFmtId="43" fontId="4" fillId="0" borderId="0" xfId="5" applyFont="1" applyFill="1" applyBorder="1" applyAlignment="1"/>
    <xf numFmtId="3" fontId="3" fillId="0" borderId="1" xfId="0" applyNumberFormat="1" applyFont="1" applyBorder="1"/>
    <xf numFmtId="167" fontId="34" fillId="0" borderId="0" xfId="5" applyNumberFormat="1" applyFont="1" applyFill="1"/>
    <xf numFmtId="3" fontId="6" fillId="0" borderId="0" xfId="0" applyNumberFormat="1" applyFont="1" applyAlignment="1">
      <alignment horizontal="left"/>
    </xf>
    <xf numFmtId="43" fontId="4" fillId="0" borderId="0" xfId="5" applyFont="1" applyBorder="1" applyAlignment="1">
      <alignment horizontal="left"/>
    </xf>
    <xf numFmtId="169" fontId="4" fillId="0" borderId="0" xfId="5" applyNumberFormat="1" applyFont="1" applyBorder="1" applyAlignment="1">
      <alignment horizontal="center"/>
    </xf>
    <xf numFmtId="44" fontId="4" fillId="0" borderId="4" xfId="2" applyFont="1" applyBorder="1"/>
    <xf numFmtId="44" fontId="12" fillId="0" borderId="1" xfId="2" applyFont="1" applyBorder="1" applyAlignment="1">
      <alignment horizontal="center"/>
    </xf>
    <xf numFmtId="44" fontId="15" fillId="0" borderId="0" xfId="2" applyFont="1" applyBorder="1" applyAlignment="1">
      <alignment horizontal="center"/>
    </xf>
    <xf numFmtId="44" fontId="3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44" fontId="6" fillId="0" borderId="0" xfId="2" applyFont="1" applyAlignment="1">
      <alignment horizontal="centerContinuous"/>
    </xf>
    <xf numFmtId="44" fontId="4" fillId="0" borderId="0" xfId="2" applyFont="1" applyFill="1" applyAlignment="1">
      <alignment horizontal="center"/>
    </xf>
    <xf numFmtId="44" fontId="6" fillId="0" borderId="0" xfId="2" applyFont="1" applyFill="1" applyAlignment="1">
      <alignment horizontal="center"/>
    </xf>
    <xf numFmtId="44" fontId="4" fillId="0" borderId="0" xfId="2" applyFont="1" applyFill="1"/>
    <xf numFmtId="3" fontId="10" fillId="0" borderId="0" xfId="0" applyNumberFormat="1" applyFont="1" applyAlignment="1">
      <alignment horizontal="center"/>
    </xf>
    <xf numFmtId="164" fontId="4" fillId="0" borderId="0" xfId="2" applyNumberFormat="1" applyFont="1" applyFill="1"/>
    <xf numFmtId="164" fontId="4" fillId="0" borderId="0" xfId="2" applyNumberFormat="1" applyFont="1" applyFill="1" applyBorder="1"/>
    <xf numFmtId="164" fontId="4" fillId="0" borderId="0" xfId="2" applyNumberFormat="1" applyFont="1" applyFill="1" applyAlignment="1">
      <alignment horizontal="center"/>
    </xf>
    <xf numFmtId="164" fontId="6" fillId="0" borderId="0" xfId="2" applyNumberFormat="1" applyFont="1" applyFill="1" applyAlignment="1">
      <alignment horizontal="center"/>
    </xf>
    <xf numFmtId="164" fontId="4" fillId="0" borderId="0" xfId="2" applyNumberFormat="1" applyFont="1" applyFill="1" applyBorder="1" applyAlignment="1"/>
    <xf numFmtId="164" fontId="3" fillId="0" borderId="1" xfId="2" applyNumberFormat="1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5" applyNumberFormat="1" applyFont="1" applyBorder="1" applyAlignment="1"/>
    <xf numFmtId="164" fontId="4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164" fontId="4" fillId="0" borderId="0" xfId="2" applyNumberFormat="1" applyFont="1" applyBorder="1" applyAlignment="1"/>
    <xf numFmtId="164" fontId="3" fillId="0" borderId="0" xfId="2" applyNumberFormat="1" applyFont="1" applyBorder="1"/>
    <xf numFmtId="0" fontId="0" fillId="0" borderId="0" xfId="0" applyAlignment="1">
      <alignment wrapText="1"/>
    </xf>
    <xf numFmtId="167" fontId="29" fillId="0" borderId="0" xfId="1" applyNumberFormat="1" applyFont="1"/>
    <xf numFmtId="0" fontId="29" fillId="0" borderId="0" xfId="0" applyFont="1"/>
    <xf numFmtId="167" fontId="29" fillId="0" borderId="0" xfId="1" applyNumberFormat="1" applyFont="1" applyAlignment="1">
      <alignment horizontal="center"/>
    </xf>
    <xf numFmtId="0" fontId="29" fillId="0" borderId="0" xfId="0" applyFont="1" applyAlignment="1">
      <alignment horizontal="center"/>
    </xf>
    <xf numFmtId="167" fontId="8" fillId="0" borderId="0" xfId="1" applyNumberFormat="1" applyFont="1" applyBorder="1" applyAlignment="1"/>
    <xf numFmtId="168" fontId="4" fillId="0" borderId="0" xfId="3" applyNumberFormat="1" applyFont="1" applyFill="1"/>
    <xf numFmtId="167" fontId="4" fillId="0" borderId="0" xfId="1" applyNumberFormat="1" applyFont="1" applyFill="1" applyAlignment="1">
      <alignment horizontal="center"/>
    </xf>
    <xf numFmtId="167" fontId="8" fillId="0" borderId="0" xfId="1" applyNumberFormat="1" applyFont="1" applyBorder="1"/>
    <xf numFmtId="3" fontId="29" fillId="0" borderId="0" xfId="0" applyNumberFormat="1" applyFont="1" applyAlignment="1">
      <alignment horizontal="center"/>
    </xf>
    <xf numFmtId="3" fontId="29" fillId="0" borderId="4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1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29" fillId="0" borderId="1" xfId="0" applyNumberFormat="1" applyFont="1" applyBorder="1" applyAlignment="1">
      <alignment horizontal="center"/>
    </xf>
    <xf numFmtId="43" fontId="4" fillId="0" borderId="0" xfId="5" applyFont="1" applyFill="1" applyAlignment="1">
      <alignment horizontal="center"/>
    </xf>
    <xf numFmtId="168" fontId="4" fillId="0" borderId="0" xfId="3" applyNumberFormat="1" applyFont="1" applyAlignment="1">
      <alignment horizontal="right" indent="1"/>
    </xf>
    <xf numFmtId="44" fontId="4" fillId="0" borderId="0" xfId="4" applyFont="1" applyFill="1"/>
    <xf numFmtId="170" fontId="4" fillId="0" borderId="0" xfId="6" applyNumberFormat="1" applyFont="1" applyFill="1"/>
    <xf numFmtId="3" fontId="4" fillId="0" borderId="0" xfId="0" applyNumberFormat="1" applyFont="1" applyAlignment="1">
      <alignment horizontal="right"/>
    </xf>
    <xf numFmtId="170" fontId="14" fillId="0" borderId="0" xfId="6" applyNumberFormat="1" applyFont="1" applyFill="1"/>
    <xf numFmtId="167" fontId="4" fillId="0" borderId="0" xfId="5" applyNumberFormat="1" applyFont="1" applyFill="1" applyAlignment="1">
      <alignment vertical="center"/>
    </xf>
    <xf numFmtId="170" fontId="3" fillId="0" borderId="0" xfId="6" applyNumberFormat="1" applyFont="1" applyFill="1"/>
    <xf numFmtId="43" fontId="3" fillId="0" borderId="0" xfId="1" applyFont="1" applyFill="1"/>
    <xf numFmtId="167" fontId="4" fillId="0" borderId="1" xfId="1" applyNumberFormat="1" applyFont="1" applyFill="1" applyBorder="1"/>
    <xf numFmtId="167" fontId="26" fillId="0" borderId="1" xfId="1" applyNumberFormat="1" applyFont="1" applyBorder="1"/>
    <xf numFmtId="171" fontId="19" fillId="2" borderId="15" xfId="5" applyNumberFormat="1" applyFont="1" applyFill="1" applyBorder="1"/>
    <xf numFmtId="171" fontId="19" fillId="2" borderId="16" xfId="5" applyNumberFormat="1" applyFont="1" applyFill="1" applyBorder="1"/>
    <xf numFmtId="167" fontId="8" fillId="0" borderId="0" xfId="1" applyNumberFormat="1" applyFont="1" applyFill="1" applyBorder="1" applyAlignment="1">
      <alignment vertical="center"/>
    </xf>
    <xf numFmtId="167" fontId="4" fillId="0" borderId="0" xfId="1" applyNumberFormat="1" applyFont="1" applyFill="1" applyBorder="1" applyAlignment="1">
      <alignment vertical="center"/>
    </xf>
    <xf numFmtId="167" fontId="4" fillId="0" borderId="6" xfId="1" applyNumberFormat="1" applyFont="1" applyFill="1" applyBorder="1" applyAlignment="1">
      <alignment vertical="center"/>
    </xf>
    <xf numFmtId="167" fontId="4" fillId="0" borderId="0" xfId="1" applyNumberFormat="1" applyFont="1" applyFill="1" applyAlignment="1">
      <alignment vertical="center"/>
    </xf>
    <xf numFmtId="167" fontId="8" fillId="0" borderId="0" xfId="1" applyNumberFormat="1" applyFont="1" applyFill="1" applyBorder="1" applyAlignment="1"/>
    <xf numFmtId="167" fontId="8" fillId="0" borderId="6" xfId="1" applyNumberFormat="1" applyFont="1" applyFill="1" applyBorder="1" applyAlignment="1">
      <alignment vertical="center"/>
    </xf>
    <xf numFmtId="167" fontId="8" fillId="0" borderId="0" xfId="1" applyNumberFormat="1" applyFont="1" applyFill="1" applyBorder="1"/>
    <xf numFmtId="43" fontId="4" fillId="0" borderId="0" xfId="5" applyFont="1" applyFill="1"/>
    <xf numFmtId="167" fontId="8" fillId="0" borderId="0" xfId="5" applyNumberFormat="1" applyFont="1" applyFill="1"/>
    <xf numFmtId="167" fontId="38" fillId="0" borderId="0" xfId="1" applyNumberFormat="1" applyFont="1" applyFill="1"/>
    <xf numFmtId="164" fontId="3" fillId="0" borderId="1" xfId="0" applyNumberFormat="1" applyFont="1" applyBorder="1"/>
    <xf numFmtId="3" fontId="3" fillId="0" borderId="0" xfId="0" applyNumberFormat="1" applyFont="1" applyAlignment="1">
      <alignment horizontal="center" vertical="center"/>
    </xf>
    <xf numFmtId="167" fontId="39" fillId="0" borderId="0" xfId="1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3" fontId="32" fillId="0" borderId="0" xfId="0" applyNumberFormat="1" applyFont="1" applyAlignment="1">
      <alignment horizontal="center" vertical="center"/>
    </xf>
    <xf numFmtId="168" fontId="0" fillId="0" borderId="0" xfId="0" applyNumberFormat="1"/>
    <xf numFmtId="43" fontId="29" fillId="0" borderId="0" xfId="1" applyFont="1"/>
    <xf numFmtId="43" fontId="29" fillId="0" borderId="0" xfId="0" applyNumberFormat="1" applyFont="1"/>
    <xf numFmtId="43" fontId="29" fillId="0" borderId="0" xfId="1" applyFont="1" applyBorder="1"/>
    <xf numFmtId="44" fontId="4" fillId="0" borderId="0" xfId="0" applyNumberFormat="1" applyFont="1"/>
    <xf numFmtId="10" fontId="11" fillId="0" borderId="0" xfId="3" applyNumberFormat="1" applyFont="1" applyAlignment="1">
      <alignment horizontal="center"/>
    </xf>
    <xf numFmtId="0" fontId="11" fillId="0" borderId="1" xfId="0" applyFont="1" applyBorder="1"/>
    <xf numFmtId="10" fontId="4" fillId="0" borderId="6" xfId="3" applyNumberFormat="1" applyFont="1" applyBorder="1" applyAlignment="1">
      <alignment horizontal="center"/>
    </xf>
    <xf numFmtId="10" fontId="11" fillId="0" borderId="6" xfId="3" applyNumberFormat="1" applyFont="1" applyBorder="1" applyAlignment="1">
      <alignment horizontal="center"/>
    </xf>
    <xf numFmtId="10" fontId="11" fillId="0" borderId="8" xfId="3" applyNumberFormat="1" applyFont="1" applyBorder="1" applyAlignment="1">
      <alignment horizontal="center"/>
    </xf>
    <xf numFmtId="10" fontId="4" fillId="0" borderId="5" xfId="3" applyNumberFormat="1" applyFont="1" applyBorder="1" applyAlignment="1">
      <alignment horizontal="center"/>
    </xf>
    <xf numFmtId="10" fontId="3" fillId="0" borderId="0" xfId="3" applyNumberFormat="1" applyFont="1" applyFill="1"/>
    <xf numFmtId="167" fontId="4" fillId="5" borderId="0" xfId="5" applyNumberFormat="1" applyFont="1" applyFill="1"/>
    <xf numFmtId="167" fontId="29" fillId="5" borderId="0" xfId="5" applyNumberFormat="1" applyFont="1" applyFill="1"/>
    <xf numFmtId="0" fontId="0" fillId="5" borderId="0" xfId="0" applyFill="1"/>
    <xf numFmtId="0" fontId="4" fillId="5" borderId="0" xfId="0" applyFont="1" applyFill="1"/>
    <xf numFmtId="0" fontId="11" fillId="5" borderId="0" xfId="0" applyFont="1" applyFill="1"/>
    <xf numFmtId="0" fontId="29" fillId="5" borderId="0" xfId="0" applyFont="1" applyFill="1"/>
    <xf numFmtId="43" fontId="29" fillId="0" borderId="0" xfId="5" applyFont="1" applyFill="1" applyBorder="1"/>
    <xf numFmtId="43" fontId="4" fillId="0" borderId="0" xfId="5" applyFont="1" applyFill="1" applyBorder="1"/>
    <xf numFmtId="3" fontId="12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43" fontId="9" fillId="0" borderId="0" xfId="5" applyFont="1" applyBorder="1" applyAlignment="1">
      <alignment horizontal="center"/>
    </xf>
    <xf numFmtId="43" fontId="15" fillId="0" borderId="0" xfId="5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/>
    </xf>
    <xf numFmtId="0" fontId="3" fillId="0" borderId="8" xfId="4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2" fillId="0" borderId="6" xfId="0" applyNumberFormat="1" applyFont="1" applyBorder="1" applyAlignment="1">
      <alignment horizontal="center" vertical="center"/>
    </xf>
    <xf numFmtId="167" fontId="8" fillId="0" borderId="0" xfId="5" applyNumberFormat="1" applyFont="1" applyAlignment="1">
      <alignment horizontal="center"/>
    </xf>
    <xf numFmtId="0" fontId="15" fillId="0" borderId="0" xfId="0" applyFont="1" applyAlignment="1">
      <alignment horizontal="center"/>
    </xf>
    <xf numFmtId="167" fontId="31" fillId="0" borderId="0" xfId="5" applyNumberFormat="1" applyFont="1" applyBorder="1" applyAlignment="1">
      <alignment horizontal="center"/>
    </xf>
    <xf numFmtId="167" fontId="28" fillId="0" borderId="0" xfId="5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7" fontId="9" fillId="0" borderId="0" xfId="5" applyNumberFormat="1" applyFont="1" applyBorder="1" applyAlignment="1">
      <alignment horizontal="center"/>
    </xf>
    <xf numFmtId="167" fontId="12" fillId="0" borderId="0" xfId="5" applyNumberFormat="1" applyFont="1" applyBorder="1" applyAlignment="1">
      <alignment horizontal="center"/>
    </xf>
    <xf numFmtId="43" fontId="28" fillId="0" borderId="0" xfId="1" applyFont="1" applyBorder="1" applyAlignment="1">
      <alignment horizontal="left"/>
    </xf>
    <xf numFmtId="167" fontId="7" fillId="0" borderId="0" xfId="5" quotePrefix="1" applyNumberFormat="1" applyFont="1" applyBorder="1" applyAlignment="1">
      <alignment horizontal="center"/>
    </xf>
    <xf numFmtId="167" fontId="7" fillId="0" borderId="0" xfId="5" quotePrefix="1" applyNumberFormat="1" applyFont="1" applyAlignment="1">
      <alignment horizontal="center"/>
    </xf>
    <xf numFmtId="167" fontId="7" fillId="0" borderId="17" xfId="5" quotePrefix="1" applyNumberFormat="1" applyFont="1" applyBorder="1" applyAlignment="1">
      <alignment horizontal="center"/>
    </xf>
    <xf numFmtId="167" fontId="7" fillId="0" borderId="18" xfId="5" quotePrefix="1" applyNumberFormat="1" applyFont="1" applyBorder="1" applyAlignment="1">
      <alignment horizontal="center"/>
    </xf>
  </cellXfs>
  <cellStyles count="7">
    <cellStyle name="Comma" xfId="1" builtinId="3"/>
    <cellStyle name="Comma 2" xfId="5" xr:uid="{00000000-0005-0000-0000-000001000000}"/>
    <cellStyle name="Currency" xfId="2" builtinId="4"/>
    <cellStyle name="Currency 2" xfId="4" xr:uid="{00000000-0005-0000-0000-000003000000}"/>
    <cellStyle name="Normal" xfId="0" builtinId="0"/>
    <cellStyle name="Percent" xfId="3" builtinId="5"/>
    <cellStyle name="Percent 2" xfId="6" xr:uid="{00000000-0005-0000-0000-000006000000}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FF"/>
      <color rgb="FF59B589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Billed Usage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Usage!$X$8:$X$25</c:f>
              <c:strCache>
                <c:ptCount val="15"/>
                <c:pt idx="0">
                  <c:v> -   </c:v>
                </c:pt>
                <c:pt idx="1">
                  <c:v> 5,000 </c:v>
                </c:pt>
                <c:pt idx="2">
                  <c:v> 10,000 </c:v>
                </c:pt>
                <c:pt idx="3">
                  <c:v> 15,000 </c:v>
                </c:pt>
                <c:pt idx="4">
                  <c:v> 20,000 </c:v>
                </c:pt>
                <c:pt idx="5">
                  <c:v> 25,000 </c:v>
                </c:pt>
                <c:pt idx="6">
                  <c:v> 30,000 </c:v>
                </c:pt>
                <c:pt idx="7">
                  <c:v> 40,000 </c:v>
                </c:pt>
                <c:pt idx="8">
                  <c:v> 50,000 </c:v>
                </c:pt>
                <c:pt idx="9">
                  <c:v> 60,000 </c:v>
                </c:pt>
                <c:pt idx="10">
                  <c:v> 70,000 </c:v>
                </c:pt>
                <c:pt idx="11">
                  <c:v> 80,000 </c:v>
                </c:pt>
                <c:pt idx="12">
                  <c:v> 90,000 </c:v>
                </c:pt>
                <c:pt idx="13">
                  <c:v> 100,000 </c:v>
                </c:pt>
                <c:pt idx="14">
                  <c:v> &gt;100,000 </c:v>
                </c:pt>
              </c:strCache>
            </c:strRef>
          </c:cat>
          <c:val>
            <c:numRef>
              <c:f>Usage!$Y$8:$Y$25</c:f>
              <c:numCache>
                <c:formatCode>_(* #,##0_);_(* \(#,##0\);_(* "-"??_);_(@_)</c:formatCode>
                <c:ptCount val="18"/>
                <c:pt idx="0">
                  <c:v>0</c:v>
                </c:pt>
                <c:pt idx="1">
                  <c:v>26137300</c:v>
                </c:pt>
                <c:pt idx="2">
                  <c:v>40456000</c:v>
                </c:pt>
                <c:pt idx="3">
                  <c:v>44566600</c:v>
                </c:pt>
                <c:pt idx="4">
                  <c:v>46452300</c:v>
                </c:pt>
                <c:pt idx="5">
                  <c:v>47830200</c:v>
                </c:pt>
                <c:pt idx="6">
                  <c:v>48327300</c:v>
                </c:pt>
                <c:pt idx="7">
                  <c:v>49124800</c:v>
                </c:pt>
                <c:pt idx="8">
                  <c:v>50278300</c:v>
                </c:pt>
                <c:pt idx="9">
                  <c:v>51767600</c:v>
                </c:pt>
                <c:pt idx="10">
                  <c:v>52667800</c:v>
                </c:pt>
                <c:pt idx="11">
                  <c:v>53252300</c:v>
                </c:pt>
                <c:pt idx="12">
                  <c:v>53678500</c:v>
                </c:pt>
                <c:pt idx="13">
                  <c:v>54257900</c:v>
                </c:pt>
                <c:pt idx="14">
                  <c:v>60067100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9-493B-912E-AECFCC27D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1361664"/>
        <c:axId val="701355008"/>
      </c:lineChart>
      <c:catAx>
        <c:axId val="701361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55008"/>
        <c:crosses val="autoZero"/>
        <c:auto val="1"/>
        <c:lblAlgn val="ctr"/>
        <c:lblOffset val="100"/>
        <c:noMultiLvlLbl val="0"/>
      </c:catAx>
      <c:valAx>
        <c:axId val="701355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36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381000</xdr:colOff>
      <xdr:row>9</xdr:row>
      <xdr:rowOff>147637</xdr:rowOff>
    </xdr:from>
    <xdr:to>
      <xdr:col>31</xdr:col>
      <xdr:colOff>381000</xdr:colOff>
      <xdr:row>22</xdr:row>
      <xdr:rowOff>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3B2850-89D8-000C-A8E3-6AE31B388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Peaks%20Mill%20WD/Depreciation%202022.xlsx" TargetMode="External"/><Relationship Id="rId1" Type="http://schemas.openxmlformats.org/officeDocument/2006/relationships/externalLinkPath" Target="Depreciation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620783bd5d64abe/Peaks%20Mill%20WD/Long-Term%20Debt%20Schedules.xlsx" TargetMode="External"/><Relationship Id="rId1" Type="http://schemas.openxmlformats.org/officeDocument/2006/relationships/externalLinkPath" Target="Long-Term%20Debt%20Sched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PE"/>
      <sheetName val="Sheet3"/>
    </sheetNames>
    <sheetDataSet>
      <sheetData sheetId="0">
        <row r="9">
          <cell r="D9">
            <v>8096</v>
          </cell>
          <cell r="F9">
            <v>0</v>
          </cell>
        </row>
        <row r="42">
          <cell r="D42">
            <v>63665.3</v>
          </cell>
          <cell r="F42">
            <v>1591.6325000000002</v>
          </cell>
        </row>
        <row r="43">
          <cell r="D43">
            <v>11800</v>
          </cell>
          <cell r="F43">
            <v>295</v>
          </cell>
        </row>
        <row r="60">
          <cell r="D60">
            <v>1875</v>
          </cell>
          <cell r="F60">
            <v>46.875</v>
          </cell>
        </row>
        <row r="62">
          <cell r="D62">
            <v>64838</v>
          </cell>
          <cell r="F62">
            <v>1620.95</v>
          </cell>
        </row>
        <row r="63">
          <cell r="D63">
            <v>1944.19</v>
          </cell>
          <cell r="F63">
            <v>48.604750000000003</v>
          </cell>
        </row>
        <row r="69">
          <cell r="D69">
            <v>5833898.6300000027</v>
          </cell>
          <cell r="F69">
            <v>128939.28581249998</v>
          </cell>
        </row>
        <row r="80">
          <cell r="D80">
            <v>621164.84</v>
          </cell>
          <cell r="F80">
            <v>18823.176969696971</v>
          </cell>
        </row>
        <row r="95">
          <cell r="D95">
            <v>1150</v>
          </cell>
          <cell r="F95">
            <v>230</v>
          </cell>
        </row>
        <row r="96">
          <cell r="D96">
            <v>14175</v>
          </cell>
          <cell r="F96">
            <v>2126.25</v>
          </cell>
        </row>
        <row r="97">
          <cell r="D97">
            <v>1214.33</v>
          </cell>
          <cell r="F97">
            <v>161.91066666666666</v>
          </cell>
        </row>
        <row r="98">
          <cell r="D98">
            <v>667.78</v>
          </cell>
          <cell r="F98">
            <v>55.648333333333326</v>
          </cell>
        </row>
        <row r="99">
          <cell r="D99">
            <v>9849.3700000000008</v>
          </cell>
          <cell r="F99">
            <v>820.78083333333348</v>
          </cell>
        </row>
        <row r="107">
          <cell r="D107">
            <v>12486.6</v>
          </cell>
          <cell r="F107">
            <v>1248.6600000000001</v>
          </cell>
        </row>
        <row r="108">
          <cell r="D108">
            <v>4445</v>
          </cell>
          <cell r="F108">
            <v>635</v>
          </cell>
        </row>
        <row r="109">
          <cell r="D109">
            <v>2526.52</v>
          </cell>
          <cell r="F109">
            <v>240.62095238095236</v>
          </cell>
        </row>
        <row r="110">
          <cell r="D110">
            <v>885</v>
          </cell>
          <cell r="F110">
            <v>63.214285714285715</v>
          </cell>
        </row>
        <row r="111">
          <cell r="D111">
            <v>1437.61</v>
          </cell>
          <cell r="F111">
            <v>68.457619047619033</v>
          </cell>
        </row>
        <row r="112">
          <cell r="D112">
            <v>3751.65</v>
          </cell>
          <cell r="F112">
            <v>44.662500000000001</v>
          </cell>
        </row>
        <row r="113">
          <cell r="D113">
            <v>10622.5</v>
          </cell>
          <cell r="F113">
            <v>126.45833333333333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1-03 and 91-05 Bonds"/>
      <sheetName val="KIA Loan"/>
      <sheetName val="Total Debt Payment Schedule"/>
      <sheetName val="Loan Schedule GH"/>
    </sheetNames>
    <sheetDataSet>
      <sheetData sheetId="0">
        <row r="22">
          <cell r="C22">
            <v>14000</v>
          </cell>
          <cell r="F22">
            <v>11100</v>
          </cell>
        </row>
        <row r="23">
          <cell r="C23">
            <v>15000</v>
          </cell>
          <cell r="F23">
            <v>10400</v>
          </cell>
        </row>
        <row r="24">
          <cell r="C24">
            <v>15000</v>
          </cell>
          <cell r="F24">
            <v>9650</v>
          </cell>
        </row>
        <row r="25">
          <cell r="C25">
            <v>17000</v>
          </cell>
          <cell r="F25">
            <v>8900</v>
          </cell>
        </row>
        <row r="26">
          <cell r="C26">
            <v>17000</v>
          </cell>
          <cell r="F26">
            <v>8050</v>
          </cell>
        </row>
        <row r="57">
          <cell r="C57">
            <v>6900</v>
          </cell>
          <cell r="F57">
            <v>5595</v>
          </cell>
        </row>
        <row r="58">
          <cell r="C58">
            <v>7200</v>
          </cell>
          <cell r="F58">
            <v>5250</v>
          </cell>
        </row>
        <row r="59">
          <cell r="C59">
            <v>7600</v>
          </cell>
          <cell r="F59">
            <v>4890</v>
          </cell>
        </row>
        <row r="60">
          <cell r="C60">
            <v>8000</v>
          </cell>
          <cell r="F60">
            <v>4510</v>
          </cell>
        </row>
        <row r="61">
          <cell r="C61">
            <v>8400</v>
          </cell>
          <cell r="F61">
            <v>4110</v>
          </cell>
        </row>
      </sheetData>
      <sheetData sheetId="1">
        <row r="179">
          <cell r="C179">
            <v>4387.3899999999994</v>
          </cell>
          <cell r="D179">
            <v>864.09</v>
          </cell>
          <cell r="G179">
            <v>57.61</v>
          </cell>
        </row>
        <row r="180">
          <cell r="C180">
            <v>4398.3599999999997</v>
          </cell>
          <cell r="D180">
            <v>853.12</v>
          </cell>
          <cell r="G180">
            <v>56.87</v>
          </cell>
        </row>
        <row r="181">
          <cell r="C181">
            <v>4409.3499999999995</v>
          </cell>
          <cell r="D181">
            <v>842.13</v>
          </cell>
          <cell r="G181">
            <v>56.14</v>
          </cell>
        </row>
        <row r="182">
          <cell r="C182">
            <v>4420.37</v>
          </cell>
          <cell r="D182">
            <v>831.11</v>
          </cell>
          <cell r="G182">
            <v>55.41</v>
          </cell>
        </row>
        <row r="183">
          <cell r="C183">
            <v>4431.4299999999994</v>
          </cell>
          <cell r="D183">
            <v>820.05</v>
          </cell>
          <cell r="G183">
            <v>54.67</v>
          </cell>
        </row>
        <row r="184">
          <cell r="C184">
            <v>4442.5</v>
          </cell>
          <cell r="D184">
            <v>808.98</v>
          </cell>
          <cell r="G184">
            <v>53.93</v>
          </cell>
        </row>
        <row r="185">
          <cell r="C185">
            <v>4453.6099999999997</v>
          </cell>
          <cell r="D185">
            <v>797.87</v>
          </cell>
          <cell r="G185">
            <v>53.19</v>
          </cell>
        </row>
        <row r="186">
          <cell r="C186">
            <v>4464.74</v>
          </cell>
          <cell r="D186">
            <v>786.74</v>
          </cell>
          <cell r="G186">
            <v>52.45</v>
          </cell>
        </row>
        <row r="187">
          <cell r="C187">
            <v>4475.91</v>
          </cell>
          <cell r="D187">
            <v>775.57</v>
          </cell>
          <cell r="G187">
            <v>51.7</v>
          </cell>
        </row>
        <row r="188">
          <cell r="C188">
            <v>4487.0999999999995</v>
          </cell>
          <cell r="D188">
            <v>764.38</v>
          </cell>
          <cell r="G188">
            <v>50.96</v>
          </cell>
        </row>
        <row r="189">
          <cell r="C189">
            <v>4498.3099999999995</v>
          </cell>
          <cell r="D189">
            <v>753.17</v>
          </cell>
          <cell r="G189">
            <v>50.21</v>
          </cell>
        </row>
        <row r="190">
          <cell r="C190">
            <v>4509.5599999999995</v>
          </cell>
          <cell r="D190">
            <v>741.92</v>
          </cell>
          <cell r="G190">
            <v>49.46</v>
          </cell>
        </row>
        <row r="191">
          <cell r="C191">
            <v>4520.83</v>
          </cell>
          <cell r="D191">
            <v>730.65</v>
          </cell>
          <cell r="G191">
            <v>48.71</v>
          </cell>
        </row>
        <row r="192">
          <cell r="C192">
            <v>4532.1399999999994</v>
          </cell>
          <cell r="D192">
            <v>719.34</v>
          </cell>
          <cell r="G192">
            <v>47.96</v>
          </cell>
        </row>
        <row r="193">
          <cell r="C193">
            <v>4543.4699999999993</v>
          </cell>
          <cell r="D193">
            <v>708.01</v>
          </cell>
          <cell r="G193">
            <v>47.2</v>
          </cell>
        </row>
        <row r="194">
          <cell r="C194">
            <v>4554.82</v>
          </cell>
          <cell r="D194">
            <v>696.66</v>
          </cell>
          <cell r="G194">
            <v>46.44</v>
          </cell>
        </row>
        <row r="195">
          <cell r="C195">
            <v>4566.2099999999991</v>
          </cell>
          <cell r="D195">
            <v>685.27</v>
          </cell>
          <cell r="G195">
            <v>45.68</v>
          </cell>
        </row>
        <row r="196">
          <cell r="C196">
            <v>4577.6299999999992</v>
          </cell>
          <cell r="D196">
            <v>673.85</v>
          </cell>
          <cell r="G196">
            <v>44.92</v>
          </cell>
        </row>
        <row r="197">
          <cell r="C197">
            <v>4589.07</v>
          </cell>
          <cell r="D197">
            <v>662.41</v>
          </cell>
          <cell r="G197">
            <v>44.16</v>
          </cell>
        </row>
        <row r="198">
          <cell r="C198">
            <v>4600.5399999999991</v>
          </cell>
          <cell r="D198">
            <v>650.94000000000005</v>
          </cell>
          <cell r="G198">
            <v>43.4</v>
          </cell>
        </row>
        <row r="199">
          <cell r="C199">
            <v>4612.0499999999993</v>
          </cell>
          <cell r="D199">
            <v>639.42999999999995</v>
          </cell>
          <cell r="G199">
            <v>42.63</v>
          </cell>
        </row>
        <row r="200">
          <cell r="C200">
            <v>4623.58</v>
          </cell>
          <cell r="D200">
            <v>627.9</v>
          </cell>
          <cell r="G200">
            <v>41.86</v>
          </cell>
        </row>
        <row r="201">
          <cell r="C201">
            <v>4635.1299999999992</v>
          </cell>
          <cell r="D201">
            <v>616.35</v>
          </cell>
          <cell r="G201">
            <v>41.09</v>
          </cell>
        </row>
        <row r="202">
          <cell r="C202">
            <v>4646.7199999999993</v>
          </cell>
          <cell r="D202">
            <v>604.76</v>
          </cell>
          <cell r="G202">
            <v>40.32</v>
          </cell>
        </row>
        <row r="203">
          <cell r="C203">
            <v>4658.3399999999992</v>
          </cell>
          <cell r="D203">
            <v>593.14</v>
          </cell>
          <cell r="G203">
            <v>39.54</v>
          </cell>
        </row>
        <row r="204">
          <cell r="C204">
            <v>4669.99</v>
          </cell>
          <cell r="D204">
            <v>581.49</v>
          </cell>
          <cell r="G204">
            <v>38.770000000000003</v>
          </cell>
        </row>
        <row r="205">
          <cell r="C205">
            <v>4681.66</v>
          </cell>
          <cell r="D205">
            <v>569.82000000000005</v>
          </cell>
          <cell r="G205">
            <v>37.99</v>
          </cell>
        </row>
        <row r="206">
          <cell r="C206">
            <v>4693.3599999999997</v>
          </cell>
          <cell r="D206">
            <v>558.12</v>
          </cell>
          <cell r="G206">
            <v>37.21</v>
          </cell>
        </row>
        <row r="207">
          <cell r="C207">
            <v>4705.0999999999995</v>
          </cell>
          <cell r="D207">
            <v>546.38</v>
          </cell>
          <cell r="G207">
            <v>36.43</v>
          </cell>
        </row>
        <row r="208">
          <cell r="C208">
            <v>4716.8599999999997</v>
          </cell>
          <cell r="D208">
            <v>534.62</v>
          </cell>
          <cell r="G208">
            <v>35.64</v>
          </cell>
        </row>
        <row r="209">
          <cell r="C209">
            <v>4728.6499999999996</v>
          </cell>
          <cell r="D209">
            <v>522.83000000000004</v>
          </cell>
          <cell r="G209">
            <v>34.86</v>
          </cell>
        </row>
        <row r="210">
          <cell r="C210">
            <v>4740.4699999999993</v>
          </cell>
          <cell r="D210">
            <v>511.01</v>
          </cell>
          <cell r="G210">
            <v>34.07</v>
          </cell>
        </row>
        <row r="211">
          <cell r="C211">
            <v>4752.33</v>
          </cell>
          <cell r="D211">
            <v>499.15</v>
          </cell>
          <cell r="G211">
            <v>33.28</v>
          </cell>
        </row>
        <row r="212">
          <cell r="C212">
            <v>4764.2099999999991</v>
          </cell>
          <cell r="D212">
            <v>487.27</v>
          </cell>
          <cell r="G212">
            <v>32.479999999999997</v>
          </cell>
        </row>
        <row r="213">
          <cell r="C213">
            <v>4776.12</v>
          </cell>
          <cell r="D213">
            <v>475.36</v>
          </cell>
          <cell r="G213">
            <v>31.69</v>
          </cell>
        </row>
        <row r="214">
          <cell r="C214">
            <v>4788.0599999999995</v>
          </cell>
          <cell r="D214">
            <v>463.42</v>
          </cell>
          <cell r="G214">
            <v>30.89</v>
          </cell>
        </row>
        <row r="215">
          <cell r="C215">
            <v>4800.03</v>
          </cell>
          <cell r="D215">
            <v>451.45</v>
          </cell>
          <cell r="G215">
            <v>30.1</v>
          </cell>
        </row>
        <row r="216">
          <cell r="C216">
            <v>4812.03</v>
          </cell>
          <cell r="D216">
            <v>439.45</v>
          </cell>
          <cell r="G216">
            <v>29.3</v>
          </cell>
        </row>
        <row r="217">
          <cell r="C217">
            <v>4824.0599999999995</v>
          </cell>
          <cell r="D217">
            <v>427.42</v>
          </cell>
          <cell r="G217">
            <v>28.49</v>
          </cell>
        </row>
        <row r="218">
          <cell r="C218">
            <v>4836.12</v>
          </cell>
          <cell r="D218">
            <v>415.36</v>
          </cell>
          <cell r="G218">
            <v>27.69</v>
          </cell>
        </row>
        <row r="219">
          <cell r="C219">
            <v>4848.2099999999991</v>
          </cell>
          <cell r="D219">
            <v>403.27</v>
          </cell>
          <cell r="G219">
            <v>26.88</v>
          </cell>
        </row>
        <row r="220">
          <cell r="C220">
            <v>4860.33</v>
          </cell>
          <cell r="D220">
            <v>391.15</v>
          </cell>
          <cell r="G220">
            <v>26.08</v>
          </cell>
        </row>
        <row r="221">
          <cell r="C221">
            <v>4872.4799999999996</v>
          </cell>
          <cell r="D221">
            <v>379</v>
          </cell>
          <cell r="G221">
            <v>25.27</v>
          </cell>
        </row>
        <row r="222">
          <cell r="C222">
            <v>4884.66</v>
          </cell>
          <cell r="D222">
            <v>366.82</v>
          </cell>
          <cell r="G222">
            <v>24.45</v>
          </cell>
        </row>
        <row r="223">
          <cell r="C223">
            <v>4896.87</v>
          </cell>
          <cell r="D223">
            <v>354.61</v>
          </cell>
          <cell r="G223">
            <v>23.64</v>
          </cell>
        </row>
        <row r="224">
          <cell r="C224">
            <v>4909.1099999999997</v>
          </cell>
          <cell r="D224">
            <v>342.37</v>
          </cell>
          <cell r="G224">
            <v>22.82</v>
          </cell>
        </row>
        <row r="225">
          <cell r="C225">
            <v>4921.3899999999994</v>
          </cell>
          <cell r="D225">
            <v>330.09</v>
          </cell>
          <cell r="G225">
            <v>22.01</v>
          </cell>
        </row>
        <row r="226">
          <cell r="C226">
            <v>4933.6899999999996</v>
          </cell>
          <cell r="D226">
            <v>317.79000000000002</v>
          </cell>
          <cell r="G226">
            <v>21.19</v>
          </cell>
        </row>
        <row r="227">
          <cell r="C227">
            <v>4946.0199999999995</v>
          </cell>
          <cell r="D227">
            <v>305.45999999999998</v>
          </cell>
          <cell r="G227">
            <v>20.36</v>
          </cell>
        </row>
        <row r="228">
          <cell r="C228">
            <v>4958.3899999999994</v>
          </cell>
          <cell r="D228">
            <v>293.08999999999997</v>
          </cell>
          <cell r="G228">
            <v>19.54</v>
          </cell>
        </row>
        <row r="229">
          <cell r="C229">
            <v>4970.79</v>
          </cell>
          <cell r="D229">
            <v>280.69</v>
          </cell>
          <cell r="G229">
            <v>18.71</v>
          </cell>
        </row>
        <row r="230">
          <cell r="C230">
            <v>4983.2099999999991</v>
          </cell>
          <cell r="D230">
            <v>268.27</v>
          </cell>
          <cell r="G230">
            <v>17.88</v>
          </cell>
        </row>
        <row r="231">
          <cell r="C231">
            <v>4995.6699999999992</v>
          </cell>
          <cell r="D231">
            <v>255.81</v>
          </cell>
          <cell r="G231">
            <v>17.05</v>
          </cell>
        </row>
        <row r="232">
          <cell r="C232">
            <v>5008.16</v>
          </cell>
          <cell r="D232">
            <v>243.32</v>
          </cell>
          <cell r="G232">
            <v>16.22</v>
          </cell>
        </row>
        <row r="233">
          <cell r="C233">
            <v>5020.6799999999994</v>
          </cell>
          <cell r="D233">
            <v>230.8</v>
          </cell>
          <cell r="G233">
            <v>15.39</v>
          </cell>
        </row>
        <row r="234">
          <cell r="C234">
            <v>5033.2299999999996</v>
          </cell>
          <cell r="D234">
            <v>218.25</v>
          </cell>
          <cell r="G234">
            <v>14.55</v>
          </cell>
        </row>
        <row r="235">
          <cell r="C235">
            <v>5045.8099999999995</v>
          </cell>
          <cell r="D235">
            <v>205.67</v>
          </cell>
          <cell r="G235">
            <v>13.71</v>
          </cell>
        </row>
        <row r="236">
          <cell r="C236">
            <v>5058.4299999999994</v>
          </cell>
          <cell r="D236">
            <v>193.05</v>
          </cell>
          <cell r="G236">
            <v>12.87</v>
          </cell>
        </row>
        <row r="237">
          <cell r="C237">
            <v>5071.08</v>
          </cell>
          <cell r="D237">
            <v>180.4</v>
          </cell>
          <cell r="G237">
            <v>12.03</v>
          </cell>
        </row>
        <row r="238">
          <cell r="C238">
            <v>5083.75</v>
          </cell>
          <cell r="D238">
            <v>167.73</v>
          </cell>
          <cell r="G238">
            <v>11.18</v>
          </cell>
        </row>
      </sheetData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71"/>
  <sheetViews>
    <sheetView workbookViewId="0">
      <selection sqref="A1:K66"/>
    </sheetView>
  </sheetViews>
  <sheetFormatPr defaultColWidth="8.88671875" defaultRowHeight="15.75" x14ac:dyDescent="0.5"/>
  <cols>
    <col min="1" max="1" width="3.21875" style="22" customWidth="1"/>
    <col min="2" max="2" width="1.77734375" style="22" customWidth="1"/>
    <col min="3" max="3" width="1.77734375" style="21" customWidth="1"/>
    <col min="4" max="4" width="3.77734375" style="21" customWidth="1"/>
    <col min="5" max="5" width="24.6640625" style="21" customWidth="1"/>
    <col min="6" max="6" width="9.77734375" style="21" customWidth="1"/>
    <col min="7" max="7" width="10.21875" style="21" customWidth="1"/>
    <col min="8" max="8" width="4.88671875" style="428" customWidth="1"/>
    <col min="9" max="9" width="9.77734375" style="21" customWidth="1"/>
    <col min="10" max="10" width="1.77734375" style="21" customWidth="1"/>
    <col min="11" max="11" width="3.77734375" style="21" customWidth="1"/>
    <col min="12" max="12" width="55.609375" style="19" customWidth="1"/>
    <col min="13" max="13" width="11.33203125" style="21" customWidth="1"/>
    <col min="14" max="252" width="9.6640625" style="21" customWidth="1"/>
    <col min="253" max="254" width="9.6640625" style="22" customWidth="1"/>
    <col min="255" max="16384" width="8.88671875" style="22"/>
  </cols>
  <sheetData>
    <row r="1" spans="1:16" x14ac:dyDescent="0.5">
      <c r="A1" s="353"/>
    </row>
    <row r="2" spans="1:16" ht="7.05" customHeight="1" x14ac:dyDescent="0.5">
      <c r="B2" s="62"/>
      <c r="C2" s="133"/>
      <c r="D2" s="133"/>
      <c r="E2" s="133"/>
      <c r="F2" s="133"/>
      <c r="G2" s="133"/>
      <c r="H2" s="429"/>
      <c r="I2" s="133"/>
      <c r="J2" s="134"/>
    </row>
    <row r="3" spans="1:16" ht="18" customHeight="1" x14ac:dyDescent="0.5">
      <c r="B3" s="61"/>
      <c r="C3" s="485" t="s">
        <v>28</v>
      </c>
      <c r="D3" s="485"/>
      <c r="E3" s="485"/>
      <c r="F3" s="485"/>
      <c r="G3" s="485"/>
      <c r="H3" s="485"/>
      <c r="I3" s="485"/>
      <c r="J3" s="124"/>
      <c r="K3" s="80"/>
      <c r="L3" s="23"/>
      <c r="M3" s="20"/>
    </row>
    <row r="4" spans="1:16" ht="18" customHeight="1" x14ac:dyDescent="0.5">
      <c r="B4" s="61"/>
      <c r="C4" s="484" t="s">
        <v>252</v>
      </c>
      <c r="D4" s="484"/>
      <c r="E4" s="484"/>
      <c r="F4" s="484"/>
      <c r="G4" s="484"/>
      <c r="H4" s="484"/>
      <c r="I4" s="484"/>
      <c r="J4" s="124"/>
      <c r="K4" s="80"/>
      <c r="L4" s="460"/>
      <c r="M4"/>
      <c r="N4" s="80"/>
      <c r="O4" s="80"/>
      <c r="P4" s="80"/>
    </row>
    <row r="5" spans="1:16" ht="7.05" customHeight="1" x14ac:dyDescent="0.5">
      <c r="B5" s="63"/>
      <c r="C5" s="135"/>
      <c r="D5" s="135"/>
      <c r="E5" s="135"/>
      <c r="F5" s="136"/>
      <c r="G5" s="136"/>
      <c r="H5" s="430"/>
      <c r="I5" s="136"/>
      <c r="J5" s="137"/>
      <c r="K5" s="138"/>
      <c r="L5" s="23"/>
      <c r="M5" s="20"/>
    </row>
    <row r="6" spans="1:16" ht="7.05" customHeight="1" x14ac:dyDescent="0.5">
      <c r="B6" s="61"/>
      <c r="C6" s="20"/>
      <c r="D6" s="20"/>
      <c r="E6" s="20"/>
      <c r="F6" s="138"/>
      <c r="G6" s="138"/>
      <c r="H6" s="431"/>
      <c r="I6" s="138"/>
      <c r="J6" s="158"/>
      <c r="K6" s="138"/>
      <c r="L6" s="23"/>
      <c r="M6" s="20"/>
    </row>
    <row r="7" spans="1:16" x14ac:dyDescent="0.5">
      <c r="B7" s="61"/>
      <c r="C7" s="23"/>
      <c r="D7" s="23"/>
      <c r="E7" s="23"/>
      <c r="F7" s="139" t="s">
        <v>84</v>
      </c>
      <c r="G7" s="139" t="s">
        <v>27</v>
      </c>
      <c r="H7" s="431" t="s">
        <v>43</v>
      </c>
      <c r="I7" s="139" t="s">
        <v>83</v>
      </c>
      <c r="J7" s="140"/>
      <c r="K7" s="139"/>
      <c r="L7" s="142"/>
      <c r="M7" s="24"/>
    </row>
    <row r="8" spans="1:16" ht="15" customHeight="1" x14ac:dyDescent="0.5">
      <c r="B8" s="61"/>
      <c r="C8" s="154" t="s">
        <v>10</v>
      </c>
      <c r="D8" s="23"/>
      <c r="E8" s="23"/>
      <c r="F8" s="23"/>
      <c r="G8" s="23"/>
      <c r="H8" s="432"/>
      <c r="I8" s="23"/>
      <c r="J8" s="141"/>
      <c r="K8" s="23"/>
      <c r="L8" s="142"/>
      <c r="M8" s="24"/>
    </row>
    <row r="9" spans="1:16" ht="15" customHeight="1" x14ac:dyDescent="0.5">
      <c r="B9" s="61"/>
      <c r="C9" s="23"/>
      <c r="D9" s="23" t="s">
        <v>116</v>
      </c>
      <c r="E9" s="23"/>
      <c r="F9" s="25">
        <v>717547</v>
      </c>
      <c r="G9" s="142">
        <f>ExBA!G10</f>
        <v>-7626.5929999998771</v>
      </c>
      <c r="H9" s="432" t="s">
        <v>89</v>
      </c>
      <c r="I9" s="25"/>
      <c r="J9" s="143"/>
      <c r="K9" s="25"/>
      <c r="L9" s="142" t="s">
        <v>367</v>
      </c>
      <c r="M9" s="24"/>
    </row>
    <row r="10" spans="1:16" ht="15" customHeight="1" x14ac:dyDescent="0.5">
      <c r="B10" s="61"/>
      <c r="C10" s="23"/>
      <c r="D10" s="23"/>
      <c r="E10" s="23"/>
      <c r="F10" s="25"/>
      <c r="G10" s="142">
        <v>17394.919999999998</v>
      </c>
      <c r="H10" s="432" t="s">
        <v>378</v>
      </c>
      <c r="I10" s="25">
        <f>F9+G9+G10</f>
        <v>727315.32700000016</v>
      </c>
      <c r="J10" s="143"/>
      <c r="K10" s="25"/>
      <c r="L10" s="142" t="s">
        <v>366</v>
      </c>
      <c r="M10" s="24"/>
    </row>
    <row r="11" spans="1:16" ht="15" customHeight="1" x14ac:dyDescent="0.5">
      <c r="B11" s="61"/>
      <c r="C11" s="23"/>
      <c r="D11" s="23" t="s">
        <v>34</v>
      </c>
      <c r="E11" s="23"/>
      <c r="F11" s="25"/>
      <c r="G11" s="142"/>
      <c r="H11" s="432"/>
      <c r="I11" s="25"/>
      <c r="J11" s="143"/>
      <c r="K11" s="25"/>
      <c r="L11" s="142"/>
      <c r="M11" s="24"/>
    </row>
    <row r="12" spans="1:16" ht="15" customHeight="1" x14ac:dyDescent="0.5">
      <c r="B12" s="61"/>
      <c r="C12" s="23"/>
      <c r="D12" s="23"/>
      <c r="E12" s="23" t="s">
        <v>32</v>
      </c>
      <c r="F12" s="450">
        <v>0</v>
      </c>
      <c r="G12" s="450">
        <v>12873</v>
      </c>
      <c r="H12" s="432" t="s">
        <v>90</v>
      </c>
      <c r="I12" s="450">
        <f>F12+G12</f>
        <v>12873</v>
      </c>
      <c r="J12" s="451"/>
      <c r="K12" s="450"/>
      <c r="L12" s="450" t="s">
        <v>365</v>
      </c>
      <c r="M12" s="452"/>
    </row>
    <row r="13" spans="1:16" ht="15" customHeight="1" x14ac:dyDescent="0.5">
      <c r="B13" s="61"/>
      <c r="C13" s="23"/>
      <c r="D13" s="23"/>
      <c r="E13" s="23" t="s">
        <v>33</v>
      </c>
      <c r="F13" s="450">
        <v>38690</v>
      </c>
      <c r="G13" s="450">
        <f>-G12</f>
        <v>-12873</v>
      </c>
      <c r="H13" s="432" t="s">
        <v>90</v>
      </c>
      <c r="I13" s="450"/>
      <c r="J13" s="451"/>
      <c r="K13" s="450"/>
      <c r="L13" s="450" t="s">
        <v>365</v>
      </c>
      <c r="M13" s="452"/>
    </row>
    <row r="14" spans="1:16" ht="15" customHeight="1" x14ac:dyDescent="0.5">
      <c r="B14" s="61"/>
      <c r="C14" s="23"/>
      <c r="D14" s="23"/>
      <c r="E14" s="23"/>
      <c r="F14" s="449"/>
      <c r="G14" s="450">
        <v>9235</v>
      </c>
      <c r="H14" s="432" t="s">
        <v>379</v>
      </c>
      <c r="I14" s="449"/>
      <c r="J14" s="451"/>
      <c r="K14" s="450"/>
      <c r="L14" s="450" t="s">
        <v>364</v>
      </c>
      <c r="M14" s="452"/>
    </row>
    <row r="15" spans="1:16" ht="15" customHeight="1" x14ac:dyDescent="0.5">
      <c r="B15" s="61"/>
      <c r="C15" s="23"/>
      <c r="D15" s="23"/>
      <c r="E15" s="23"/>
      <c r="F15" s="449">
        <v>0</v>
      </c>
      <c r="G15" s="449">
        <v>1200</v>
      </c>
      <c r="H15" s="432" t="s">
        <v>380</v>
      </c>
      <c r="I15" s="449">
        <f>F13+G13+G14+G15</f>
        <v>36252</v>
      </c>
      <c r="J15" s="451"/>
      <c r="K15" s="450"/>
      <c r="L15" s="450" t="s">
        <v>363</v>
      </c>
      <c r="M15" s="452"/>
    </row>
    <row r="16" spans="1:16" ht="15" customHeight="1" x14ac:dyDescent="0.5">
      <c r="B16" s="61"/>
      <c r="C16" s="149" t="s">
        <v>11</v>
      </c>
      <c r="D16" s="23"/>
      <c r="E16" s="23"/>
      <c r="F16" s="25">
        <f>SUM(F9:F15)</f>
        <v>756237</v>
      </c>
      <c r="G16" s="25">
        <f>SUM(G9:G15)</f>
        <v>20203.327000000121</v>
      </c>
      <c r="H16" s="432"/>
      <c r="I16" s="25">
        <f>SUM(I9:I15)</f>
        <v>776440.32700000016</v>
      </c>
      <c r="J16" s="143"/>
      <c r="K16" s="25"/>
      <c r="L16" s="142"/>
      <c r="M16" s="24"/>
    </row>
    <row r="17" spans="2:13" ht="7.05" customHeight="1" x14ac:dyDescent="0.5">
      <c r="B17" s="61"/>
      <c r="C17" s="23"/>
      <c r="D17" s="23"/>
      <c r="E17" s="23"/>
      <c r="F17" s="26"/>
      <c r="G17" s="142"/>
      <c r="H17" s="432"/>
      <c r="I17" s="26"/>
      <c r="J17" s="147"/>
      <c r="K17" s="26"/>
      <c r="L17" s="142"/>
      <c r="M17" s="24"/>
    </row>
    <row r="18" spans="2:13" ht="15" customHeight="1" x14ac:dyDescent="0.5">
      <c r="B18" s="61"/>
      <c r="C18" s="154" t="s">
        <v>12</v>
      </c>
      <c r="D18" s="23"/>
      <c r="E18" s="23"/>
      <c r="F18" s="26"/>
      <c r="G18" s="142"/>
      <c r="H18" s="432"/>
      <c r="I18" s="26"/>
      <c r="J18" s="147"/>
      <c r="K18" s="26"/>
      <c r="L18" s="142"/>
      <c r="M18" s="24"/>
    </row>
    <row r="19" spans="2:13" ht="15" customHeight="1" x14ac:dyDescent="0.5">
      <c r="B19" s="61"/>
      <c r="C19" s="23"/>
      <c r="D19" s="23" t="s">
        <v>17</v>
      </c>
      <c r="E19" s="23"/>
      <c r="F19" s="26"/>
      <c r="G19" s="142"/>
      <c r="H19" s="432"/>
      <c r="I19" s="26"/>
      <c r="J19" s="147"/>
      <c r="K19" s="26"/>
      <c r="L19" s="142"/>
      <c r="M19" s="24"/>
    </row>
    <row r="20" spans="2:13" ht="15" customHeight="1" x14ac:dyDescent="0.5">
      <c r="B20" s="61"/>
      <c r="C20" s="23"/>
      <c r="D20" s="23"/>
      <c r="E20" s="23" t="s">
        <v>21</v>
      </c>
      <c r="F20" s="450">
        <v>77434</v>
      </c>
      <c r="G20" s="142">
        <f>Adjustments!O17</f>
        <v>7559.3224999999948</v>
      </c>
      <c r="H20" s="432" t="s">
        <v>91</v>
      </c>
      <c r="I20" s="142"/>
      <c r="J20" s="144"/>
      <c r="K20" s="142"/>
      <c r="L20" s="142" t="s">
        <v>360</v>
      </c>
      <c r="M20" s="24"/>
    </row>
    <row r="21" spans="2:13" ht="15" customHeight="1" x14ac:dyDescent="0.5">
      <c r="B21" s="61"/>
      <c r="C21" s="23"/>
      <c r="D21" s="23"/>
      <c r="E21" s="23"/>
      <c r="F21" s="450"/>
      <c r="G21" s="142">
        <v>-8916.32</v>
      </c>
      <c r="H21" s="432" t="s">
        <v>381</v>
      </c>
      <c r="I21" s="142">
        <f>F20+G20+G21</f>
        <v>76077.002500000002</v>
      </c>
      <c r="J21" s="144"/>
      <c r="K21" s="142"/>
      <c r="L21" s="142" t="s">
        <v>361</v>
      </c>
      <c r="M21" s="24"/>
    </row>
    <row r="22" spans="2:13" ht="15" customHeight="1" x14ac:dyDescent="0.5">
      <c r="B22" s="61"/>
      <c r="C22" s="23"/>
      <c r="D22" s="23"/>
      <c r="E22" s="23" t="s">
        <v>22</v>
      </c>
      <c r="F22" s="450">
        <v>10800</v>
      </c>
      <c r="G22" s="142">
        <v>0</v>
      </c>
      <c r="H22" s="423"/>
      <c r="I22" s="142">
        <f t="shared" ref="I22:I41" si="0">F22+G22</f>
        <v>10800</v>
      </c>
      <c r="J22" s="144"/>
      <c r="K22" s="142"/>
      <c r="L22" s="142"/>
    </row>
    <row r="23" spans="2:13" ht="15" customHeight="1" x14ac:dyDescent="0.5">
      <c r="B23" s="61"/>
      <c r="C23" s="23"/>
      <c r="D23" s="23"/>
      <c r="E23" s="23" t="s">
        <v>23</v>
      </c>
      <c r="F23" s="450">
        <v>7149</v>
      </c>
      <c r="G23" s="450">
        <f>-F23</f>
        <v>-7149</v>
      </c>
      <c r="H23" s="423" t="s">
        <v>110</v>
      </c>
      <c r="I23" s="450">
        <v>0</v>
      </c>
      <c r="J23" s="451"/>
      <c r="K23" s="450"/>
      <c r="L23" s="450" t="s">
        <v>362</v>
      </c>
      <c r="M23" s="452"/>
    </row>
    <row r="24" spans="2:13" ht="15" customHeight="1" x14ac:dyDescent="0.5">
      <c r="B24" s="61"/>
      <c r="C24" s="23"/>
      <c r="D24" s="23"/>
      <c r="E24" s="23" t="s">
        <v>245</v>
      </c>
      <c r="F24" s="450">
        <v>380510</v>
      </c>
      <c r="G24" s="450">
        <f>-F24*Adjustments!E17</f>
        <v>-49870.654288871498</v>
      </c>
      <c r="H24" s="423" t="s">
        <v>92</v>
      </c>
      <c r="I24" s="450"/>
      <c r="J24" s="451"/>
      <c r="K24" s="450"/>
      <c r="L24" s="450" t="s">
        <v>368</v>
      </c>
      <c r="M24" s="452"/>
    </row>
    <row r="25" spans="2:13" ht="15" customHeight="1" x14ac:dyDescent="0.5">
      <c r="B25" s="61"/>
      <c r="C25" s="23"/>
      <c r="D25" s="23"/>
      <c r="E25" s="23"/>
      <c r="F25" s="450"/>
      <c r="G25" s="450">
        <v>-96120</v>
      </c>
      <c r="H25" s="423" t="s">
        <v>382</v>
      </c>
      <c r="I25" s="450"/>
      <c r="J25" s="451"/>
      <c r="K25" s="450"/>
      <c r="L25" s="450" t="s">
        <v>374</v>
      </c>
      <c r="M25" s="452"/>
    </row>
    <row r="26" spans="2:13" ht="15" customHeight="1" x14ac:dyDescent="0.5">
      <c r="B26" s="61"/>
      <c r="C26" s="23"/>
      <c r="D26" s="23"/>
      <c r="E26" s="23"/>
      <c r="F26" s="450"/>
      <c r="G26" s="450">
        <v>-10142</v>
      </c>
      <c r="H26" s="423" t="s">
        <v>383</v>
      </c>
      <c r="I26" s="450">
        <f>F24+G24+G25+G26</f>
        <v>224377.3457111285</v>
      </c>
      <c r="J26" s="451"/>
      <c r="K26" s="450"/>
      <c r="L26" s="450" t="s">
        <v>375</v>
      </c>
      <c r="M26" s="452"/>
    </row>
    <row r="27" spans="2:13" ht="15" customHeight="1" x14ac:dyDescent="0.5">
      <c r="B27" s="61"/>
      <c r="C27" s="23"/>
      <c r="D27" s="23"/>
      <c r="E27" s="23" t="s">
        <v>24</v>
      </c>
      <c r="F27" s="450">
        <v>12554</v>
      </c>
      <c r="G27" s="450">
        <f>-F27*Adjustments!E17</f>
        <v>-1645.3606841935632</v>
      </c>
      <c r="H27" s="423" t="s">
        <v>92</v>
      </c>
      <c r="I27" s="450">
        <f t="shared" si="0"/>
        <v>10908.639315806437</v>
      </c>
      <c r="J27" s="451"/>
      <c r="K27" s="450"/>
      <c r="L27" s="450" t="s">
        <v>369</v>
      </c>
      <c r="M27" s="452"/>
    </row>
    <row r="28" spans="2:13" ht="15" customHeight="1" x14ac:dyDescent="0.5">
      <c r="B28" s="61"/>
      <c r="C28" s="23"/>
      <c r="D28" s="23"/>
      <c r="E28" s="23" t="s">
        <v>118</v>
      </c>
      <c r="F28" s="450">
        <v>4150</v>
      </c>
      <c r="G28" s="142">
        <v>0</v>
      </c>
      <c r="H28" s="423"/>
      <c r="I28" s="142">
        <f>F28+G28</f>
        <v>4150</v>
      </c>
      <c r="J28" s="144"/>
      <c r="K28" s="142"/>
      <c r="L28" s="142"/>
      <c r="M28" s="24"/>
    </row>
    <row r="29" spans="2:13" ht="15" customHeight="1" x14ac:dyDescent="0.5">
      <c r="B29" s="61"/>
      <c r="C29" s="23"/>
      <c r="D29" s="23"/>
      <c r="E29" s="23" t="s">
        <v>247</v>
      </c>
      <c r="F29" s="450">
        <v>9308</v>
      </c>
      <c r="G29" s="142">
        <v>0</v>
      </c>
      <c r="I29" s="142">
        <f t="shared" si="0"/>
        <v>9308</v>
      </c>
      <c r="J29" s="144"/>
      <c r="K29" s="142"/>
      <c r="L29" s="461"/>
      <c r="M29" s="24"/>
    </row>
    <row r="30" spans="2:13" ht="15" customHeight="1" x14ac:dyDescent="0.5">
      <c r="B30" s="61"/>
      <c r="C30" s="23"/>
      <c r="D30" s="23"/>
      <c r="E30" s="23" t="s">
        <v>246</v>
      </c>
      <c r="F30" s="450">
        <v>301284</v>
      </c>
      <c r="G30" s="142">
        <f>Adjustments!W11</f>
        <v>-18785</v>
      </c>
      <c r="H30" s="428" t="s">
        <v>93</v>
      </c>
      <c r="I30" s="142"/>
      <c r="J30" s="144"/>
      <c r="K30" s="142"/>
      <c r="L30" s="142" t="s">
        <v>370</v>
      </c>
      <c r="M30" s="24"/>
    </row>
    <row r="31" spans="2:13" ht="15" customHeight="1" x14ac:dyDescent="0.5">
      <c r="B31" s="61"/>
      <c r="C31" s="23"/>
      <c r="D31" s="23"/>
      <c r="E31" s="23"/>
      <c r="F31" s="450"/>
      <c r="G31" s="142">
        <v>30000</v>
      </c>
      <c r="H31" s="428" t="s">
        <v>384</v>
      </c>
      <c r="I31" s="142"/>
      <c r="J31" s="144"/>
      <c r="K31" s="142"/>
      <c r="L31" s="142" t="s">
        <v>376</v>
      </c>
      <c r="M31" s="24"/>
    </row>
    <row r="32" spans="2:13" ht="15" customHeight="1" x14ac:dyDescent="0.5">
      <c r="B32" s="61"/>
      <c r="C32" s="23"/>
      <c r="D32" s="23"/>
      <c r="E32" s="23"/>
      <c r="F32" s="450"/>
      <c r="G32" s="142">
        <v>78000</v>
      </c>
      <c r="H32" s="428" t="s">
        <v>385</v>
      </c>
      <c r="I32" s="142"/>
      <c r="J32" s="144"/>
      <c r="K32" s="142"/>
      <c r="L32" s="142" t="s">
        <v>377</v>
      </c>
      <c r="M32" s="24"/>
    </row>
    <row r="33" spans="2:13" ht="15" customHeight="1" x14ac:dyDescent="0.5">
      <c r="B33" s="61"/>
      <c r="C33" s="23"/>
      <c r="D33" s="23"/>
      <c r="E33" s="23"/>
      <c r="F33" s="450"/>
      <c r="G33" s="142">
        <v>-125551</v>
      </c>
      <c r="H33" s="428" t="s">
        <v>386</v>
      </c>
      <c r="I33" s="142">
        <f>F30+G30+G31+G32+G33</f>
        <v>264948</v>
      </c>
      <c r="J33" s="144"/>
      <c r="K33" s="142"/>
      <c r="L33" s="142" t="s">
        <v>387</v>
      </c>
      <c r="M33" s="24"/>
    </row>
    <row r="34" spans="2:13" ht="15" customHeight="1" x14ac:dyDescent="0.5">
      <c r="B34" s="61"/>
      <c r="C34" s="23"/>
      <c r="D34" s="23"/>
      <c r="E34" s="23" t="s">
        <v>388</v>
      </c>
      <c r="F34" s="450">
        <v>0</v>
      </c>
      <c r="G34" s="142">
        <v>48330</v>
      </c>
      <c r="H34" s="428" t="s">
        <v>392</v>
      </c>
      <c r="I34" s="142"/>
      <c r="J34" s="144"/>
      <c r="K34" s="142"/>
      <c r="L34" s="142" t="s">
        <v>389</v>
      </c>
      <c r="M34" s="24"/>
    </row>
    <row r="35" spans="2:13" ht="15" customHeight="1" x14ac:dyDescent="0.5">
      <c r="B35" s="61"/>
      <c r="C35" s="23"/>
      <c r="D35" s="23"/>
      <c r="E35" s="23"/>
      <c r="F35" s="450"/>
      <c r="G35" s="142">
        <v>-8400</v>
      </c>
      <c r="H35" s="428" t="s">
        <v>393</v>
      </c>
      <c r="I35" s="142"/>
      <c r="J35" s="144"/>
      <c r="K35" s="142"/>
      <c r="L35" s="142" t="s">
        <v>390</v>
      </c>
      <c r="M35" s="24"/>
    </row>
    <row r="36" spans="2:13" ht="15" customHeight="1" x14ac:dyDescent="0.5">
      <c r="B36" s="61"/>
      <c r="C36" s="23"/>
      <c r="D36" s="23"/>
      <c r="E36" s="23"/>
      <c r="F36" s="450"/>
      <c r="G36" s="142">
        <v>-8000</v>
      </c>
      <c r="H36" s="428" t="s">
        <v>394</v>
      </c>
      <c r="I36" s="142">
        <f>F34+G34+G35+G36</f>
        <v>31930</v>
      </c>
      <c r="J36" s="144"/>
      <c r="K36" s="142"/>
      <c r="L36" s="142" t="s">
        <v>391</v>
      </c>
      <c r="M36" s="24"/>
    </row>
    <row r="37" spans="2:13" ht="15" customHeight="1" x14ac:dyDescent="0.5">
      <c r="B37" s="61"/>
      <c r="C37" s="23"/>
      <c r="D37" s="23"/>
      <c r="E37" s="23" t="s">
        <v>251</v>
      </c>
      <c r="F37" s="450">
        <v>14350</v>
      </c>
      <c r="G37" s="142">
        <v>50</v>
      </c>
      <c r="H37" s="423" t="s">
        <v>395</v>
      </c>
      <c r="I37" s="142">
        <f>F37+G37</f>
        <v>14400</v>
      </c>
      <c r="J37" s="144"/>
      <c r="K37" s="142"/>
      <c r="L37" s="142" t="s">
        <v>396</v>
      </c>
      <c r="M37" s="24"/>
    </row>
    <row r="38" spans="2:13" ht="15" customHeight="1" x14ac:dyDescent="0.5">
      <c r="B38" s="61"/>
      <c r="C38" s="23"/>
      <c r="D38" s="23"/>
      <c r="E38" s="23" t="s">
        <v>248</v>
      </c>
      <c r="F38" s="450">
        <v>13113</v>
      </c>
      <c r="G38" s="142">
        <v>0</v>
      </c>
      <c r="H38" s="432"/>
      <c r="I38" s="142">
        <f t="shared" si="0"/>
        <v>13113</v>
      </c>
      <c r="J38" s="144"/>
      <c r="K38" s="142"/>
      <c r="L38" s="142"/>
      <c r="M38" s="24"/>
    </row>
    <row r="39" spans="2:13" ht="15" customHeight="1" x14ac:dyDescent="0.5">
      <c r="B39" s="61"/>
      <c r="C39" s="23"/>
      <c r="D39" s="23"/>
      <c r="E39" s="23" t="s">
        <v>249</v>
      </c>
      <c r="F39" s="450">
        <v>0</v>
      </c>
      <c r="G39" s="142">
        <v>0</v>
      </c>
      <c r="H39" s="432"/>
      <c r="I39" s="142">
        <f t="shared" si="0"/>
        <v>0</v>
      </c>
      <c r="J39" s="144"/>
      <c r="K39" s="142"/>
      <c r="L39" s="142"/>
      <c r="M39" s="24"/>
    </row>
    <row r="40" spans="2:13" ht="15" customHeight="1" x14ac:dyDescent="0.5">
      <c r="B40" s="61"/>
      <c r="C40" s="23"/>
      <c r="D40" s="23"/>
      <c r="E40" s="23" t="s">
        <v>250</v>
      </c>
      <c r="F40" s="450">
        <v>217</v>
      </c>
      <c r="G40" s="142">
        <v>0</v>
      </c>
      <c r="H40" s="432"/>
      <c r="I40" s="142">
        <f t="shared" si="0"/>
        <v>217</v>
      </c>
      <c r="J40" s="144"/>
      <c r="K40" s="142"/>
      <c r="L40" s="142"/>
      <c r="M40" s="24"/>
    </row>
    <row r="41" spans="2:13" ht="15" customHeight="1" x14ac:dyDescent="0.5">
      <c r="B41" s="61"/>
      <c r="C41" s="23"/>
      <c r="D41" s="23"/>
      <c r="E41" s="23" t="s">
        <v>113</v>
      </c>
      <c r="F41" s="450">
        <v>0</v>
      </c>
      <c r="G41" s="142">
        <v>0</v>
      </c>
      <c r="H41" s="432"/>
      <c r="I41" s="142">
        <f t="shared" si="0"/>
        <v>0</v>
      </c>
      <c r="J41" s="144"/>
      <c r="K41" s="142"/>
      <c r="L41" s="142"/>
      <c r="M41" s="24"/>
    </row>
    <row r="42" spans="2:13" ht="15" customHeight="1" x14ac:dyDescent="0.5">
      <c r="B42" s="61"/>
      <c r="C42" s="23"/>
      <c r="D42" s="23"/>
      <c r="E42" s="23" t="s">
        <v>25</v>
      </c>
      <c r="F42" s="450">
        <v>29261</v>
      </c>
      <c r="G42" s="67">
        <f>-287*12</f>
        <v>-3444</v>
      </c>
      <c r="H42" s="423" t="s">
        <v>397</v>
      </c>
      <c r="I42" s="142"/>
      <c r="J42" s="146"/>
      <c r="K42" s="145"/>
      <c r="L42" s="142" t="s">
        <v>399</v>
      </c>
      <c r="M42" s="24"/>
    </row>
    <row r="43" spans="2:13" ht="15" customHeight="1" x14ac:dyDescent="0.75">
      <c r="B43" s="61"/>
      <c r="C43" s="23"/>
      <c r="D43" s="23"/>
      <c r="E43" s="23"/>
      <c r="F43" s="449">
        <v>0</v>
      </c>
      <c r="G43" s="424">
        <f>-213*12</f>
        <v>-2556</v>
      </c>
      <c r="H43" s="423" t="s">
        <v>398</v>
      </c>
      <c r="I43" s="145">
        <f>F42+G42+G43</f>
        <v>23261</v>
      </c>
      <c r="J43" s="146"/>
      <c r="K43" s="145"/>
      <c r="L43" s="142" t="s">
        <v>400</v>
      </c>
      <c r="M43" s="24"/>
    </row>
    <row r="44" spans="2:13" ht="15" customHeight="1" x14ac:dyDescent="0.5">
      <c r="B44" s="61"/>
      <c r="C44" s="23"/>
      <c r="D44" s="149" t="s">
        <v>18</v>
      </c>
      <c r="E44" s="23"/>
      <c r="F44" s="450">
        <f>SUM(F20:F43)</f>
        <v>860130</v>
      </c>
      <c r="G44" s="450">
        <f>SUM(G20:G43)</f>
        <v>-176640.01247306506</v>
      </c>
      <c r="H44" s="432"/>
      <c r="I44" s="450">
        <f>SUM(I20:I43)</f>
        <v>683489.98752693494</v>
      </c>
      <c r="J44" s="451"/>
      <c r="K44" s="450"/>
      <c r="L44" s="450"/>
      <c r="M44" s="452"/>
    </row>
    <row r="45" spans="2:13" ht="15" customHeight="1" x14ac:dyDescent="0.5">
      <c r="B45" s="61"/>
      <c r="C45" s="23"/>
      <c r="D45" s="23" t="s">
        <v>19</v>
      </c>
      <c r="E45" s="23"/>
      <c r="F45" s="450">
        <v>153731</v>
      </c>
      <c r="G45" s="450">
        <f>Depreciation!L34</f>
        <v>-37026.71787553023</v>
      </c>
      <c r="H45" s="423" t="s">
        <v>351</v>
      </c>
      <c r="I45" s="450"/>
      <c r="J45" s="451"/>
      <c r="K45" s="450"/>
      <c r="L45" s="450" t="s">
        <v>371</v>
      </c>
      <c r="M45" s="452"/>
    </row>
    <row r="46" spans="2:13" ht="15" customHeight="1" x14ac:dyDescent="0.5">
      <c r="B46" s="61"/>
      <c r="C46" s="23"/>
      <c r="D46" s="23"/>
      <c r="E46" s="23"/>
      <c r="F46" s="450"/>
      <c r="G46" s="450">
        <f>-Depreciation!L39</f>
        <v>-146.87369399354793</v>
      </c>
      <c r="H46" s="423" t="s">
        <v>351</v>
      </c>
      <c r="I46" s="450">
        <f>F45+G45+G46</f>
        <v>116557.40843047622</v>
      </c>
      <c r="J46" s="451"/>
      <c r="K46" s="450"/>
      <c r="L46" s="450" t="s">
        <v>405</v>
      </c>
      <c r="M46" s="452"/>
    </row>
    <row r="47" spans="2:13" ht="15" customHeight="1" x14ac:dyDescent="0.75">
      <c r="B47" s="61"/>
      <c r="C47" s="23"/>
      <c r="D47" s="23" t="s">
        <v>20</v>
      </c>
      <c r="E47" s="23"/>
      <c r="F47" s="449">
        <v>1138</v>
      </c>
      <c r="G47" s="453">
        <f>-G23</f>
        <v>7149</v>
      </c>
      <c r="H47" s="423" t="s">
        <v>110</v>
      </c>
      <c r="I47" s="449">
        <f>F47+G47</f>
        <v>8287</v>
      </c>
      <c r="J47" s="454"/>
      <c r="K47" s="449"/>
      <c r="L47" s="450" t="s">
        <v>362</v>
      </c>
      <c r="M47" s="452"/>
    </row>
    <row r="48" spans="2:13" ht="15" customHeight="1" x14ac:dyDescent="0.5">
      <c r="B48" s="61"/>
      <c r="C48" s="149" t="s">
        <v>13</v>
      </c>
      <c r="D48" s="23"/>
      <c r="E48" s="23"/>
      <c r="F48" s="462">
        <f>SUM(F44:F47)</f>
        <v>1014999</v>
      </c>
      <c r="G48" s="462">
        <f>SUM(G44:G47)</f>
        <v>-206664.60404258885</v>
      </c>
      <c r="H48" s="463"/>
      <c r="I48" s="462">
        <f>SUM(I44:I47)</f>
        <v>808334.39595741115</v>
      </c>
      <c r="J48" s="143"/>
      <c r="K48" s="25"/>
      <c r="L48" s="142"/>
      <c r="M48" s="24"/>
    </row>
    <row r="49" spans="2:13" ht="15" customHeight="1" x14ac:dyDescent="0.5">
      <c r="B49" s="61"/>
      <c r="C49" s="149" t="s">
        <v>29</v>
      </c>
      <c r="D49" s="23"/>
      <c r="E49" s="23"/>
      <c r="F49" s="25">
        <f>F16-F48</f>
        <v>-258762</v>
      </c>
      <c r="G49" s="25">
        <f>G16-G48</f>
        <v>226867.93104258896</v>
      </c>
      <c r="H49" s="432"/>
      <c r="I49" s="25">
        <f>I16-I48</f>
        <v>-31894.068957410986</v>
      </c>
      <c r="J49" s="143"/>
      <c r="K49" s="25"/>
      <c r="L49" s="142"/>
      <c r="M49" s="24"/>
    </row>
    <row r="50" spans="2:13" ht="7.05" customHeight="1" x14ac:dyDescent="0.5">
      <c r="B50" s="63"/>
      <c r="C50" s="290"/>
      <c r="D50" s="290"/>
      <c r="E50" s="290"/>
      <c r="F50" s="291"/>
      <c r="G50" s="290"/>
      <c r="H50" s="433"/>
      <c r="I50" s="291"/>
      <c r="J50" s="292"/>
      <c r="K50" s="26"/>
      <c r="L50" s="142"/>
      <c r="M50" s="24"/>
    </row>
    <row r="51" spans="2:13" ht="12" customHeight="1" x14ac:dyDescent="0.5">
      <c r="B51" s="61"/>
      <c r="C51" s="23"/>
      <c r="D51" s="23"/>
      <c r="E51" s="23"/>
      <c r="F51" s="26"/>
      <c r="G51" s="23"/>
      <c r="H51" s="432"/>
      <c r="I51" s="26"/>
      <c r="J51" s="147"/>
      <c r="K51" s="26"/>
      <c r="L51" s="142"/>
      <c r="M51" s="24"/>
    </row>
    <row r="52" spans="2:13" x14ac:dyDescent="0.5">
      <c r="B52" s="61"/>
      <c r="C52" s="484" t="s">
        <v>41</v>
      </c>
      <c r="D52" s="484"/>
      <c r="E52" s="484"/>
      <c r="F52" s="484"/>
      <c r="G52" s="484"/>
      <c r="H52" s="484"/>
      <c r="I52" s="484"/>
      <c r="J52" s="159"/>
      <c r="K52" s="171"/>
      <c r="L52" s="142"/>
      <c r="M52" s="24"/>
    </row>
    <row r="53" spans="2:13" ht="10.050000000000001" customHeight="1" x14ac:dyDescent="0.5">
      <c r="B53" s="61"/>
      <c r="C53" s="171"/>
      <c r="D53" s="171"/>
      <c r="E53" s="171"/>
      <c r="F53" s="171"/>
      <c r="G53" s="171"/>
      <c r="H53" s="434"/>
      <c r="I53" s="171"/>
      <c r="J53" s="159"/>
      <c r="K53" s="171"/>
      <c r="L53" s="142"/>
      <c r="M53" s="24"/>
    </row>
    <row r="54" spans="2:13" ht="15" customHeight="1" x14ac:dyDescent="0.5">
      <c r="B54" s="61"/>
      <c r="C54" s="149" t="s">
        <v>14</v>
      </c>
      <c r="D54" s="23"/>
      <c r="E54" s="23"/>
      <c r="F54" s="19"/>
      <c r="G54" s="23"/>
      <c r="H54" s="432"/>
      <c r="I54" s="25">
        <f>I48</f>
        <v>808334.39595741115</v>
      </c>
      <c r="J54" s="143"/>
      <c r="K54" s="25"/>
      <c r="L54" s="142"/>
      <c r="M54" s="25"/>
    </row>
    <row r="55" spans="2:13" ht="15" customHeight="1" x14ac:dyDescent="0.5">
      <c r="B55" s="61"/>
      <c r="C55" s="23" t="s">
        <v>87</v>
      </c>
      <c r="D55" s="23"/>
      <c r="E55" s="23" t="s">
        <v>45</v>
      </c>
      <c r="F55" s="19"/>
      <c r="G55" s="23"/>
      <c r="H55" s="423" t="s">
        <v>354</v>
      </c>
      <c r="I55" s="108">
        <f>'Debt Service'!J21</f>
        <v>101148.20600000001</v>
      </c>
      <c r="J55" s="150"/>
      <c r="K55" s="288"/>
      <c r="L55" s="142" t="s">
        <v>372</v>
      </c>
      <c r="M55" s="26"/>
    </row>
    <row r="56" spans="2:13" ht="15" customHeight="1" x14ac:dyDescent="0.5">
      <c r="B56" s="61"/>
      <c r="C56" s="23"/>
      <c r="D56" s="23"/>
      <c r="E56" s="23" t="s">
        <v>26</v>
      </c>
      <c r="F56" s="19"/>
      <c r="G56" s="23"/>
      <c r="H56" s="428" t="s">
        <v>354</v>
      </c>
      <c r="I56" s="449">
        <f>'Debt Service'!J23</f>
        <v>20229.641200000002</v>
      </c>
      <c r="J56" s="146"/>
      <c r="K56" s="145"/>
      <c r="L56" s="142" t="s">
        <v>373</v>
      </c>
      <c r="M56" s="26"/>
    </row>
    <row r="57" spans="2:13" ht="15" customHeight="1" x14ac:dyDescent="0.5">
      <c r="B57" s="61"/>
      <c r="C57" s="149" t="s">
        <v>30</v>
      </c>
      <c r="D57" s="23"/>
      <c r="E57" s="23"/>
      <c r="F57" s="19"/>
      <c r="G57" s="23"/>
      <c r="H57" s="432"/>
      <c r="I57" s="25">
        <f>SUM(I54:I56)</f>
        <v>929712.24315741111</v>
      </c>
      <c r="J57" s="143"/>
      <c r="K57" s="25"/>
      <c r="L57" s="142"/>
      <c r="M57" s="25"/>
    </row>
    <row r="58" spans="2:13" ht="15" customHeight="1" x14ac:dyDescent="0.5">
      <c r="B58" s="61"/>
      <c r="C58" s="23" t="s">
        <v>88</v>
      </c>
      <c r="D58" s="23"/>
      <c r="E58" s="1" t="s">
        <v>32</v>
      </c>
      <c r="F58" s="19"/>
      <c r="G58" s="23"/>
      <c r="H58" s="432"/>
      <c r="I58" s="155">
        <f>-SUM(I12:I13)</f>
        <v>-12873</v>
      </c>
      <c r="J58" s="151"/>
      <c r="K58" s="155"/>
      <c r="L58" s="142"/>
      <c r="M58" s="148"/>
    </row>
    <row r="59" spans="2:13" ht="15" customHeight="1" x14ac:dyDescent="0.5">
      <c r="B59" s="61"/>
      <c r="C59" s="23"/>
      <c r="D59" s="23"/>
      <c r="E59" s="23" t="s">
        <v>359</v>
      </c>
      <c r="F59" s="19"/>
      <c r="G59" s="23"/>
      <c r="H59" s="432"/>
      <c r="I59" s="155">
        <f>-I15</f>
        <v>-36252</v>
      </c>
      <c r="J59" s="151"/>
      <c r="K59" s="155"/>
      <c r="L59" s="142"/>
      <c r="M59" s="148"/>
    </row>
    <row r="60" spans="2:13" ht="15" customHeight="1" x14ac:dyDescent="0.5">
      <c r="B60" s="61"/>
      <c r="C60" s="23"/>
      <c r="D60" s="23"/>
      <c r="E60" s="23" t="s">
        <v>57</v>
      </c>
      <c r="F60" s="19"/>
      <c r="G60" s="23"/>
      <c r="H60" s="432"/>
      <c r="I60" s="335">
        <v>-1581</v>
      </c>
      <c r="J60" s="147"/>
      <c r="K60" s="26"/>
      <c r="L60" s="142"/>
      <c r="M60" s="24"/>
    </row>
    <row r="61" spans="2:13" ht="15" customHeight="1" x14ac:dyDescent="0.5">
      <c r="B61" s="61"/>
      <c r="C61" s="149" t="s">
        <v>94</v>
      </c>
      <c r="D61" s="23"/>
      <c r="E61" s="23"/>
      <c r="F61" s="19"/>
      <c r="G61" s="23"/>
      <c r="H61" s="432"/>
      <c r="I61" s="156">
        <f>SUM(I57:I60)</f>
        <v>879006.24315741111</v>
      </c>
      <c r="J61" s="152"/>
      <c r="K61" s="156"/>
      <c r="M61" s="19"/>
    </row>
    <row r="62" spans="2:13" ht="15" customHeight="1" x14ac:dyDescent="0.5">
      <c r="B62" s="61"/>
      <c r="C62" s="23"/>
      <c r="D62" s="23"/>
      <c r="E62" s="23" t="s">
        <v>31</v>
      </c>
      <c r="F62" s="19"/>
      <c r="G62" s="23"/>
      <c r="H62" s="432"/>
      <c r="I62" s="145">
        <f>I10</f>
        <v>727315.32700000016</v>
      </c>
      <c r="J62" s="146"/>
      <c r="K62" s="145"/>
      <c r="L62" s="142"/>
      <c r="M62" s="26"/>
    </row>
    <row r="63" spans="2:13" x14ac:dyDescent="0.5">
      <c r="B63" s="61"/>
      <c r="C63" s="149" t="s">
        <v>15</v>
      </c>
      <c r="D63" s="23"/>
      <c r="E63" s="23"/>
      <c r="F63" s="19"/>
      <c r="G63" s="23"/>
      <c r="H63" s="432"/>
      <c r="I63" s="25">
        <f>I61-I62</f>
        <v>151690.91615741095</v>
      </c>
      <c r="J63" s="143"/>
      <c r="K63" s="25"/>
      <c r="L63" s="142"/>
    </row>
    <row r="64" spans="2:13" x14ac:dyDescent="0.5">
      <c r="B64" s="61"/>
      <c r="C64" s="149" t="s">
        <v>16</v>
      </c>
      <c r="D64" s="23"/>
      <c r="E64" s="23"/>
      <c r="F64" s="19"/>
      <c r="G64" s="23"/>
      <c r="H64" s="432"/>
      <c r="I64" s="157">
        <f>ROUND(I63/I62,4)</f>
        <v>0.20860000000000001</v>
      </c>
      <c r="J64" s="153"/>
      <c r="K64" s="157"/>
      <c r="L64" s="23"/>
      <c r="M64" s="28"/>
    </row>
    <row r="65" spans="2:13" ht="10.050000000000001" customHeight="1" x14ac:dyDescent="0.5">
      <c r="B65" s="63"/>
      <c r="C65" s="30"/>
      <c r="D65" s="30"/>
      <c r="E65" s="30"/>
      <c r="F65" s="30"/>
      <c r="G65" s="30"/>
      <c r="H65" s="435"/>
      <c r="I65" s="30"/>
      <c r="J65" s="42"/>
      <c r="K65" s="19"/>
      <c r="M65" s="1"/>
    </row>
    <row r="69" spans="2:13" x14ac:dyDescent="0.5">
      <c r="F69" s="393" t="s">
        <v>287</v>
      </c>
      <c r="G69" s="352">
        <f>-G24-G27</f>
        <v>51516.014973065059</v>
      </c>
    </row>
    <row r="70" spans="2:13" x14ac:dyDescent="0.5">
      <c r="F70" s="393" t="s">
        <v>75</v>
      </c>
      <c r="G70" s="350">
        <f>ExBA!E6</f>
        <v>14365</v>
      </c>
    </row>
    <row r="71" spans="2:13" x14ac:dyDescent="0.5">
      <c r="F71" s="393" t="s">
        <v>288</v>
      </c>
      <c r="G71" s="351">
        <f>G69/G70</f>
        <v>3.5862175407633177</v>
      </c>
    </row>
  </sheetData>
  <mergeCells count="3">
    <mergeCell ref="C4:I4"/>
    <mergeCell ref="C52:I52"/>
    <mergeCell ref="C3:I3"/>
  </mergeCells>
  <printOptions horizontalCentered="1"/>
  <pageMargins left="0.75" right="0.65" top="0.6" bottom="0.5" header="0" footer="0"/>
  <pageSetup scale="57" orientation="landscape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FAF7-035C-4167-87E7-E7C5753BD75D}">
  <sheetPr>
    <pageSetUpPr fitToPage="1"/>
  </sheetPr>
  <dimension ref="A2:Q48"/>
  <sheetViews>
    <sheetView tabSelected="1" workbookViewId="0">
      <selection activeCell="B1" sqref="B1:H45"/>
    </sheetView>
  </sheetViews>
  <sheetFormatPr defaultRowHeight="15" x14ac:dyDescent="0.4"/>
  <cols>
    <col min="2" max="2" width="1.77734375" customWidth="1"/>
    <col min="3" max="3" width="21.44140625" customWidth="1"/>
    <col min="4" max="4" width="10.5546875" customWidth="1"/>
    <col min="5" max="5" width="10.44140625" customWidth="1"/>
    <col min="6" max="7" width="9.5546875" customWidth="1"/>
    <col min="8" max="8" width="1.77734375" customWidth="1"/>
    <col min="10" max="10" width="10" customWidth="1"/>
    <col min="11" max="11" width="9.77734375" bestFit="1" customWidth="1"/>
    <col min="12" max="12" width="17.5546875" customWidth="1"/>
    <col min="13" max="13" width="9" bestFit="1" customWidth="1"/>
    <col min="14" max="14" width="14" customWidth="1"/>
  </cols>
  <sheetData>
    <row r="2" spans="1:17" ht="15.4" x14ac:dyDescent="0.45">
      <c r="A2" s="12"/>
      <c r="B2" s="53"/>
      <c r="C2" s="54"/>
      <c r="D2" s="54"/>
      <c r="E2" s="54"/>
      <c r="F2" s="54"/>
      <c r="G2" s="54"/>
      <c r="H2" s="55"/>
      <c r="I2" s="12"/>
      <c r="J2" s="12"/>
      <c r="K2" s="12"/>
      <c r="L2" s="12"/>
      <c r="M2" s="12"/>
      <c r="N2" s="12"/>
    </row>
    <row r="3" spans="1:17" ht="18" x14ac:dyDescent="0.55000000000000004">
      <c r="A3" s="12"/>
      <c r="B3" s="56"/>
      <c r="C3" s="495" t="s">
        <v>165</v>
      </c>
      <c r="D3" s="495"/>
      <c r="E3" s="495"/>
      <c r="F3" s="495"/>
      <c r="G3" s="495"/>
      <c r="H3" s="176"/>
      <c r="I3" s="12"/>
      <c r="J3" s="12"/>
      <c r="K3" s="12"/>
      <c r="L3" s="12"/>
      <c r="M3" s="12"/>
      <c r="N3" s="12"/>
    </row>
    <row r="4" spans="1:17" ht="18" x14ac:dyDescent="0.55000000000000004">
      <c r="A4" s="12"/>
      <c r="B4" s="56"/>
      <c r="C4" s="498" t="s">
        <v>307</v>
      </c>
      <c r="D4" s="498"/>
      <c r="E4" s="498"/>
      <c r="F4" s="498"/>
      <c r="G4" s="498"/>
      <c r="H4" s="186"/>
      <c r="I4" s="12"/>
      <c r="J4" s="12"/>
      <c r="K4" s="12"/>
      <c r="L4" s="12"/>
      <c r="M4" s="12"/>
      <c r="N4" s="12"/>
    </row>
    <row r="5" spans="1:17" ht="15.75" x14ac:dyDescent="0.45">
      <c r="A5" s="12"/>
      <c r="B5" s="56"/>
      <c r="C5" s="484" t="s">
        <v>252</v>
      </c>
      <c r="D5" s="484"/>
      <c r="E5" s="484"/>
      <c r="F5" s="484"/>
      <c r="G5" s="484"/>
      <c r="H5" s="159"/>
      <c r="I5" s="171"/>
      <c r="J5" s="171"/>
      <c r="L5" s="12"/>
      <c r="M5" s="12"/>
      <c r="N5" s="12"/>
    </row>
    <row r="6" spans="1:17" ht="15.75" x14ac:dyDescent="0.45">
      <c r="A6" s="12"/>
      <c r="B6" s="58"/>
      <c r="C6" s="172"/>
      <c r="D6" s="172"/>
      <c r="E6" s="172"/>
      <c r="F6" s="172"/>
      <c r="G6" s="172"/>
      <c r="H6" s="232"/>
      <c r="I6" s="231"/>
      <c r="L6" s="12"/>
      <c r="M6" s="12"/>
      <c r="N6" s="12"/>
    </row>
    <row r="7" spans="1:17" ht="18" x14ac:dyDescent="0.45">
      <c r="A7" s="12"/>
      <c r="B7" s="56"/>
      <c r="C7" s="200"/>
      <c r="D7" s="200"/>
      <c r="E7" s="200"/>
      <c r="F7" s="200"/>
      <c r="G7" s="200"/>
      <c r="H7" s="201"/>
      <c r="I7" s="12"/>
      <c r="J7" s="12"/>
      <c r="K7" s="12"/>
      <c r="L7" s="12"/>
      <c r="M7" s="12"/>
      <c r="N7" s="12"/>
    </row>
    <row r="8" spans="1:17" ht="15.4" x14ac:dyDescent="0.45">
      <c r="A8" s="12"/>
      <c r="B8" s="56"/>
      <c r="C8" s="50"/>
      <c r="D8" s="206"/>
      <c r="E8" s="206" t="s">
        <v>72</v>
      </c>
      <c r="F8" s="206" t="s">
        <v>73</v>
      </c>
      <c r="G8" s="206" t="s">
        <v>74</v>
      </c>
      <c r="H8" s="118"/>
      <c r="I8" s="12"/>
      <c r="J8" s="12"/>
      <c r="K8" s="12"/>
      <c r="L8" s="12"/>
      <c r="M8" s="75"/>
      <c r="N8" s="75"/>
    </row>
    <row r="9" spans="1:17" ht="17.649999999999999" x14ac:dyDescent="0.75">
      <c r="A9" s="12"/>
      <c r="B9" s="56"/>
      <c r="C9" s="50"/>
      <c r="D9" s="187" t="s">
        <v>132</v>
      </c>
      <c r="E9" s="207" t="s">
        <v>215</v>
      </c>
      <c r="F9" s="207" t="s">
        <v>300</v>
      </c>
      <c r="G9" s="207" t="s">
        <v>301</v>
      </c>
      <c r="H9" s="208"/>
      <c r="I9" s="12"/>
      <c r="J9" s="12"/>
      <c r="K9" s="12"/>
      <c r="L9" s="12"/>
      <c r="M9" s="12"/>
      <c r="N9" s="12"/>
    </row>
    <row r="10" spans="1:17" ht="17.649999999999999" x14ac:dyDescent="0.75">
      <c r="A10" s="12"/>
      <c r="B10" s="56"/>
      <c r="C10" s="50" t="s">
        <v>233</v>
      </c>
      <c r="D10" s="50">
        <f>SUM(E10:G10)</f>
        <v>65577700</v>
      </c>
      <c r="E10" s="50">
        <f>Units!H23</f>
        <v>52546600</v>
      </c>
      <c r="F10" s="50">
        <f>Units!H24</f>
        <v>9321900</v>
      </c>
      <c r="G10" s="50">
        <f>Units!H25</f>
        <v>3709200</v>
      </c>
      <c r="H10" s="57"/>
      <c r="I10" s="12"/>
      <c r="J10" s="12"/>
      <c r="K10" s="195"/>
      <c r="L10" s="195"/>
      <c r="M10" s="195"/>
      <c r="N10" s="195"/>
    </row>
    <row r="11" spans="1:17" ht="15.4" x14ac:dyDescent="0.45">
      <c r="A11" s="12"/>
      <c r="B11" s="56"/>
      <c r="C11" s="50" t="s">
        <v>190</v>
      </c>
      <c r="D11" s="174">
        <f>SUM(E11:G11)</f>
        <v>1</v>
      </c>
      <c r="E11" s="174">
        <f>E10/$D$10</f>
        <v>0.80128763283860216</v>
      </c>
      <c r="F11" s="174">
        <f>F10/$D$10</f>
        <v>0.1421504566338862</v>
      </c>
      <c r="G11" s="174">
        <f>G10/$D$10</f>
        <v>5.6561910527511639E-2</v>
      </c>
      <c r="H11" s="175"/>
      <c r="I11" s="12"/>
      <c r="J11" s="209"/>
      <c r="K11" s="12"/>
      <c r="L11" s="12"/>
      <c r="M11" s="12"/>
      <c r="N11" s="12"/>
    </row>
    <row r="12" spans="1:17" ht="8.1" customHeight="1" x14ac:dyDescent="0.45">
      <c r="A12" s="12"/>
      <c r="B12" s="56"/>
      <c r="C12" s="50"/>
      <c r="D12" s="50"/>
      <c r="E12" s="50"/>
      <c r="F12" s="50"/>
      <c r="G12" s="50"/>
      <c r="H12" s="57"/>
      <c r="I12" s="12"/>
      <c r="J12" s="12"/>
      <c r="K12" s="12"/>
      <c r="L12" s="12"/>
      <c r="M12" s="12"/>
      <c r="N12" s="12"/>
    </row>
    <row r="13" spans="1:17" ht="15.4" x14ac:dyDescent="0.45">
      <c r="A13" s="12"/>
      <c r="B13" s="56"/>
      <c r="C13" s="50" t="s">
        <v>191</v>
      </c>
      <c r="D13" s="50"/>
      <c r="E13" s="169">
        <v>2</v>
      </c>
      <c r="F13" s="169">
        <v>1.5</v>
      </c>
      <c r="G13" s="169">
        <v>1</v>
      </c>
      <c r="H13" s="210"/>
      <c r="I13" s="12" t="s">
        <v>357</v>
      </c>
      <c r="J13" s="12"/>
      <c r="K13" s="12"/>
      <c r="L13" s="169"/>
      <c r="M13" s="169"/>
      <c r="N13" s="169"/>
      <c r="O13" s="1"/>
      <c r="P13" s="1"/>
      <c r="Q13" s="1"/>
    </row>
    <row r="14" spans="1:17" ht="15.4" x14ac:dyDescent="0.45">
      <c r="A14" s="12"/>
      <c r="B14" s="56"/>
      <c r="C14" s="50" t="s">
        <v>192</v>
      </c>
      <c r="D14" s="50">
        <f>SUM(E14:G14)</f>
        <v>122785250</v>
      </c>
      <c r="E14" s="50">
        <f>E13*E10</f>
        <v>105093200</v>
      </c>
      <c r="F14" s="50">
        <f>F13*F10</f>
        <v>13982850</v>
      </c>
      <c r="G14" s="50">
        <f>G13*G10</f>
        <v>3709200</v>
      </c>
      <c r="H14" s="57"/>
      <c r="I14" s="12"/>
      <c r="J14" s="12"/>
      <c r="K14" s="12"/>
      <c r="L14" s="12"/>
      <c r="M14" s="12"/>
      <c r="N14" s="12"/>
      <c r="O14" s="1"/>
      <c r="P14" s="1"/>
      <c r="Q14" s="1"/>
    </row>
    <row r="15" spans="1:17" ht="15.4" x14ac:dyDescent="0.45">
      <c r="A15" s="12"/>
      <c r="B15" s="56"/>
      <c r="C15" s="50" t="s">
        <v>193</v>
      </c>
      <c r="D15" s="174">
        <f>SUM(E15:G15)</f>
        <v>1</v>
      </c>
      <c r="E15" s="174">
        <f>E14/$D$14</f>
        <v>0.85591062444389698</v>
      </c>
      <c r="F15" s="174">
        <f>F14/$D$14</f>
        <v>0.11388053532488633</v>
      </c>
      <c r="G15" s="174">
        <f>G14/$D$14</f>
        <v>3.0208840231216696E-2</v>
      </c>
      <c r="H15" s="175"/>
      <c r="I15" s="12"/>
      <c r="J15" s="12"/>
      <c r="K15" s="12"/>
      <c r="L15" s="169"/>
      <c r="M15" s="169"/>
      <c r="N15" s="169"/>
      <c r="O15" s="1"/>
      <c r="P15" s="1"/>
      <c r="Q15" s="1"/>
    </row>
    <row r="16" spans="1:17" ht="8.1" customHeight="1" x14ac:dyDescent="0.45">
      <c r="A16" s="12"/>
      <c r="B16" s="56"/>
      <c r="C16" s="50"/>
      <c r="D16" s="50"/>
      <c r="E16" s="50"/>
      <c r="F16" s="50"/>
      <c r="G16" s="50"/>
      <c r="H16" s="57"/>
      <c r="I16" s="12"/>
      <c r="J16" s="12"/>
      <c r="K16" s="12"/>
      <c r="L16" s="12"/>
      <c r="M16" s="12"/>
      <c r="N16" s="12"/>
      <c r="O16" s="1"/>
      <c r="P16" s="1"/>
      <c r="Q16" s="1"/>
    </row>
    <row r="17" spans="1:17" ht="15.4" x14ac:dyDescent="0.45">
      <c r="A17" s="12"/>
      <c r="B17" s="56"/>
      <c r="C17" s="50" t="s">
        <v>194</v>
      </c>
      <c r="D17" s="50">
        <f>'Summary of Allocations'!E22</f>
        <v>274829.27786789206</v>
      </c>
      <c r="E17" s="50">
        <f>$D17*E11</f>
        <v>220217.30149750566</v>
      </c>
      <c r="F17" s="50">
        <f>$D17*F11</f>
        <v>39067.107345282049</v>
      </c>
      <c r="G17" s="50">
        <f>$D17*G11</f>
        <v>15544.869025104344</v>
      </c>
      <c r="H17" s="57"/>
      <c r="I17" s="12">
        <f>SUM(E17:G17)</f>
        <v>274829.27786789206</v>
      </c>
      <c r="J17" s="12"/>
      <c r="K17" s="12"/>
      <c r="L17" s="12"/>
      <c r="M17" s="12"/>
      <c r="N17" s="12"/>
      <c r="O17" s="1"/>
      <c r="P17" s="1"/>
      <c r="Q17" s="1"/>
    </row>
    <row r="18" spans="1:17" ht="17.649999999999999" x14ac:dyDescent="0.75">
      <c r="A18" s="12"/>
      <c r="B18" s="56"/>
      <c r="C18" s="50" t="s">
        <v>195</v>
      </c>
      <c r="D18" s="198">
        <f>'Summary of Allocations'!F22</f>
        <v>481717.19261511782</v>
      </c>
      <c r="E18" s="198">
        <f>$D18*E15</f>
        <v>412306.86313656648</v>
      </c>
      <c r="F18" s="198">
        <f>$D18*F15</f>
        <v>54858.211770210997</v>
      </c>
      <c r="G18" s="198">
        <f>$D18*G15</f>
        <v>14552.117708340333</v>
      </c>
      <c r="H18" s="57"/>
      <c r="I18" s="12">
        <f>SUM(E18:G18)</f>
        <v>481717.19261511782</v>
      </c>
      <c r="K18" s="1"/>
      <c r="L18" s="1"/>
      <c r="M18" s="1"/>
      <c r="N18" s="1"/>
      <c r="O18" s="1"/>
      <c r="P18" s="1"/>
      <c r="Q18" s="1"/>
    </row>
    <row r="19" spans="1:17" ht="15.4" x14ac:dyDescent="0.45">
      <c r="A19" s="12"/>
      <c r="B19" s="56"/>
      <c r="C19" s="50" t="s">
        <v>196</v>
      </c>
      <c r="D19" s="50">
        <f>SUM(D17:D18)</f>
        <v>756546.47048300994</v>
      </c>
      <c r="E19" s="50">
        <f>SUM(E17:E18)</f>
        <v>632524.16463407211</v>
      </c>
      <c r="F19" s="50">
        <f>SUM(F17:F18)</f>
        <v>93925.319115493039</v>
      </c>
      <c r="G19" s="50">
        <f>SUM(G17:G18)</f>
        <v>30096.986733444675</v>
      </c>
      <c r="H19" s="57"/>
      <c r="I19" s="12">
        <f>SUM(E19:G19)</f>
        <v>756546.47048300994</v>
      </c>
      <c r="K19" s="1"/>
      <c r="L19" s="286"/>
      <c r="M19" s="1"/>
      <c r="N19" s="1"/>
      <c r="O19" s="1"/>
      <c r="P19" s="1"/>
      <c r="Q19" s="1"/>
    </row>
    <row r="20" spans="1:17" ht="8.1" customHeight="1" x14ac:dyDescent="0.45">
      <c r="A20" s="12"/>
      <c r="B20" s="56"/>
      <c r="C20" s="50"/>
      <c r="D20" s="50"/>
      <c r="E20" s="50"/>
      <c r="F20" s="50"/>
      <c r="G20" s="50"/>
      <c r="H20" s="57"/>
      <c r="I20" s="12"/>
      <c r="K20" s="1"/>
      <c r="L20" s="1"/>
      <c r="M20" s="1"/>
      <c r="N20" s="1"/>
      <c r="O20" s="1"/>
      <c r="P20" s="1"/>
      <c r="Q20" s="1"/>
    </row>
    <row r="21" spans="1:17" ht="15.4" x14ac:dyDescent="0.45">
      <c r="A21" s="12"/>
      <c r="B21" s="56"/>
      <c r="C21" s="50" t="s">
        <v>216</v>
      </c>
      <c r="D21" s="50"/>
      <c r="E21" s="50">
        <f>E10/1000</f>
        <v>52546.6</v>
      </c>
      <c r="F21" s="50">
        <f>F10/1000</f>
        <v>9321.9</v>
      </c>
      <c r="G21" s="50">
        <f>G10/1000</f>
        <v>3709.2</v>
      </c>
      <c r="H21" s="57"/>
      <c r="I21" s="12"/>
      <c r="K21" s="1"/>
      <c r="L21" s="1"/>
      <c r="M21" s="1"/>
      <c r="N21" s="1"/>
      <c r="O21" s="1"/>
      <c r="P21" s="1"/>
      <c r="Q21" s="1"/>
    </row>
    <row r="22" spans="1:17" ht="8.1" customHeight="1" x14ac:dyDescent="0.45">
      <c r="A22" s="12"/>
      <c r="B22" s="56"/>
      <c r="C22" s="50"/>
      <c r="D22" s="50"/>
      <c r="E22" s="50"/>
      <c r="F22" s="50"/>
      <c r="G22" s="50"/>
      <c r="H22" s="57"/>
      <c r="I22" s="12"/>
      <c r="K22" s="1"/>
      <c r="L22" s="1"/>
      <c r="M22" s="1"/>
      <c r="N22" s="1"/>
      <c r="O22" s="1"/>
      <c r="P22" s="1"/>
      <c r="Q22" s="1"/>
    </row>
    <row r="23" spans="1:17" ht="15.75" x14ac:dyDescent="0.5">
      <c r="A23" s="12"/>
      <c r="B23" s="56"/>
      <c r="C23" s="233" t="s">
        <v>197</v>
      </c>
      <c r="D23" s="50"/>
      <c r="E23" s="211">
        <f>ROUND(E19/E21,2)</f>
        <v>12.04</v>
      </c>
      <c r="F23" s="211">
        <f>ROUND(F19/F21,2)</f>
        <v>10.08</v>
      </c>
      <c r="G23" s="211">
        <f>ROUND(G19/G21,2)</f>
        <v>8.11</v>
      </c>
      <c r="H23" s="212"/>
      <c r="I23" s="12"/>
      <c r="K23" s="1"/>
      <c r="L23" s="1"/>
      <c r="M23" s="1"/>
      <c r="N23" s="1"/>
      <c r="O23" s="1"/>
      <c r="P23" s="1"/>
      <c r="Q23" s="1"/>
    </row>
    <row r="24" spans="1:17" ht="8.1" customHeight="1" x14ac:dyDescent="0.5">
      <c r="A24" s="12"/>
      <c r="B24" s="56"/>
      <c r="C24" s="234"/>
      <c r="D24" s="50"/>
      <c r="E24" s="211"/>
      <c r="F24" s="211"/>
      <c r="G24" s="211"/>
      <c r="H24" s="212"/>
      <c r="I24" s="12"/>
      <c r="K24" s="1"/>
      <c r="L24" s="1"/>
      <c r="M24" s="1"/>
      <c r="N24" s="1"/>
      <c r="O24" s="1"/>
      <c r="P24" s="1"/>
      <c r="Q24" s="1"/>
    </row>
    <row r="25" spans="1:17" ht="15.75" x14ac:dyDescent="0.5">
      <c r="A25" s="12"/>
      <c r="B25" s="56"/>
      <c r="C25" s="260" t="s">
        <v>198</v>
      </c>
      <c r="D25" s="261"/>
      <c r="E25" s="447">
        <f>E23-0.15</f>
        <v>11.889999999999999</v>
      </c>
      <c r="F25" s="447">
        <f>F23-0.15</f>
        <v>9.93</v>
      </c>
      <c r="G25" s="448">
        <f>G23-0.15</f>
        <v>7.9599999999999991</v>
      </c>
      <c r="H25" s="212"/>
      <c r="I25" s="12"/>
      <c r="K25" s="1"/>
      <c r="L25" s="1"/>
      <c r="M25" s="1"/>
      <c r="N25" s="1"/>
      <c r="O25" s="1"/>
      <c r="P25" s="1"/>
      <c r="Q25" s="1"/>
    </row>
    <row r="26" spans="1:17" ht="15.4" x14ac:dyDescent="0.45">
      <c r="A26" s="12"/>
      <c r="B26" s="56"/>
      <c r="C26" s="50" t="s">
        <v>199</v>
      </c>
      <c r="D26" s="50"/>
      <c r="E26" s="169"/>
      <c r="F26" s="169"/>
      <c r="G26" s="169"/>
      <c r="H26" s="210"/>
      <c r="I26" s="12"/>
      <c r="J26" s="12"/>
      <c r="K26" s="12"/>
      <c r="L26" s="12"/>
      <c r="M26" s="12"/>
      <c r="N26" s="12"/>
    </row>
    <row r="27" spans="1:17" ht="15.4" x14ac:dyDescent="0.45">
      <c r="A27" s="12"/>
      <c r="B27" s="56"/>
      <c r="C27" s="50"/>
      <c r="D27" s="50"/>
      <c r="E27" s="169"/>
      <c r="F27" s="169"/>
      <c r="G27" s="169"/>
      <c r="H27" s="210"/>
      <c r="I27" s="12"/>
      <c r="J27" s="12"/>
      <c r="K27" s="12"/>
      <c r="L27" s="12"/>
      <c r="M27" s="12"/>
      <c r="N27" s="12"/>
    </row>
    <row r="28" spans="1:17" ht="15.4" x14ac:dyDescent="0.45">
      <c r="A28" s="12"/>
      <c r="B28" s="56"/>
      <c r="C28" s="50"/>
      <c r="D28" s="50"/>
      <c r="E28" s="169"/>
      <c r="F28" s="169"/>
      <c r="G28" s="169"/>
      <c r="H28" s="210"/>
      <c r="I28" s="12"/>
      <c r="J28" s="12"/>
      <c r="K28" s="12"/>
      <c r="L28" s="12"/>
      <c r="M28" s="12"/>
      <c r="N28" s="12"/>
    </row>
    <row r="29" spans="1:17" ht="18" x14ac:dyDescent="0.45">
      <c r="A29" s="12"/>
      <c r="B29" s="56"/>
      <c r="C29" s="500" t="s">
        <v>200</v>
      </c>
      <c r="D29" s="500"/>
      <c r="E29" s="119"/>
      <c r="F29" s="213"/>
      <c r="G29" s="213"/>
      <c r="H29" s="210"/>
      <c r="I29" s="12"/>
      <c r="J29" s="12"/>
      <c r="K29" s="12"/>
      <c r="L29" s="12"/>
      <c r="M29" s="12"/>
      <c r="N29" s="12"/>
    </row>
    <row r="30" spans="1:17" ht="8.1" customHeight="1" x14ac:dyDescent="0.45">
      <c r="A30" s="12"/>
      <c r="B30" s="56"/>
      <c r="C30" s="1"/>
      <c r="D30" s="119"/>
      <c r="E30" s="119"/>
      <c r="F30" s="213"/>
      <c r="G30" s="213"/>
      <c r="H30" s="210"/>
      <c r="I30" s="12"/>
      <c r="J30" s="12"/>
      <c r="K30" s="12"/>
      <c r="L30" s="12"/>
      <c r="M30" s="12"/>
      <c r="N30" s="12"/>
    </row>
    <row r="31" spans="1:17" ht="15.4" x14ac:dyDescent="0.45">
      <c r="A31" s="12"/>
      <c r="B31" s="56"/>
      <c r="C31" s="1"/>
      <c r="D31" s="75" t="s">
        <v>171</v>
      </c>
      <c r="E31" s="75" t="s">
        <v>172</v>
      </c>
      <c r="F31" s="213"/>
      <c r="G31" s="213"/>
      <c r="H31" s="210"/>
      <c r="I31" s="12"/>
      <c r="J31" s="12"/>
      <c r="K31" s="12"/>
      <c r="L31" s="12"/>
      <c r="M31" s="12"/>
      <c r="N31" s="12"/>
    </row>
    <row r="32" spans="1:17" ht="17.649999999999999" x14ac:dyDescent="0.75">
      <c r="A32" s="12"/>
      <c r="B32" s="56"/>
      <c r="C32" s="1"/>
      <c r="D32" s="195" t="s">
        <v>176</v>
      </c>
      <c r="E32" s="195" t="s">
        <v>135</v>
      </c>
      <c r="F32" s="213"/>
      <c r="G32" s="213"/>
      <c r="H32" s="210"/>
      <c r="I32" s="12"/>
      <c r="J32" s="12"/>
      <c r="K32" s="12"/>
      <c r="L32" s="12"/>
      <c r="M32" s="12"/>
      <c r="N32" s="12"/>
    </row>
    <row r="33" spans="1:14" ht="15.4" x14ac:dyDescent="0.45">
      <c r="A33" s="12"/>
      <c r="B33" s="56"/>
      <c r="C33" s="1" t="s">
        <v>201</v>
      </c>
      <c r="D33" s="50">
        <f>'Summary of Allocations'!G22</f>
        <v>79989.332545084006</v>
      </c>
      <c r="E33" s="50">
        <f>'Summary of Allocations'!H22</f>
        <v>78722.440129317285</v>
      </c>
      <c r="F33" s="211"/>
      <c r="G33" s="211"/>
      <c r="H33" s="210"/>
      <c r="I33" s="12"/>
      <c r="J33" s="267">
        <f>D33+E33</f>
        <v>158711.77267440129</v>
      </c>
      <c r="K33" s="12"/>
      <c r="L33" s="12"/>
      <c r="M33" s="12"/>
      <c r="N33" s="12"/>
    </row>
    <row r="34" spans="1:14" ht="15.4" x14ac:dyDescent="0.45">
      <c r="A34" s="12"/>
      <c r="B34" s="56"/>
      <c r="C34" s="1" t="s">
        <v>202</v>
      </c>
      <c r="D34" s="50">
        <f>Units!G38</f>
        <v>14365</v>
      </c>
      <c r="E34" s="50">
        <f>Units!H38</f>
        <v>14521</v>
      </c>
      <c r="F34" s="211"/>
      <c r="G34" s="211"/>
      <c r="H34" s="210"/>
      <c r="I34" s="12"/>
      <c r="J34" s="269">
        <f>D19+D33+E33</f>
        <v>915258.24315741123</v>
      </c>
      <c r="K34" s="16"/>
      <c r="L34" s="12"/>
      <c r="M34" s="12"/>
      <c r="N34" s="12"/>
    </row>
    <row r="35" spans="1:14" ht="15.4" x14ac:dyDescent="0.45">
      <c r="A35" s="12"/>
      <c r="B35" s="56"/>
      <c r="C35" s="1" t="s">
        <v>203</v>
      </c>
      <c r="D35" s="214">
        <f>D33/D34</f>
        <v>5.5683489415303864</v>
      </c>
      <c r="E35" s="214">
        <f>E33/E34</f>
        <v>5.4212822897401889</v>
      </c>
      <c r="F35" s="211"/>
      <c r="G35" s="211"/>
      <c r="H35" s="210"/>
      <c r="I35" s="12"/>
      <c r="J35" s="12"/>
      <c r="K35" s="16"/>
      <c r="L35" s="12"/>
      <c r="M35" s="12"/>
      <c r="N35" s="12"/>
    </row>
    <row r="36" spans="1:14" ht="15.6" customHeight="1" x14ac:dyDescent="0.45">
      <c r="A36" s="12"/>
      <c r="B36" s="56"/>
      <c r="C36" s="1"/>
      <c r="D36" s="214"/>
      <c r="E36" s="214"/>
      <c r="F36" s="211"/>
      <c r="G36" s="262" t="s">
        <v>132</v>
      </c>
      <c r="H36" s="210"/>
      <c r="I36" s="12"/>
      <c r="J36" s="12"/>
      <c r="K36" s="12"/>
      <c r="L36" s="12"/>
      <c r="M36" s="12"/>
      <c r="N36" s="12"/>
    </row>
    <row r="37" spans="1:14" ht="15.4" x14ac:dyDescent="0.45">
      <c r="A37" s="12"/>
      <c r="B37" s="56"/>
      <c r="C37" s="216"/>
      <c r="D37" s="217" t="s">
        <v>171</v>
      </c>
      <c r="E37" s="215" t="s">
        <v>4</v>
      </c>
      <c r="F37" s="215" t="s">
        <v>172</v>
      </c>
      <c r="G37" s="263" t="s">
        <v>128</v>
      </c>
      <c r="H37" s="210"/>
      <c r="I37" s="12"/>
      <c r="J37" s="12"/>
      <c r="K37" s="12"/>
      <c r="L37" s="12"/>
      <c r="M37" s="12"/>
      <c r="N37" s="12"/>
    </row>
    <row r="38" spans="1:14" ht="17.649999999999999" x14ac:dyDescent="0.75">
      <c r="A38" s="12"/>
      <c r="B38" s="56"/>
      <c r="C38" s="218" t="s">
        <v>111</v>
      </c>
      <c r="D38" s="194" t="s">
        <v>176</v>
      </c>
      <c r="E38" s="194" t="s">
        <v>204</v>
      </c>
      <c r="F38" s="194" t="s">
        <v>135</v>
      </c>
      <c r="G38" s="264" t="s">
        <v>205</v>
      </c>
      <c r="H38" s="210"/>
      <c r="I38" s="12"/>
      <c r="J38" s="12"/>
      <c r="K38" s="192" t="s">
        <v>234</v>
      </c>
      <c r="L38" s="10" t="s">
        <v>235</v>
      </c>
      <c r="M38" s="12"/>
      <c r="N38" s="12"/>
    </row>
    <row r="39" spans="1:14" ht="15.4" x14ac:dyDescent="0.45">
      <c r="A39" s="12"/>
      <c r="B39" s="56"/>
      <c r="C39" s="219" t="s">
        <v>206</v>
      </c>
      <c r="D39" s="363">
        <f t="shared" ref="D39:D44" si="0">$D$35</f>
        <v>5.5683489415303864</v>
      </c>
      <c r="E39" s="122">
        <v>1</v>
      </c>
      <c r="F39" s="363">
        <f t="shared" ref="F39:F44" si="1">$E$35*E39</f>
        <v>5.4212822897401889</v>
      </c>
      <c r="G39" s="364">
        <f t="shared" ref="G39:G44" si="2">ROUND(D39+F39,2)</f>
        <v>10.99</v>
      </c>
      <c r="H39" s="210"/>
      <c r="I39" s="12"/>
      <c r="J39" s="12"/>
      <c r="K39" s="12">
        <f>Units!G32</f>
        <v>14127</v>
      </c>
      <c r="L39" s="12">
        <f t="shared" ref="L39:L44" si="3">K39*G39</f>
        <v>155255.73000000001</v>
      </c>
      <c r="M39" s="12"/>
      <c r="N39" s="12"/>
    </row>
    <row r="40" spans="1:14" ht="15.4" x14ac:dyDescent="0.45">
      <c r="A40" s="12"/>
      <c r="B40" s="56"/>
      <c r="C40" s="220" t="s">
        <v>207</v>
      </c>
      <c r="D40" s="122">
        <f t="shared" si="0"/>
        <v>5.5683489415303864</v>
      </c>
      <c r="E40" s="483">
        <v>1</v>
      </c>
      <c r="F40" s="122">
        <f t="shared" si="1"/>
        <v>5.4212822897401889</v>
      </c>
      <c r="G40" s="265">
        <f t="shared" si="2"/>
        <v>10.99</v>
      </c>
      <c r="H40" s="210"/>
      <c r="I40" s="476" t="s">
        <v>410</v>
      </c>
      <c r="J40" s="476"/>
      <c r="K40" s="12">
        <f>Units!G33</f>
        <v>226</v>
      </c>
      <c r="L40" s="12">
        <f t="shared" si="3"/>
        <v>2483.7400000000002</v>
      </c>
      <c r="M40" s="12"/>
      <c r="N40" s="12"/>
    </row>
    <row r="41" spans="1:14" ht="15.4" x14ac:dyDescent="0.45">
      <c r="A41" s="12"/>
      <c r="B41" s="56"/>
      <c r="C41" s="220" t="s">
        <v>208</v>
      </c>
      <c r="D41" s="122">
        <f t="shared" si="0"/>
        <v>5.5683489415303864</v>
      </c>
      <c r="E41" s="169">
        <v>1.8</v>
      </c>
      <c r="F41" s="122">
        <f t="shared" si="1"/>
        <v>9.7583081215323411</v>
      </c>
      <c r="G41" s="265">
        <f t="shared" si="2"/>
        <v>15.33</v>
      </c>
      <c r="H41" s="210"/>
      <c r="I41" s="12"/>
      <c r="J41" s="12"/>
      <c r="K41" s="12">
        <f>Units!G34</f>
        <v>0</v>
      </c>
      <c r="L41" s="12">
        <f t="shared" si="3"/>
        <v>0</v>
      </c>
      <c r="M41" s="12"/>
      <c r="N41" s="12"/>
    </row>
    <row r="42" spans="1:14" ht="15.4" x14ac:dyDescent="0.45">
      <c r="A42" s="12"/>
      <c r="B42" s="56"/>
      <c r="C42" s="220" t="s">
        <v>209</v>
      </c>
      <c r="D42" s="122">
        <f t="shared" si="0"/>
        <v>5.5683489415303864</v>
      </c>
      <c r="E42" s="169">
        <v>2.9</v>
      </c>
      <c r="F42" s="122">
        <f t="shared" si="1"/>
        <v>15.721718640246547</v>
      </c>
      <c r="G42" s="265">
        <f t="shared" si="2"/>
        <v>21.29</v>
      </c>
      <c r="H42" s="210"/>
      <c r="I42" s="12"/>
      <c r="J42" s="12"/>
      <c r="K42" s="12">
        <f>Units!G35</f>
        <v>0</v>
      </c>
      <c r="L42" s="12">
        <f t="shared" si="3"/>
        <v>0</v>
      </c>
      <c r="M42" s="12"/>
      <c r="N42" s="12"/>
    </row>
    <row r="43" spans="1:14" ht="15.4" x14ac:dyDescent="0.45">
      <c r="A43" s="12"/>
      <c r="B43" s="56"/>
      <c r="C43" s="220" t="s">
        <v>210</v>
      </c>
      <c r="D43" s="122">
        <f t="shared" si="0"/>
        <v>5.5683489415303864</v>
      </c>
      <c r="E43" s="169">
        <v>11</v>
      </c>
      <c r="F43" s="122">
        <f t="shared" si="1"/>
        <v>59.634105187142076</v>
      </c>
      <c r="G43" s="265">
        <f t="shared" si="2"/>
        <v>65.2</v>
      </c>
      <c r="H43" s="210"/>
      <c r="I43" s="12"/>
      <c r="J43" s="12"/>
      <c r="K43" s="12">
        <f>Units!G36</f>
        <v>0</v>
      </c>
      <c r="L43" s="12">
        <f t="shared" si="3"/>
        <v>0</v>
      </c>
      <c r="M43" s="12"/>
      <c r="N43" s="12"/>
    </row>
    <row r="44" spans="1:14" ht="15.4" x14ac:dyDescent="0.45">
      <c r="A44" s="12"/>
      <c r="B44" s="56"/>
      <c r="C44" s="220" t="s">
        <v>291</v>
      </c>
      <c r="D44" s="122">
        <f t="shared" si="0"/>
        <v>5.5683489415303864</v>
      </c>
      <c r="E44" s="169">
        <v>14</v>
      </c>
      <c r="F44" s="122">
        <f t="shared" si="1"/>
        <v>75.897952056362641</v>
      </c>
      <c r="G44" s="266">
        <f t="shared" si="2"/>
        <v>81.47</v>
      </c>
      <c r="H44" s="210"/>
      <c r="I44" s="12"/>
      <c r="J44" s="12"/>
      <c r="K44" s="12">
        <f>Units!G37</f>
        <v>12</v>
      </c>
      <c r="L44" s="12">
        <f t="shared" si="3"/>
        <v>977.64</v>
      </c>
      <c r="M44" s="12"/>
      <c r="N44" s="12"/>
    </row>
    <row r="45" spans="1:14" ht="15.4" x14ac:dyDescent="0.45">
      <c r="A45" s="12"/>
      <c r="B45" s="58"/>
      <c r="C45" s="14"/>
      <c r="D45" s="14"/>
      <c r="E45" s="14"/>
      <c r="F45" s="14"/>
      <c r="G45" s="14"/>
      <c r="H45" s="221"/>
      <c r="I45" s="12"/>
      <c r="J45" s="12"/>
      <c r="K45" s="12"/>
      <c r="L45" s="268">
        <f>SUM(L39:L44)</f>
        <v>158717.11000000002</v>
      </c>
      <c r="M45" s="12"/>
      <c r="N45" s="12"/>
    </row>
    <row r="46" spans="1:14" ht="15.4" x14ac:dyDescent="0.4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5.4" x14ac:dyDescent="0.4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5.4" x14ac:dyDescent="0.4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</sheetData>
  <mergeCells count="4">
    <mergeCell ref="C3:G3"/>
    <mergeCell ref="C4:G4"/>
    <mergeCell ref="C5:G5"/>
    <mergeCell ref="C29:D29"/>
  </mergeCells>
  <printOptions horizontalCentered="1"/>
  <pageMargins left="0.7" right="0.7" top="0.75" bottom="0.75" header="0.3" footer="0.3"/>
  <pageSetup orientation="portrait" r:id="rId1"/>
  <ignoredErrors>
    <ignoredError sqref="E9:G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50"/>
  <sheetViews>
    <sheetView showGridLines="0" workbookViewId="0">
      <selection sqref="A1:N46"/>
    </sheetView>
  </sheetViews>
  <sheetFormatPr defaultColWidth="8.88671875" defaultRowHeight="15.75" x14ac:dyDescent="0.5"/>
  <cols>
    <col min="1" max="1" width="2.609375" style="22" customWidth="1"/>
    <col min="2" max="2" width="1.109375" style="22" customWidth="1"/>
    <col min="3" max="3" width="3.77734375" style="22" bestFit="1" customWidth="1"/>
    <col min="4" max="4" width="7.21875" style="22" customWidth="1"/>
    <col min="5" max="5" width="5.6640625" style="22" bestFit="1" customWidth="1"/>
    <col min="6" max="6" width="7.33203125" style="22" customWidth="1"/>
    <col min="7" max="7" width="12.77734375" style="22" customWidth="1"/>
    <col min="8" max="8" width="1.21875" style="22" customWidth="1"/>
    <col min="9" max="9" width="3.77734375" style="22" bestFit="1" customWidth="1"/>
    <col min="10" max="10" width="7.21875" style="22" bestFit="1" customWidth="1"/>
    <col min="11" max="11" width="5.6640625" style="22" bestFit="1" customWidth="1"/>
    <col min="12" max="12" width="7.33203125" style="22" customWidth="1"/>
    <col min="13" max="13" width="12.77734375" style="22" customWidth="1"/>
    <col min="14" max="14" width="2.609375" style="22" customWidth="1"/>
    <col min="15" max="204" width="9.6640625" style="22" customWidth="1"/>
    <col min="205" max="16384" width="8.88671875" style="22"/>
  </cols>
  <sheetData>
    <row r="2" spans="2:23" x14ac:dyDescent="0.5">
      <c r="B2" s="3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2:23" ht="18" hidden="1" x14ac:dyDescent="0.55000000000000004">
      <c r="B3" s="37"/>
      <c r="C3" s="502" t="s">
        <v>319</v>
      </c>
      <c r="D3" s="502"/>
      <c r="E3" s="502"/>
      <c r="F3" s="502"/>
      <c r="G3" s="502"/>
      <c r="H3" s="502"/>
      <c r="I3" s="502"/>
      <c r="J3" s="502"/>
      <c r="K3" s="502"/>
      <c r="L3" s="502"/>
      <c r="M3" s="503"/>
    </row>
    <row r="4" spans="2:23" ht="18" x14ac:dyDescent="0.55000000000000004">
      <c r="B4" s="37"/>
      <c r="C4" s="502" t="s">
        <v>352</v>
      </c>
      <c r="D4" s="502"/>
      <c r="E4" s="502"/>
      <c r="F4" s="502"/>
      <c r="G4" s="502"/>
      <c r="H4" s="502"/>
      <c r="I4" s="502"/>
      <c r="J4" s="502"/>
      <c r="K4" s="502"/>
      <c r="L4" s="502"/>
      <c r="M4" s="503"/>
    </row>
    <row r="5" spans="2:23" ht="18" x14ac:dyDescent="0.55000000000000004">
      <c r="B5" s="37"/>
      <c r="C5" s="502" t="s">
        <v>82</v>
      </c>
      <c r="D5" s="502"/>
      <c r="E5" s="502"/>
      <c r="F5" s="502"/>
      <c r="G5" s="502"/>
      <c r="H5" s="502"/>
      <c r="I5" s="502"/>
      <c r="J5" s="502"/>
      <c r="K5" s="502"/>
      <c r="L5" s="502"/>
      <c r="M5" s="503"/>
    </row>
    <row r="6" spans="2:23" ht="18" x14ac:dyDescent="0.5">
      <c r="B6" s="37"/>
      <c r="C6" s="485" t="s">
        <v>252</v>
      </c>
      <c r="D6" s="485"/>
      <c r="E6" s="485"/>
      <c r="F6" s="485"/>
      <c r="G6" s="485"/>
      <c r="H6" s="485"/>
      <c r="I6" s="485"/>
      <c r="J6" s="485"/>
      <c r="K6" s="485"/>
      <c r="L6" s="485"/>
      <c r="M6" s="506"/>
      <c r="N6" s="80"/>
      <c r="O6" s="80"/>
    </row>
    <row r="7" spans="2:23" x14ac:dyDescent="0.5">
      <c r="B7" s="37"/>
      <c r="C7" s="1"/>
      <c r="D7" s="1"/>
      <c r="E7" s="1"/>
      <c r="F7" s="1"/>
      <c r="G7" s="1"/>
      <c r="H7" s="1"/>
      <c r="I7" s="1"/>
      <c r="J7" s="1"/>
      <c r="K7" s="1"/>
      <c r="L7" s="1"/>
      <c r="M7" s="66"/>
    </row>
    <row r="8" spans="2:23" ht="7.05" customHeight="1" x14ac:dyDescent="0.5">
      <c r="B8" s="34"/>
      <c r="C8" s="64"/>
      <c r="D8" s="64"/>
      <c r="E8" s="64"/>
      <c r="F8" s="64"/>
      <c r="G8" s="65"/>
      <c r="H8" s="34"/>
      <c r="I8" s="64"/>
      <c r="J8" s="64"/>
      <c r="K8" s="64"/>
      <c r="L8" s="64"/>
      <c r="M8" s="65"/>
    </row>
    <row r="9" spans="2:23" x14ac:dyDescent="0.5">
      <c r="B9" s="37"/>
      <c r="C9" s="504" t="s">
        <v>81</v>
      </c>
      <c r="D9" s="504"/>
      <c r="E9" s="504"/>
      <c r="F9" s="504"/>
      <c r="G9" s="505"/>
      <c r="H9" s="1"/>
      <c r="I9" s="504" t="s">
        <v>237</v>
      </c>
      <c r="J9" s="504"/>
      <c r="K9" s="504"/>
      <c r="L9" s="504"/>
      <c r="M9" s="505"/>
      <c r="O9" s="116"/>
    </row>
    <row r="10" spans="2:23" ht="7.05" customHeight="1" x14ac:dyDescent="0.5">
      <c r="B10" s="37"/>
      <c r="C10" s="1"/>
      <c r="D10" s="1"/>
      <c r="E10" s="1"/>
      <c r="F10" s="1"/>
      <c r="G10" s="66"/>
      <c r="H10" s="1"/>
      <c r="I10" s="1"/>
      <c r="J10" s="1"/>
      <c r="K10" s="1"/>
      <c r="L10" s="1"/>
      <c r="M10" s="66"/>
      <c r="W10" s="366"/>
    </row>
    <row r="11" spans="2:23" x14ac:dyDescent="0.5">
      <c r="B11" s="37"/>
      <c r="C11" s="7" t="s">
        <v>298</v>
      </c>
      <c r="D11" s="1"/>
      <c r="E11" s="1"/>
      <c r="F11" s="1"/>
      <c r="G11" s="66"/>
      <c r="H11" s="1"/>
      <c r="I11" s="365" t="s">
        <v>302</v>
      </c>
      <c r="J11" s="1"/>
      <c r="K11" s="1"/>
      <c r="L11" s="72"/>
      <c r="M11" s="66"/>
      <c r="P11" s="371"/>
      <c r="Q11" s="371" t="s">
        <v>169</v>
      </c>
      <c r="R11" s="371" t="s">
        <v>239</v>
      </c>
      <c r="S11" s="371" t="s">
        <v>112</v>
      </c>
      <c r="T11" s="371"/>
      <c r="U11" s="371"/>
      <c r="W11" s="366"/>
    </row>
    <row r="12" spans="2:23" ht="17.25" x14ac:dyDescent="0.7">
      <c r="B12" s="37"/>
      <c r="C12" s="10" t="s">
        <v>72</v>
      </c>
      <c r="D12" s="67">
        <v>2000</v>
      </c>
      <c r="E12" s="1" t="s">
        <v>76</v>
      </c>
      <c r="F12" s="68">
        <v>28.32</v>
      </c>
      <c r="G12" s="66" t="s">
        <v>77</v>
      </c>
      <c r="H12" s="1"/>
      <c r="I12" s="10" t="s">
        <v>72</v>
      </c>
      <c r="J12" s="67">
        <f>D12</f>
        <v>2000</v>
      </c>
      <c r="K12" s="1" t="s">
        <v>76</v>
      </c>
      <c r="L12" s="68">
        <f>CalcRet!G39+2*CalcRet!E25</f>
        <v>34.769999999999996</v>
      </c>
      <c r="M12" s="66" t="s">
        <v>77</v>
      </c>
      <c r="P12" s="372"/>
      <c r="Q12" s="372" t="s">
        <v>168</v>
      </c>
      <c r="R12" s="372" t="s">
        <v>80</v>
      </c>
      <c r="S12" s="372" t="s">
        <v>80</v>
      </c>
      <c r="T12" s="372" t="s">
        <v>240</v>
      </c>
      <c r="U12" s="372" t="s">
        <v>241</v>
      </c>
      <c r="W12" s="366"/>
    </row>
    <row r="13" spans="2:23" x14ac:dyDescent="0.5">
      <c r="B13" s="37"/>
      <c r="C13" s="10" t="s">
        <v>73</v>
      </c>
      <c r="D13" s="67">
        <v>3000</v>
      </c>
      <c r="E13" s="1" t="s">
        <v>76</v>
      </c>
      <c r="F13" s="69">
        <v>9.85</v>
      </c>
      <c r="G13" s="66" t="s">
        <v>78</v>
      </c>
      <c r="H13" s="1"/>
      <c r="I13" s="10" t="s">
        <v>73</v>
      </c>
      <c r="J13" s="67">
        <v>8000</v>
      </c>
      <c r="K13" s="1" t="s">
        <v>76</v>
      </c>
      <c r="L13" s="69">
        <f>CalcRet!E25</f>
        <v>11.889999999999999</v>
      </c>
      <c r="M13" s="66" t="s">
        <v>78</v>
      </c>
      <c r="P13" s="373" t="s">
        <v>238</v>
      </c>
      <c r="Q13" s="374">
        <v>4000</v>
      </c>
      <c r="R13" s="375">
        <f>F12+2*F13</f>
        <v>48.019999999999996</v>
      </c>
      <c r="S13" s="375">
        <f>L12+2*L13</f>
        <v>58.55</v>
      </c>
      <c r="T13" s="375">
        <f>S13-R13</f>
        <v>10.530000000000001</v>
      </c>
      <c r="U13" s="376">
        <f>T13/R13</f>
        <v>0.21928363182007501</v>
      </c>
    </row>
    <row r="14" spans="2:23" x14ac:dyDescent="0.5">
      <c r="B14" s="37"/>
      <c r="C14" s="10" t="s">
        <v>73</v>
      </c>
      <c r="D14" s="67">
        <v>5000</v>
      </c>
      <c r="E14" s="1" t="s">
        <v>76</v>
      </c>
      <c r="F14" s="69">
        <v>8.6300000000000008</v>
      </c>
      <c r="G14" s="66" t="s">
        <v>78</v>
      </c>
      <c r="H14" s="1"/>
      <c r="I14" s="10" t="s">
        <v>73</v>
      </c>
      <c r="J14" s="67">
        <v>90000</v>
      </c>
      <c r="K14" s="1" t="s">
        <v>76</v>
      </c>
      <c r="L14" s="69">
        <f>CalcRet!F25</f>
        <v>9.93</v>
      </c>
      <c r="M14" s="66" t="s">
        <v>78</v>
      </c>
      <c r="P14" s="377" t="s">
        <v>207</v>
      </c>
      <c r="Q14" s="374">
        <v>22000</v>
      </c>
      <c r="R14" s="378">
        <f>F12+3*F13+5*F14+12*F15</f>
        <v>189.94</v>
      </c>
      <c r="S14" s="379">
        <f>L18+5*L19+12*L20</f>
        <v>213.38</v>
      </c>
      <c r="T14" s="379">
        <f t="shared" ref="T14" si="0">S14-R14</f>
        <v>23.439999999999998</v>
      </c>
      <c r="U14" s="376">
        <f t="shared" ref="U14" si="1">T14/R14</f>
        <v>0.12340739180793935</v>
      </c>
    </row>
    <row r="15" spans="2:23" x14ac:dyDescent="0.5">
      <c r="B15" s="37"/>
      <c r="C15" s="10" t="s">
        <v>74</v>
      </c>
      <c r="D15" s="67">
        <v>10000</v>
      </c>
      <c r="E15" s="1" t="s">
        <v>76</v>
      </c>
      <c r="F15" s="69">
        <v>7.41</v>
      </c>
      <c r="G15" s="66" t="s">
        <v>78</v>
      </c>
      <c r="H15" s="1"/>
      <c r="I15" s="10" t="s">
        <v>74</v>
      </c>
      <c r="J15" s="67">
        <v>100000</v>
      </c>
      <c r="K15" s="1" t="s">
        <v>76</v>
      </c>
      <c r="L15" s="69">
        <f>CalcRet!G25</f>
        <v>7.9599999999999991</v>
      </c>
      <c r="M15" s="66" t="s">
        <v>78</v>
      </c>
      <c r="P15" s="377" t="s">
        <v>291</v>
      </c>
      <c r="Q15" s="374">
        <v>280000</v>
      </c>
      <c r="R15" s="378">
        <f>F12+3*F13+5*F14+270*F15</f>
        <v>2101.7200000000003</v>
      </c>
      <c r="S15" s="379">
        <f>L39+70*L40+180*L41</f>
        <v>2526.87</v>
      </c>
      <c r="T15" s="379">
        <f>S15-R15</f>
        <v>425.14999999999964</v>
      </c>
      <c r="U15" s="376">
        <f>T15/R15</f>
        <v>0.20228669851359818</v>
      </c>
    </row>
    <row r="16" spans="2:23" ht="7.05" customHeight="1" x14ac:dyDescent="0.5">
      <c r="B16" s="37"/>
      <c r="D16" s="67"/>
      <c r="E16" s="1"/>
      <c r="F16" s="69"/>
      <c r="G16" s="66"/>
      <c r="H16" s="1"/>
      <c r="I16" s="10"/>
      <c r="J16" s="1"/>
      <c r="K16" s="1"/>
      <c r="L16" s="1"/>
      <c r="M16" s="66"/>
    </row>
    <row r="17" spans="2:16" x14ac:dyDescent="0.5">
      <c r="B17" s="37"/>
      <c r="C17" s="7"/>
      <c r="D17" s="1"/>
      <c r="E17" s="1"/>
      <c r="F17" s="1"/>
      <c r="G17" s="66"/>
      <c r="H17" s="1"/>
      <c r="I17" s="7" t="s">
        <v>99</v>
      </c>
      <c r="J17" s="1"/>
      <c r="K17" s="1"/>
      <c r="L17" s="1"/>
      <c r="M17" s="66"/>
    </row>
    <row r="18" spans="2:16" x14ac:dyDescent="0.5">
      <c r="B18" s="37"/>
      <c r="C18" s="10"/>
      <c r="D18" s="67"/>
      <c r="E18" s="1"/>
      <c r="F18" s="68"/>
      <c r="G18" s="66"/>
      <c r="H18" s="1"/>
      <c r="I18" s="10" t="s">
        <v>72</v>
      </c>
      <c r="J18" s="67">
        <v>2000</v>
      </c>
      <c r="K18" s="1" t="s">
        <v>76</v>
      </c>
      <c r="L18" s="68">
        <f>CalcRet!G40+2*CalcRet!E25</f>
        <v>34.769999999999996</v>
      </c>
      <c r="M18" s="66" t="s">
        <v>77</v>
      </c>
      <c r="O18" s="479" t="s">
        <v>410</v>
      </c>
      <c r="P18" s="480"/>
    </row>
    <row r="19" spans="2:16" x14ac:dyDescent="0.5">
      <c r="B19" s="37"/>
      <c r="C19" s="10"/>
      <c r="D19" s="67"/>
      <c r="E19" s="1"/>
      <c r="F19" s="69"/>
      <c r="G19" s="66"/>
      <c r="H19" s="1"/>
      <c r="I19" s="10" t="s">
        <v>73</v>
      </c>
      <c r="J19" s="67">
        <v>8000</v>
      </c>
      <c r="K19" s="1" t="s">
        <v>76</v>
      </c>
      <c r="L19" s="69">
        <f>CalcRet!E25</f>
        <v>11.889999999999999</v>
      </c>
      <c r="M19" s="66" t="s">
        <v>78</v>
      </c>
      <c r="O19" s="479" t="s">
        <v>410</v>
      </c>
      <c r="P19" s="480"/>
    </row>
    <row r="20" spans="2:16" x14ac:dyDescent="0.5">
      <c r="B20" s="37"/>
      <c r="C20" s="10"/>
      <c r="D20" s="67"/>
      <c r="E20" s="1"/>
      <c r="F20" s="69"/>
      <c r="G20" s="66"/>
      <c r="H20" s="1"/>
      <c r="I20" s="10" t="s">
        <v>73</v>
      </c>
      <c r="J20" s="67">
        <v>90000</v>
      </c>
      <c r="K20" s="1" t="s">
        <v>76</v>
      </c>
      <c r="L20" s="69">
        <f>CalcRet!F25</f>
        <v>9.93</v>
      </c>
      <c r="M20" s="66" t="s">
        <v>78</v>
      </c>
    </row>
    <row r="21" spans="2:16" x14ac:dyDescent="0.5">
      <c r="B21" s="37"/>
      <c r="C21" s="10"/>
      <c r="D21" s="67"/>
      <c r="E21" s="1"/>
      <c r="F21" s="69"/>
      <c r="G21" s="66"/>
      <c r="H21" s="1"/>
      <c r="I21" s="10" t="s">
        <v>74</v>
      </c>
      <c r="J21" s="67">
        <v>100000</v>
      </c>
      <c r="K21" s="1" t="s">
        <v>76</v>
      </c>
      <c r="L21" s="69">
        <f>CalcRet!G25</f>
        <v>7.9599999999999991</v>
      </c>
      <c r="M21" s="66" t="s">
        <v>78</v>
      </c>
    </row>
    <row r="22" spans="2:16" ht="7.05" customHeight="1" x14ac:dyDescent="0.5">
      <c r="B22" s="37"/>
      <c r="C22" s="10"/>
      <c r="D22" s="67"/>
      <c r="E22" s="1"/>
      <c r="F22" s="69"/>
      <c r="G22" s="66"/>
      <c r="H22" s="1"/>
      <c r="I22" s="10"/>
      <c r="J22" s="67"/>
      <c r="K22" s="1"/>
      <c r="L22" s="69"/>
      <c r="M22" s="66"/>
    </row>
    <row r="23" spans="2:16" x14ac:dyDescent="0.5">
      <c r="B23" s="37"/>
      <c r="C23" s="7"/>
      <c r="D23" s="1"/>
      <c r="E23" s="1"/>
      <c r="F23" s="1"/>
      <c r="G23" s="66"/>
      <c r="H23" s="1"/>
      <c r="I23" s="7" t="s">
        <v>114</v>
      </c>
      <c r="J23" s="1"/>
      <c r="K23" s="1"/>
      <c r="L23" s="1"/>
      <c r="M23" s="66"/>
    </row>
    <row r="24" spans="2:16" x14ac:dyDescent="0.5">
      <c r="B24" s="37"/>
      <c r="C24" s="10"/>
      <c r="D24" s="67"/>
      <c r="E24" s="1"/>
      <c r="F24" s="68"/>
      <c r="G24" s="66"/>
      <c r="H24" s="1"/>
      <c r="I24" s="10" t="s">
        <v>72</v>
      </c>
      <c r="J24" s="67">
        <v>10000</v>
      </c>
      <c r="K24" s="1" t="s">
        <v>76</v>
      </c>
      <c r="L24" s="68">
        <f>CalcRet!G41+10*CalcRet!E25</f>
        <v>134.22999999999999</v>
      </c>
      <c r="M24" s="66" t="s">
        <v>77</v>
      </c>
    </row>
    <row r="25" spans="2:16" x14ac:dyDescent="0.5">
      <c r="B25" s="37"/>
      <c r="C25" s="10"/>
      <c r="D25" s="67"/>
      <c r="E25" s="1"/>
      <c r="F25" s="69"/>
      <c r="G25" s="66"/>
      <c r="H25" s="1"/>
      <c r="I25" s="10" t="s">
        <v>73</v>
      </c>
      <c r="J25" s="67">
        <v>90000</v>
      </c>
      <c r="K25" s="1" t="s">
        <v>76</v>
      </c>
      <c r="L25" s="69">
        <f>CalcRet!$F$25</f>
        <v>9.93</v>
      </c>
      <c r="M25" s="66" t="s">
        <v>78</v>
      </c>
    </row>
    <row r="26" spans="2:16" x14ac:dyDescent="0.5">
      <c r="B26" s="37"/>
      <c r="C26" s="10"/>
      <c r="D26" s="67"/>
      <c r="E26" s="1"/>
      <c r="F26" s="69"/>
      <c r="G26" s="66"/>
      <c r="H26" s="1"/>
      <c r="I26" s="10" t="s">
        <v>74</v>
      </c>
      <c r="J26" s="67">
        <v>100000</v>
      </c>
      <c r="K26" s="1" t="s">
        <v>76</v>
      </c>
      <c r="L26" s="69">
        <f>$L$15</f>
        <v>7.9599999999999991</v>
      </c>
      <c r="M26" s="66" t="s">
        <v>78</v>
      </c>
    </row>
    <row r="27" spans="2:16" ht="7.05" customHeight="1" x14ac:dyDescent="0.5">
      <c r="B27" s="37"/>
      <c r="C27" s="10"/>
      <c r="D27" s="67"/>
      <c r="E27" s="1"/>
      <c r="F27" s="69"/>
      <c r="G27" s="66"/>
      <c r="H27" s="1"/>
      <c r="I27" s="10"/>
      <c r="J27" s="67"/>
      <c r="K27" s="1"/>
      <c r="L27" s="69"/>
      <c r="M27" s="66"/>
    </row>
    <row r="28" spans="2:16" x14ac:dyDescent="0.5">
      <c r="B28" s="37"/>
      <c r="C28" s="7"/>
      <c r="D28" s="1"/>
      <c r="E28" s="1"/>
      <c r="F28" s="1"/>
      <c r="G28" s="66"/>
      <c r="H28" s="1"/>
      <c r="I28" s="7" t="s">
        <v>100</v>
      </c>
      <c r="J28" s="1"/>
      <c r="K28" s="1"/>
      <c r="L28" s="1"/>
      <c r="M28" s="66"/>
    </row>
    <row r="29" spans="2:16" x14ac:dyDescent="0.5">
      <c r="B29" s="37"/>
      <c r="C29" s="10"/>
      <c r="D29" s="67"/>
      <c r="E29" s="1"/>
      <c r="F29" s="68"/>
      <c r="G29" s="66"/>
      <c r="H29" s="1"/>
      <c r="I29" s="10" t="s">
        <v>72</v>
      </c>
      <c r="J29" s="67">
        <v>15000</v>
      </c>
      <c r="K29" s="1" t="s">
        <v>76</v>
      </c>
      <c r="L29" s="68">
        <f>CalcRet!G42+10*CalcRet!E25+5*CalcRet!F25</f>
        <v>189.84</v>
      </c>
      <c r="M29" s="66" t="s">
        <v>77</v>
      </c>
    </row>
    <row r="30" spans="2:16" x14ac:dyDescent="0.5">
      <c r="B30" s="37"/>
      <c r="C30" s="10"/>
      <c r="D30" s="67"/>
      <c r="E30" s="1"/>
      <c r="F30" s="69"/>
      <c r="G30" s="66"/>
      <c r="H30" s="1"/>
      <c r="I30" s="10" t="s">
        <v>73</v>
      </c>
      <c r="J30" s="67">
        <v>85000</v>
      </c>
      <c r="K30" s="1" t="s">
        <v>76</v>
      </c>
      <c r="L30" s="69">
        <f>CalcRet!$F$25</f>
        <v>9.93</v>
      </c>
      <c r="M30" s="66" t="s">
        <v>78</v>
      </c>
    </row>
    <row r="31" spans="2:16" x14ac:dyDescent="0.5">
      <c r="B31" s="37"/>
      <c r="C31" s="10"/>
      <c r="D31" s="67"/>
      <c r="E31" s="1"/>
      <c r="F31" s="69"/>
      <c r="G31" s="66"/>
      <c r="H31" s="1"/>
      <c r="I31" s="10" t="s">
        <v>74</v>
      </c>
      <c r="J31" s="67">
        <v>100000</v>
      </c>
      <c r="K31" s="1" t="s">
        <v>76</v>
      </c>
      <c r="L31" s="69">
        <f>$L$15</f>
        <v>7.9599999999999991</v>
      </c>
      <c r="M31" s="66" t="s">
        <v>78</v>
      </c>
    </row>
    <row r="32" spans="2:16" ht="7.05" customHeight="1" x14ac:dyDescent="0.5">
      <c r="B32" s="37"/>
      <c r="C32" s="10"/>
      <c r="D32" s="67"/>
      <c r="E32" s="1"/>
      <c r="F32" s="69"/>
      <c r="G32" s="66"/>
      <c r="H32" s="1"/>
      <c r="I32" s="10"/>
      <c r="J32" s="67"/>
      <c r="K32" s="1"/>
      <c r="L32" s="69"/>
      <c r="M32" s="66"/>
    </row>
    <row r="33" spans="2:18" x14ac:dyDescent="0.5">
      <c r="B33" s="37"/>
      <c r="C33" s="7"/>
      <c r="D33" s="1"/>
      <c r="E33" s="1"/>
      <c r="F33" s="1"/>
      <c r="G33" s="66"/>
      <c r="H33" s="1"/>
      <c r="I33" s="7" t="s">
        <v>115</v>
      </c>
      <c r="J33" s="1"/>
      <c r="K33" s="1"/>
      <c r="L33" s="1"/>
      <c r="M33" s="66"/>
    </row>
    <row r="34" spans="2:18" x14ac:dyDescent="0.5">
      <c r="B34" s="37"/>
      <c r="C34" s="10"/>
      <c r="D34" s="67"/>
      <c r="E34" s="1"/>
      <c r="F34" s="68"/>
      <c r="G34" s="66"/>
      <c r="H34" s="1"/>
      <c r="I34" s="10" t="s">
        <v>72</v>
      </c>
      <c r="J34" s="67">
        <v>20000</v>
      </c>
      <c r="K34" s="1" t="s">
        <v>76</v>
      </c>
      <c r="L34" s="68">
        <f>CalcRet!G43+10*CalcRet!E25+10*CalcRet!F25</f>
        <v>283.39999999999998</v>
      </c>
      <c r="M34" s="66" t="s">
        <v>77</v>
      </c>
    </row>
    <row r="35" spans="2:18" x14ac:dyDescent="0.5">
      <c r="B35" s="37"/>
      <c r="C35" s="10"/>
      <c r="D35" s="67"/>
      <c r="E35" s="1"/>
      <c r="F35" s="69"/>
      <c r="G35" s="66"/>
      <c r="H35" s="1"/>
      <c r="I35" s="10" t="s">
        <v>73</v>
      </c>
      <c r="J35" s="67">
        <v>80000</v>
      </c>
      <c r="K35" s="1" t="s">
        <v>76</v>
      </c>
      <c r="L35" s="69">
        <f>CalcRet!$F$25</f>
        <v>9.93</v>
      </c>
      <c r="M35" s="66" t="s">
        <v>78</v>
      </c>
      <c r="O35" s="91"/>
    </row>
    <row r="36" spans="2:18" x14ac:dyDescent="0.5">
      <c r="B36" s="37"/>
      <c r="C36" s="10"/>
      <c r="D36" s="67"/>
      <c r="E36" s="1"/>
      <c r="F36" s="69"/>
      <c r="G36" s="66"/>
      <c r="H36" s="1"/>
      <c r="I36" s="10" t="s">
        <v>74</v>
      </c>
      <c r="J36" s="67">
        <v>100000</v>
      </c>
      <c r="K36" s="1" t="s">
        <v>76</v>
      </c>
      <c r="L36" s="69">
        <f>$L$15</f>
        <v>7.9599999999999991</v>
      </c>
      <c r="M36" s="66" t="s">
        <v>78</v>
      </c>
    </row>
    <row r="37" spans="2:18" ht="7.05" customHeight="1" x14ac:dyDescent="0.5">
      <c r="B37" s="37"/>
      <c r="C37" s="10"/>
      <c r="D37" s="67"/>
      <c r="E37" s="1"/>
      <c r="F37" s="69"/>
      <c r="G37" s="66"/>
      <c r="H37" s="1"/>
      <c r="I37" s="10"/>
      <c r="J37" s="67"/>
      <c r="K37" s="1"/>
      <c r="L37" s="69"/>
      <c r="M37" s="66"/>
    </row>
    <row r="38" spans="2:18" x14ac:dyDescent="0.5">
      <c r="B38" s="37"/>
      <c r="C38" s="7"/>
      <c r="D38" s="1"/>
      <c r="E38" s="1"/>
      <c r="F38" s="1"/>
      <c r="G38" s="66"/>
      <c r="H38" s="1"/>
      <c r="I38" s="7" t="s">
        <v>243</v>
      </c>
      <c r="J38" s="67"/>
      <c r="K38" s="1"/>
      <c r="L38" s="1"/>
      <c r="M38" s="66"/>
    </row>
    <row r="39" spans="2:18" x14ac:dyDescent="0.5">
      <c r="B39" s="37"/>
      <c r="C39" s="10"/>
      <c r="D39" s="67"/>
      <c r="E39" s="1"/>
      <c r="F39" s="68"/>
      <c r="G39" s="66"/>
      <c r="H39" s="1"/>
      <c r="I39" s="10" t="s">
        <v>72</v>
      </c>
      <c r="J39" s="67">
        <v>30000</v>
      </c>
      <c r="K39" s="1" t="s">
        <v>76</v>
      </c>
      <c r="L39" s="68">
        <f>CalcRet!G44+10*CalcRet!E25+20*CalcRet!F25</f>
        <v>398.97</v>
      </c>
      <c r="M39" s="66" t="s">
        <v>77</v>
      </c>
    </row>
    <row r="40" spans="2:18" x14ac:dyDescent="0.5">
      <c r="B40" s="37"/>
      <c r="C40" s="10"/>
      <c r="D40" s="67"/>
      <c r="E40" s="1"/>
      <c r="F40" s="68"/>
      <c r="G40" s="66"/>
      <c r="H40" s="1"/>
      <c r="I40" s="10" t="s">
        <v>73</v>
      </c>
      <c r="J40" s="67">
        <v>70000</v>
      </c>
      <c r="K40" s="1" t="s">
        <v>76</v>
      </c>
      <c r="L40" s="69">
        <f>CalcRet!$F$25</f>
        <v>9.93</v>
      </c>
      <c r="M40" s="66" t="s">
        <v>78</v>
      </c>
    </row>
    <row r="41" spans="2:18" x14ac:dyDescent="0.5">
      <c r="B41" s="37"/>
      <c r="C41" s="10"/>
      <c r="D41" s="67"/>
      <c r="E41" s="1"/>
      <c r="F41" s="69"/>
      <c r="G41" s="66"/>
      <c r="H41" s="1"/>
      <c r="I41" s="10" t="s">
        <v>74</v>
      </c>
      <c r="J41" s="67">
        <v>100000</v>
      </c>
      <c r="K41" s="1" t="s">
        <v>76</v>
      </c>
      <c r="L41" s="69">
        <f>$L$15</f>
        <v>7.9599999999999991</v>
      </c>
      <c r="M41" s="66" t="s">
        <v>78</v>
      </c>
    </row>
    <row r="42" spans="2:18" ht="7.05" customHeight="1" x14ac:dyDescent="0.5">
      <c r="B42" s="37"/>
      <c r="C42" s="10"/>
      <c r="D42" s="67"/>
      <c r="E42" s="1"/>
      <c r="F42" s="69"/>
      <c r="G42" s="66"/>
      <c r="H42" s="1"/>
      <c r="I42" s="10"/>
      <c r="J42" s="67"/>
      <c r="K42" s="1"/>
      <c r="L42" s="69"/>
      <c r="M42" s="66"/>
    </row>
    <row r="43" spans="2:18" ht="17.649999999999999" x14ac:dyDescent="0.75">
      <c r="B43" s="37"/>
      <c r="C43" s="10"/>
      <c r="D43" s="67"/>
      <c r="E43" s="1"/>
      <c r="F43" s="69"/>
      <c r="G43" s="66"/>
      <c r="H43" s="1"/>
      <c r="I43" s="501" t="s">
        <v>317</v>
      </c>
      <c r="J43" s="501"/>
      <c r="K43" s="501"/>
      <c r="L43" s="501"/>
      <c r="M43" s="380"/>
    </row>
    <row r="44" spans="2:18" x14ac:dyDescent="0.5">
      <c r="B44" s="37"/>
      <c r="C44" s="10"/>
      <c r="D44" s="67"/>
      <c r="E44" s="1"/>
      <c r="F44" s="69"/>
      <c r="G44" s="66"/>
      <c r="H44" s="1"/>
      <c r="I44" s="90"/>
      <c r="J44" s="68">
        <f>SAO!G71</f>
        <v>3.5862175407633177</v>
      </c>
      <c r="K44" s="380" t="s">
        <v>318</v>
      </c>
      <c r="M44" s="381"/>
    </row>
    <row r="45" spans="2:18" ht="7.05" customHeight="1" x14ac:dyDescent="0.5">
      <c r="B45" s="41"/>
      <c r="C45" s="70"/>
      <c r="D45" s="17"/>
      <c r="E45" s="17"/>
      <c r="F45" s="17"/>
      <c r="G45" s="71"/>
      <c r="H45" s="17"/>
      <c r="I45" s="17"/>
      <c r="J45" s="17"/>
      <c r="K45" s="17"/>
      <c r="L45" s="17"/>
      <c r="M45" s="71"/>
      <c r="O45" s="27"/>
      <c r="P45" s="87"/>
      <c r="Q45" s="87"/>
      <c r="R45" s="73"/>
    </row>
    <row r="46" spans="2:18" x14ac:dyDescent="0.5">
      <c r="C46" s="60"/>
      <c r="O46" s="27"/>
      <c r="P46" s="87"/>
      <c r="Q46" s="87"/>
      <c r="R46" s="73"/>
    </row>
    <row r="47" spans="2:18" x14ac:dyDescent="0.5">
      <c r="C47" s="60"/>
      <c r="N47" s="60"/>
      <c r="O47" s="27"/>
      <c r="P47" s="87"/>
      <c r="Q47" s="87"/>
      <c r="R47" s="73"/>
    </row>
    <row r="48" spans="2:18" x14ac:dyDescent="0.5">
      <c r="C48" s="60"/>
    </row>
    <row r="49" spans="3:3" x14ac:dyDescent="0.5">
      <c r="C49" s="60"/>
    </row>
    <row r="50" spans="3:3" x14ac:dyDescent="0.5">
      <c r="C50" s="60"/>
    </row>
  </sheetData>
  <mergeCells count="7">
    <mergeCell ref="I43:L43"/>
    <mergeCell ref="C3:M3"/>
    <mergeCell ref="C9:G9"/>
    <mergeCell ref="I9:M9"/>
    <mergeCell ref="C5:M5"/>
    <mergeCell ref="C6:M6"/>
    <mergeCell ref="C4:M4"/>
  </mergeCells>
  <printOptions horizontalCentered="1"/>
  <pageMargins left="0.8" right="0.55000000000000004" top="0.95" bottom="0.5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FB215-EB24-4196-AD99-BCE50AEBA5D8}">
  <sheetPr>
    <pageSetUpPr fitToPage="1"/>
  </sheetPr>
  <dimension ref="B2:Y49"/>
  <sheetViews>
    <sheetView showGridLines="0" topLeftCell="A17" workbookViewId="0">
      <selection sqref="A1:P50"/>
    </sheetView>
  </sheetViews>
  <sheetFormatPr defaultColWidth="8.88671875" defaultRowHeight="15.75" x14ac:dyDescent="0.5"/>
  <cols>
    <col min="1" max="1" width="2.609375" style="22" customWidth="1"/>
    <col min="2" max="2" width="1.109375" style="22" customWidth="1"/>
    <col min="3" max="3" width="3.77734375" style="22" bestFit="1" customWidth="1"/>
    <col min="4" max="4" width="7.21875" style="22" customWidth="1"/>
    <col min="5" max="5" width="5.6640625" style="22" bestFit="1" customWidth="1"/>
    <col min="6" max="6" width="7.33203125" style="22" customWidth="1"/>
    <col min="7" max="7" width="12.77734375" style="22" customWidth="1"/>
    <col min="8" max="8" width="1.21875" style="22" customWidth="1"/>
    <col min="9" max="9" width="3.77734375" style="22" bestFit="1" customWidth="1"/>
    <col min="10" max="10" width="7.21875" style="22" bestFit="1" customWidth="1"/>
    <col min="11" max="11" width="5.6640625" style="22" bestFit="1" customWidth="1"/>
    <col min="12" max="12" width="7.33203125" style="22" customWidth="1"/>
    <col min="13" max="13" width="12.77734375" style="22" customWidth="1"/>
    <col min="14" max="14" width="10.609375" style="22" customWidth="1"/>
    <col min="15" max="15" width="10.609375" style="469" customWidth="1"/>
    <col min="16" max="16" width="2.609375" style="22" customWidth="1"/>
    <col min="17" max="206" width="9.6640625" style="22" customWidth="1"/>
    <col min="207" max="16384" width="8.88671875" style="22"/>
  </cols>
  <sheetData>
    <row r="2" spans="2:25" ht="7.05" customHeight="1" x14ac:dyDescent="0.5">
      <c r="B2" s="34"/>
      <c r="C2" s="64"/>
      <c r="D2" s="64"/>
      <c r="E2" s="64"/>
      <c r="F2" s="64"/>
      <c r="G2" s="65"/>
      <c r="H2" s="34"/>
      <c r="I2" s="64"/>
      <c r="J2" s="64"/>
      <c r="K2" s="64"/>
      <c r="L2" s="64"/>
      <c r="M2" s="65"/>
      <c r="N2" s="34"/>
      <c r="O2" s="474"/>
    </row>
    <row r="3" spans="2:25" x14ac:dyDescent="0.5">
      <c r="B3" s="37"/>
      <c r="C3" s="504" t="s">
        <v>81</v>
      </c>
      <c r="D3" s="504"/>
      <c r="E3" s="504"/>
      <c r="F3" s="504"/>
      <c r="G3" s="505"/>
      <c r="H3" s="1"/>
      <c r="I3" s="504" t="s">
        <v>237</v>
      </c>
      <c r="J3" s="504"/>
      <c r="K3" s="504"/>
      <c r="L3" s="504"/>
      <c r="M3" s="505"/>
      <c r="N3" s="507" t="s">
        <v>406</v>
      </c>
      <c r="O3" s="505"/>
      <c r="Q3" s="116"/>
    </row>
    <row r="4" spans="2:25" ht="7.05" customHeight="1" x14ac:dyDescent="0.5">
      <c r="B4" s="37"/>
      <c r="C4" s="1"/>
      <c r="D4" s="1"/>
      <c r="E4" s="1"/>
      <c r="F4" s="1"/>
      <c r="G4" s="66"/>
      <c r="H4" s="1"/>
      <c r="I4" s="1"/>
      <c r="J4" s="1"/>
      <c r="K4" s="1"/>
      <c r="L4" s="1"/>
      <c r="M4" s="66"/>
      <c r="N4" s="1"/>
      <c r="O4" s="471"/>
      <c r="Y4" s="366"/>
    </row>
    <row r="5" spans="2:25" ht="15.85" customHeight="1" x14ac:dyDescent="0.5">
      <c r="B5" s="37"/>
      <c r="C5" s="365" t="s">
        <v>302</v>
      </c>
      <c r="D5" s="1"/>
      <c r="E5" s="1"/>
      <c r="F5" s="1"/>
      <c r="G5" s="66"/>
      <c r="H5" s="1"/>
      <c r="I5" s="365" t="s">
        <v>302</v>
      </c>
      <c r="J5" s="1"/>
      <c r="K5" s="1"/>
      <c r="L5" s="72"/>
      <c r="M5" s="66"/>
      <c r="N5" s="10" t="s">
        <v>407</v>
      </c>
      <c r="O5" s="471" t="s">
        <v>408</v>
      </c>
      <c r="R5" s="371"/>
      <c r="S5" s="371" t="s">
        <v>169</v>
      </c>
      <c r="T5" s="371" t="s">
        <v>239</v>
      </c>
      <c r="U5" s="371" t="s">
        <v>112</v>
      </c>
      <c r="V5" s="371"/>
      <c r="W5" s="371"/>
      <c r="Y5" s="366"/>
    </row>
    <row r="6" spans="2:25" ht="15.85" customHeight="1" x14ac:dyDescent="0.7">
      <c r="B6" s="37"/>
      <c r="C6" s="10" t="s">
        <v>72</v>
      </c>
      <c r="D6" s="67">
        <v>2000</v>
      </c>
      <c r="E6" s="1" t="s">
        <v>76</v>
      </c>
      <c r="F6" s="68">
        <v>28.32</v>
      </c>
      <c r="G6" s="66" t="s">
        <v>77</v>
      </c>
      <c r="H6" s="1"/>
      <c r="I6" s="10" t="s">
        <v>72</v>
      </c>
      <c r="J6" s="67">
        <f>D6</f>
        <v>2000</v>
      </c>
      <c r="K6" s="1" t="s">
        <v>76</v>
      </c>
      <c r="L6" s="68">
        <f>CalcRet!G39+2*CalcRet!E25</f>
        <v>34.769999999999996</v>
      </c>
      <c r="M6" s="66" t="s">
        <v>77</v>
      </c>
      <c r="N6" s="468">
        <f>L6-F6</f>
        <v>6.4499999999999957</v>
      </c>
      <c r="O6" s="471">
        <f>N6/F6</f>
        <v>0.22775423728813543</v>
      </c>
      <c r="R6" s="372"/>
      <c r="S6" s="372" t="s">
        <v>168</v>
      </c>
      <c r="T6" s="372" t="s">
        <v>80</v>
      </c>
      <c r="U6" s="372" t="s">
        <v>80</v>
      </c>
      <c r="V6" s="372" t="s">
        <v>240</v>
      </c>
      <c r="W6" s="372" t="s">
        <v>241</v>
      </c>
      <c r="Y6" s="366"/>
    </row>
    <row r="7" spans="2:25" ht="15.85" customHeight="1" x14ac:dyDescent="0.5">
      <c r="B7" s="37"/>
      <c r="C7" s="10" t="s">
        <v>73</v>
      </c>
      <c r="D7" s="67">
        <v>3000</v>
      </c>
      <c r="E7" s="1" t="s">
        <v>76</v>
      </c>
      <c r="F7" s="69">
        <v>9.85</v>
      </c>
      <c r="G7" s="66" t="s">
        <v>78</v>
      </c>
      <c r="H7" s="1"/>
      <c r="I7" s="10" t="s">
        <v>73</v>
      </c>
      <c r="J7" s="67">
        <v>8000</v>
      </c>
      <c r="K7" s="1" t="s">
        <v>76</v>
      </c>
      <c r="L7" s="69">
        <f>CalcRet!E25</f>
        <v>11.889999999999999</v>
      </c>
      <c r="M7" s="66" t="s">
        <v>78</v>
      </c>
      <c r="N7" s="468">
        <f>L7-F7</f>
        <v>2.0399999999999991</v>
      </c>
      <c r="O7" s="471">
        <f>N7/F7</f>
        <v>0.20710659898477149</v>
      </c>
      <c r="R7" s="373" t="s">
        <v>238</v>
      </c>
      <c r="S7" s="374">
        <v>4000</v>
      </c>
      <c r="T7" s="375">
        <f>F6+2*F7</f>
        <v>48.019999999999996</v>
      </c>
      <c r="U7" s="375">
        <f>L6+2*L7</f>
        <v>58.55</v>
      </c>
      <c r="V7" s="375">
        <f>U7-T7</f>
        <v>10.530000000000001</v>
      </c>
      <c r="W7" s="376">
        <f>V7/T7</f>
        <v>0.21928363182007501</v>
      </c>
    </row>
    <row r="8" spans="2:25" ht="15.85" customHeight="1" x14ac:dyDescent="0.5">
      <c r="B8" s="37"/>
      <c r="C8" s="10" t="s">
        <v>73</v>
      </c>
      <c r="D8" s="67">
        <v>5000</v>
      </c>
      <c r="E8" s="1" t="s">
        <v>76</v>
      </c>
      <c r="F8" s="69">
        <v>8.6300000000000008</v>
      </c>
      <c r="G8" s="66" t="s">
        <v>78</v>
      </c>
      <c r="H8" s="1"/>
      <c r="I8" s="10"/>
      <c r="J8" s="67"/>
      <c r="K8" s="1"/>
      <c r="L8" s="69"/>
      <c r="M8" s="66"/>
      <c r="N8" s="468"/>
      <c r="O8" s="471"/>
      <c r="R8" s="377" t="s">
        <v>207</v>
      </c>
      <c r="S8" s="374">
        <v>22000</v>
      </c>
      <c r="T8" s="378">
        <f>F6+3*F7+5*F8+12*F9</f>
        <v>189.94</v>
      </c>
      <c r="U8" s="379">
        <f>L13+8*L14+12*L16</f>
        <v>249.04999999999998</v>
      </c>
      <c r="V8" s="379">
        <f t="shared" ref="V8" si="0">U8-T8</f>
        <v>59.109999999999985</v>
      </c>
      <c r="W8" s="376">
        <f t="shared" ref="W8" si="1">V8/T8</f>
        <v>0.31120353795935551</v>
      </c>
      <c r="X8" s="479" t="s">
        <v>410</v>
      </c>
      <c r="Y8" s="480"/>
    </row>
    <row r="9" spans="2:25" ht="15.85" customHeight="1" x14ac:dyDescent="0.5">
      <c r="B9" s="37"/>
      <c r="C9" s="10" t="s">
        <v>74</v>
      </c>
      <c r="D9" s="67">
        <v>10000</v>
      </c>
      <c r="E9" s="1" t="s">
        <v>76</v>
      </c>
      <c r="F9" s="69">
        <v>7.41</v>
      </c>
      <c r="G9" s="66" t="s">
        <v>78</v>
      </c>
      <c r="H9" s="1"/>
      <c r="I9" s="10" t="s">
        <v>73</v>
      </c>
      <c r="J9" s="67">
        <v>90000</v>
      </c>
      <c r="K9" s="1" t="s">
        <v>76</v>
      </c>
      <c r="L9" s="69">
        <f>CalcRet!F25</f>
        <v>9.93</v>
      </c>
      <c r="M9" s="66" t="s">
        <v>78</v>
      </c>
      <c r="N9" s="468">
        <f>L9-F9</f>
        <v>2.5199999999999996</v>
      </c>
      <c r="O9" s="471">
        <f>N9/F9</f>
        <v>0.34008097165991896</v>
      </c>
      <c r="R9" s="377" t="s">
        <v>291</v>
      </c>
      <c r="S9" s="374">
        <v>280000</v>
      </c>
      <c r="T9" s="378">
        <f>F6+3*F7+5*F8+270*F9</f>
        <v>2101.7200000000003</v>
      </c>
      <c r="U9" s="379">
        <f>L41+70*L44+180*L45</f>
        <v>2526.87</v>
      </c>
      <c r="V9" s="379">
        <f>U9-T9</f>
        <v>425.14999999999964</v>
      </c>
      <c r="W9" s="376">
        <f>V9/T9</f>
        <v>0.20228669851359818</v>
      </c>
    </row>
    <row r="10" spans="2:25" ht="15.85" customHeight="1" x14ac:dyDescent="0.5">
      <c r="B10" s="37"/>
      <c r="D10" s="67"/>
      <c r="E10" s="1"/>
      <c r="F10" s="69"/>
      <c r="G10" s="66"/>
      <c r="H10" s="1"/>
      <c r="I10" s="10" t="s">
        <v>74</v>
      </c>
      <c r="J10" s="67">
        <v>100000</v>
      </c>
      <c r="K10" s="1" t="s">
        <v>76</v>
      </c>
      <c r="L10" s="69">
        <f>CalcRet!G25</f>
        <v>7.9599999999999991</v>
      </c>
      <c r="M10" s="66" t="s">
        <v>78</v>
      </c>
      <c r="N10" s="468">
        <f>L10-F9</f>
        <v>0.54999999999999893</v>
      </c>
      <c r="O10" s="471">
        <f>N10/F9</f>
        <v>7.4224021592442499E-2</v>
      </c>
    </row>
    <row r="11" spans="2:25" ht="15.85" customHeight="1" x14ac:dyDescent="0.5">
      <c r="B11" s="37"/>
      <c r="C11" s="7"/>
      <c r="D11" s="1"/>
      <c r="E11" s="1"/>
      <c r="F11" s="1"/>
      <c r="G11" s="66"/>
      <c r="H11" s="1"/>
      <c r="I11" s="10"/>
      <c r="J11" s="1"/>
      <c r="K11" s="1"/>
      <c r="L11" s="1"/>
      <c r="M11" s="66"/>
      <c r="N11" s="1"/>
      <c r="O11" s="471"/>
    </row>
    <row r="12" spans="2:25" ht="15.85" customHeight="1" x14ac:dyDescent="0.5">
      <c r="B12" s="37"/>
      <c r="C12" s="7" t="s">
        <v>99</v>
      </c>
      <c r="D12" s="67"/>
      <c r="E12" s="1"/>
      <c r="F12" s="68"/>
      <c r="G12" s="66"/>
      <c r="H12" s="1"/>
      <c r="I12" s="7" t="s">
        <v>99</v>
      </c>
      <c r="J12" s="1"/>
      <c r="K12" s="1"/>
      <c r="L12" s="1"/>
      <c r="M12" s="66"/>
      <c r="N12" s="1"/>
      <c r="O12" s="471"/>
    </row>
    <row r="13" spans="2:25" ht="15.85" customHeight="1" x14ac:dyDescent="0.5">
      <c r="B13" s="37"/>
      <c r="C13" s="10" t="s">
        <v>72</v>
      </c>
      <c r="D13" s="67">
        <v>2000</v>
      </c>
      <c r="E13" s="1" t="s">
        <v>76</v>
      </c>
      <c r="F13" s="68">
        <v>28.32</v>
      </c>
      <c r="G13" s="66" t="s">
        <v>77</v>
      </c>
      <c r="H13" s="37"/>
      <c r="I13" s="10" t="s">
        <v>72</v>
      </c>
      <c r="J13" s="67">
        <v>2000</v>
      </c>
      <c r="K13" s="1" t="s">
        <v>76</v>
      </c>
      <c r="L13" s="68">
        <f>CalcRet!G40+2*CalcRet!E25</f>
        <v>34.769999999999996</v>
      </c>
      <c r="M13" s="66" t="s">
        <v>77</v>
      </c>
      <c r="N13" s="468">
        <f>L13-F13</f>
        <v>6.4499999999999957</v>
      </c>
      <c r="O13" s="471">
        <f>N13/F13</f>
        <v>0.22775423728813543</v>
      </c>
      <c r="Q13" s="479" t="s">
        <v>410</v>
      </c>
      <c r="R13" s="480"/>
    </row>
    <row r="14" spans="2:25" ht="15.85" customHeight="1" x14ac:dyDescent="0.5">
      <c r="B14" s="37"/>
      <c r="C14" s="10" t="s">
        <v>73</v>
      </c>
      <c r="D14" s="67">
        <v>3000</v>
      </c>
      <c r="E14" s="1" t="s">
        <v>76</v>
      </c>
      <c r="F14" s="69">
        <v>9.85</v>
      </c>
      <c r="G14" s="66" t="s">
        <v>78</v>
      </c>
      <c r="H14" s="37"/>
      <c r="I14" s="10" t="s">
        <v>73</v>
      </c>
      <c r="J14" s="67">
        <v>8000</v>
      </c>
      <c r="K14" s="1" t="s">
        <v>76</v>
      </c>
      <c r="L14" s="69">
        <f>CalcRet!E25</f>
        <v>11.889999999999999</v>
      </c>
      <c r="M14" s="66" t="s">
        <v>78</v>
      </c>
      <c r="N14" s="468">
        <f>L14-F14</f>
        <v>2.0399999999999991</v>
      </c>
      <c r="O14" s="471">
        <f>N14/F14</f>
        <v>0.20710659898477149</v>
      </c>
      <c r="Q14" s="479" t="s">
        <v>410</v>
      </c>
      <c r="R14" s="480"/>
    </row>
    <row r="15" spans="2:25" ht="15.85" customHeight="1" x14ac:dyDescent="0.5">
      <c r="B15" s="37"/>
      <c r="C15" s="10" t="s">
        <v>73</v>
      </c>
      <c r="D15" s="67">
        <v>5000</v>
      </c>
      <c r="E15" s="1" t="s">
        <v>76</v>
      </c>
      <c r="F15" s="69">
        <v>8.6300000000000008</v>
      </c>
      <c r="G15" s="66" t="s">
        <v>78</v>
      </c>
      <c r="H15" s="37"/>
      <c r="I15" s="10"/>
      <c r="J15" s="67"/>
      <c r="K15" s="1"/>
      <c r="L15" s="69"/>
      <c r="M15" s="66"/>
      <c r="N15" s="468"/>
      <c r="O15" s="471"/>
    </row>
    <row r="16" spans="2:25" ht="15.85" customHeight="1" x14ac:dyDescent="0.5">
      <c r="B16" s="37"/>
      <c r="C16" s="10" t="s">
        <v>74</v>
      </c>
      <c r="D16" s="67">
        <v>10000</v>
      </c>
      <c r="E16" s="1" t="s">
        <v>76</v>
      </c>
      <c r="F16" s="69">
        <v>7.41</v>
      </c>
      <c r="G16" s="66" t="s">
        <v>78</v>
      </c>
      <c r="H16" s="37"/>
      <c r="I16" s="10" t="s">
        <v>73</v>
      </c>
      <c r="J16" s="67">
        <v>90000</v>
      </c>
      <c r="K16" s="1" t="s">
        <v>76</v>
      </c>
      <c r="L16" s="69">
        <f>CalcRet!F25</f>
        <v>9.93</v>
      </c>
      <c r="M16" s="66" t="s">
        <v>78</v>
      </c>
      <c r="N16" s="468">
        <f>L16-F16</f>
        <v>2.5199999999999996</v>
      </c>
      <c r="O16" s="471">
        <f>N16/F16</f>
        <v>0.34008097165991896</v>
      </c>
    </row>
    <row r="17" spans="2:17" ht="15.85" customHeight="1" x14ac:dyDescent="0.5">
      <c r="B17" s="37"/>
      <c r="C17" s="7"/>
      <c r="D17" s="1"/>
      <c r="E17" s="1"/>
      <c r="F17" s="1"/>
      <c r="G17" s="66"/>
      <c r="H17" s="1"/>
      <c r="I17" s="10" t="s">
        <v>74</v>
      </c>
      <c r="J17" s="67">
        <v>100000</v>
      </c>
      <c r="K17" s="1" t="s">
        <v>76</v>
      </c>
      <c r="L17" s="69">
        <f>CalcRet!G25</f>
        <v>7.9599999999999991</v>
      </c>
      <c r="M17" s="66" t="s">
        <v>78</v>
      </c>
      <c r="N17" s="468">
        <f>L17-F16</f>
        <v>0.54999999999999893</v>
      </c>
      <c r="O17" s="471">
        <f>N17/F16</f>
        <v>7.4224021592442499E-2</v>
      </c>
    </row>
    <row r="18" spans="2:17" ht="15.85" customHeight="1" x14ac:dyDescent="0.5">
      <c r="B18" s="37"/>
      <c r="C18" s="10"/>
      <c r="D18" s="67"/>
      <c r="E18" s="1"/>
      <c r="F18" s="68"/>
      <c r="G18" s="66"/>
      <c r="H18" s="1"/>
      <c r="I18" s="10"/>
      <c r="J18" s="67"/>
      <c r="K18" s="1"/>
      <c r="L18" s="69"/>
      <c r="M18" s="66"/>
      <c r="N18" s="1"/>
      <c r="O18" s="471"/>
    </row>
    <row r="19" spans="2:17" ht="15.85" customHeight="1" x14ac:dyDescent="0.5">
      <c r="B19" s="37"/>
      <c r="C19" s="7" t="s">
        <v>114</v>
      </c>
      <c r="D19" s="67"/>
      <c r="E19" s="1"/>
      <c r="F19" s="69"/>
      <c r="G19" s="66"/>
      <c r="H19" s="1"/>
      <c r="I19" s="7" t="s">
        <v>114</v>
      </c>
      <c r="J19" s="1"/>
      <c r="K19" s="1"/>
      <c r="L19" s="1"/>
      <c r="M19" s="66"/>
      <c r="N19" s="1"/>
      <c r="O19" s="471"/>
    </row>
    <row r="20" spans="2:17" ht="15.85" customHeight="1" x14ac:dyDescent="0.5">
      <c r="B20" s="37"/>
      <c r="C20" s="10" t="s">
        <v>72</v>
      </c>
      <c r="D20" s="67">
        <v>2000</v>
      </c>
      <c r="E20" s="1" t="s">
        <v>76</v>
      </c>
      <c r="F20" s="68">
        <v>28.32</v>
      </c>
      <c r="G20" s="66" t="s">
        <v>77</v>
      </c>
      <c r="H20" s="1"/>
      <c r="I20" s="10" t="s">
        <v>72</v>
      </c>
      <c r="J20" s="67">
        <v>10000</v>
      </c>
      <c r="K20" s="1" t="s">
        <v>76</v>
      </c>
      <c r="L20" s="68">
        <f>CalcRet!G41+10*CalcRet!E25</f>
        <v>134.22999999999999</v>
      </c>
      <c r="M20" s="66" t="s">
        <v>77</v>
      </c>
      <c r="N20" s="468">
        <f>L20-F20</f>
        <v>105.91</v>
      </c>
      <c r="O20" s="471">
        <f>N20/F20</f>
        <v>3.7397598870056497</v>
      </c>
    </row>
    <row r="21" spans="2:17" ht="15.85" customHeight="1" x14ac:dyDescent="0.5">
      <c r="B21" s="37"/>
      <c r="C21" s="10" t="s">
        <v>73</v>
      </c>
      <c r="D21" s="67">
        <v>3000</v>
      </c>
      <c r="E21" s="1" t="s">
        <v>76</v>
      </c>
      <c r="F21" s="69">
        <v>9.85</v>
      </c>
      <c r="G21" s="66" t="s">
        <v>78</v>
      </c>
      <c r="H21" s="1"/>
      <c r="I21" s="10"/>
      <c r="J21" s="67"/>
      <c r="K21" s="1"/>
      <c r="L21" s="68"/>
      <c r="M21" s="66"/>
      <c r="N21" s="468"/>
      <c r="O21" s="471"/>
    </row>
    <row r="22" spans="2:17" ht="15.85" customHeight="1" x14ac:dyDescent="0.5">
      <c r="B22" s="37"/>
      <c r="C22" s="10" t="s">
        <v>73</v>
      </c>
      <c r="D22" s="67">
        <v>5000</v>
      </c>
      <c r="E22" s="1" t="s">
        <v>76</v>
      </c>
      <c r="F22" s="69">
        <v>8.6300000000000008</v>
      </c>
      <c r="G22" s="66" t="s">
        <v>78</v>
      </c>
      <c r="H22" s="1"/>
      <c r="I22" s="10"/>
      <c r="J22" s="67"/>
      <c r="K22" s="1"/>
      <c r="L22" s="68"/>
      <c r="M22" s="66"/>
      <c r="N22" s="468"/>
      <c r="O22" s="471"/>
    </row>
    <row r="23" spans="2:17" ht="15.85" customHeight="1" x14ac:dyDescent="0.5">
      <c r="B23" s="37"/>
      <c r="C23" s="10" t="s">
        <v>74</v>
      </c>
      <c r="D23" s="67">
        <v>10000</v>
      </c>
      <c r="E23" s="1" t="s">
        <v>76</v>
      </c>
      <c r="F23" s="69">
        <v>7.41</v>
      </c>
      <c r="G23" s="1" t="s">
        <v>78</v>
      </c>
      <c r="H23" s="37"/>
      <c r="I23" s="10" t="s">
        <v>73</v>
      </c>
      <c r="J23" s="67">
        <v>90000</v>
      </c>
      <c r="K23" s="1" t="s">
        <v>76</v>
      </c>
      <c r="L23" s="69">
        <f>CalcRet!$F$25</f>
        <v>9.93</v>
      </c>
      <c r="M23" s="66" t="s">
        <v>78</v>
      </c>
      <c r="N23" s="468">
        <f>L23-F23</f>
        <v>2.5199999999999996</v>
      </c>
      <c r="O23" s="471">
        <f>N23/F23</f>
        <v>0.34008097165991896</v>
      </c>
    </row>
    <row r="24" spans="2:17" ht="15.85" customHeight="1" x14ac:dyDescent="0.5">
      <c r="B24" s="37"/>
      <c r="C24" s="10"/>
      <c r="D24" s="67"/>
      <c r="E24" s="1"/>
      <c r="F24" s="69"/>
      <c r="G24" s="1"/>
      <c r="H24" s="37"/>
      <c r="I24" s="10" t="s">
        <v>74</v>
      </c>
      <c r="J24" s="67">
        <v>100000</v>
      </c>
      <c r="K24" s="1" t="s">
        <v>76</v>
      </c>
      <c r="L24" s="69">
        <f>$L$10</f>
        <v>7.9599999999999991</v>
      </c>
      <c r="M24" s="66" t="s">
        <v>78</v>
      </c>
      <c r="N24" s="468">
        <f>L24-F23</f>
        <v>0.54999999999999893</v>
      </c>
      <c r="O24" s="471">
        <f>N24/F23</f>
        <v>7.4224021592442499E-2</v>
      </c>
    </row>
    <row r="25" spans="2:17" ht="15.85" customHeight="1" x14ac:dyDescent="0.5">
      <c r="B25" s="37"/>
      <c r="C25" s="10"/>
      <c r="D25" s="67"/>
      <c r="E25" s="1"/>
      <c r="F25" s="69"/>
      <c r="G25" s="1"/>
      <c r="H25" s="37"/>
      <c r="I25" s="10"/>
      <c r="J25" s="67"/>
      <c r="K25" s="1"/>
      <c r="L25" s="69"/>
      <c r="M25" s="66"/>
      <c r="N25" s="1"/>
      <c r="O25" s="471"/>
    </row>
    <row r="26" spans="2:17" ht="15.85" customHeight="1" x14ac:dyDescent="0.5">
      <c r="B26" s="37"/>
      <c r="C26" s="7" t="s">
        <v>100</v>
      </c>
      <c r="D26" s="67"/>
      <c r="E26" s="1"/>
      <c r="F26" s="69"/>
      <c r="G26" s="1"/>
      <c r="H26" s="37"/>
      <c r="I26" s="7" t="s">
        <v>100</v>
      </c>
      <c r="J26" s="1"/>
      <c r="K26" s="1"/>
      <c r="L26" s="1"/>
      <c r="M26" s="66"/>
      <c r="N26" s="1"/>
      <c r="O26" s="471"/>
    </row>
    <row r="27" spans="2:17" ht="15.85" customHeight="1" x14ac:dyDescent="0.5">
      <c r="B27" s="37"/>
      <c r="C27" s="10" t="s">
        <v>72</v>
      </c>
      <c r="D27" s="67">
        <v>2000</v>
      </c>
      <c r="E27" s="1" t="s">
        <v>76</v>
      </c>
      <c r="F27" s="68">
        <v>28.32</v>
      </c>
      <c r="G27" s="1" t="s">
        <v>77</v>
      </c>
      <c r="H27" s="37"/>
      <c r="I27" s="10" t="s">
        <v>72</v>
      </c>
      <c r="J27" s="67">
        <v>15000</v>
      </c>
      <c r="K27" s="1" t="s">
        <v>76</v>
      </c>
      <c r="L27" s="68">
        <f>CalcRet!G42+10*CalcRet!E25+5*CalcRet!F25</f>
        <v>189.84</v>
      </c>
      <c r="M27" s="66" t="s">
        <v>77</v>
      </c>
      <c r="N27" s="468">
        <f>L27-F27</f>
        <v>161.52000000000001</v>
      </c>
      <c r="O27" s="471">
        <f>N27/F27</f>
        <v>5.7033898305084749</v>
      </c>
    </row>
    <row r="28" spans="2:17" ht="15.85" customHeight="1" x14ac:dyDescent="0.5">
      <c r="B28" s="37"/>
      <c r="C28" s="10" t="s">
        <v>73</v>
      </c>
      <c r="D28" s="67">
        <v>3000</v>
      </c>
      <c r="E28" s="1" t="s">
        <v>76</v>
      </c>
      <c r="F28" s="69">
        <v>9.85</v>
      </c>
      <c r="G28" s="1" t="s">
        <v>78</v>
      </c>
      <c r="H28" s="37"/>
      <c r="I28" s="10"/>
      <c r="J28" s="67"/>
      <c r="K28" s="1"/>
      <c r="L28" s="68"/>
      <c r="M28" s="66"/>
      <c r="N28" s="468"/>
      <c r="O28" s="471"/>
    </row>
    <row r="29" spans="2:17" ht="15.85" customHeight="1" x14ac:dyDescent="0.5">
      <c r="B29" s="37"/>
      <c r="C29" s="10" t="s">
        <v>73</v>
      </c>
      <c r="D29" s="67">
        <v>5000</v>
      </c>
      <c r="E29" s="1" t="s">
        <v>76</v>
      </c>
      <c r="F29" s="69">
        <v>8.6300000000000008</v>
      </c>
      <c r="G29" s="1" t="s">
        <v>78</v>
      </c>
      <c r="H29" s="37"/>
      <c r="I29" s="10"/>
      <c r="J29" s="67"/>
      <c r="K29" s="1"/>
      <c r="L29" s="68"/>
      <c r="M29" s="66"/>
      <c r="N29" s="468"/>
      <c r="O29" s="471"/>
      <c r="Q29" s="91"/>
    </row>
    <row r="30" spans="2:17" ht="15.85" customHeight="1" x14ac:dyDescent="0.5">
      <c r="B30" s="37"/>
      <c r="C30" s="10" t="s">
        <v>74</v>
      </c>
      <c r="D30" s="67">
        <v>10000</v>
      </c>
      <c r="E30" s="1" t="s">
        <v>76</v>
      </c>
      <c r="F30" s="69">
        <v>7.41</v>
      </c>
      <c r="G30" s="1" t="s">
        <v>78</v>
      </c>
      <c r="H30" s="37"/>
      <c r="I30" s="10" t="s">
        <v>73</v>
      </c>
      <c r="J30" s="67">
        <v>85000</v>
      </c>
      <c r="K30" s="1" t="s">
        <v>76</v>
      </c>
      <c r="L30" s="69">
        <f>CalcRet!$F$25</f>
        <v>9.93</v>
      </c>
      <c r="M30" s="66" t="s">
        <v>78</v>
      </c>
      <c r="N30" s="468">
        <f>L30-F30</f>
        <v>2.5199999999999996</v>
      </c>
      <c r="O30" s="471">
        <f>N30/F30</f>
        <v>0.34008097165991896</v>
      </c>
    </row>
    <row r="31" spans="2:17" ht="15.85" customHeight="1" x14ac:dyDescent="0.5">
      <c r="B31" s="37"/>
      <c r="C31" s="10"/>
      <c r="D31" s="67"/>
      <c r="E31" s="1"/>
      <c r="F31" s="69"/>
      <c r="G31" s="1"/>
      <c r="H31" s="37"/>
      <c r="I31" s="10" t="s">
        <v>74</v>
      </c>
      <c r="J31" s="67">
        <v>100000</v>
      </c>
      <c r="K31" s="1" t="s">
        <v>76</v>
      </c>
      <c r="L31" s="69">
        <f>$L$10</f>
        <v>7.9599999999999991</v>
      </c>
      <c r="M31" s="66" t="s">
        <v>78</v>
      </c>
      <c r="N31" s="468">
        <f>L31-F30</f>
        <v>0.54999999999999893</v>
      </c>
      <c r="O31" s="471">
        <f>N31/F30</f>
        <v>7.4224021592442499E-2</v>
      </c>
    </row>
    <row r="32" spans="2:17" ht="15.85" customHeight="1" x14ac:dyDescent="0.5">
      <c r="B32" s="37"/>
      <c r="H32" s="37"/>
      <c r="I32" s="10"/>
      <c r="J32" s="67"/>
      <c r="K32" s="1"/>
      <c r="L32" s="69"/>
      <c r="M32" s="66"/>
      <c r="N32" s="1"/>
      <c r="O32" s="471"/>
    </row>
    <row r="33" spans="2:20" ht="15.85" customHeight="1" x14ac:dyDescent="0.5">
      <c r="B33" s="37"/>
      <c r="C33" s="7" t="s">
        <v>115</v>
      </c>
      <c r="D33" s="1"/>
      <c r="E33" s="1"/>
      <c r="F33" s="1"/>
      <c r="G33" s="1"/>
      <c r="H33" s="37"/>
      <c r="I33" s="7" t="s">
        <v>115</v>
      </c>
      <c r="J33" s="1"/>
      <c r="K33" s="1"/>
      <c r="L33" s="1"/>
      <c r="M33" s="66"/>
      <c r="N33" s="1"/>
      <c r="O33" s="471"/>
    </row>
    <row r="34" spans="2:20" ht="15.85" customHeight="1" x14ac:dyDescent="0.5">
      <c r="B34" s="37"/>
      <c r="C34" s="10" t="s">
        <v>72</v>
      </c>
      <c r="D34" s="67">
        <v>2000</v>
      </c>
      <c r="E34" s="1" t="s">
        <v>76</v>
      </c>
      <c r="F34" s="68">
        <v>28.32</v>
      </c>
      <c r="G34" s="1" t="s">
        <v>77</v>
      </c>
      <c r="H34" s="37"/>
      <c r="I34" s="10" t="s">
        <v>72</v>
      </c>
      <c r="J34" s="67">
        <v>20000</v>
      </c>
      <c r="K34" s="1" t="s">
        <v>76</v>
      </c>
      <c r="L34" s="68">
        <f>CalcRet!G43+10*CalcRet!E25+10*CalcRet!F25</f>
        <v>283.39999999999998</v>
      </c>
      <c r="M34" s="66" t="s">
        <v>77</v>
      </c>
      <c r="N34" s="468">
        <f>L34-F34</f>
        <v>255.07999999999998</v>
      </c>
      <c r="O34" s="471">
        <f>N34/F34</f>
        <v>9.0070621468926539</v>
      </c>
    </row>
    <row r="35" spans="2:20" ht="15.85" customHeight="1" x14ac:dyDescent="0.5">
      <c r="B35" s="37"/>
      <c r="C35" s="10" t="s">
        <v>73</v>
      </c>
      <c r="D35" s="67">
        <v>3000</v>
      </c>
      <c r="E35" s="1" t="s">
        <v>76</v>
      </c>
      <c r="F35" s="69">
        <v>9.85</v>
      </c>
      <c r="G35" s="1" t="s">
        <v>78</v>
      </c>
      <c r="H35" s="37"/>
      <c r="I35" s="10"/>
      <c r="J35" s="67"/>
      <c r="K35" s="1"/>
      <c r="L35" s="68"/>
      <c r="M35" s="66"/>
      <c r="N35" s="468"/>
      <c r="O35" s="471"/>
    </row>
    <row r="36" spans="2:20" ht="15.85" customHeight="1" x14ac:dyDescent="0.5">
      <c r="B36" s="37"/>
      <c r="C36" s="10" t="s">
        <v>73</v>
      </c>
      <c r="D36" s="67">
        <v>5000</v>
      </c>
      <c r="E36" s="1" t="s">
        <v>76</v>
      </c>
      <c r="F36" s="69">
        <v>8.6300000000000008</v>
      </c>
      <c r="G36" s="1" t="s">
        <v>78</v>
      </c>
      <c r="H36" s="37"/>
      <c r="I36" s="10"/>
      <c r="J36" s="67"/>
      <c r="K36" s="1"/>
      <c r="L36" s="68"/>
      <c r="M36" s="66"/>
      <c r="N36" s="468"/>
      <c r="O36" s="471"/>
    </row>
    <row r="37" spans="2:20" ht="15.85" customHeight="1" x14ac:dyDescent="0.5">
      <c r="B37" s="37"/>
      <c r="C37" s="10" t="s">
        <v>74</v>
      </c>
      <c r="D37" s="67">
        <v>10000</v>
      </c>
      <c r="E37" s="1" t="s">
        <v>76</v>
      </c>
      <c r="F37" s="69">
        <v>7.41</v>
      </c>
      <c r="G37" s="1" t="s">
        <v>78</v>
      </c>
      <c r="H37" s="37"/>
      <c r="I37" s="10" t="s">
        <v>73</v>
      </c>
      <c r="J37" s="67">
        <v>80000</v>
      </c>
      <c r="K37" s="1" t="s">
        <v>76</v>
      </c>
      <c r="L37" s="69">
        <f>CalcRet!$F$25</f>
        <v>9.93</v>
      </c>
      <c r="M37" s="66" t="s">
        <v>78</v>
      </c>
      <c r="N37" s="468">
        <f>L37-F37</f>
        <v>2.5199999999999996</v>
      </c>
      <c r="O37" s="471">
        <f>N37/F37</f>
        <v>0.34008097165991896</v>
      </c>
    </row>
    <row r="38" spans="2:20" ht="15.85" customHeight="1" x14ac:dyDescent="0.5">
      <c r="B38" s="37"/>
      <c r="C38" s="10"/>
      <c r="D38" s="67"/>
      <c r="E38" s="1"/>
      <c r="F38" s="69"/>
      <c r="G38" s="1"/>
      <c r="H38" s="37"/>
      <c r="I38" s="10" t="s">
        <v>74</v>
      </c>
      <c r="J38" s="67">
        <v>100000</v>
      </c>
      <c r="K38" s="1" t="s">
        <v>76</v>
      </c>
      <c r="L38" s="69">
        <f>$L$10</f>
        <v>7.9599999999999991</v>
      </c>
      <c r="M38" s="66" t="s">
        <v>78</v>
      </c>
      <c r="N38" s="468">
        <f>L38-F37</f>
        <v>0.54999999999999893</v>
      </c>
      <c r="O38" s="471">
        <f>N38/F37</f>
        <v>7.4224021592442499E-2</v>
      </c>
    </row>
    <row r="39" spans="2:20" ht="15.85" customHeight="1" x14ac:dyDescent="0.5">
      <c r="B39" s="37"/>
      <c r="C39" s="67"/>
      <c r="D39" s="1"/>
      <c r="E39" s="1"/>
      <c r="F39" s="1"/>
      <c r="G39" s="1"/>
      <c r="H39" s="37"/>
      <c r="I39" s="10"/>
      <c r="J39" s="67"/>
      <c r="K39" s="1"/>
      <c r="L39" s="69"/>
      <c r="M39" s="66"/>
      <c r="N39" s="1"/>
      <c r="O39" s="471"/>
      <c r="Q39" s="27"/>
      <c r="R39" s="87"/>
      <c r="S39" s="87"/>
      <c r="T39" s="73"/>
    </row>
    <row r="40" spans="2:20" ht="15.85" customHeight="1" x14ac:dyDescent="0.5">
      <c r="B40" s="61"/>
      <c r="C40" s="7" t="s">
        <v>243</v>
      </c>
      <c r="H40" s="37"/>
      <c r="I40" s="7" t="s">
        <v>243</v>
      </c>
      <c r="J40" s="67"/>
      <c r="K40" s="1"/>
      <c r="L40" s="1"/>
      <c r="M40" s="66"/>
      <c r="O40" s="472"/>
      <c r="Q40" s="27"/>
      <c r="R40" s="87"/>
      <c r="S40" s="87"/>
      <c r="T40" s="73"/>
    </row>
    <row r="41" spans="2:20" x14ac:dyDescent="0.5">
      <c r="B41" s="61"/>
      <c r="C41" s="10" t="s">
        <v>72</v>
      </c>
      <c r="D41" s="67">
        <v>2000</v>
      </c>
      <c r="E41" s="1" t="s">
        <v>76</v>
      </c>
      <c r="F41" s="68">
        <v>28.32</v>
      </c>
      <c r="G41" s="66" t="s">
        <v>77</v>
      </c>
      <c r="I41" s="10" t="s">
        <v>72</v>
      </c>
      <c r="J41" s="67">
        <v>30000</v>
      </c>
      <c r="K41" s="1" t="s">
        <v>76</v>
      </c>
      <c r="L41" s="68">
        <f>CalcRet!G44+10*CalcRet!E25+20*CalcRet!F25</f>
        <v>398.97</v>
      </c>
      <c r="M41" s="66" t="s">
        <v>77</v>
      </c>
      <c r="N41" s="468">
        <f>L41-F41</f>
        <v>370.65000000000003</v>
      </c>
      <c r="O41" s="471">
        <f>N41/F41</f>
        <v>13.087923728813561</v>
      </c>
      <c r="P41" s="60"/>
      <c r="Q41" s="27"/>
      <c r="R41" s="87"/>
      <c r="S41" s="87"/>
      <c r="T41" s="73"/>
    </row>
    <row r="42" spans="2:20" x14ac:dyDescent="0.5">
      <c r="B42" s="61"/>
      <c r="C42" s="10" t="s">
        <v>73</v>
      </c>
      <c r="D42" s="67">
        <v>3000</v>
      </c>
      <c r="E42" s="1" t="s">
        <v>76</v>
      </c>
      <c r="F42" s="69">
        <v>9.85</v>
      </c>
      <c r="G42" s="66" t="s">
        <v>78</v>
      </c>
      <c r="I42" s="10"/>
      <c r="J42" s="67"/>
      <c r="K42" s="1"/>
      <c r="L42" s="68"/>
      <c r="M42" s="66"/>
      <c r="N42" s="468"/>
      <c r="O42" s="471"/>
    </row>
    <row r="43" spans="2:20" x14ac:dyDescent="0.5">
      <c r="B43" s="61"/>
      <c r="C43" s="10" t="s">
        <v>73</v>
      </c>
      <c r="D43" s="67">
        <v>5000</v>
      </c>
      <c r="E43" s="1" t="s">
        <v>76</v>
      </c>
      <c r="F43" s="69">
        <v>8.6300000000000008</v>
      </c>
      <c r="G43" s="66" t="s">
        <v>78</v>
      </c>
      <c r="I43" s="10"/>
      <c r="J43" s="67"/>
      <c r="K43" s="1"/>
      <c r="L43" s="68"/>
      <c r="M43" s="66"/>
      <c r="N43" s="468"/>
      <c r="O43" s="471"/>
    </row>
    <row r="44" spans="2:20" x14ac:dyDescent="0.5">
      <c r="B44" s="61"/>
      <c r="C44" s="10" t="s">
        <v>74</v>
      </c>
      <c r="D44" s="67">
        <v>10000</v>
      </c>
      <c r="E44" s="1" t="s">
        <v>76</v>
      </c>
      <c r="F44" s="69">
        <v>7.41</v>
      </c>
      <c r="G44" s="1" t="s">
        <v>78</v>
      </c>
      <c r="H44" s="61"/>
      <c r="I44" s="10" t="s">
        <v>73</v>
      </c>
      <c r="J44" s="67">
        <v>70000</v>
      </c>
      <c r="K44" s="1" t="s">
        <v>76</v>
      </c>
      <c r="L44" s="69">
        <f>CalcRet!$F$25</f>
        <v>9.93</v>
      </c>
      <c r="M44" s="66" t="s">
        <v>78</v>
      </c>
      <c r="N44" s="468">
        <f>L44-F44</f>
        <v>2.5199999999999996</v>
      </c>
      <c r="O44" s="471">
        <f>N44/F44</f>
        <v>0.34008097165991896</v>
      </c>
    </row>
    <row r="45" spans="2:20" x14ac:dyDescent="0.5">
      <c r="B45" s="61"/>
      <c r="H45" s="61"/>
      <c r="I45" s="10" t="s">
        <v>74</v>
      </c>
      <c r="J45" s="67">
        <v>100000</v>
      </c>
      <c r="K45" s="1" t="s">
        <v>76</v>
      </c>
      <c r="L45" s="69">
        <f>$L$10</f>
        <v>7.9599999999999991</v>
      </c>
      <c r="M45" s="66" t="s">
        <v>78</v>
      </c>
      <c r="N45" s="468">
        <f>L45-F44</f>
        <v>0.54999999999999893</v>
      </c>
      <c r="O45" s="471">
        <f>N45/F44</f>
        <v>7.4224021592442499E-2</v>
      </c>
    </row>
    <row r="46" spans="2:20" x14ac:dyDescent="0.5">
      <c r="B46" s="61"/>
      <c r="H46" s="61"/>
      <c r="I46" s="10"/>
      <c r="J46" s="67"/>
      <c r="K46" s="1"/>
      <c r="L46" s="69"/>
      <c r="M46" s="66"/>
      <c r="O46" s="472"/>
    </row>
    <row r="47" spans="2:20" ht="17.649999999999999" x14ac:dyDescent="0.75">
      <c r="B47" s="61"/>
      <c r="C47" s="501" t="s">
        <v>317</v>
      </c>
      <c r="D47" s="501"/>
      <c r="E47" s="501"/>
      <c r="F47" s="501"/>
      <c r="H47" s="61"/>
      <c r="I47" s="501" t="s">
        <v>317</v>
      </c>
      <c r="J47" s="501"/>
      <c r="K47" s="501"/>
      <c r="L47" s="501"/>
      <c r="M47" s="380"/>
      <c r="O47" s="472"/>
    </row>
    <row r="48" spans="2:20" x14ac:dyDescent="0.5">
      <c r="B48" s="61"/>
      <c r="C48" s="90"/>
      <c r="D48" s="68">
        <f>0</f>
        <v>0</v>
      </c>
      <c r="E48" s="380" t="s">
        <v>318</v>
      </c>
      <c r="H48" s="61"/>
      <c r="I48" s="90"/>
      <c r="J48" s="68">
        <f>SAO!G71</f>
        <v>3.5862175407633177</v>
      </c>
      <c r="K48" s="380" t="s">
        <v>318</v>
      </c>
      <c r="M48" s="381"/>
      <c r="N48" s="468">
        <f>L48-F47</f>
        <v>0</v>
      </c>
      <c r="O48" s="471">
        <v>1</v>
      </c>
    </row>
    <row r="49" spans="2:15" x14ac:dyDescent="0.5">
      <c r="B49" s="63"/>
      <c r="C49" s="470"/>
      <c r="D49" s="470"/>
      <c r="E49" s="470"/>
      <c r="F49" s="470"/>
      <c r="G49" s="470"/>
      <c r="H49" s="63"/>
      <c r="I49" s="17"/>
      <c r="J49" s="17"/>
      <c r="K49" s="17"/>
      <c r="L49" s="17"/>
      <c r="M49" s="71"/>
      <c r="N49" s="63"/>
      <c r="O49" s="473"/>
    </row>
  </sheetData>
  <mergeCells count="5">
    <mergeCell ref="N3:O3"/>
    <mergeCell ref="C47:F47"/>
    <mergeCell ref="I47:L47"/>
    <mergeCell ref="C3:G3"/>
    <mergeCell ref="I3:M3"/>
  </mergeCells>
  <printOptions horizontalCentered="1"/>
  <pageMargins left="0.8" right="0.55000000000000004" top="0.95" bottom="0.5" header="0" footer="0"/>
  <pageSetup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6E309-00D9-440E-A682-5DB0B5525A0B}">
  <dimension ref="A1:L35"/>
  <sheetViews>
    <sheetView showGridLines="0" workbookViewId="0">
      <selection activeCell="B1" sqref="B1:I31"/>
    </sheetView>
  </sheetViews>
  <sheetFormatPr defaultRowHeight="15" x14ac:dyDescent="0.4"/>
  <cols>
    <col min="1" max="1" width="9" customWidth="1"/>
    <col min="2" max="2" width="1.77734375" customWidth="1"/>
    <col min="3" max="4" width="9.77734375" customWidth="1"/>
    <col min="5" max="5" width="11" customWidth="1"/>
    <col min="6" max="7" width="9.77734375" customWidth="1"/>
    <col min="9" max="9" width="1.77734375" customWidth="1"/>
  </cols>
  <sheetData>
    <row r="1" spans="1:9" ht="15.4" x14ac:dyDescent="0.45">
      <c r="A1" s="29"/>
      <c r="B1" s="29"/>
      <c r="C1" s="29"/>
      <c r="D1" s="29"/>
      <c r="E1" s="29"/>
      <c r="F1" s="29"/>
      <c r="G1" s="29"/>
      <c r="H1" s="29"/>
      <c r="I1" s="29"/>
    </row>
    <row r="2" spans="1:9" ht="15.4" x14ac:dyDescent="0.45">
      <c r="A2" s="12"/>
      <c r="B2" s="53"/>
      <c r="C2" s="54"/>
      <c r="D2" s="54"/>
      <c r="E2" s="54"/>
      <c r="F2" s="54"/>
      <c r="G2" s="54"/>
      <c r="H2" s="338"/>
      <c r="I2" s="385"/>
    </row>
    <row r="3" spans="1:9" ht="18" x14ac:dyDescent="0.55000000000000004">
      <c r="A3" s="12"/>
      <c r="B3" s="56"/>
      <c r="C3" s="508" t="s">
        <v>353</v>
      </c>
      <c r="D3" s="508"/>
      <c r="E3" s="508"/>
      <c r="F3" s="508"/>
      <c r="G3" s="508"/>
      <c r="H3" s="508"/>
      <c r="I3" s="210"/>
    </row>
    <row r="4" spans="1:9" ht="18" x14ac:dyDescent="0.55000000000000004">
      <c r="A4" s="12"/>
      <c r="B4" s="56"/>
      <c r="C4" s="502" t="s">
        <v>308</v>
      </c>
      <c r="D4" s="502"/>
      <c r="E4" s="502"/>
      <c r="F4" s="502"/>
      <c r="G4" s="502"/>
      <c r="H4" s="502"/>
      <c r="I4" s="210"/>
    </row>
    <row r="5" spans="1:9" ht="15.75" x14ac:dyDescent="0.5">
      <c r="A5" s="12"/>
      <c r="B5" s="56"/>
      <c r="C5" s="509" t="s">
        <v>252</v>
      </c>
      <c r="D5" s="509"/>
      <c r="E5" s="509"/>
      <c r="F5" s="509"/>
      <c r="G5" s="509"/>
      <c r="H5" s="509"/>
      <c r="I5" s="210"/>
    </row>
    <row r="6" spans="1:9" ht="15.4" x14ac:dyDescent="0.45">
      <c r="A6" s="12"/>
      <c r="B6" s="56"/>
      <c r="C6" s="50"/>
      <c r="D6" s="50"/>
      <c r="E6" s="50"/>
      <c r="F6" s="50"/>
      <c r="G6" s="50"/>
      <c r="H6" s="169"/>
      <c r="I6" s="210"/>
    </row>
    <row r="7" spans="1:9" ht="15.75" x14ac:dyDescent="0.45">
      <c r="A7" s="12"/>
      <c r="B7" s="56"/>
      <c r="C7" s="50"/>
      <c r="D7" s="50"/>
      <c r="E7" s="171"/>
      <c r="F7" s="171"/>
      <c r="G7" s="171"/>
      <c r="H7" s="169"/>
      <c r="I7" s="210"/>
    </row>
    <row r="8" spans="1:9" ht="17.649999999999999" x14ac:dyDescent="0.75">
      <c r="A8" s="12"/>
      <c r="B8" s="56"/>
      <c r="C8" s="206" t="s">
        <v>79</v>
      </c>
      <c r="D8" s="206" t="s">
        <v>212</v>
      </c>
      <c r="E8" s="206" t="s">
        <v>309</v>
      </c>
      <c r="F8" s="206" t="s">
        <v>112</v>
      </c>
      <c r="G8" s="187"/>
      <c r="H8" s="344"/>
      <c r="I8" s="386"/>
    </row>
    <row r="9" spans="1:9" ht="17.649999999999999" x14ac:dyDescent="0.75">
      <c r="A9" s="12"/>
      <c r="B9" s="56"/>
      <c r="C9" s="187" t="s">
        <v>310</v>
      </c>
      <c r="D9" s="187" t="s">
        <v>124</v>
      </c>
      <c r="E9" s="187" t="s">
        <v>80</v>
      </c>
      <c r="F9" s="187" t="s">
        <v>313</v>
      </c>
      <c r="G9" s="187" t="s">
        <v>311</v>
      </c>
      <c r="H9" s="387" t="s">
        <v>316</v>
      </c>
      <c r="I9" s="386"/>
    </row>
    <row r="10" spans="1:9" ht="15.4" x14ac:dyDescent="0.45">
      <c r="A10" s="12"/>
      <c r="B10" s="56"/>
      <c r="C10" s="50">
        <v>2000</v>
      </c>
      <c r="D10" s="382" t="s">
        <v>206</v>
      </c>
      <c r="E10" s="367">
        <f>Rates!F12</f>
        <v>28.32</v>
      </c>
      <c r="F10" s="367">
        <f>Rates!L12</f>
        <v>34.769999999999996</v>
      </c>
      <c r="G10" s="181">
        <f>F10-E10</f>
        <v>6.4499999999999957</v>
      </c>
      <c r="H10" s="383">
        <f>G10/E10</f>
        <v>0.22775423728813543</v>
      </c>
      <c r="I10" s="210"/>
    </row>
    <row r="11" spans="1:9" ht="15.4" x14ac:dyDescent="0.45">
      <c r="A11" s="12"/>
      <c r="B11" s="56"/>
      <c r="C11" s="368">
        <v>4000</v>
      </c>
      <c r="D11" s="384" t="s">
        <v>206</v>
      </c>
      <c r="E11" s="369">
        <f>Rates!F12+2*Rates!F13</f>
        <v>48.019999999999996</v>
      </c>
      <c r="F11" s="369">
        <f>F10+2*Rates!L13</f>
        <v>58.55</v>
      </c>
      <c r="G11" s="369">
        <f t="shared" ref="G11:G26" si="0">F11-E11</f>
        <v>10.530000000000001</v>
      </c>
      <c r="H11" s="390">
        <f t="shared" ref="H11:H26" si="1">G11/E11</f>
        <v>0.21928363182007501</v>
      </c>
      <c r="I11" s="210"/>
    </row>
    <row r="12" spans="1:9" ht="15.4" x14ac:dyDescent="0.45">
      <c r="A12" s="12"/>
      <c r="B12" s="56"/>
      <c r="C12" s="50">
        <v>6000</v>
      </c>
      <c r="D12" s="382" t="s">
        <v>206</v>
      </c>
      <c r="E12" s="169">
        <f>E11+Rates!F13+Rates!F14</f>
        <v>66.5</v>
      </c>
      <c r="F12" s="169">
        <f>F11+2*Rates!L13</f>
        <v>82.33</v>
      </c>
      <c r="G12" s="169">
        <f t="shared" si="0"/>
        <v>15.829999999999998</v>
      </c>
      <c r="H12" s="383">
        <f t="shared" si="1"/>
        <v>0.23804511278195487</v>
      </c>
      <c r="I12" s="210"/>
    </row>
    <row r="13" spans="1:9" ht="15.4" x14ac:dyDescent="0.45">
      <c r="A13" s="12"/>
      <c r="B13" s="56"/>
      <c r="C13" s="50">
        <v>8000</v>
      </c>
      <c r="D13" s="382" t="s">
        <v>206</v>
      </c>
      <c r="E13" s="169">
        <f>E12+2*Rates!F14</f>
        <v>83.76</v>
      </c>
      <c r="F13" s="169">
        <f>F12+2*Rates!L13</f>
        <v>106.11</v>
      </c>
      <c r="G13" s="169">
        <f t="shared" si="0"/>
        <v>22.349999999999994</v>
      </c>
      <c r="H13" s="383">
        <f t="shared" si="1"/>
        <v>0.26683381088825209</v>
      </c>
      <c r="I13" s="210"/>
    </row>
    <row r="14" spans="1:9" ht="15.4" x14ac:dyDescent="0.45">
      <c r="A14" s="12"/>
      <c r="B14" s="56"/>
      <c r="C14" s="50">
        <v>10000</v>
      </c>
      <c r="D14" s="382" t="s">
        <v>206</v>
      </c>
      <c r="E14" s="169">
        <f>E13+2*Rates!F14</f>
        <v>101.02000000000001</v>
      </c>
      <c r="F14" s="169">
        <f>F13+2*Rates!L13</f>
        <v>129.88999999999999</v>
      </c>
      <c r="G14" s="169">
        <f t="shared" si="0"/>
        <v>28.869999999999976</v>
      </c>
      <c r="H14" s="383">
        <f t="shared" si="1"/>
        <v>0.28578499307067878</v>
      </c>
      <c r="I14" s="210"/>
    </row>
    <row r="15" spans="1:9" ht="15.4" x14ac:dyDescent="0.45">
      <c r="A15" s="12"/>
      <c r="B15" s="56"/>
      <c r="C15" s="50">
        <v>20000</v>
      </c>
      <c r="D15" s="382" t="s">
        <v>206</v>
      </c>
      <c r="E15" s="169">
        <f>E14+10*Rates!F15</f>
        <v>175.12</v>
      </c>
      <c r="F15" s="169">
        <f>F14+10*Rates!L14</f>
        <v>229.19</v>
      </c>
      <c r="G15" s="169">
        <f t="shared" si="0"/>
        <v>54.069999999999993</v>
      </c>
      <c r="H15" s="383">
        <f t="shared" si="1"/>
        <v>0.3087597076290543</v>
      </c>
      <c r="I15" s="210"/>
    </row>
    <row r="16" spans="1:9" ht="7.05" customHeight="1" x14ac:dyDescent="0.45">
      <c r="A16" s="12"/>
      <c r="B16" s="56"/>
      <c r="C16" s="50"/>
      <c r="D16" s="382"/>
      <c r="E16" s="169"/>
      <c r="F16" s="169"/>
      <c r="G16" s="169"/>
      <c r="H16" s="383"/>
      <c r="I16" s="210"/>
    </row>
    <row r="17" spans="1:12" ht="15.4" x14ac:dyDescent="0.45">
      <c r="A17" s="12"/>
      <c r="B17" s="56"/>
      <c r="C17" s="50">
        <v>2000</v>
      </c>
      <c r="D17" s="2" t="s">
        <v>207</v>
      </c>
      <c r="E17" s="169">
        <f>Rates!F12</f>
        <v>28.32</v>
      </c>
      <c r="F17" s="169">
        <f>Rates!L18</f>
        <v>34.769999999999996</v>
      </c>
      <c r="G17" s="169">
        <f t="shared" si="0"/>
        <v>6.4499999999999957</v>
      </c>
      <c r="H17" s="383">
        <f t="shared" si="1"/>
        <v>0.22775423728813543</v>
      </c>
      <c r="I17" s="210"/>
      <c r="K17" s="481" t="s">
        <v>410</v>
      </c>
      <c r="L17" s="481"/>
    </row>
    <row r="18" spans="1:12" ht="15.4" x14ac:dyDescent="0.45">
      <c r="A18" s="12"/>
      <c r="B18" s="56"/>
      <c r="C18" s="50">
        <v>5000</v>
      </c>
      <c r="D18" s="2" t="s">
        <v>207</v>
      </c>
      <c r="E18" s="169">
        <f>Rates!F12+3*Rates!F13</f>
        <v>57.87</v>
      </c>
      <c r="F18" s="169">
        <f>Rates!L12+3*Rates!L13</f>
        <v>70.44</v>
      </c>
      <c r="G18" s="169">
        <f t="shared" si="0"/>
        <v>12.57</v>
      </c>
      <c r="H18" s="383">
        <f t="shared" si="1"/>
        <v>0.21721099015033699</v>
      </c>
      <c r="I18" s="210"/>
      <c r="K18" s="481" t="s">
        <v>410</v>
      </c>
      <c r="L18" s="481"/>
    </row>
    <row r="19" spans="1:12" ht="15.4" x14ac:dyDescent="0.45">
      <c r="A19" s="12"/>
      <c r="B19" s="56"/>
      <c r="C19" s="50">
        <v>10000</v>
      </c>
      <c r="D19" s="2" t="s">
        <v>207</v>
      </c>
      <c r="E19" s="169">
        <f>E18+5*Rates!F14</f>
        <v>101.02000000000001</v>
      </c>
      <c r="F19" s="169">
        <f>Rates!L18+8*Rates!L19</f>
        <v>129.88999999999999</v>
      </c>
      <c r="G19" s="169">
        <f t="shared" si="0"/>
        <v>28.869999999999976</v>
      </c>
      <c r="H19" s="383">
        <f t="shared" si="1"/>
        <v>0.28578499307067878</v>
      </c>
      <c r="I19" s="210"/>
      <c r="K19" s="481" t="s">
        <v>410</v>
      </c>
      <c r="L19" s="481"/>
    </row>
    <row r="20" spans="1:12" ht="15.4" x14ac:dyDescent="0.45">
      <c r="A20" s="12"/>
      <c r="B20" s="56"/>
      <c r="C20" s="368">
        <v>22000</v>
      </c>
      <c r="D20" s="384" t="s">
        <v>207</v>
      </c>
      <c r="E20" s="369">
        <f>E19+12*Rates!F15</f>
        <v>189.94</v>
      </c>
      <c r="F20" s="369">
        <f>F19+12*Rates!L20</f>
        <v>249.04999999999998</v>
      </c>
      <c r="G20" s="369">
        <f t="shared" si="0"/>
        <v>59.109999999999985</v>
      </c>
      <c r="H20" s="390">
        <f t="shared" si="1"/>
        <v>0.31120353795935551</v>
      </c>
      <c r="I20" s="210"/>
      <c r="K20" s="481" t="s">
        <v>410</v>
      </c>
      <c r="L20" s="481"/>
    </row>
    <row r="21" spans="1:12" ht="15.4" x14ac:dyDescent="0.45">
      <c r="A21" s="12"/>
      <c r="B21" s="56"/>
      <c r="C21" s="50">
        <v>50000</v>
      </c>
      <c r="D21" s="2" t="s">
        <v>207</v>
      </c>
      <c r="E21" s="169">
        <f>E20+28*Rates!F15</f>
        <v>397.42</v>
      </c>
      <c r="F21" s="169">
        <f>F20+28*Rates!L20</f>
        <v>527.08999999999992</v>
      </c>
      <c r="G21" s="169">
        <f t="shared" si="0"/>
        <v>129.6699999999999</v>
      </c>
      <c r="H21" s="383">
        <f t="shared" si="1"/>
        <v>0.32627950279301471</v>
      </c>
      <c r="I21" s="210"/>
      <c r="K21" s="481" t="s">
        <v>410</v>
      </c>
      <c r="L21" s="481"/>
    </row>
    <row r="22" spans="1:12" ht="7.05" customHeight="1" x14ac:dyDescent="0.45">
      <c r="A22" s="12"/>
      <c r="B22" s="56"/>
      <c r="C22" s="50"/>
      <c r="D22" s="2"/>
      <c r="E22" s="169"/>
      <c r="F22" s="169"/>
      <c r="G22" s="169"/>
      <c r="H22" s="383"/>
      <c r="I22" s="210"/>
    </row>
    <row r="23" spans="1:12" ht="15.4" x14ac:dyDescent="0.45">
      <c r="A23" s="12"/>
      <c r="B23" s="56"/>
      <c r="C23" s="50">
        <v>30000</v>
      </c>
      <c r="D23" s="2" t="s">
        <v>291</v>
      </c>
      <c r="E23" s="169">
        <f>E19+20*Rates!F15</f>
        <v>249.22</v>
      </c>
      <c r="F23" s="169">
        <f>Rates!L39</f>
        <v>398.97</v>
      </c>
      <c r="G23" s="169">
        <f t="shared" si="0"/>
        <v>149.75000000000003</v>
      </c>
      <c r="H23" s="383">
        <f t="shared" si="1"/>
        <v>0.60087472915496365</v>
      </c>
      <c r="I23" s="210"/>
    </row>
    <row r="24" spans="1:12" ht="15.4" x14ac:dyDescent="0.45">
      <c r="A24" s="12"/>
      <c r="B24" s="56"/>
      <c r="C24" s="50">
        <v>80000</v>
      </c>
      <c r="D24" s="2" t="s">
        <v>291</v>
      </c>
      <c r="E24" s="169">
        <f>E23+50*Rates!F15</f>
        <v>619.72</v>
      </c>
      <c r="F24" s="169">
        <f>F23+50*Rates!L40</f>
        <v>895.47</v>
      </c>
      <c r="G24" s="169">
        <f t="shared" si="0"/>
        <v>275.75</v>
      </c>
      <c r="H24" s="383">
        <f t="shared" si="1"/>
        <v>0.44495901374814428</v>
      </c>
      <c r="I24" s="210"/>
    </row>
    <row r="25" spans="1:12" ht="15.4" x14ac:dyDescent="0.45">
      <c r="A25" s="12"/>
      <c r="B25" s="56"/>
      <c r="C25" s="368">
        <v>280000</v>
      </c>
      <c r="D25" s="384" t="s">
        <v>291</v>
      </c>
      <c r="E25" s="369">
        <f>E24+200*Rates!F15</f>
        <v>2101.7200000000003</v>
      </c>
      <c r="F25" s="369">
        <f>F24+20*Rates!L40+180*Rates!L41</f>
        <v>2526.87</v>
      </c>
      <c r="G25" s="369">
        <f t="shared" si="0"/>
        <v>425.14999999999964</v>
      </c>
      <c r="H25" s="390">
        <f t="shared" si="1"/>
        <v>0.20228669851359818</v>
      </c>
      <c r="I25" s="210"/>
    </row>
    <row r="26" spans="1:12" ht="15.4" x14ac:dyDescent="0.45">
      <c r="A26" s="12"/>
      <c r="B26" s="56"/>
      <c r="C26" s="50">
        <v>500000</v>
      </c>
      <c r="D26" s="2" t="s">
        <v>291</v>
      </c>
      <c r="E26" s="169">
        <f>E25+220*Rates!F15</f>
        <v>3731.92</v>
      </c>
      <c r="F26" s="169">
        <f>F25+220*Rates!L41</f>
        <v>4278.07</v>
      </c>
      <c r="G26" s="169">
        <f t="shared" si="0"/>
        <v>546.14999999999964</v>
      </c>
      <c r="H26" s="383">
        <f t="shared" si="1"/>
        <v>0.14634558082702728</v>
      </c>
      <c r="I26" s="210"/>
    </row>
    <row r="27" spans="1:12" ht="15.4" x14ac:dyDescent="0.45">
      <c r="A27" s="12"/>
      <c r="B27" s="56"/>
      <c r="C27" s="50"/>
      <c r="E27" s="169"/>
      <c r="F27" s="169"/>
      <c r="G27" s="169"/>
      <c r="H27" s="169"/>
      <c r="I27" s="210"/>
    </row>
    <row r="28" spans="1:12" ht="15.4" x14ac:dyDescent="0.45">
      <c r="A28" s="12"/>
      <c r="B28" s="56"/>
      <c r="C28" s="50"/>
      <c r="D28" s="50"/>
      <c r="E28" s="50"/>
      <c r="F28" s="50"/>
      <c r="G28" s="50"/>
      <c r="H28" s="169"/>
      <c r="I28" s="210"/>
    </row>
    <row r="29" spans="1:12" ht="15.4" x14ac:dyDescent="0.45">
      <c r="A29" s="12"/>
      <c r="B29" s="56"/>
      <c r="C29" s="388" t="s">
        <v>312</v>
      </c>
      <c r="E29" s="50"/>
      <c r="F29" s="50"/>
      <c r="G29" s="50"/>
      <c r="H29" s="169"/>
      <c r="I29" s="210"/>
    </row>
    <row r="30" spans="1:12" ht="15.4" x14ac:dyDescent="0.45">
      <c r="A30" s="12"/>
      <c r="B30" s="56"/>
      <c r="C30" s="50" t="s">
        <v>322</v>
      </c>
      <c r="D30" s="50"/>
      <c r="E30" s="50"/>
      <c r="F30" s="50"/>
      <c r="G30" s="50"/>
      <c r="H30" s="169"/>
      <c r="I30" s="210"/>
    </row>
    <row r="31" spans="1:12" ht="15.4" x14ac:dyDescent="0.45">
      <c r="A31" s="29"/>
      <c r="B31" s="370"/>
      <c r="C31" s="18"/>
      <c r="D31" s="18"/>
      <c r="E31" s="18"/>
      <c r="F31" s="18"/>
      <c r="G31" s="18"/>
      <c r="H31" s="18"/>
      <c r="I31" s="389"/>
    </row>
    <row r="32" spans="1:12" ht="15.4" x14ac:dyDescent="0.45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5.4" x14ac:dyDescent="0.4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.4" x14ac:dyDescent="0.4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4" x14ac:dyDescent="0.45">
      <c r="A35" s="29"/>
      <c r="B35" s="29"/>
      <c r="C35" s="29"/>
      <c r="D35" s="29"/>
      <c r="E35" s="29"/>
      <c r="F35" s="29"/>
      <c r="G35" s="29"/>
      <c r="H35" s="29"/>
      <c r="I35" s="29"/>
    </row>
  </sheetData>
  <mergeCells count="3">
    <mergeCell ref="C3:H3"/>
    <mergeCell ref="C4:H4"/>
    <mergeCell ref="C5:H5"/>
  </mergeCells>
  <printOptions horizontalCentered="1"/>
  <pageMargins left="0.7" right="0.7" top="1.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AE1D4-0EB1-4B4A-9FC0-F3CC6865C0B6}">
  <dimension ref="A1:I36"/>
  <sheetViews>
    <sheetView showGridLines="0" topLeftCell="A5" workbookViewId="0">
      <selection activeCell="B1" sqref="B1:I32"/>
    </sheetView>
  </sheetViews>
  <sheetFormatPr defaultRowHeight="15" x14ac:dyDescent="0.4"/>
  <cols>
    <col min="1" max="1" width="9" customWidth="1"/>
    <col min="2" max="2" width="1.77734375" customWidth="1"/>
    <col min="3" max="4" width="9.77734375" customWidth="1"/>
    <col min="5" max="5" width="11" customWidth="1"/>
    <col min="6" max="7" width="9.77734375" customWidth="1"/>
    <col min="9" max="9" width="1.77734375" customWidth="1"/>
  </cols>
  <sheetData>
    <row r="1" spans="1:9" ht="15.4" x14ac:dyDescent="0.45">
      <c r="A1" s="29"/>
      <c r="B1" s="29"/>
      <c r="C1" s="29"/>
      <c r="D1" s="29"/>
      <c r="E1" s="29"/>
      <c r="F1" s="29"/>
      <c r="G1" s="29"/>
      <c r="H1" s="29"/>
      <c r="I1" s="29"/>
    </row>
    <row r="2" spans="1:9" ht="15.4" x14ac:dyDescent="0.45">
      <c r="A2" s="12"/>
      <c r="B2" s="53"/>
      <c r="C2" s="54"/>
      <c r="D2" s="54"/>
      <c r="E2" s="54"/>
      <c r="F2" s="54"/>
      <c r="G2" s="54"/>
      <c r="H2" s="338"/>
      <c r="I2" s="385"/>
    </row>
    <row r="3" spans="1:9" ht="18" x14ac:dyDescent="0.55000000000000004">
      <c r="A3" s="12"/>
      <c r="B3" s="56"/>
      <c r="C3" s="508" t="s">
        <v>320</v>
      </c>
      <c r="D3" s="508"/>
      <c r="E3" s="508"/>
      <c r="F3" s="508"/>
      <c r="G3" s="508"/>
      <c r="H3" s="508"/>
      <c r="I3" s="210"/>
    </row>
    <row r="4" spans="1:9" ht="18" x14ac:dyDescent="0.55000000000000004">
      <c r="A4" s="12"/>
      <c r="B4" s="56"/>
      <c r="C4" s="502" t="s">
        <v>308</v>
      </c>
      <c r="D4" s="502"/>
      <c r="E4" s="502"/>
      <c r="F4" s="502"/>
      <c r="G4" s="502"/>
      <c r="H4" s="502"/>
      <c r="I4" s="210"/>
    </row>
    <row r="5" spans="1:9" ht="18" x14ac:dyDescent="0.55000000000000004">
      <c r="A5" s="12"/>
      <c r="B5" s="56"/>
      <c r="C5" s="502" t="s">
        <v>321</v>
      </c>
      <c r="D5" s="502"/>
      <c r="E5" s="502"/>
      <c r="F5" s="502"/>
      <c r="G5" s="502"/>
      <c r="H5" s="502"/>
      <c r="I5" s="210"/>
    </row>
    <row r="6" spans="1:9" ht="15.75" x14ac:dyDescent="0.5">
      <c r="A6" s="12"/>
      <c r="B6" s="56"/>
      <c r="C6" s="509" t="s">
        <v>252</v>
      </c>
      <c r="D6" s="509"/>
      <c r="E6" s="509"/>
      <c r="F6" s="509"/>
      <c r="G6" s="509"/>
      <c r="H6" s="509"/>
      <c r="I6" s="210"/>
    </row>
    <row r="7" spans="1:9" ht="15.4" x14ac:dyDescent="0.45">
      <c r="A7" s="12"/>
      <c r="B7" s="56"/>
      <c r="C7" s="50"/>
      <c r="D7" s="50"/>
      <c r="E7" s="50"/>
      <c r="F7" s="50"/>
      <c r="G7" s="50"/>
      <c r="H7" s="169"/>
      <c r="I7" s="210"/>
    </row>
    <row r="8" spans="1:9" ht="15.75" x14ac:dyDescent="0.45">
      <c r="A8" s="12"/>
      <c r="B8" s="56"/>
      <c r="C8" s="50"/>
      <c r="D8" s="50"/>
      <c r="E8" s="171"/>
      <c r="F8" s="171"/>
      <c r="G8" s="171"/>
      <c r="H8" s="169"/>
      <c r="I8" s="210"/>
    </row>
    <row r="9" spans="1:9" ht="17.649999999999999" x14ac:dyDescent="0.75">
      <c r="A9" s="12"/>
      <c r="B9" s="56"/>
      <c r="C9" s="206" t="s">
        <v>79</v>
      </c>
      <c r="D9" s="206" t="s">
        <v>212</v>
      </c>
      <c r="E9" s="206" t="s">
        <v>309</v>
      </c>
      <c r="F9" s="206" t="s">
        <v>112</v>
      </c>
      <c r="G9" s="187"/>
      <c r="H9" s="344"/>
      <c r="I9" s="386"/>
    </row>
    <row r="10" spans="1:9" ht="17.649999999999999" x14ac:dyDescent="0.75">
      <c r="A10" s="12"/>
      <c r="B10" s="56"/>
      <c r="C10" s="187" t="s">
        <v>310</v>
      </c>
      <c r="D10" s="187" t="s">
        <v>124</v>
      </c>
      <c r="E10" s="187" t="s">
        <v>80</v>
      </c>
      <c r="F10" s="187" t="s">
        <v>313</v>
      </c>
      <c r="G10" s="187" t="s">
        <v>311</v>
      </c>
      <c r="H10" s="387" t="s">
        <v>316</v>
      </c>
      <c r="I10" s="386"/>
    </row>
    <row r="11" spans="1:9" ht="15.4" x14ac:dyDescent="0.45">
      <c r="A11" s="12"/>
      <c r="B11" s="56"/>
      <c r="C11" s="50">
        <v>2000</v>
      </c>
      <c r="D11" s="382" t="s">
        <v>206</v>
      </c>
      <c r="E11" s="367">
        <f>Rates!F12</f>
        <v>28.32</v>
      </c>
      <c r="F11" s="367">
        <f>Rates!L12+Rates!J44</f>
        <v>38.356217540763311</v>
      </c>
      <c r="G11" s="181">
        <f>F11-E11</f>
        <v>10.03621754076331</v>
      </c>
      <c r="H11" s="383">
        <f>G11/E11</f>
        <v>0.35438621259757452</v>
      </c>
      <c r="I11" s="210"/>
    </row>
    <row r="12" spans="1:9" ht="15.4" x14ac:dyDescent="0.45">
      <c r="A12" s="12"/>
      <c r="B12" s="56"/>
      <c r="C12" s="368">
        <v>4000</v>
      </c>
      <c r="D12" s="384" t="s">
        <v>206</v>
      </c>
      <c r="E12" s="369">
        <f>Rates!F12+2*Rates!F13</f>
        <v>48.019999999999996</v>
      </c>
      <c r="F12" s="369">
        <f>F11+2*Rates!L13+Rates!J44</f>
        <v>65.722435081526626</v>
      </c>
      <c r="G12" s="369">
        <f t="shared" ref="G12:G27" si="0">F12-E12</f>
        <v>17.70243508152663</v>
      </c>
      <c r="H12" s="390">
        <f t="shared" ref="H12:H27" si="1">G12/E12</f>
        <v>0.36864712789518184</v>
      </c>
      <c r="I12" s="210"/>
    </row>
    <row r="13" spans="1:9" ht="15.4" x14ac:dyDescent="0.45">
      <c r="A13" s="12"/>
      <c r="B13" s="56"/>
      <c r="C13" s="50">
        <v>6000</v>
      </c>
      <c r="D13" s="382" t="s">
        <v>206</v>
      </c>
      <c r="E13" s="169">
        <f>E12+Rates!F13+Rates!F14</f>
        <v>66.5</v>
      </c>
      <c r="F13" s="169">
        <f>F12+2*Rates!L13+Rates!J44</f>
        <v>93.088652622289942</v>
      </c>
      <c r="G13" s="169">
        <f t="shared" si="0"/>
        <v>26.588652622289942</v>
      </c>
      <c r="H13" s="383">
        <f t="shared" si="1"/>
        <v>0.39982936274120212</v>
      </c>
      <c r="I13" s="210"/>
    </row>
    <row r="14" spans="1:9" ht="15.4" x14ac:dyDescent="0.45">
      <c r="A14" s="12"/>
      <c r="B14" s="56"/>
      <c r="C14" s="50">
        <v>8000</v>
      </c>
      <c r="D14" s="382" t="s">
        <v>206</v>
      </c>
      <c r="E14" s="169">
        <f>E13+2*Rates!F14</f>
        <v>83.76</v>
      </c>
      <c r="F14" s="169">
        <f>F13+2*Rates!L13+Rates!J44</f>
        <v>120.45487016305326</v>
      </c>
      <c r="G14" s="169">
        <f t="shared" si="0"/>
        <v>36.694870163053253</v>
      </c>
      <c r="H14" s="383">
        <f t="shared" si="1"/>
        <v>0.43809539354170546</v>
      </c>
      <c r="I14" s="210"/>
    </row>
    <row r="15" spans="1:9" ht="15.4" x14ac:dyDescent="0.45">
      <c r="A15" s="12"/>
      <c r="B15" s="56"/>
      <c r="C15" s="50">
        <v>10000</v>
      </c>
      <c r="D15" s="382" t="s">
        <v>206</v>
      </c>
      <c r="E15" s="169">
        <f>E14+2*Rates!F14</f>
        <v>101.02000000000001</v>
      </c>
      <c r="F15" s="169">
        <f>F14+2*Rates!L13+Rates!J44</f>
        <v>147.82108770381657</v>
      </c>
      <c r="G15" s="169">
        <f t="shared" si="0"/>
        <v>46.801087703816563</v>
      </c>
      <c r="H15" s="383">
        <f t="shared" si="1"/>
        <v>0.46328536630188633</v>
      </c>
      <c r="I15" s="210"/>
    </row>
    <row r="16" spans="1:9" ht="15.4" x14ac:dyDescent="0.45">
      <c r="A16" s="12"/>
      <c r="B16" s="56"/>
      <c r="C16" s="50">
        <v>20000</v>
      </c>
      <c r="D16" s="382" t="s">
        <v>206</v>
      </c>
      <c r="E16" s="169">
        <f>E15+10*Rates!F15</f>
        <v>175.12</v>
      </c>
      <c r="F16" s="169">
        <f>F15+10*Rates!L14+Rates!J44</f>
        <v>250.70730524457989</v>
      </c>
      <c r="G16" s="169">
        <f t="shared" si="0"/>
        <v>75.587305244579881</v>
      </c>
      <c r="H16" s="383">
        <f t="shared" si="1"/>
        <v>0.43163148266662793</v>
      </c>
      <c r="I16" s="210"/>
    </row>
    <row r="17" spans="1:9" ht="7.05" customHeight="1" x14ac:dyDescent="0.45">
      <c r="A17" s="12"/>
      <c r="B17" s="56"/>
      <c r="C17" s="50"/>
      <c r="D17" s="382"/>
      <c r="E17" s="169"/>
      <c r="F17" s="169"/>
      <c r="G17" s="169"/>
      <c r="H17" s="383"/>
      <c r="I17" s="210"/>
    </row>
    <row r="18" spans="1:9" ht="15.4" x14ac:dyDescent="0.45">
      <c r="A18" s="12"/>
      <c r="B18" s="56"/>
      <c r="C18" s="50">
        <v>2000</v>
      </c>
      <c r="D18" s="2" t="s">
        <v>207</v>
      </c>
      <c r="E18" s="169">
        <f>Rates!F12</f>
        <v>28.32</v>
      </c>
      <c r="F18" s="169">
        <f>Rates!L18+Rates!J44</f>
        <v>38.356217540763311</v>
      </c>
      <c r="G18" s="169">
        <f t="shared" si="0"/>
        <v>10.03621754076331</v>
      </c>
      <c r="H18" s="383">
        <f t="shared" si="1"/>
        <v>0.35438621259757452</v>
      </c>
      <c r="I18" s="210"/>
    </row>
    <row r="19" spans="1:9" ht="15.4" x14ac:dyDescent="0.45">
      <c r="A19" s="12"/>
      <c r="B19" s="56"/>
      <c r="C19" s="50">
        <v>5000</v>
      </c>
      <c r="D19" s="2" t="s">
        <v>207</v>
      </c>
      <c r="E19" s="169">
        <f>Rates!F12+3*Rates!F13</f>
        <v>57.87</v>
      </c>
      <c r="F19" s="169">
        <f>Rates!L18+3*Rates!L19+Rates!J44</f>
        <v>74.026217540763312</v>
      </c>
      <c r="G19" s="169">
        <f t="shared" si="0"/>
        <v>16.156217540763315</v>
      </c>
      <c r="H19" s="383">
        <f t="shared" si="1"/>
        <v>0.2791812258642356</v>
      </c>
      <c r="I19" s="210"/>
    </row>
    <row r="20" spans="1:9" ht="15.4" x14ac:dyDescent="0.45">
      <c r="A20" s="12"/>
      <c r="B20" s="56"/>
      <c r="C20" s="50">
        <v>10000</v>
      </c>
      <c r="D20" s="2" t="s">
        <v>207</v>
      </c>
      <c r="E20" s="169">
        <f>E19+5*Rates!F14</f>
        <v>101.02000000000001</v>
      </c>
      <c r="F20" s="169">
        <f>F19+5*Rates!L19+Rates!J44</f>
        <v>137.06243508152664</v>
      </c>
      <c r="G20" s="169">
        <f t="shared" si="0"/>
        <v>36.042435081526634</v>
      </c>
      <c r="H20" s="383">
        <f t="shared" si="1"/>
        <v>0.35678514236316206</v>
      </c>
      <c r="I20" s="210"/>
    </row>
    <row r="21" spans="1:9" ht="15.4" x14ac:dyDescent="0.45">
      <c r="A21" s="12"/>
      <c r="B21" s="56"/>
      <c r="C21" s="368">
        <v>22000</v>
      </c>
      <c r="D21" s="384" t="s">
        <v>207</v>
      </c>
      <c r="E21" s="369">
        <f>E20+12*Rates!F15</f>
        <v>189.94</v>
      </c>
      <c r="F21" s="369">
        <f>F20+12*Rates!L20+Rates!J44</f>
        <v>259.80865262228997</v>
      </c>
      <c r="G21" s="369">
        <f t="shared" si="0"/>
        <v>69.868652622289972</v>
      </c>
      <c r="H21" s="390">
        <f t="shared" si="1"/>
        <v>0.36784591251074011</v>
      </c>
      <c r="I21" s="210"/>
    </row>
    <row r="22" spans="1:9" ht="15.4" x14ac:dyDescent="0.45">
      <c r="A22" s="12"/>
      <c r="B22" s="56"/>
      <c r="C22" s="50">
        <v>50000</v>
      </c>
      <c r="D22" s="2" t="s">
        <v>207</v>
      </c>
      <c r="E22" s="169">
        <f>E21+28*Rates!F15</f>
        <v>397.42</v>
      </c>
      <c r="F22" s="169">
        <f>F21+28*Rates!L20+Rates!J44</f>
        <v>541.43487016305323</v>
      </c>
      <c r="G22" s="169">
        <f t="shared" si="0"/>
        <v>144.01487016305322</v>
      </c>
      <c r="H22" s="383">
        <f t="shared" si="1"/>
        <v>0.36237449087376883</v>
      </c>
      <c r="I22" s="210"/>
    </row>
    <row r="23" spans="1:9" ht="7.05" customHeight="1" x14ac:dyDescent="0.45">
      <c r="A23" s="12"/>
      <c r="B23" s="56"/>
      <c r="C23" s="50"/>
      <c r="D23" s="2"/>
      <c r="E23" s="169"/>
      <c r="F23" s="169"/>
      <c r="G23" s="169"/>
      <c r="H23" s="383"/>
      <c r="I23" s="210"/>
    </row>
    <row r="24" spans="1:9" ht="15.4" x14ac:dyDescent="0.45">
      <c r="A24" s="12"/>
      <c r="B24" s="56"/>
      <c r="C24" s="50">
        <v>30000</v>
      </c>
      <c r="D24" s="2" t="s">
        <v>291</v>
      </c>
      <c r="E24" s="169">
        <f>E20+20*Rates!F15</f>
        <v>249.22</v>
      </c>
      <c r="F24" s="169">
        <f>Rates!L39+Rates!J44</f>
        <v>402.55621754076333</v>
      </c>
      <c r="G24" s="169">
        <f t="shared" si="0"/>
        <v>153.33621754076333</v>
      </c>
      <c r="H24" s="383">
        <f t="shared" si="1"/>
        <v>0.61526449538866601</v>
      </c>
      <c r="I24" s="210"/>
    </row>
    <row r="25" spans="1:9" ht="15.4" x14ac:dyDescent="0.45">
      <c r="A25" s="12"/>
      <c r="B25" s="56"/>
      <c r="C25" s="50">
        <v>80000</v>
      </c>
      <c r="D25" s="2" t="s">
        <v>291</v>
      </c>
      <c r="E25" s="169">
        <f>E24+50*Rates!F15</f>
        <v>619.72</v>
      </c>
      <c r="F25" s="169">
        <f>F24+50*Rates!L40+Rates!J44</f>
        <v>902.64243508152663</v>
      </c>
      <c r="G25" s="169">
        <f t="shared" si="0"/>
        <v>282.9224350815266</v>
      </c>
      <c r="H25" s="383">
        <f t="shared" si="1"/>
        <v>0.45653268424696086</v>
      </c>
      <c r="I25" s="210"/>
    </row>
    <row r="26" spans="1:9" ht="15.4" x14ac:dyDescent="0.45">
      <c r="A26" s="12"/>
      <c r="B26" s="56"/>
      <c r="C26" s="368">
        <v>280000</v>
      </c>
      <c r="D26" s="384" t="s">
        <v>291</v>
      </c>
      <c r="E26" s="369">
        <f>E25+200*Rates!F15</f>
        <v>2101.7200000000003</v>
      </c>
      <c r="F26" s="369">
        <f>F25+20*Rates!L40+180*Rates!L41+Rates!J44</f>
        <v>2537.6286526222898</v>
      </c>
      <c r="G26" s="369">
        <f t="shared" si="0"/>
        <v>435.90865262228954</v>
      </c>
      <c r="H26" s="390">
        <f t="shared" si="1"/>
        <v>0.2074056737444995</v>
      </c>
      <c r="I26" s="210"/>
    </row>
    <row r="27" spans="1:9" ht="15.4" x14ac:dyDescent="0.45">
      <c r="A27" s="12"/>
      <c r="B27" s="56"/>
      <c r="C27" s="50">
        <v>500000</v>
      </c>
      <c r="D27" s="2" t="s">
        <v>291</v>
      </c>
      <c r="E27" s="169">
        <f>E26+220*Rates!F15</f>
        <v>3731.92</v>
      </c>
      <c r="F27" s="169">
        <f>F26+220*Rates!L41+Rates!J44</f>
        <v>4292.4148701630529</v>
      </c>
      <c r="G27" s="169">
        <f t="shared" si="0"/>
        <v>560.49487016305284</v>
      </c>
      <c r="H27" s="383">
        <f t="shared" si="1"/>
        <v>0.15018941192819055</v>
      </c>
      <c r="I27" s="210"/>
    </row>
    <row r="28" spans="1:9" ht="15.4" x14ac:dyDescent="0.45">
      <c r="A28" s="12"/>
      <c r="B28" s="56"/>
      <c r="C28" s="50"/>
      <c r="E28" s="169"/>
      <c r="F28" s="169"/>
      <c r="G28" s="169"/>
      <c r="H28" s="169"/>
      <c r="I28" s="210"/>
    </row>
    <row r="29" spans="1:9" ht="15.4" x14ac:dyDescent="0.45">
      <c r="A29" s="12"/>
      <c r="B29" s="56"/>
      <c r="C29" s="50"/>
      <c r="D29" s="50"/>
      <c r="E29" s="50"/>
      <c r="F29" s="50"/>
      <c r="G29" s="50"/>
      <c r="H29" s="169"/>
      <c r="I29" s="210"/>
    </row>
    <row r="30" spans="1:9" ht="15.4" x14ac:dyDescent="0.45">
      <c r="A30" s="12"/>
      <c r="B30" s="56"/>
      <c r="C30" s="388" t="s">
        <v>312</v>
      </c>
      <c r="E30" s="50"/>
      <c r="F30" s="50"/>
      <c r="G30" s="50"/>
      <c r="H30" s="169"/>
      <c r="I30" s="210"/>
    </row>
    <row r="31" spans="1:9" ht="15.4" x14ac:dyDescent="0.45">
      <c r="A31" s="12"/>
      <c r="B31" s="56"/>
      <c r="C31" s="50" t="s">
        <v>323</v>
      </c>
      <c r="D31" s="50"/>
      <c r="E31" s="50"/>
      <c r="F31" s="50"/>
      <c r="G31" s="50"/>
      <c r="H31" s="169"/>
      <c r="I31" s="210"/>
    </row>
    <row r="32" spans="1:9" ht="15.4" x14ac:dyDescent="0.45">
      <c r="A32" s="29"/>
      <c r="B32" s="370"/>
      <c r="C32" s="18"/>
      <c r="D32" s="18"/>
      <c r="E32" s="18"/>
      <c r="F32" s="18"/>
      <c r="G32" s="18"/>
      <c r="H32" s="18"/>
      <c r="I32" s="389"/>
    </row>
    <row r="33" spans="1:9" ht="15.4" x14ac:dyDescent="0.45">
      <c r="A33" s="29"/>
      <c r="B33" s="29"/>
      <c r="C33" s="29"/>
      <c r="D33" s="29"/>
      <c r="E33" s="29"/>
      <c r="F33" s="29"/>
      <c r="G33" s="29"/>
      <c r="H33" s="29"/>
      <c r="I33" s="29"/>
    </row>
    <row r="34" spans="1:9" ht="15.4" x14ac:dyDescent="0.45">
      <c r="A34" s="29"/>
      <c r="B34" s="29"/>
      <c r="C34" s="29"/>
      <c r="D34" s="29"/>
      <c r="E34" s="29"/>
      <c r="F34" s="29"/>
      <c r="G34" s="29"/>
      <c r="H34" s="29"/>
      <c r="I34" s="29"/>
    </row>
    <row r="35" spans="1:9" ht="15.4" x14ac:dyDescent="0.45">
      <c r="A35" s="29"/>
      <c r="B35" s="29"/>
      <c r="C35" s="29"/>
      <c r="D35" s="29"/>
      <c r="E35" s="29"/>
      <c r="F35" s="29"/>
      <c r="G35" s="29"/>
      <c r="H35" s="29"/>
      <c r="I35" s="29"/>
    </row>
    <row r="36" spans="1:9" ht="15.4" x14ac:dyDescent="0.45">
      <c r="A36" s="29"/>
      <c r="B36" s="29"/>
      <c r="C36" s="29"/>
      <c r="D36" s="29"/>
      <c r="E36" s="29"/>
      <c r="F36" s="29"/>
      <c r="G36" s="29"/>
      <c r="H36" s="29"/>
      <c r="I36" s="29"/>
    </row>
  </sheetData>
  <mergeCells count="4">
    <mergeCell ref="C3:H3"/>
    <mergeCell ref="C4:H4"/>
    <mergeCell ref="C6:H6"/>
    <mergeCell ref="C5:H5"/>
  </mergeCells>
  <printOptions horizontalCentered="1"/>
  <pageMargins left="0.7" right="0.7" top="1.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1A0C2-735D-4E87-8CD0-CB46EDA521D8}">
  <sheetPr>
    <pageSetUpPr fitToPage="1"/>
  </sheetPr>
  <dimension ref="A1:Y30"/>
  <sheetViews>
    <sheetView workbookViewId="0">
      <selection activeCell="K7" sqref="K7"/>
    </sheetView>
  </sheetViews>
  <sheetFormatPr defaultColWidth="8.88671875" defaultRowHeight="14.25" x14ac:dyDescent="0.45"/>
  <cols>
    <col min="1" max="1" width="9.6640625" style="3" customWidth="1"/>
    <col min="2" max="2" width="8.88671875" style="3" bestFit="1" customWidth="1"/>
    <col min="3" max="3" width="11.33203125" style="3" customWidth="1"/>
    <col min="4" max="8" width="8.88671875" style="3" bestFit="1" customWidth="1"/>
    <col min="9" max="9" width="10.44140625" style="3" customWidth="1"/>
    <col min="10" max="10" width="8.88671875" style="3" bestFit="1" customWidth="1"/>
    <col min="11" max="11" width="10.33203125" style="3" customWidth="1"/>
    <col min="12" max="12" width="2.6640625" style="3" customWidth="1"/>
    <col min="13" max="13" width="9.33203125" style="3" customWidth="1"/>
    <col min="14" max="14" width="8.33203125" style="3" customWidth="1"/>
    <col min="15" max="15" width="6.88671875" style="3" customWidth="1"/>
    <col min="16" max="16" width="11.5546875" style="3" customWidth="1"/>
    <col min="17" max="17" width="6.21875" style="3" customWidth="1"/>
    <col min="18" max="18" width="8.77734375" style="3" customWidth="1"/>
    <col min="19" max="19" width="8.88671875" style="3" bestFit="1" customWidth="1"/>
    <col min="20" max="20" width="10.6640625" style="3" customWidth="1"/>
    <col min="21" max="21" width="9.77734375" style="3" bestFit="1" customWidth="1"/>
    <col min="22" max="23" width="9.33203125" style="3" bestFit="1" customWidth="1"/>
    <col min="24" max="24" width="9.77734375" style="3" bestFit="1" customWidth="1"/>
    <col min="25" max="25" width="11.109375" style="3" customWidth="1"/>
    <col min="26" max="16384" width="8.88671875" style="3"/>
  </cols>
  <sheetData>
    <row r="1" spans="1:25" ht="18" x14ac:dyDescent="0.8">
      <c r="A1" s="510" t="s">
        <v>244</v>
      </c>
      <c r="B1" s="510"/>
      <c r="C1" s="510"/>
    </row>
    <row r="2" spans="1:25" ht="16.899999999999999" thickBot="1" x14ac:dyDescent="0.8">
      <c r="F2" s="512" t="s">
        <v>99</v>
      </c>
      <c r="G2" s="512"/>
    </row>
    <row r="3" spans="1:25" ht="16.5" x14ac:dyDescent="0.75">
      <c r="A3" s="12"/>
      <c r="B3" s="512" t="s">
        <v>166</v>
      </c>
      <c r="C3" s="512"/>
      <c r="D3" s="512" t="s">
        <v>99</v>
      </c>
      <c r="E3" s="512"/>
      <c r="F3" s="512" t="s">
        <v>242</v>
      </c>
      <c r="G3" s="512"/>
      <c r="H3" s="512" t="s">
        <v>243</v>
      </c>
      <c r="I3" s="512"/>
      <c r="J3" s="513" t="s">
        <v>2</v>
      </c>
      <c r="K3" s="514"/>
      <c r="L3" s="191"/>
      <c r="M3" s="191"/>
      <c r="N3" s="511" t="s">
        <v>236</v>
      </c>
      <c r="O3" s="511"/>
      <c r="P3" s="511"/>
      <c r="Q3" s="511"/>
      <c r="R3" s="191"/>
      <c r="S3" s="497" t="s">
        <v>170</v>
      </c>
      <c r="T3" s="497"/>
      <c r="U3" s="497"/>
    </row>
    <row r="4" spans="1:25" ht="16.5" x14ac:dyDescent="0.75">
      <c r="A4" s="195" t="s">
        <v>167</v>
      </c>
      <c r="B4" s="193" t="s">
        <v>123</v>
      </c>
      <c r="C4" s="193" t="s">
        <v>168</v>
      </c>
      <c r="D4" s="193" t="s">
        <v>123</v>
      </c>
      <c r="E4" s="193" t="s">
        <v>168</v>
      </c>
      <c r="F4" s="193" t="s">
        <v>123</v>
      </c>
      <c r="G4" s="193" t="s">
        <v>168</v>
      </c>
      <c r="H4" s="193" t="s">
        <v>123</v>
      </c>
      <c r="I4" s="193" t="s">
        <v>168</v>
      </c>
      <c r="J4" s="354" t="s">
        <v>123</v>
      </c>
      <c r="K4" s="355" t="s">
        <v>168</v>
      </c>
      <c r="L4" s="194"/>
      <c r="M4" s="194" t="s">
        <v>167</v>
      </c>
      <c r="N4" s="194" t="s">
        <v>123</v>
      </c>
      <c r="O4" s="194"/>
      <c r="P4" s="194" t="s">
        <v>168</v>
      </c>
      <c r="Q4" s="194"/>
      <c r="R4" s="194"/>
      <c r="S4" s="194" t="s">
        <v>123</v>
      </c>
      <c r="T4" s="194" t="s">
        <v>168</v>
      </c>
      <c r="U4" s="194" t="s">
        <v>169</v>
      </c>
    </row>
    <row r="5" spans="1:25" x14ac:dyDescent="0.45">
      <c r="A5" s="3">
        <v>1000</v>
      </c>
      <c r="B5" s="3">
        <f>2482+53+7</f>
        <v>2542</v>
      </c>
      <c r="C5" s="3">
        <f>993900+18200+2000</f>
        <v>1014100</v>
      </c>
      <c r="D5" s="3">
        <f>31</f>
        <v>31</v>
      </c>
      <c r="E5" s="3">
        <f>15500</f>
        <v>15500</v>
      </c>
      <c r="J5" s="356">
        <f>B5+D5+F5+H5</f>
        <v>2573</v>
      </c>
      <c r="K5" s="357">
        <f>C5+E5+G5+I5</f>
        <v>1029600</v>
      </c>
      <c r="O5" s="127"/>
      <c r="Q5" s="127"/>
      <c r="X5" s="3">
        <v>0</v>
      </c>
      <c r="Y5" s="3">
        <v>0</v>
      </c>
    </row>
    <row r="6" spans="1:25" x14ac:dyDescent="0.45">
      <c r="A6" s="3">
        <v>2000</v>
      </c>
      <c r="B6" s="5">
        <f>2743+4+1</f>
        <v>2748</v>
      </c>
      <c r="C6" s="5">
        <f>4300900+5400+1400</f>
        <v>4307700</v>
      </c>
      <c r="D6" s="5">
        <f>2+13</f>
        <v>15</v>
      </c>
      <c r="E6" s="5">
        <f>4000+20500</f>
        <v>24500</v>
      </c>
      <c r="J6" s="356">
        <f t="shared" ref="J6:J22" si="0">B6+D6+F6+H6</f>
        <v>2763</v>
      </c>
      <c r="K6" s="357">
        <f t="shared" ref="K6:K22" si="1">C6+E6+G6+I6</f>
        <v>4332200</v>
      </c>
      <c r="O6" s="127"/>
      <c r="Q6" s="127"/>
    </row>
    <row r="7" spans="1:25" x14ac:dyDescent="0.45">
      <c r="A7" s="3">
        <v>3000</v>
      </c>
      <c r="B7" s="5">
        <f>2664+2+1</f>
        <v>2667</v>
      </c>
      <c r="C7" s="5">
        <f>6778600+5700+2500</f>
        <v>6786800</v>
      </c>
      <c r="D7" s="5">
        <f>11+2</f>
        <v>13</v>
      </c>
      <c r="E7" s="5">
        <f>33000+4800</f>
        <v>37800</v>
      </c>
      <c r="J7" s="356">
        <f t="shared" si="0"/>
        <v>2680</v>
      </c>
      <c r="K7" s="357">
        <f t="shared" si="1"/>
        <v>6824600</v>
      </c>
      <c r="O7" s="127"/>
      <c r="Q7" s="127"/>
    </row>
    <row r="8" spans="1:25" x14ac:dyDescent="0.45">
      <c r="A8" s="3">
        <v>4000</v>
      </c>
      <c r="B8" s="5">
        <f>2104+1</f>
        <v>2105</v>
      </c>
      <c r="C8" s="5">
        <f>7422800+3400</f>
        <v>7426200</v>
      </c>
      <c r="D8" s="5">
        <f>24+2</f>
        <v>26</v>
      </c>
      <c r="E8" s="5">
        <f>96000+7800</f>
        <v>103800</v>
      </c>
      <c r="J8" s="356">
        <f t="shared" si="0"/>
        <v>2131</v>
      </c>
      <c r="K8" s="357">
        <f t="shared" si="1"/>
        <v>7530000</v>
      </c>
      <c r="O8" s="127"/>
      <c r="Q8" s="127"/>
      <c r="X8" s="3">
        <v>0</v>
      </c>
      <c r="Y8" s="3">
        <v>0</v>
      </c>
    </row>
    <row r="9" spans="1:25" x14ac:dyDescent="0.45">
      <c r="A9" s="3">
        <v>5000</v>
      </c>
      <c r="B9" s="5">
        <f>1406+2+1</f>
        <v>1409</v>
      </c>
      <c r="C9" s="5">
        <f>6343000+9600+4300</f>
        <v>6356900</v>
      </c>
      <c r="D9" s="5">
        <f>10+3</f>
        <v>13</v>
      </c>
      <c r="E9" s="5">
        <f>50000+14000</f>
        <v>64000</v>
      </c>
      <c r="J9" s="356">
        <f t="shared" si="0"/>
        <v>1422</v>
      </c>
      <c r="K9" s="357">
        <f t="shared" si="1"/>
        <v>6420900</v>
      </c>
      <c r="M9" s="3">
        <v>5000</v>
      </c>
      <c r="N9" s="3">
        <f>SUM(J5:J9)</f>
        <v>11569</v>
      </c>
      <c r="O9" s="127">
        <f t="shared" ref="O9:O18" si="2">N9/$J$23</f>
        <v>0.80536025060911942</v>
      </c>
      <c r="P9" s="3">
        <f>SUM(K5:K9)</f>
        <v>26137300</v>
      </c>
      <c r="Q9" s="127">
        <f t="shared" ref="Q9:Q18" si="3">P9/$K$23</f>
        <v>0.43513504064621067</v>
      </c>
      <c r="X9" s="3">
        <f>M9</f>
        <v>5000</v>
      </c>
      <c r="Y9" s="3">
        <f>P9</f>
        <v>26137300</v>
      </c>
    </row>
    <row r="10" spans="1:25" x14ac:dyDescent="0.45">
      <c r="A10" s="3">
        <f>+A9+5000</f>
        <v>10000</v>
      </c>
      <c r="B10" s="5">
        <f>856+311+147+546+206+2+3+1+4+3</f>
        <v>2079</v>
      </c>
      <c r="C10" s="5">
        <f>4708700+2336900+1404000+3564900+1756400+11500+21900+9800+26400+24800</f>
        <v>13865300</v>
      </c>
      <c r="D10" s="5">
        <f>9+7+7+6+3+4+6+4+1+2</f>
        <v>49</v>
      </c>
      <c r="E10" s="5">
        <f>54000+56000+70000+42000+27000+25900+51400+22000+7900+19200</f>
        <v>375400</v>
      </c>
      <c r="F10" s="3">
        <f>4+2+4</f>
        <v>10</v>
      </c>
      <c r="G10" s="3">
        <f>28000+18000+32000</f>
        <v>78000</v>
      </c>
      <c r="J10" s="356">
        <f t="shared" si="0"/>
        <v>2138</v>
      </c>
      <c r="K10" s="357">
        <f t="shared" si="1"/>
        <v>14318700</v>
      </c>
      <c r="L10" s="5"/>
      <c r="M10" s="5">
        <v>10000</v>
      </c>
      <c r="N10" s="5">
        <f>N9+J10</f>
        <v>13707</v>
      </c>
      <c r="O10" s="289">
        <f t="shared" si="2"/>
        <v>0.95419422206752524</v>
      </c>
      <c r="P10" s="5">
        <f>P9+K10</f>
        <v>40456000</v>
      </c>
      <c r="Q10" s="289">
        <f t="shared" si="3"/>
        <v>0.67351345412047525</v>
      </c>
      <c r="S10" s="3">
        <f>SUM(J5:J10)</f>
        <v>13707</v>
      </c>
      <c r="T10" s="3">
        <f>SUM(K5:K10)</f>
        <v>40456000</v>
      </c>
      <c r="U10" s="3">
        <f>T10/S10</f>
        <v>2951.4846428831984</v>
      </c>
      <c r="V10" s="127">
        <f>T10/$K$23</f>
        <v>0.67351345412047525</v>
      </c>
      <c r="W10" s="127"/>
      <c r="X10" s="3">
        <f t="shared" ref="X10:X22" si="4">M10</f>
        <v>10000</v>
      </c>
      <c r="Y10" s="3">
        <f t="shared" ref="Y10:Y22" si="5">P10</f>
        <v>40456000</v>
      </c>
    </row>
    <row r="11" spans="1:25" x14ac:dyDescent="0.45">
      <c r="A11" s="3">
        <f t="shared" ref="A11:A14" si="6">+A10+5000</f>
        <v>15000</v>
      </c>
      <c r="B11" s="5">
        <f>96+69+37+77+39</f>
        <v>318</v>
      </c>
      <c r="C11" s="5">
        <f>1010200+865100+537100+887200+530500</f>
        <v>3830100</v>
      </c>
      <c r="D11" s="5">
        <f>2+2+4+3+5+1+1+1+1</f>
        <v>20</v>
      </c>
      <c r="E11" s="5">
        <f>24000+28000+44000+39000+75000+10300+11800+12100+13300</f>
        <v>257500</v>
      </c>
      <c r="F11" s="3">
        <f>1+1</f>
        <v>2</v>
      </c>
      <c r="G11" s="3">
        <f>12000+11000</f>
        <v>23000</v>
      </c>
      <c r="J11" s="356">
        <f t="shared" si="0"/>
        <v>340</v>
      </c>
      <c r="K11" s="357">
        <f t="shared" si="1"/>
        <v>4110600</v>
      </c>
      <c r="M11" s="3">
        <v>15000</v>
      </c>
      <c r="N11" s="3">
        <f t="shared" ref="N11:N22" si="7">N10+J11</f>
        <v>14047</v>
      </c>
      <c r="O11" s="127">
        <f t="shared" si="2"/>
        <v>0.97786286112077969</v>
      </c>
      <c r="P11" s="3">
        <f t="shared" ref="P11:P22" si="8">P10+K11</f>
        <v>44566600</v>
      </c>
      <c r="Q11" s="127">
        <f t="shared" si="3"/>
        <v>0.74194692269145668</v>
      </c>
      <c r="X11" s="3">
        <f t="shared" si="4"/>
        <v>15000</v>
      </c>
      <c r="Y11" s="3">
        <f t="shared" si="5"/>
        <v>44566600</v>
      </c>
    </row>
    <row r="12" spans="1:25" x14ac:dyDescent="0.45">
      <c r="A12" s="3">
        <f t="shared" si="6"/>
        <v>20000</v>
      </c>
      <c r="B12" s="5">
        <f>35+17+14+23+17</f>
        <v>106</v>
      </c>
      <c r="C12" s="5">
        <f>543000+298500+273700+381400+316100</f>
        <v>1812700</v>
      </c>
      <c r="D12" s="5">
        <f>1+2+1</f>
        <v>4</v>
      </c>
      <c r="E12" s="5">
        <f>16000+40000+17000</f>
        <v>73000</v>
      </c>
      <c r="J12" s="356">
        <f t="shared" si="0"/>
        <v>110</v>
      </c>
      <c r="K12" s="357">
        <f t="shared" si="1"/>
        <v>1885700</v>
      </c>
      <c r="M12" s="3">
        <v>20000</v>
      </c>
      <c r="N12" s="3">
        <f t="shared" si="7"/>
        <v>14157</v>
      </c>
      <c r="O12" s="127">
        <f t="shared" si="2"/>
        <v>0.98552036199095028</v>
      </c>
      <c r="P12" s="3">
        <f t="shared" si="8"/>
        <v>46452300</v>
      </c>
      <c r="Q12" s="127">
        <f t="shared" si="3"/>
        <v>0.77334014793455985</v>
      </c>
      <c r="X12" s="3">
        <f t="shared" si="4"/>
        <v>20000</v>
      </c>
      <c r="Y12" s="3">
        <f t="shared" si="5"/>
        <v>46452300</v>
      </c>
    </row>
    <row r="13" spans="1:25" x14ac:dyDescent="0.45">
      <c r="A13" s="3">
        <f t="shared" si="6"/>
        <v>25000</v>
      </c>
      <c r="B13" s="5">
        <f>13+8+15+16+5</f>
        <v>57</v>
      </c>
      <c r="C13" s="5">
        <f>344600+117700+268900+182200+369500</f>
        <v>1282900</v>
      </c>
      <c r="D13" s="5">
        <f>2+1</f>
        <v>3</v>
      </c>
      <c r="E13" s="5">
        <f>50000+21000</f>
        <v>71000</v>
      </c>
      <c r="H13" s="3">
        <v>1</v>
      </c>
      <c r="I13" s="3">
        <v>24000</v>
      </c>
      <c r="J13" s="356">
        <f t="shared" si="0"/>
        <v>61</v>
      </c>
      <c r="K13" s="357">
        <f t="shared" si="1"/>
        <v>1377900</v>
      </c>
      <c r="M13" s="3">
        <v>25000</v>
      </c>
      <c r="N13" s="3">
        <f t="shared" si="7"/>
        <v>14218</v>
      </c>
      <c r="O13" s="127">
        <f t="shared" si="2"/>
        <v>0.98976679429168113</v>
      </c>
      <c r="P13" s="3">
        <f t="shared" si="8"/>
        <v>47830200</v>
      </c>
      <c r="Q13" s="127">
        <f t="shared" si="3"/>
        <v>0.79627949409909915</v>
      </c>
      <c r="X13" s="3">
        <f t="shared" si="4"/>
        <v>25000</v>
      </c>
      <c r="Y13" s="3">
        <f t="shared" si="5"/>
        <v>47830200</v>
      </c>
    </row>
    <row r="14" spans="1:25" ht="14.45" customHeight="1" x14ac:dyDescent="0.45">
      <c r="A14" s="3">
        <f t="shared" si="6"/>
        <v>30000</v>
      </c>
      <c r="B14" s="5">
        <f>2+4+5+2+3</f>
        <v>16</v>
      </c>
      <c r="C14" s="5">
        <f>126900+54300+89200+53500+115200</f>
        <v>439100</v>
      </c>
      <c r="D14" s="5">
        <v>1</v>
      </c>
      <c r="E14" s="5">
        <v>30000</v>
      </c>
      <c r="H14" s="5">
        <v>1</v>
      </c>
      <c r="I14" s="5">
        <v>28000</v>
      </c>
      <c r="J14" s="356">
        <f t="shared" si="0"/>
        <v>18</v>
      </c>
      <c r="K14" s="357">
        <f t="shared" si="1"/>
        <v>497100</v>
      </c>
      <c r="M14" s="3">
        <v>30000</v>
      </c>
      <c r="N14" s="3">
        <f t="shared" si="7"/>
        <v>14236</v>
      </c>
      <c r="O14" s="127">
        <f t="shared" si="2"/>
        <v>0.99101983988861819</v>
      </c>
      <c r="P14" s="3">
        <f t="shared" si="8"/>
        <v>48327300</v>
      </c>
      <c r="Q14" s="127">
        <f t="shared" si="3"/>
        <v>0.8045552390576538</v>
      </c>
      <c r="X14" s="3">
        <f t="shared" si="4"/>
        <v>30000</v>
      </c>
      <c r="Y14" s="3">
        <f t="shared" si="5"/>
        <v>48327300</v>
      </c>
    </row>
    <row r="15" spans="1:25" ht="14.45" customHeight="1" x14ac:dyDescent="0.45">
      <c r="A15" s="3">
        <v>40000</v>
      </c>
      <c r="B15" s="5">
        <f>1+3+1+1+2+2+5+2+1+2</f>
        <v>20</v>
      </c>
      <c r="C15" s="5">
        <f>30900+97500+34200+36500+76800+63400+168100+71300+37100+78400</f>
        <v>694200</v>
      </c>
      <c r="D15" s="5">
        <f>1+1</f>
        <v>2</v>
      </c>
      <c r="E15" s="5">
        <f>31000+32300</f>
        <v>63300</v>
      </c>
      <c r="H15" s="3">
        <v>1</v>
      </c>
      <c r="I15" s="3">
        <v>40000</v>
      </c>
      <c r="J15" s="356">
        <f t="shared" si="0"/>
        <v>23</v>
      </c>
      <c r="K15" s="357">
        <f t="shared" si="1"/>
        <v>797500</v>
      </c>
      <c r="M15" s="3">
        <f>A15</f>
        <v>40000</v>
      </c>
      <c r="N15" s="3">
        <f t="shared" si="7"/>
        <v>14259</v>
      </c>
      <c r="O15" s="127">
        <f t="shared" si="2"/>
        <v>0.9926209537069266</v>
      </c>
      <c r="P15" s="3">
        <f t="shared" si="8"/>
        <v>49124800</v>
      </c>
      <c r="Q15" s="127">
        <f t="shared" si="3"/>
        <v>0.81783205781534318</v>
      </c>
      <c r="X15" s="3">
        <f t="shared" si="4"/>
        <v>40000</v>
      </c>
      <c r="Y15" s="3">
        <f t="shared" si="5"/>
        <v>49124800</v>
      </c>
    </row>
    <row r="16" spans="1:25" ht="14.45" customHeight="1" x14ac:dyDescent="0.45">
      <c r="A16" s="3">
        <v>50000</v>
      </c>
      <c r="B16" s="5">
        <f>1+2+5+2+4+3+1</f>
        <v>18</v>
      </c>
      <c r="C16" s="5">
        <f>81900+182400+143600+49400+43000+92400+242800</f>
        <v>835500</v>
      </c>
      <c r="D16" s="5">
        <f>1+1+1+1+1+1</f>
        <v>6</v>
      </c>
      <c r="E16" s="5">
        <f>46000+44000+47000+43300+42600+45100</f>
        <v>268000</v>
      </c>
      <c r="H16" s="3">
        <v>1</v>
      </c>
      <c r="I16" s="3">
        <v>50000</v>
      </c>
      <c r="J16" s="356">
        <f t="shared" si="0"/>
        <v>25</v>
      </c>
      <c r="K16" s="357">
        <f t="shared" si="1"/>
        <v>1153500</v>
      </c>
      <c r="M16" s="3">
        <f t="shared" ref="M16:M22" si="9">A16</f>
        <v>50000</v>
      </c>
      <c r="N16" s="3">
        <f t="shared" si="7"/>
        <v>14284</v>
      </c>
      <c r="O16" s="127">
        <f t="shared" si="2"/>
        <v>0.99436129481378355</v>
      </c>
      <c r="P16" s="3">
        <f t="shared" si="8"/>
        <v>50278300</v>
      </c>
      <c r="Q16" s="127">
        <f t="shared" si="3"/>
        <v>0.83703558187427063</v>
      </c>
      <c r="X16" s="3">
        <f t="shared" si="4"/>
        <v>50000</v>
      </c>
      <c r="Y16" s="3">
        <f t="shared" si="5"/>
        <v>50278300</v>
      </c>
    </row>
    <row r="17" spans="1:25" ht="14.45" customHeight="1" x14ac:dyDescent="0.45">
      <c r="A17" s="3">
        <v>60000</v>
      </c>
      <c r="B17" s="5">
        <f>1+1+5+2+3+2+2</f>
        <v>16</v>
      </c>
      <c r="C17" s="5">
        <f>154400+108900+114500+50200+53700+282100+117300</f>
        <v>881100</v>
      </c>
      <c r="D17" s="5">
        <f>1+1+1+1+1+1+3+1</f>
        <v>10</v>
      </c>
      <c r="E17" s="5">
        <f>53000+58000+55000+59000+51900+55500+160700+58100</f>
        <v>551200</v>
      </c>
      <c r="H17" s="3">
        <v>1</v>
      </c>
      <c r="I17" s="3">
        <v>57000</v>
      </c>
      <c r="J17" s="356">
        <f t="shared" si="0"/>
        <v>27</v>
      </c>
      <c r="K17" s="357">
        <f t="shared" si="1"/>
        <v>1489300</v>
      </c>
      <c r="M17" s="3">
        <f t="shared" si="9"/>
        <v>60000</v>
      </c>
      <c r="N17" s="3">
        <f t="shared" si="7"/>
        <v>14311</v>
      </c>
      <c r="O17" s="127">
        <f t="shared" si="2"/>
        <v>0.99624086320918903</v>
      </c>
      <c r="P17" s="3">
        <f t="shared" si="8"/>
        <v>51767600</v>
      </c>
      <c r="Q17" s="127">
        <f t="shared" si="3"/>
        <v>0.86182952065273666</v>
      </c>
      <c r="X17" s="3">
        <f t="shared" si="4"/>
        <v>60000</v>
      </c>
      <c r="Y17" s="3">
        <f t="shared" si="5"/>
        <v>51767600</v>
      </c>
    </row>
    <row r="18" spans="1:25" ht="14.45" customHeight="1" x14ac:dyDescent="0.45">
      <c r="A18" s="3">
        <v>70000</v>
      </c>
      <c r="B18" s="5">
        <f>1+2+1+1+1</f>
        <v>6</v>
      </c>
      <c r="C18" s="5">
        <f>60200+125500+61500+63400+67700</f>
        <v>378300</v>
      </c>
      <c r="D18" s="5">
        <f>1+1+1+1+1+1+1+1</f>
        <v>8</v>
      </c>
      <c r="E18" s="5">
        <f>64000+67000+65000+68000+60400+66300+61200+70000</f>
        <v>521900</v>
      </c>
      <c r="J18" s="356">
        <f t="shared" si="0"/>
        <v>14</v>
      </c>
      <c r="K18" s="357">
        <f t="shared" si="1"/>
        <v>900200</v>
      </c>
      <c r="M18" s="3">
        <f t="shared" si="9"/>
        <v>70000</v>
      </c>
      <c r="N18" s="3">
        <f t="shared" si="7"/>
        <v>14325</v>
      </c>
      <c r="O18" s="127">
        <f t="shared" si="2"/>
        <v>0.99721545422902891</v>
      </c>
      <c r="P18" s="3">
        <f t="shared" si="8"/>
        <v>52667800</v>
      </c>
      <c r="Q18" s="127">
        <f t="shared" si="3"/>
        <v>0.87681609400154159</v>
      </c>
      <c r="X18" s="3">
        <f t="shared" si="4"/>
        <v>70000</v>
      </c>
      <c r="Y18" s="3">
        <f t="shared" si="5"/>
        <v>52667800</v>
      </c>
    </row>
    <row r="19" spans="1:25" ht="14.45" customHeight="1" x14ac:dyDescent="0.45">
      <c r="A19" s="3">
        <v>80000</v>
      </c>
      <c r="B19" s="5">
        <f>1+1</f>
        <v>2</v>
      </c>
      <c r="C19" s="5">
        <f>70300+71500</f>
        <v>141800</v>
      </c>
      <c r="D19" s="5">
        <f>2+1+1</f>
        <v>4</v>
      </c>
      <c r="E19" s="5">
        <f>142300+74700+73700</f>
        <v>290700</v>
      </c>
      <c r="H19" s="3">
        <f>1+1</f>
        <v>2</v>
      </c>
      <c r="I19" s="3">
        <f>73000+79000</f>
        <v>152000</v>
      </c>
      <c r="J19" s="356">
        <f t="shared" si="0"/>
        <v>8</v>
      </c>
      <c r="K19" s="357">
        <f t="shared" si="1"/>
        <v>584500</v>
      </c>
      <c r="M19" s="3">
        <f t="shared" si="9"/>
        <v>80000</v>
      </c>
      <c r="N19" s="3">
        <f t="shared" si="7"/>
        <v>14333</v>
      </c>
      <c r="O19" s="127">
        <f t="shared" ref="O19:O21" si="10">N19/$J$23</f>
        <v>0.99777236338322306</v>
      </c>
      <c r="P19" s="3">
        <f t="shared" si="8"/>
        <v>53252300</v>
      </c>
      <c r="Q19" s="127">
        <f t="shared" ref="Q19:Q22" si="11">P19/$K$23</f>
        <v>0.88654687840764745</v>
      </c>
      <c r="V19" s="127"/>
      <c r="W19" s="127"/>
      <c r="X19" s="3">
        <f t="shared" si="4"/>
        <v>80000</v>
      </c>
      <c r="Y19" s="3">
        <f t="shared" si="5"/>
        <v>53252300</v>
      </c>
    </row>
    <row r="20" spans="1:25" ht="14.45" customHeight="1" x14ac:dyDescent="0.45">
      <c r="A20" s="3">
        <v>90000</v>
      </c>
      <c r="B20" s="5">
        <f>1+1+1+1+1</f>
        <v>5</v>
      </c>
      <c r="C20" s="5">
        <f>80600+86000+89000+84200+86400</f>
        <v>426200</v>
      </c>
      <c r="D20" s="5"/>
      <c r="E20" s="5"/>
      <c r="J20" s="356">
        <f t="shared" si="0"/>
        <v>5</v>
      </c>
      <c r="K20" s="357">
        <f t="shared" si="1"/>
        <v>426200</v>
      </c>
      <c r="M20" s="3">
        <f t="shared" si="9"/>
        <v>90000</v>
      </c>
      <c r="N20" s="3">
        <f t="shared" si="7"/>
        <v>14338</v>
      </c>
      <c r="O20" s="127">
        <f t="shared" si="10"/>
        <v>0.99812043160459452</v>
      </c>
      <c r="P20" s="3">
        <f t="shared" si="8"/>
        <v>53678500</v>
      </c>
      <c r="Q20" s="127">
        <f t="shared" si="11"/>
        <v>0.8936422767205342</v>
      </c>
      <c r="V20" s="127"/>
      <c r="W20" s="127"/>
      <c r="X20" s="3">
        <f t="shared" si="4"/>
        <v>90000</v>
      </c>
      <c r="Y20" s="3">
        <f t="shared" si="5"/>
        <v>53678500</v>
      </c>
    </row>
    <row r="21" spans="1:25" ht="14.45" customHeight="1" x14ac:dyDescent="0.45">
      <c r="A21" s="3">
        <v>100000</v>
      </c>
      <c r="B21" s="5">
        <f>2+1</f>
        <v>3</v>
      </c>
      <c r="C21" s="5">
        <f>197300+93600</f>
        <v>290900</v>
      </c>
      <c r="D21" s="5">
        <f>1+1</f>
        <v>2</v>
      </c>
      <c r="E21" s="5">
        <f>96000+98500</f>
        <v>194500</v>
      </c>
      <c r="H21" s="3">
        <v>1</v>
      </c>
      <c r="I21" s="3">
        <v>94000</v>
      </c>
      <c r="J21" s="356">
        <f t="shared" si="0"/>
        <v>6</v>
      </c>
      <c r="K21" s="357">
        <f t="shared" si="1"/>
        <v>579400</v>
      </c>
      <c r="M21" s="3">
        <f t="shared" si="9"/>
        <v>100000</v>
      </c>
      <c r="N21" s="3">
        <f t="shared" si="7"/>
        <v>14344</v>
      </c>
      <c r="O21" s="127">
        <f t="shared" si="10"/>
        <v>0.99853811347024013</v>
      </c>
      <c r="P21" s="3">
        <f t="shared" si="8"/>
        <v>54257900</v>
      </c>
      <c r="Q21" s="127">
        <f t="shared" si="11"/>
        <v>0.90328815607878521</v>
      </c>
      <c r="S21" s="3">
        <f>SUM(J11:J21)</f>
        <v>637</v>
      </c>
      <c r="T21" s="3">
        <f>SUM(K11:K21)</f>
        <v>13801900</v>
      </c>
      <c r="U21" s="3">
        <f>T21/S21</f>
        <v>21667.032967032967</v>
      </c>
      <c r="V21" s="127">
        <f>T21/$K$23</f>
        <v>0.22977470195830996</v>
      </c>
      <c r="W21" s="127"/>
      <c r="X21" s="3">
        <f t="shared" si="4"/>
        <v>100000</v>
      </c>
      <c r="Y21" s="3">
        <f t="shared" si="5"/>
        <v>54257900</v>
      </c>
    </row>
    <row r="22" spans="1:25" ht="14.45" customHeight="1" x14ac:dyDescent="0.75">
      <c r="A22" s="45" t="s">
        <v>347</v>
      </c>
      <c r="B22" s="427">
        <f>2+1+1+1+1+1+1+1+1</f>
        <v>10</v>
      </c>
      <c r="C22" s="427">
        <f>105100+139900+152000+199100+201600+119800+148400+184100+263800</f>
        <v>1513800</v>
      </c>
      <c r="D22" s="455">
        <f>1+1+1+1+1+1+1</f>
        <v>7</v>
      </c>
      <c r="E22" s="455">
        <f>114900+382700+407300+150500+386900+492100</f>
        <v>1934400</v>
      </c>
      <c r="F22" s="82">
        <v>0</v>
      </c>
      <c r="G22" s="82">
        <v>0</v>
      </c>
      <c r="H22" s="82">
        <f>1+1+1+1</f>
        <v>4</v>
      </c>
      <c r="I22" s="82">
        <f>106000+226000+123000+1906000</f>
        <v>2361000</v>
      </c>
      <c r="J22" s="358">
        <f t="shared" si="0"/>
        <v>21</v>
      </c>
      <c r="K22" s="359">
        <f t="shared" si="1"/>
        <v>5809200</v>
      </c>
      <c r="L22" s="44"/>
      <c r="M22" s="45" t="str">
        <f t="shared" si="9"/>
        <v>&gt;100,000</v>
      </c>
      <c r="N22" s="3">
        <f t="shared" si="7"/>
        <v>14365</v>
      </c>
      <c r="O22" s="127">
        <f>N22/$J$23</f>
        <v>1</v>
      </c>
      <c r="P22" s="3">
        <f t="shared" si="8"/>
        <v>60067100</v>
      </c>
      <c r="Q22" s="127">
        <f t="shared" si="11"/>
        <v>1</v>
      </c>
      <c r="R22" s="3">
        <f>S22/12</f>
        <v>1.75</v>
      </c>
      <c r="S22" s="3">
        <f>J22</f>
        <v>21</v>
      </c>
      <c r="T22" s="3">
        <f>K22</f>
        <v>5809200</v>
      </c>
      <c r="U22" s="3">
        <f>T22/S22</f>
        <v>276628.57142857142</v>
      </c>
      <c r="V22" s="127">
        <f>T22/$K$23</f>
        <v>9.6711843921214777E-2</v>
      </c>
      <c r="W22" s="127"/>
      <c r="X22" s="3" t="str">
        <f t="shared" si="4"/>
        <v>&gt;100,000</v>
      </c>
      <c r="Y22" s="3">
        <f t="shared" si="5"/>
        <v>60067100</v>
      </c>
    </row>
    <row r="23" spans="1:25" ht="14.45" customHeight="1" thickBot="1" x14ac:dyDescent="0.5">
      <c r="A23" s="3" t="s">
        <v>40</v>
      </c>
      <c r="B23" s="3">
        <f t="shared" ref="B23:K23" si="12">SUM(B5:B22)</f>
        <v>14127</v>
      </c>
      <c r="C23" s="3">
        <f t="shared" si="12"/>
        <v>52283600</v>
      </c>
      <c r="D23" s="3">
        <f t="shared" si="12"/>
        <v>214</v>
      </c>
      <c r="E23" s="3">
        <f t="shared" si="12"/>
        <v>4876500</v>
      </c>
      <c r="F23" s="3">
        <f t="shared" si="12"/>
        <v>12</v>
      </c>
      <c r="G23" s="3">
        <f t="shared" si="12"/>
        <v>101000</v>
      </c>
      <c r="H23" s="3">
        <f t="shared" si="12"/>
        <v>12</v>
      </c>
      <c r="I23" s="3">
        <f t="shared" si="12"/>
        <v>2806000</v>
      </c>
      <c r="J23" s="360">
        <f t="shared" si="12"/>
        <v>14365</v>
      </c>
      <c r="K23" s="361">
        <f t="shared" si="12"/>
        <v>60067100</v>
      </c>
    </row>
    <row r="24" spans="1:25" ht="14.45" customHeight="1" x14ac:dyDescent="0.45">
      <c r="J24" s="196">
        <f>B23+D23+F23+H23</f>
        <v>14365</v>
      </c>
      <c r="K24" s="3">
        <f>C23+E23+G23+I23</f>
        <v>60067100</v>
      </c>
      <c r="M24" s="3">
        <v>61993100</v>
      </c>
      <c r="N24" s="3" t="s">
        <v>344</v>
      </c>
    </row>
    <row r="25" spans="1:25" ht="14.45" customHeight="1" x14ac:dyDescent="0.75">
      <c r="A25" s="3" t="s">
        <v>343</v>
      </c>
      <c r="C25" s="3">
        <f>C23/B23</f>
        <v>3700.9697741912651</v>
      </c>
      <c r="E25" s="3">
        <f>E23/D23</f>
        <v>22787.383177570093</v>
      </c>
      <c r="I25" s="3">
        <f>I23/H23</f>
        <v>233833.33333333334</v>
      </c>
      <c r="J25" s="196"/>
      <c r="M25" s="82">
        <f>1926000</f>
        <v>1926000</v>
      </c>
      <c r="N25" s="3" t="s">
        <v>345</v>
      </c>
      <c r="Q25" s="270"/>
      <c r="R25" s="271"/>
      <c r="S25" s="272" t="s">
        <v>123</v>
      </c>
      <c r="T25" s="272" t="s">
        <v>168</v>
      </c>
      <c r="U25" s="273" t="s">
        <v>224</v>
      </c>
      <c r="V25" s="273" t="s">
        <v>292</v>
      </c>
      <c r="W25" s="274" t="s">
        <v>294</v>
      </c>
    </row>
    <row r="26" spans="1:25" ht="14.45" customHeight="1" x14ac:dyDescent="0.45">
      <c r="D26" s="3">
        <v>117</v>
      </c>
      <c r="I26" s="3">
        <f>I22/H22</f>
        <v>590250</v>
      </c>
      <c r="M26" s="3">
        <f>M24-M25</f>
        <v>60067100</v>
      </c>
      <c r="N26" s="3" t="s">
        <v>346</v>
      </c>
      <c r="Q26" s="275"/>
      <c r="R26" s="276" t="s">
        <v>224</v>
      </c>
      <c r="S26" s="277">
        <f>S10</f>
        <v>13707</v>
      </c>
      <c r="T26" s="277">
        <f>T10</f>
        <v>40456000</v>
      </c>
      <c r="U26" s="277">
        <f>T26</f>
        <v>40456000</v>
      </c>
      <c r="V26" s="277"/>
      <c r="W26" s="278"/>
    </row>
    <row r="27" spans="1:25" ht="14.45" customHeight="1" x14ac:dyDescent="0.45">
      <c r="B27" s="1"/>
      <c r="C27" s="1"/>
      <c r="D27" s="1">
        <v>97</v>
      </c>
      <c r="E27" s="1"/>
      <c r="M27" s="45" t="str">
        <f>IF(M26=K24,"OK","Out of Balance")</f>
        <v>OK</v>
      </c>
      <c r="Q27" s="275"/>
      <c r="R27" s="276" t="s">
        <v>292</v>
      </c>
      <c r="S27" s="277">
        <f>S21</f>
        <v>637</v>
      </c>
      <c r="T27" s="277">
        <f>T21</f>
        <v>13801900</v>
      </c>
      <c r="U27" s="277">
        <f>S27*10000</f>
        <v>6370000</v>
      </c>
      <c r="V27" s="277">
        <f>T27-U27</f>
        <v>7431900</v>
      </c>
      <c r="W27" s="278"/>
    </row>
    <row r="28" spans="1:25" ht="14.45" customHeight="1" x14ac:dyDescent="0.75">
      <c r="B28" s="1"/>
      <c r="C28" s="1"/>
      <c r="D28" s="1"/>
      <c r="E28" s="1"/>
      <c r="Q28" s="275"/>
      <c r="R28" s="276" t="s">
        <v>294</v>
      </c>
      <c r="S28" s="277">
        <f>S22</f>
        <v>21</v>
      </c>
      <c r="T28" s="279">
        <f>T22</f>
        <v>5809200</v>
      </c>
      <c r="U28" s="279">
        <f>S28*10000</f>
        <v>210000</v>
      </c>
      <c r="V28" s="279">
        <f>S28*90000</f>
        <v>1890000</v>
      </c>
      <c r="W28" s="280">
        <f>T28-U28-V28</f>
        <v>3709200</v>
      </c>
    </row>
    <row r="29" spans="1:25" ht="14.45" customHeight="1" x14ac:dyDescent="0.45">
      <c r="B29" s="1"/>
      <c r="C29" s="1"/>
      <c r="D29" s="1"/>
      <c r="E29" s="1"/>
      <c r="Q29" s="281"/>
      <c r="R29" s="282"/>
      <c r="S29" s="282"/>
      <c r="T29" s="283">
        <f>SUM(T26:T28)</f>
        <v>60067100</v>
      </c>
      <c r="U29" s="283">
        <f>SUM(U26:U28)</f>
        <v>47036000</v>
      </c>
      <c r="V29" s="283">
        <f>SUM(V26:V28)</f>
        <v>9321900</v>
      </c>
      <c r="W29" s="284">
        <f>SUM(W26:W28)</f>
        <v>3709200</v>
      </c>
      <c r="Y29" s="3">
        <f>SUM(U29:W29)</f>
        <v>60067100</v>
      </c>
    </row>
    <row r="30" spans="1:25" x14ac:dyDescent="0.45">
      <c r="C30" s="117"/>
    </row>
  </sheetData>
  <mergeCells count="9">
    <mergeCell ref="A1:C1"/>
    <mergeCell ref="N3:Q3"/>
    <mergeCell ref="S3:U3"/>
    <mergeCell ref="B3:C3"/>
    <mergeCell ref="D3:E3"/>
    <mergeCell ref="H3:I3"/>
    <mergeCell ref="J3:K3"/>
    <mergeCell ref="F3:G3"/>
    <mergeCell ref="F2:G2"/>
  </mergeCells>
  <printOptions horizontalCentered="1"/>
  <pageMargins left="0.7" right="0.7" top="1.5" bottom="0.75" header="0.3" footer="0.3"/>
  <pageSetup fitToHeight="0" orientation="landscape" horizontalDpi="4294967293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workbookViewId="0">
      <selection sqref="A1:J27"/>
    </sheetView>
  </sheetViews>
  <sheetFormatPr defaultColWidth="8.88671875" defaultRowHeight="14.25" x14ac:dyDescent="0.45"/>
  <cols>
    <col min="1" max="1" width="8" style="1" customWidth="1"/>
    <col min="2" max="2" width="7.77734375" style="1" customWidth="1"/>
    <col min="3" max="3" width="7.21875" style="1" customWidth="1"/>
    <col min="4" max="7" width="10.77734375" style="1" customWidth="1"/>
    <col min="8" max="9" width="9.77734375" style="1" customWidth="1"/>
    <col min="10" max="10" width="11" style="1" customWidth="1"/>
    <col min="11" max="11" width="10.33203125" style="1" customWidth="1"/>
    <col min="12" max="12" width="5.21875" style="1" customWidth="1"/>
    <col min="13" max="16384" width="8.88671875" style="1"/>
  </cols>
  <sheetData>
    <row r="1" spans="1:13" ht="18" x14ac:dyDescent="0.55000000000000004">
      <c r="A1" s="502" t="s">
        <v>342</v>
      </c>
      <c r="B1" s="502"/>
      <c r="C1" s="502"/>
      <c r="D1" s="502"/>
      <c r="E1" s="502"/>
      <c r="F1" s="502"/>
      <c r="G1" s="502"/>
      <c r="H1" s="502"/>
      <c r="I1" s="161"/>
      <c r="J1" s="161"/>
      <c r="K1" s="161"/>
    </row>
    <row r="2" spans="1:13" ht="18" x14ac:dyDescent="0.45">
      <c r="A2" s="485" t="s">
        <v>252</v>
      </c>
      <c r="B2" s="485"/>
      <c r="C2" s="485"/>
      <c r="D2" s="485"/>
      <c r="E2" s="485"/>
      <c r="F2" s="485"/>
      <c r="G2" s="485"/>
      <c r="H2" s="485"/>
      <c r="I2" s="80"/>
      <c r="J2" s="80"/>
      <c r="K2" s="80"/>
    </row>
    <row r="3" spans="1:13" ht="15" customHeight="1" x14ac:dyDescent="0.45"/>
    <row r="4" spans="1:13" x14ac:dyDescent="0.45">
      <c r="C4" s="51" t="s">
        <v>85</v>
      </c>
    </row>
    <row r="5" spans="1:13" x14ac:dyDescent="0.45">
      <c r="C5" s="83"/>
      <c r="D5" s="17"/>
      <c r="E5" s="8" t="s">
        <v>75</v>
      </c>
      <c r="F5" s="8" t="s">
        <v>46</v>
      </c>
      <c r="G5" s="8" t="s">
        <v>44</v>
      </c>
      <c r="H5" s="2"/>
      <c r="I5" s="2"/>
      <c r="L5" s="84"/>
    </row>
    <row r="6" spans="1:13" x14ac:dyDescent="0.45">
      <c r="C6" s="1" t="s">
        <v>255</v>
      </c>
      <c r="E6" s="3">
        <f>C19</f>
        <v>14365</v>
      </c>
      <c r="F6" s="45">
        <f>D19</f>
        <v>60067100</v>
      </c>
      <c r="G6" s="47">
        <f>F27</f>
        <v>727556.0070000001</v>
      </c>
      <c r="H6" s="47"/>
      <c r="I6" s="47"/>
      <c r="L6" s="84"/>
    </row>
    <row r="7" spans="1:13" ht="16.5" x14ac:dyDescent="0.75">
      <c r="C7" s="1" t="s">
        <v>256</v>
      </c>
      <c r="F7" s="45"/>
      <c r="G7" s="458">
        <f>-17635.6</f>
        <v>-17635.599999999999</v>
      </c>
      <c r="H7" s="44"/>
      <c r="I7" s="44"/>
      <c r="J7" s="3"/>
      <c r="K7" s="84"/>
      <c r="L7" s="84"/>
    </row>
    <row r="8" spans="1:13" ht="20.100000000000001" customHeight="1" x14ac:dyDescent="0.45">
      <c r="C8" s="131" t="s">
        <v>120</v>
      </c>
      <c r="D8" s="100"/>
      <c r="E8" s="100"/>
      <c r="F8" s="100"/>
      <c r="G8" s="132">
        <f>G6+G7</f>
        <v>709920.40700000012</v>
      </c>
      <c r="H8" s="81"/>
      <c r="I8" s="81"/>
      <c r="J8" s="81"/>
      <c r="K8" s="86" t="s">
        <v>409</v>
      </c>
      <c r="L8" s="84"/>
    </row>
    <row r="9" spans="1:13" ht="20.100000000000001" customHeight="1" x14ac:dyDescent="0.45">
      <c r="C9" s="131" t="s">
        <v>358</v>
      </c>
      <c r="D9" s="100"/>
      <c r="E9" s="100"/>
      <c r="F9" s="100"/>
      <c r="G9" s="459">
        <f>SAO!F9</f>
        <v>717547</v>
      </c>
      <c r="H9" s="81"/>
      <c r="I9" s="81"/>
      <c r="J9" s="81"/>
      <c r="K9" s="86"/>
      <c r="L9" s="84"/>
    </row>
    <row r="10" spans="1:13" ht="20.100000000000001" customHeight="1" x14ac:dyDescent="0.45">
      <c r="C10" s="131" t="s">
        <v>9</v>
      </c>
      <c r="D10" s="100"/>
      <c r="E10" s="100"/>
      <c r="F10" s="100"/>
      <c r="G10" s="132">
        <f>G8-G9</f>
        <v>-7626.5929999998771</v>
      </c>
      <c r="H10" s="117">
        <f>G10/G9</f>
        <v>-1.0628701673897149E-2</v>
      </c>
      <c r="I10" s="81"/>
      <c r="J10" s="81"/>
      <c r="K10" s="86"/>
      <c r="L10" s="84"/>
    </row>
    <row r="11" spans="1:13" ht="15" customHeight="1" x14ac:dyDescent="0.45">
      <c r="C11" s="100"/>
      <c r="F11" s="10"/>
      <c r="G11" s="475"/>
      <c r="J11" s="81"/>
      <c r="K11" s="86"/>
      <c r="L11" s="84"/>
    </row>
    <row r="12" spans="1:13" ht="15.75" x14ac:dyDescent="0.5">
      <c r="A12" s="79" t="s">
        <v>254</v>
      </c>
      <c r="I12"/>
      <c r="M12"/>
    </row>
    <row r="13" spans="1:13" ht="15.4" x14ac:dyDescent="0.45">
      <c r="E13" s="2" t="s">
        <v>47</v>
      </c>
      <c r="F13" s="2" t="s">
        <v>71</v>
      </c>
      <c r="G13" s="2" t="s">
        <v>71</v>
      </c>
      <c r="H13" s="2" t="s">
        <v>48</v>
      </c>
      <c r="I13"/>
      <c r="L13"/>
    </row>
    <row r="14" spans="1:13" ht="15.4" x14ac:dyDescent="0.45">
      <c r="B14" s="8" t="s">
        <v>49</v>
      </c>
      <c r="C14" s="9" t="s">
        <v>50</v>
      </c>
      <c r="D14" s="9" t="s">
        <v>51</v>
      </c>
      <c r="E14" s="9">
        <f>B15</f>
        <v>2000</v>
      </c>
      <c r="F14" s="9">
        <f>B16</f>
        <v>3000</v>
      </c>
      <c r="G14" s="9">
        <f>B17</f>
        <v>5000</v>
      </c>
      <c r="H14" s="9">
        <f>B18</f>
        <v>10000</v>
      </c>
      <c r="I14"/>
      <c r="J14" s="8" t="s">
        <v>52</v>
      </c>
      <c r="L14"/>
    </row>
    <row r="15" spans="1:13" ht="15.4" x14ac:dyDescent="0.45">
      <c r="A15" s="10" t="s">
        <v>47</v>
      </c>
      <c r="B15" s="11">
        <v>2000</v>
      </c>
      <c r="C15" s="48">
        <f>Usage!J5+Usage!J6</f>
        <v>5336</v>
      </c>
      <c r="D15" s="48">
        <f>Usage!K5+Usage!K6</f>
        <v>5361800</v>
      </c>
      <c r="E15" s="48">
        <f>D15</f>
        <v>5361800</v>
      </c>
      <c r="F15" s="48">
        <v>0</v>
      </c>
      <c r="G15" s="48"/>
      <c r="H15" s="48">
        <v>0</v>
      </c>
      <c r="I15"/>
      <c r="J15" s="48">
        <f>SUM(E15:H15)</f>
        <v>5361800</v>
      </c>
      <c r="L15"/>
    </row>
    <row r="16" spans="1:13" ht="15.4" x14ac:dyDescent="0.45">
      <c r="A16" s="10" t="s">
        <v>71</v>
      </c>
      <c r="B16" s="11">
        <v>3000</v>
      </c>
      <c r="C16" s="48">
        <f>SUM(Usage!J7:J9)</f>
        <v>6233</v>
      </c>
      <c r="D16" s="48">
        <f>SUM(Usage!K7:K9)</f>
        <v>20775500</v>
      </c>
      <c r="E16" s="48">
        <f>C16*E$14</f>
        <v>12466000</v>
      </c>
      <c r="F16" s="48">
        <f>D16-E16</f>
        <v>8309500</v>
      </c>
      <c r="G16" s="48"/>
      <c r="H16" s="48">
        <v>0</v>
      </c>
      <c r="I16"/>
      <c r="J16" s="48">
        <f>SUM(E16:H16)</f>
        <v>20775500</v>
      </c>
      <c r="L16"/>
    </row>
    <row r="17" spans="1:13" ht="15.4" x14ac:dyDescent="0.45">
      <c r="A17" s="10" t="s">
        <v>71</v>
      </c>
      <c r="B17" s="11">
        <v>5000</v>
      </c>
      <c r="C17" s="48">
        <f>Usage!J10</f>
        <v>2138</v>
      </c>
      <c r="D17" s="48">
        <f>Usage!K10</f>
        <v>14318700</v>
      </c>
      <c r="E17" s="48">
        <f>C17*E$14</f>
        <v>4276000</v>
      </c>
      <c r="F17" s="48">
        <f>$C17*F$14</f>
        <v>6414000</v>
      </c>
      <c r="G17" s="48">
        <f>D17-(E17+F17)</f>
        <v>3628700</v>
      </c>
      <c r="H17" s="48"/>
      <c r="I17"/>
      <c r="J17" s="48">
        <f>SUM(E17:H17)</f>
        <v>14318700</v>
      </c>
      <c r="L17"/>
    </row>
    <row r="18" spans="1:13" ht="15.4" x14ac:dyDescent="0.45">
      <c r="A18" s="10" t="s">
        <v>48</v>
      </c>
      <c r="B18" s="13">
        <v>10000</v>
      </c>
      <c r="C18" s="49">
        <f>SUM(Usage!J11:J22)</f>
        <v>658</v>
      </c>
      <c r="D18" s="49">
        <f>SUM(Usage!K11:K22)</f>
        <v>19611100</v>
      </c>
      <c r="E18" s="49">
        <f>C18*E$14</f>
        <v>1316000</v>
      </c>
      <c r="F18" s="49">
        <f>$C18*F$14</f>
        <v>1974000</v>
      </c>
      <c r="G18" s="49">
        <f>$C18*G$14</f>
        <v>3290000</v>
      </c>
      <c r="H18" s="49">
        <f>D18-(F18+E18+G18)</f>
        <v>13031100</v>
      </c>
      <c r="I18"/>
      <c r="J18" s="49">
        <f>SUM(E18:H18)</f>
        <v>19611100</v>
      </c>
      <c r="L18"/>
    </row>
    <row r="19" spans="1:13" ht="15.4" x14ac:dyDescent="0.45">
      <c r="A19" s="10"/>
      <c r="B19" s="11"/>
      <c r="C19" s="50">
        <f t="shared" ref="C19:J19" si="0">SUM(C15:C18)</f>
        <v>14365</v>
      </c>
      <c r="D19" s="50">
        <f t="shared" si="0"/>
        <v>60067100</v>
      </c>
      <c r="E19" s="50">
        <f t="shared" si="0"/>
        <v>23419800</v>
      </c>
      <c r="F19" s="50">
        <f t="shared" si="0"/>
        <v>16697500</v>
      </c>
      <c r="G19" s="50">
        <f t="shared" si="0"/>
        <v>6918700</v>
      </c>
      <c r="H19" s="50">
        <f t="shared" si="0"/>
        <v>13031100</v>
      </c>
      <c r="I19"/>
      <c r="J19" s="50">
        <f t="shared" si="0"/>
        <v>60067100</v>
      </c>
      <c r="K19" s="33"/>
      <c r="L19"/>
    </row>
    <row r="20" spans="1:13" ht="15.4" x14ac:dyDescent="0.45">
      <c r="A20" s="10"/>
      <c r="B20" s="11"/>
      <c r="D20" s="11"/>
      <c r="E20" s="11"/>
      <c r="F20" s="11"/>
      <c r="G20" s="11"/>
      <c r="H20" s="11"/>
      <c r="I20"/>
      <c r="J20" s="11"/>
      <c r="K20" s="11"/>
      <c r="M20"/>
    </row>
    <row r="21" spans="1:13" ht="15.4" x14ac:dyDescent="0.45">
      <c r="A21" s="15" t="s">
        <v>53</v>
      </c>
      <c r="B21" s="15"/>
      <c r="D21" s="11"/>
      <c r="E21" s="11"/>
      <c r="F21" s="11"/>
      <c r="G21" s="11"/>
      <c r="H21" s="11"/>
      <c r="I21"/>
      <c r="J21" s="11"/>
      <c r="K21" s="11"/>
      <c r="M21"/>
    </row>
    <row r="22" spans="1:13" ht="15.4" x14ac:dyDescent="0.45">
      <c r="A22" s="10"/>
      <c r="B22" s="8"/>
      <c r="C22" s="9" t="s">
        <v>50</v>
      </c>
      <c r="D22" s="8" t="s">
        <v>51</v>
      </c>
      <c r="E22" s="9" t="s">
        <v>54</v>
      </c>
      <c r="F22" s="9" t="s">
        <v>55</v>
      </c>
      <c r="G22" s="11"/>
      <c r="H22" s="11"/>
      <c r="I22"/>
      <c r="J22" s="11"/>
      <c r="K22" s="11"/>
      <c r="M22"/>
    </row>
    <row r="23" spans="1:13" ht="15.4" x14ac:dyDescent="0.45">
      <c r="A23" s="10" t="s">
        <v>47</v>
      </c>
      <c r="B23" s="11">
        <f>B15</f>
        <v>2000</v>
      </c>
      <c r="C23" s="12">
        <f>C19</f>
        <v>14365</v>
      </c>
      <c r="D23" s="48">
        <f>E19</f>
        <v>23419800</v>
      </c>
      <c r="E23" s="16">
        <v>28.32</v>
      </c>
      <c r="F23" s="6">
        <f>E23*C23</f>
        <v>406816.8</v>
      </c>
      <c r="G23" s="11"/>
      <c r="I23"/>
      <c r="K23" s="11"/>
      <c r="M23"/>
    </row>
    <row r="24" spans="1:13" ht="15.4" x14ac:dyDescent="0.45">
      <c r="A24" s="10" t="s">
        <v>71</v>
      </c>
      <c r="B24" s="11">
        <f>B16</f>
        <v>3000</v>
      </c>
      <c r="D24" s="48">
        <f>F19</f>
        <v>16697500</v>
      </c>
      <c r="E24" s="29">
        <v>9.85</v>
      </c>
      <c r="F24" s="3">
        <f>E24*(D24/1000)</f>
        <v>164470.375</v>
      </c>
      <c r="G24" s="11"/>
      <c r="K24" s="11"/>
      <c r="M24"/>
    </row>
    <row r="25" spans="1:13" ht="15.4" x14ac:dyDescent="0.45">
      <c r="A25" s="10" t="s">
        <v>71</v>
      </c>
      <c r="B25" s="11">
        <f>B17</f>
        <v>5000</v>
      </c>
      <c r="D25" s="48">
        <f>G19</f>
        <v>6918700</v>
      </c>
      <c r="E25" s="29">
        <v>8.6300000000000008</v>
      </c>
      <c r="F25" s="3">
        <f>E25*(D25/1000)</f>
        <v>59708.381000000001</v>
      </c>
      <c r="G25" s="11"/>
      <c r="K25" s="11"/>
      <c r="M25"/>
    </row>
    <row r="26" spans="1:13" x14ac:dyDescent="0.45">
      <c r="A26" s="10" t="s">
        <v>48</v>
      </c>
      <c r="B26" s="13">
        <f>B18</f>
        <v>10000</v>
      </c>
      <c r="C26" s="17"/>
      <c r="D26" s="49">
        <f>H19</f>
        <v>13031100</v>
      </c>
      <c r="E26" s="18">
        <v>7.41</v>
      </c>
      <c r="F26" s="52">
        <f>E26*(D26/1000)</f>
        <v>96560.451000000001</v>
      </c>
      <c r="G26" s="11"/>
      <c r="K26" s="11"/>
    </row>
    <row r="27" spans="1:13" x14ac:dyDescent="0.45">
      <c r="A27" s="10"/>
      <c r="B27" s="11" t="s">
        <v>52</v>
      </c>
      <c r="C27" s="3">
        <f>SUM(C23:C26)</f>
        <v>14365</v>
      </c>
      <c r="D27" s="50">
        <f>SUM(D23:D26)</f>
        <v>60067100</v>
      </c>
      <c r="F27" s="6">
        <f>SUM(F23:F26)</f>
        <v>727556.0070000001</v>
      </c>
      <c r="G27" s="11"/>
      <c r="H27" s="11"/>
      <c r="I27" s="11"/>
      <c r="J27" s="11"/>
      <c r="K27" s="11"/>
    </row>
    <row r="28" spans="1:13" x14ac:dyDescent="0.45">
      <c r="A28" s="10"/>
      <c r="B28" s="11"/>
      <c r="C28" s="3"/>
      <c r="D28" s="50"/>
      <c r="F28" s="6"/>
      <c r="G28" s="11"/>
      <c r="H28" s="11"/>
      <c r="I28" s="11"/>
      <c r="J28" s="11"/>
      <c r="K28" s="11"/>
    </row>
  </sheetData>
  <mergeCells count="2">
    <mergeCell ref="A1:H1"/>
    <mergeCell ref="A2:H2"/>
  </mergeCells>
  <printOptions horizontalCentered="1"/>
  <pageMargins left="0.7" right="0.6" top="0.6" bottom="0.6" header="0.3" footer="0.3"/>
  <pageSetup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65"/>
  <sheetViews>
    <sheetView topLeftCell="A17" zoomScaleNormal="100" workbookViewId="0">
      <selection activeCell="A31" sqref="A31:XFD31"/>
    </sheetView>
  </sheetViews>
  <sheetFormatPr defaultColWidth="8.88671875" defaultRowHeight="14.25" x14ac:dyDescent="0.45"/>
  <cols>
    <col min="1" max="1" width="9.88671875" style="1" customWidth="1"/>
    <col min="2" max="2" width="8.109375" style="1" customWidth="1"/>
    <col min="3" max="3" width="7.21875" style="1" customWidth="1"/>
    <col min="4" max="5" width="10.77734375" style="1" customWidth="1"/>
    <col min="6" max="6" width="10.33203125" style="1" customWidth="1"/>
    <col min="7" max="7" width="10.77734375" style="1" customWidth="1"/>
    <col min="8" max="10" width="9.77734375" style="1" customWidth="1"/>
    <col min="11" max="11" width="10.33203125" style="1" customWidth="1"/>
    <col min="12" max="12" width="10.21875" style="1" bestFit="1" customWidth="1"/>
    <col min="13" max="16384" width="8.88671875" style="1"/>
  </cols>
  <sheetData>
    <row r="1" spans="1:11" ht="18" x14ac:dyDescent="0.55000000000000004">
      <c r="A1" s="502" t="s">
        <v>411</v>
      </c>
      <c r="B1" s="502"/>
      <c r="C1" s="502"/>
      <c r="D1" s="502"/>
      <c r="E1" s="502"/>
      <c r="F1" s="502"/>
      <c r="G1" s="502"/>
      <c r="H1" s="502"/>
      <c r="I1" s="161"/>
      <c r="J1" s="161"/>
      <c r="K1" s="161"/>
    </row>
    <row r="2" spans="1:11" ht="18" x14ac:dyDescent="0.45">
      <c r="A2" s="485" t="s">
        <v>252</v>
      </c>
      <c r="B2" s="485"/>
      <c r="C2" s="485"/>
      <c r="D2" s="485"/>
      <c r="E2" s="485"/>
      <c r="F2" s="485"/>
      <c r="G2" s="485"/>
      <c r="H2" s="485"/>
      <c r="I2" s="80"/>
      <c r="J2" s="80"/>
      <c r="K2" s="80"/>
    </row>
    <row r="3" spans="1:11" ht="15" customHeight="1" x14ac:dyDescent="0.45"/>
    <row r="4" spans="1:11" x14ac:dyDescent="0.45">
      <c r="B4" s="51" t="s">
        <v>85</v>
      </c>
    </row>
    <row r="5" spans="1:11" x14ac:dyDescent="0.45">
      <c r="B5" s="83"/>
      <c r="C5" s="17"/>
      <c r="D5" s="8" t="s">
        <v>75</v>
      </c>
      <c r="E5" s="8" t="s">
        <v>46</v>
      </c>
      <c r="F5" s="8" t="s">
        <v>44</v>
      </c>
      <c r="H5" s="2"/>
      <c r="I5" s="2"/>
    </row>
    <row r="6" spans="1:11" x14ac:dyDescent="0.45">
      <c r="B6" s="1" t="s">
        <v>97</v>
      </c>
      <c r="D6" s="3">
        <f>C22</f>
        <v>14127</v>
      </c>
      <c r="E6" s="45">
        <f>D22</f>
        <v>52283600</v>
      </c>
      <c r="F6" s="47">
        <f>F30</f>
        <v>825172.60999999987</v>
      </c>
      <c r="H6" s="47"/>
      <c r="I6" s="47"/>
    </row>
    <row r="7" spans="1:11" x14ac:dyDescent="0.45">
      <c r="B7" s="1" t="s">
        <v>98</v>
      </c>
      <c r="D7" s="3">
        <f>C42</f>
        <v>226</v>
      </c>
      <c r="E7" s="45">
        <f>D42</f>
        <v>4977500</v>
      </c>
      <c r="F7" s="3">
        <f>F50</f>
        <v>51611.242999999995</v>
      </c>
      <c r="H7" s="3"/>
      <c r="I7" s="3"/>
    </row>
    <row r="8" spans="1:11" ht="16.5" x14ac:dyDescent="0.75">
      <c r="B8" s="1" t="s">
        <v>306</v>
      </c>
      <c r="D8" s="44">
        <f>C65</f>
        <v>12</v>
      </c>
      <c r="E8" s="78">
        <f>D65</f>
        <v>2806000</v>
      </c>
      <c r="F8" s="44">
        <f>F65</f>
        <v>25292.69</v>
      </c>
      <c r="H8" s="3"/>
      <c r="I8" s="3"/>
    </row>
    <row r="9" spans="1:11" x14ac:dyDescent="0.45">
      <c r="B9" s="1" t="s">
        <v>304</v>
      </c>
      <c r="D9" s="33">
        <f>SUM(D6:D8)</f>
        <v>14365</v>
      </c>
      <c r="E9" s="33">
        <f>SUM(E6:E8)</f>
        <v>60067100</v>
      </c>
      <c r="F9" s="81">
        <f>SUM(F6:F8)</f>
        <v>902076.54299999983</v>
      </c>
      <c r="H9" s="4"/>
      <c r="I9" s="4"/>
      <c r="K9" s="46"/>
    </row>
    <row r="10" spans="1:11" ht="16.5" x14ac:dyDescent="0.75">
      <c r="B10" s="1" t="s">
        <v>256</v>
      </c>
      <c r="E10" s="45"/>
      <c r="F10" s="82">
        <f>ExBA!G7*(1+SAO!I64)</f>
        <v>-21314.386160000002</v>
      </c>
      <c r="J10" s="47"/>
      <c r="K10" s="5"/>
    </row>
    <row r="11" spans="1:11" ht="20.100000000000001" customHeight="1" x14ac:dyDescent="0.45">
      <c r="B11" s="131" t="s">
        <v>305</v>
      </c>
      <c r="C11" s="100"/>
      <c r="D11" s="100"/>
      <c r="E11" s="100"/>
      <c r="F11" s="132">
        <f>F9+F10</f>
        <v>880762.15683999984</v>
      </c>
      <c r="J11" s="47"/>
    </row>
    <row r="12" spans="1:11" ht="20.100000000000001" customHeight="1" x14ac:dyDescent="0.45">
      <c r="B12" s="131" t="s">
        <v>355</v>
      </c>
      <c r="C12" s="100"/>
      <c r="D12" s="100"/>
      <c r="E12" s="100"/>
      <c r="F12" s="132">
        <f>SAO!I61</f>
        <v>879006.24315741111</v>
      </c>
      <c r="J12" s="47"/>
    </row>
    <row r="13" spans="1:11" ht="20.100000000000001" customHeight="1" x14ac:dyDescent="0.45">
      <c r="B13" s="131" t="s">
        <v>356</v>
      </c>
      <c r="C13" s="100"/>
      <c r="D13" s="100"/>
      <c r="E13" s="100"/>
      <c r="F13" s="132">
        <f>F11-F12</f>
        <v>1755.9136825887254</v>
      </c>
      <c r="G13" s="117">
        <f>F13/F12</f>
        <v>1.9976122994092081E-3</v>
      </c>
      <c r="J13" s="47"/>
    </row>
    <row r="14" spans="1:11" ht="16.05" customHeight="1" x14ac:dyDescent="0.75">
      <c r="F14" s="10"/>
      <c r="G14" s="82"/>
      <c r="J14" s="81"/>
      <c r="K14" s="86"/>
    </row>
    <row r="15" spans="1:11" ht="15.75" x14ac:dyDescent="0.5">
      <c r="A15" s="79" t="s">
        <v>95</v>
      </c>
      <c r="I15"/>
    </row>
    <row r="16" spans="1:11" ht="15.4" x14ac:dyDescent="0.45">
      <c r="E16" s="2" t="s">
        <v>47</v>
      </c>
      <c r="F16" s="2" t="s">
        <v>71</v>
      </c>
      <c r="G16" s="2" t="s">
        <v>71</v>
      </c>
      <c r="H16" s="2" t="s">
        <v>48</v>
      </c>
      <c r="I16"/>
    </row>
    <row r="17" spans="1:11" ht="15.4" x14ac:dyDescent="0.45">
      <c r="B17" s="8" t="s">
        <v>49</v>
      </c>
      <c r="C17" s="9" t="s">
        <v>50</v>
      </c>
      <c r="D17" s="9" t="s">
        <v>51</v>
      </c>
      <c r="E17" s="9">
        <f>B18</f>
        <v>2000</v>
      </c>
      <c r="F17" s="9">
        <f>B19</f>
        <v>8000</v>
      </c>
      <c r="G17" s="9">
        <f>B20</f>
        <v>90000</v>
      </c>
      <c r="H17" s="9">
        <f>B21</f>
        <v>100000</v>
      </c>
      <c r="I17"/>
      <c r="J17" s="8" t="s">
        <v>52</v>
      </c>
    </row>
    <row r="18" spans="1:11" ht="15.4" x14ac:dyDescent="0.45">
      <c r="A18" s="10" t="s">
        <v>47</v>
      </c>
      <c r="B18" s="11">
        <v>2000</v>
      </c>
      <c r="C18" s="48">
        <f>SUM(Usage!B5:B6)</f>
        <v>5290</v>
      </c>
      <c r="D18" s="48">
        <f>SUM(Usage!C5:C6)</f>
        <v>5321800</v>
      </c>
      <c r="E18" s="48">
        <f>D18</f>
        <v>5321800</v>
      </c>
      <c r="F18" s="48">
        <v>0</v>
      </c>
      <c r="G18" s="48"/>
      <c r="H18" s="48">
        <v>0</v>
      </c>
      <c r="I18"/>
      <c r="J18" s="48">
        <f>SUM(E18:H18)</f>
        <v>5321800</v>
      </c>
    </row>
    <row r="19" spans="1:11" ht="15.4" x14ac:dyDescent="0.45">
      <c r="A19" s="10" t="s">
        <v>71</v>
      </c>
      <c r="B19" s="11">
        <v>8000</v>
      </c>
      <c r="C19" s="48">
        <f>SUM(Usage!B7:B10)</f>
        <v>8260</v>
      </c>
      <c r="D19" s="48">
        <f>SUM(Usage!C7:C10)</f>
        <v>34435200</v>
      </c>
      <c r="E19" s="48">
        <f>C19*E$17</f>
        <v>16520000</v>
      </c>
      <c r="F19" s="48">
        <f>D19-E19</f>
        <v>17915200</v>
      </c>
      <c r="G19" s="48"/>
      <c r="H19" s="48">
        <v>0</v>
      </c>
      <c r="I19"/>
      <c r="J19" s="48">
        <f>SUM(E19:H19)</f>
        <v>34435200</v>
      </c>
    </row>
    <row r="20" spans="1:11" ht="15.4" x14ac:dyDescent="0.45">
      <c r="A20" s="10" t="s">
        <v>71</v>
      </c>
      <c r="B20" s="11">
        <v>90000</v>
      </c>
      <c r="C20" s="48">
        <f>SUM(Usage!B11:B21)</f>
        <v>567</v>
      </c>
      <c r="D20" s="48">
        <f>SUM(Usage!C11:C21)</f>
        <v>11012800</v>
      </c>
      <c r="E20" s="48">
        <f>C20*E$17</f>
        <v>1134000</v>
      </c>
      <c r="F20" s="48">
        <f>$C20*F$17</f>
        <v>4536000</v>
      </c>
      <c r="G20" s="48">
        <f>D20-(E20+F20)</f>
        <v>5342800</v>
      </c>
      <c r="H20" s="48"/>
      <c r="I20"/>
      <c r="J20" s="48">
        <f>SUM(E20:H20)</f>
        <v>11012800</v>
      </c>
    </row>
    <row r="21" spans="1:11" ht="15.4" x14ac:dyDescent="0.45">
      <c r="A21" s="10" t="s">
        <v>48</v>
      </c>
      <c r="B21" s="13">
        <v>100000</v>
      </c>
      <c r="C21" s="49">
        <f>Usage!B22</f>
        <v>10</v>
      </c>
      <c r="D21" s="49">
        <f>Usage!C22</f>
        <v>1513800</v>
      </c>
      <c r="E21" s="49">
        <f>C21*E$17</f>
        <v>20000</v>
      </c>
      <c r="F21" s="49">
        <f>$C21*F$17</f>
        <v>80000</v>
      </c>
      <c r="G21" s="49">
        <f>$C21*G$17</f>
        <v>900000</v>
      </c>
      <c r="H21" s="49">
        <f>D21-(F21+E21+G21)</f>
        <v>513800</v>
      </c>
      <c r="I21"/>
      <c r="J21" s="49">
        <f>SUM(E21:H21)</f>
        <v>1513800</v>
      </c>
    </row>
    <row r="22" spans="1:11" ht="15.4" x14ac:dyDescent="0.45">
      <c r="A22" s="10"/>
      <c r="B22" s="11"/>
      <c r="C22" s="50">
        <f t="shared" ref="C22:J22" si="0">SUM(C18:C21)</f>
        <v>14127</v>
      </c>
      <c r="D22" s="50">
        <f t="shared" si="0"/>
        <v>52283600</v>
      </c>
      <c r="E22" s="50">
        <f t="shared" si="0"/>
        <v>22995800</v>
      </c>
      <c r="F22" s="50">
        <f t="shared" si="0"/>
        <v>22531200</v>
      </c>
      <c r="G22" s="50">
        <f t="shared" si="0"/>
        <v>6242800</v>
      </c>
      <c r="H22" s="50">
        <f t="shared" si="0"/>
        <v>513800</v>
      </c>
      <c r="I22"/>
      <c r="J22" s="50">
        <f t="shared" si="0"/>
        <v>52283600</v>
      </c>
    </row>
    <row r="23" spans="1:11" ht="15.4" x14ac:dyDescent="0.45">
      <c r="A23" s="10"/>
      <c r="B23" s="11"/>
      <c r="D23" s="11"/>
      <c r="E23" s="11"/>
      <c r="F23" s="11"/>
      <c r="G23" s="11"/>
      <c r="H23" s="11"/>
      <c r="I23"/>
      <c r="J23" s="11"/>
      <c r="K23" s="11"/>
    </row>
    <row r="24" spans="1:11" ht="15.4" x14ac:dyDescent="0.45">
      <c r="A24" s="15" t="s">
        <v>53</v>
      </c>
      <c r="B24" s="15"/>
      <c r="D24" s="11"/>
      <c r="E24" s="11"/>
      <c r="F24" s="11"/>
      <c r="G24" s="11"/>
      <c r="H24" s="11"/>
      <c r="I24"/>
      <c r="J24" s="11"/>
      <c r="K24" s="11"/>
    </row>
    <row r="25" spans="1:11" ht="15.4" x14ac:dyDescent="0.45">
      <c r="A25" s="10"/>
      <c r="B25" s="8"/>
      <c r="C25" s="9" t="s">
        <v>50</v>
      </c>
      <c r="D25" s="8" t="s">
        <v>51</v>
      </c>
      <c r="E25" s="9" t="s">
        <v>54</v>
      </c>
      <c r="F25" s="9" t="s">
        <v>55</v>
      </c>
      <c r="G25" s="11"/>
      <c r="H25" s="11"/>
      <c r="I25"/>
      <c r="J25" s="11"/>
      <c r="K25" s="11"/>
    </row>
    <row r="26" spans="1:11" x14ac:dyDescent="0.45">
      <c r="A26" s="10" t="s">
        <v>47</v>
      </c>
      <c r="B26" s="11">
        <f>B18</f>
        <v>2000</v>
      </c>
      <c r="C26" s="12">
        <f>C22</f>
        <v>14127</v>
      </c>
      <c r="D26" s="48">
        <f>E22</f>
        <v>22995800</v>
      </c>
      <c r="E26" s="16">
        <f>Rates!L12</f>
        <v>34.769999999999996</v>
      </c>
      <c r="F26" s="6">
        <f>E26*C26</f>
        <v>491195.78999999992</v>
      </c>
      <c r="G26" s="11"/>
      <c r="K26" s="11"/>
    </row>
    <row r="27" spans="1:11" x14ac:dyDescent="0.45">
      <c r="A27" s="10" t="s">
        <v>71</v>
      </c>
      <c r="B27" s="11">
        <f>B19</f>
        <v>8000</v>
      </c>
      <c r="D27" s="48">
        <f>F22</f>
        <v>22531200</v>
      </c>
      <c r="E27" s="29">
        <f>Rates!L13</f>
        <v>11.889999999999999</v>
      </c>
      <c r="F27" s="3">
        <f>E27*(D27/1000)</f>
        <v>267895.96799999999</v>
      </c>
      <c r="G27" s="11"/>
      <c r="K27" s="11"/>
    </row>
    <row r="28" spans="1:11" x14ac:dyDescent="0.45">
      <c r="A28" s="10" t="s">
        <v>71</v>
      </c>
      <c r="B28" s="11">
        <f>B20</f>
        <v>90000</v>
      </c>
      <c r="D28" s="48">
        <f>G22</f>
        <v>6242800</v>
      </c>
      <c r="E28" s="29">
        <f>Rates!L14</f>
        <v>9.93</v>
      </c>
      <c r="F28" s="3">
        <f>E28*(D28/1000)</f>
        <v>61991.004000000001</v>
      </c>
      <c r="G28" s="11"/>
      <c r="K28" s="11"/>
    </row>
    <row r="29" spans="1:11" x14ac:dyDescent="0.45">
      <c r="A29" s="10" t="s">
        <v>48</v>
      </c>
      <c r="B29" s="13">
        <f>B21</f>
        <v>100000</v>
      </c>
      <c r="C29" s="17"/>
      <c r="D29" s="49">
        <f>H22</f>
        <v>513800</v>
      </c>
      <c r="E29" s="18">
        <f>Rates!L15</f>
        <v>7.9599999999999991</v>
      </c>
      <c r="F29" s="52">
        <f>E29*(D29/1000)</f>
        <v>4089.847999999999</v>
      </c>
      <c r="G29" s="11"/>
      <c r="K29" s="11"/>
    </row>
    <row r="30" spans="1:11" x14ac:dyDescent="0.45">
      <c r="A30" s="10"/>
      <c r="B30" s="11" t="s">
        <v>52</v>
      </c>
      <c r="C30" s="3">
        <f>SUM(C26:C29)</f>
        <v>14127</v>
      </c>
      <c r="D30" s="50">
        <f>SUM(D26:D29)</f>
        <v>52283600</v>
      </c>
      <c r="F30" s="6">
        <f>SUM(F26:F29)</f>
        <v>825172.60999999987</v>
      </c>
      <c r="G30" s="11"/>
      <c r="H30" s="11"/>
      <c r="I30" s="11"/>
      <c r="J30" s="11"/>
      <c r="K30" s="11"/>
    </row>
    <row r="31" spans="1:11" x14ac:dyDescent="0.45">
      <c r="A31" s="10"/>
      <c r="B31" s="11"/>
      <c r="C31" s="3"/>
      <c r="D31" s="50"/>
      <c r="F31" s="6"/>
      <c r="G31" s="11"/>
      <c r="H31" s="11"/>
      <c r="I31" s="11"/>
      <c r="J31" s="11"/>
      <c r="K31" s="11"/>
    </row>
    <row r="32" spans="1:11" x14ac:dyDescent="0.45">
      <c r="A32" s="10"/>
      <c r="B32" s="11"/>
      <c r="C32" s="3"/>
      <c r="D32" s="50"/>
      <c r="F32" s="6"/>
      <c r="G32" s="11"/>
      <c r="H32" s="11"/>
      <c r="I32" s="11"/>
      <c r="J32" s="11"/>
      <c r="K32" s="11"/>
    </row>
    <row r="33" spans="1:13" x14ac:dyDescent="0.45">
      <c r="A33" s="10"/>
      <c r="B33" s="11"/>
      <c r="C33" s="3"/>
      <c r="D33" s="50"/>
      <c r="F33" s="6"/>
      <c r="G33" s="11"/>
      <c r="H33" s="11"/>
      <c r="I33" s="11"/>
      <c r="J33" s="11"/>
      <c r="K33" s="11"/>
    </row>
    <row r="34" spans="1:13" x14ac:dyDescent="0.45">
      <c r="A34" s="10"/>
      <c r="B34" s="11"/>
      <c r="C34" s="3"/>
      <c r="D34" s="50"/>
      <c r="F34" s="6"/>
      <c r="G34" s="11"/>
      <c r="H34" s="11"/>
      <c r="I34" s="11"/>
      <c r="J34" s="11"/>
      <c r="K34" s="11"/>
    </row>
    <row r="35" spans="1:13" ht="15.75" x14ac:dyDescent="0.5">
      <c r="A35" s="79" t="s">
        <v>96</v>
      </c>
      <c r="I35"/>
    </row>
    <row r="36" spans="1:13" ht="15.4" x14ac:dyDescent="0.45">
      <c r="E36" s="2" t="s">
        <v>47</v>
      </c>
      <c r="F36" s="2" t="s">
        <v>71</v>
      </c>
      <c r="G36" s="2" t="s">
        <v>71</v>
      </c>
      <c r="H36" s="2" t="s">
        <v>48</v>
      </c>
      <c r="I36"/>
    </row>
    <row r="37" spans="1:13" ht="15.4" x14ac:dyDescent="0.45">
      <c r="B37" s="8" t="s">
        <v>49</v>
      </c>
      <c r="C37" s="9" t="s">
        <v>50</v>
      </c>
      <c r="D37" s="9" t="s">
        <v>51</v>
      </c>
      <c r="E37" s="9">
        <f>B38</f>
        <v>2000</v>
      </c>
      <c r="F37" s="9">
        <f>B39</f>
        <v>8000</v>
      </c>
      <c r="G37" s="9">
        <f>B40</f>
        <v>90000</v>
      </c>
      <c r="H37" s="9">
        <f>B41</f>
        <v>100000</v>
      </c>
      <c r="I37"/>
      <c r="J37" s="8" t="s">
        <v>52</v>
      </c>
    </row>
    <row r="38" spans="1:13" ht="15.4" x14ac:dyDescent="0.45">
      <c r="A38" s="10" t="s">
        <v>47</v>
      </c>
      <c r="B38" s="11">
        <v>2000</v>
      </c>
      <c r="C38" s="48">
        <f>SUM(Usage!D5:D9)</f>
        <v>98</v>
      </c>
      <c r="D38" s="48">
        <f>SUM(Usage!E5:E9)</f>
        <v>245600</v>
      </c>
      <c r="E38" s="48">
        <f>D38</f>
        <v>245600</v>
      </c>
      <c r="F38" s="48">
        <v>0</v>
      </c>
      <c r="G38" s="48">
        <v>0</v>
      </c>
      <c r="H38" s="48">
        <v>0</v>
      </c>
      <c r="I38"/>
      <c r="J38" s="48">
        <f>SUM(E38:H38)</f>
        <v>245600</v>
      </c>
      <c r="L38" s="479" t="s">
        <v>410</v>
      </c>
      <c r="M38" s="479"/>
    </row>
    <row r="39" spans="1:13" ht="15.4" x14ac:dyDescent="0.45">
      <c r="A39" s="10" t="s">
        <v>71</v>
      </c>
      <c r="B39" s="11">
        <v>8000</v>
      </c>
      <c r="C39" s="48">
        <f>Usage!D10+Usage!F10</f>
        <v>59</v>
      </c>
      <c r="D39" s="48">
        <f>Usage!E10+Usage!G10</f>
        <v>453400</v>
      </c>
      <c r="E39" s="48">
        <f>$C39*E$37</f>
        <v>118000</v>
      </c>
      <c r="F39" s="48">
        <f>D39-E39</f>
        <v>335400</v>
      </c>
      <c r="G39" s="48">
        <v>0</v>
      </c>
      <c r="H39" s="48">
        <v>0</v>
      </c>
      <c r="I39"/>
      <c r="J39" s="48">
        <f>SUM(E39:H39)</f>
        <v>453400</v>
      </c>
      <c r="L39" s="479" t="s">
        <v>410</v>
      </c>
      <c r="M39" s="479"/>
    </row>
    <row r="40" spans="1:13" ht="15.4" x14ac:dyDescent="0.45">
      <c r="A40" s="10" t="s">
        <v>71</v>
      </c>
      <c r="B40" s="11">
        <v>90000</v>
      </c>
      <c r="C40" s="48">
        <f>SUM(Usage!D11:D21)+Usage!F11</f>
        <v>62</v>
      </c>
      <c r="D40" s="48">
        <f>SUM(Usage!E11:E21)+Usage!G11</f>
        <v>2344100</v>
      </c>
      <c r="E40" s="48">
        <f>$C40*E$37</f>
        <v>124000</v>
      </c>
      <c r="F40" s="48">
        <f>$C40*F$37</f>
        <v>496000</v>
      </c>
      <c r="G40" s="48">
        <f>D40-E40-F40</f>
        <v>1724100</v>
      </c>
      <c r="H40" s="48">
        <v>0</v>
      </c>
      <c r="I40"/>
      <c r="J40" s="48">
        <f>SUM(E40:H40)</f>
        <v>2344100</v>
      </c>
    </row>
    <row r="41" spans="1:13" ht="15.4" x14ac:dyDescent="0.45">
      <c r="A41" s="10" t="s">
        <v>48</v>
      </c>
      <c r="B41" s="13">
        <v>100000</v>
      </c>
      <c r="C41" s="49">
        <f>Usage!D22</f>
        <v>7</v>
      </c>
      <c r="D41" s="49">
        <f>Usage!E22</f>
        <v>1934400</v>
      </c>
      <c r="E41" s="49">
        <f>$C41*E$37</f>
        <v>14000</v>
      </c>
      <c r="F41" s="49">
        <f>$C41*F$37</f>
        <v>56000</v>
      </c>
      <c r="G41" s="49">
        <f>$C41*G$37</f>
        <v>630000</v>
      </c>
      <c r="H41" s="49">
        <f>D41-(G41+F41+E41)</f>
        <v>1234400</v>
      </c>
      <c r="I41"/>
      <c r="J41" s="49">
        <f>SUM(E41:H41)</f>
        <v>1934400</v>
      </c>
    </row>
    <row r="42" spans="1:13" ht="15.4" x14ac:dyDescent="0.45">
      <c r="A42" s="10"/>
      <c r="B42" s="11"/>
      <c r="C42" s="50">
        <f t="shared" ref="C42:J42" si="1">SUM(C38:C41)</f>
        <v>226</v>
      </c>
      <c r="D42" s="50">
        <f t="shared" si="1"/>
        <v>4977500</v>
      </c>
      <c r="E42" s="50">
        <f t="shared" si="1"/>
        <v>501600</v>
      </c>
      <c r="F42" s="50">
        <f t="shared" si="1"/>
        <v>887400</v>
      </c>
      <c r="G42" s="50">
        <f t="shared" si="1"/>
        <v>2354100</v>
      </c>
      <c r="H42" s="50">
        <f t="shared" si="1"/>
        <v>1234400</v>
      </c>
      <c r="I42"/>
      <c r="J42" s="50">
        <f t="shared" si="1"/>
        <v>4977500</v>
      </c>
    </row>
    <row r="43" spans="1:13" ht="15.4" x14ac:dyDescent="0.45">
      <c r="A43" s="10"/>
      <c r="B43" s="11"/>
      <c r="D43" s="11"/>
      <c r="E43" s="11"/>
      <c r="F43" s="11"/>
      <c r="G43" s="11"/>
      <c r="H43" s="11"/>
      <c r="I43"/>
      <c r="J43" s="11"/>
      <c r="K43" s="11"/>
    </row>
    <row r="44" spans="1:13" ht="15.4" x14ac:dyDescent="0.45">
      <c r="A44" s="15" t="s">
        <v>53</v>
      </c>
      <c r="B44" s="15"/>
      <c r="D44" s="11"/>
      <c r="E44" s="11"/>
      <c r="F44" s="11"/>
      <c r="G44" s="11"/>
      <c r="H44" s="11"/>
      <c r="I44"/>
      <c r="J44" s="11"/>
      <c r="K44" s="11"/>
    </row>
    <row r="45" spans="1:13" x14ac:dyDescent="0.45">
      <c r="A45" s="10"/>
      <c r="B45" s="8"/>
      <c r="C45" s="9" t="s">
        <v>50</v>
      </c>
      <c r="D45" s="8" t="s">
        <v>51</v>
      </c>
      <c r="E45" s="9" t="s">
        <v>54</v>
      </c>
      <c r="F45" s="9" t="s">
        <v>55</v>
      </c>
      <c r="G45" s="11"/>
      <c r="H45" s="11"/>
      <c r="I45" s="11"/>
      <c r="J45" s="11"/>
      <c r="K45" s="11"/>
    </row>
    <row r="46" spans="1:13" x14ac:dyDescent="0.45">
      <c r="A46" s="10" t="s">
        <v>47</v>
      </c>
      <c r="B46" s="11">
        <f>B38</f>
        <v>2000</v>
      </c>
      <c r="C46" s="12">
        <f>C42</f>
        <v>226</v>
      </c>
      <c r="D46" s="48">
        <f>E42</f>
        <v>501600</v>
      </c>
      <c r="E46" s="16">
        <f>Rates!L18</f>
        <v>34.769999999999996</v>
      </c>
      <c r="F46" s="6">
        <f>E46*C46</f>
        <v>7858.0199999999995</v>
      </c>
      <c r="G46" s="11"/>
      <c r="K46" s="11"/>
    </row>
    <row r="47" spans="1:13" x14ac:dyDescent="0.45">
      <c r="A47" s="10" t="s">
        <v>71</v>
      </c>
      <c r="B47" s="11">
        <f>B39</f>
        <v>8000</v>
      </c>
      <c r="D47" s="48">
        <f>F42</f>
        <v>887400</v>
      </c>
      <c r="E47" s="29">
        <f>Rates!L19</f>
        <v>11.889999999999999</v>
      </c>
      <c r="F47" s="3">
        <f>E47*(D47/1000)</f>
        <v>10551.185999999998</v>
      </c>
      <c r="G47" s="11"/>
      <c r="K47" s="11"/>
    </row>
    <row r="48" spans="1:13" x14ac:dyDescent="0.45">
      <c r="A48" s="10" t="s">
        <v>71</v>
      </c>
      <c r="B48" s="11">
        <f>B40</f>
        <v>90000</v>
      </c>
      <c r="D48" s="48">
        <f>G42</f>
        <v>2354100</v>
      </c>
      <c r="E48" s="29">
        <f>Rates!L20</f>
        <v>9.93</v>
      </c>
      <c r="F48" s="3">
        <f>E48*(D48/1000)</f>
        <v>23376.213</v>
      </c>
      <c r="G48" s="11"/>
      <c r="K48" s="11"/>
    </row>
    <row r="49" spans="1:11" x14ac:dyDescent="0.45">
      <c r="A49" s="10" t="s">
        <v>48</v>
      </c>
      <c r="B49" s="13">
        <f>B41</f>
        <v>100000</v>
      </c>
      <c r="C49" s="17"/>
      <c r="D49" s="49">
        <f>H42</f>
        <v>1234400</v>
      </c>
      <c r="E49" s="18">
        <f>Rates!L21</f>
        <v>7.9599999999999991</v>
      </c>
      <c r="F49" s="52">
        <f>E49*(D49/1000)</f>
        <v>9825.8239999999987</v>
      </c>
      <c r="G49" s="11"/>
      <c r="K49" s="11"/>
    </row>
    <row r="50" spans="1:11" x14ac:dyDescent="0.45">
      <c r="A50" s="10"/>
      <c r="B50" s="11" t="s">
        <v>52</v>
      </c>
      <c r="C50" s="3">
        <f>SUM(C46:C49)</f>
        <v>226</v>
      </c>
      <c r="D50" s="50">
        <f>SUM(D46:D49)</f>
        <v>4977500</v>
      </c>
      <c r="F50" s="6">
        <f>SUM(F46:F49)</f>
        <v>51611.242999999995</v>
      </c>
      <c r="G50" s="11"/>
      <c r="H50" s="11"/>
      <c r="I50" s="11"/>
      <c r="J50" s="11"/>
      <c r="K50" s="11"/>
    </row>
    <row r="51" spans="1:11" x14ac:dyDescent="0.45">
      <c r="A51" s="10"/>
      <c r="B51" s="11"/>
      <c r="C51" s="3"/>
      <c r="D51" s="50"/>
      <c r="F51" s="6"/>
      <c r="G51" s="11"/>
      <c r="H51" s="11"/>
      <c r="I51" s="11"/>
      <c r="J51" s="11"/>
      <c r="K51" s="11"/>
    </row>
    <row r="52" spans="1:11" ht="15.75" x14ac:dyDescent="0.5">
      <c r="A52" s="79" t="s">
        <v>303</v>
      </c>
    </row>
    <row r="53" spans="1:11" x14ac:dyDescent="0.45">
      <c r="E53" s="2" t="s">
        <v>47</v>
      </c>
      <c r="F53" s="2" t="s">
        <v>71</v>
      </c>
      <c r="G53" s="2" t="s">
        <v>48</v>
      </c>
    </row>
    <row r="54" spans="1:11" ht="15.4" x14ac:dyDescent="0.45">
      <c r="B54" s="8" t="s">
        <v>49</v>
      </c>
      <c r="C54" s="9" t="s">
        <v>50</v>
      </c>
      <c r="D54" s="9" t="s">
        <v>51</v>
      </c>
      <c r="E54" s="9">
        <f>B55</f>
        <v>30000</v>
      </c>
      <c r="F54" s="9">
        <f>B56</f>
        <v>70000</v>
      </c>
      <c r="G54" s="9">
        <f>B57</f>
        <v>100000</v>
      </c>
      <c r="H54"/>
      <c r="I54"/>
      <c r="J54" s="8" t="s">
        <v>52</v>
      </c>
      <c r="K54" s="2"/>
    </row>
    <row r="55" spans="1:11" ht="15.4" x14ac:dyDescent="0.45">
      <c r="A55" s="10" t="s">
        <v>47</v>
      </c>
      <c r="B55" s="11">
        <v>30000</v>
      </c>
      <c r="C55" s="48">
        <f>SUM(Usage!H5:H14)</f>
        <v>2</v>
      </c>
      <c r="D55" s="48">
        <f>SUM(Usage!I5:I14)</f>
        <v>52000</v>
      </c>
      <c r="E55" s="48">
        <f>D55</f>
        <v>52000</v>
      </c>
      <c r="F55" s="48"/>
      <c r="G55" s="48">
        <f>D55-E55</f>
        <v>0</v>
      </c>
      <c r="H55"/>
      <c r="I55"/>
      <c r="J55" s="48">
        <f>SUM(E55:G55)</f>
        <v>52000</v>
      </c>
      <c r="K55" s="48"/>
    </row>
    <row r="56" spans="1:11" ht="15.4" x14ac:dyDescent="0.45">
      <c r="A56" s="10" t="s">
        <v>71</v>
      </c>
      <c r="B56" s="11">
        <v>70000</v>
      </c>
      <c r="C56" s="48">
        <f>SUM(Usage!H15:H21)</f>
        <v>6</v>
      </c>
      <c r="D56" s="48">
        <f>SUM(Usage!I15:I21)</f>
        <v>393000</v>
      </c>
      <c r="E56" s="121">
        <f>$C56*E$54</f>
        <v>180000</v>
      </c>
      <c r="F56" s="48">
        <f>D56-E56</f>
        <v>213000</v>
      </c>
      <c r="G56" s="48"/>
      <c r="H56"/>
      <c r="I56"/>
      <c r="J56" s="48">
        <f>SUM(E56:G56)</f>
        <v>393000</v>
      </c>
      <c r="K56" s="48"/>
    </row>
    <row r="57" spans="1:11" ht="15.4" x14ac:dyDescent="0.45">
      <c r="A57" s="10" t="s">
        <v>48</v>
      </c>
      <c r="B57" s="13">
        <v>100000</v>
      </c>
      <c r="C57" s="49">
        <f>Usage!H22</f>
        <v>4</v>
      </c>
      <c r="D57" s="49">
        <f>Usage!I22</f>
        <v>2361000</v>
      </c>
      <c r="E57" s="49">
        <f>$C57*E$54</f>
        <v>120000</v>
      </c>
      <c r="F57" s="49">
        <f>$C57*F$54</f>
        <v>280000</v>
      </c>
      <c r="G57" s="49">
        <f>D57-E57-F57</f>
        <v>1961000</v>
      </c>
      <c r="H57"/>
      <c r="I57"/>
      <c r="J57" s="49">
        <f>SUM(E57:G57)</f>
        <v>2361000</v>
      </c>
      <c r="K57" s="121"/>
    </row>
    <row r="58" spans="1:11" ht="15.4" x14ac:dyDescent="0.45">
      <c r="A58" s="10"/>
      <c r="B58" s="11"/>
      <c r="C58" s="50">
        <f t="shared" ref="C58:J58" si="2">SUM(C55:C57)</f>
        <v>12</v>
      </c>
      <c r="D58" s="50">
        <f t="shared" si="2"/>
        <v>2806000</v>
      </c>
      <c r="E58" s="50">
        <f t="shared" si="2"/>
        <v>352000</v>
      </c>
      <c r="F58" s="50">
        <f t="shared" si="2"/>
        <v>493000</v>
      </c>
      <c r="G58" s="50">
        <f t="shared" si="2"/>
        <v>1961000</v>
      </c>
      <c r="H58"/>
      <c r="I58"/>
      <c r="J58" s="50">
        <f t="shared" si="2"/>
        <v>2806000</v>
      </c>
      <c r="K58" s="50"/>
    </row>
    <row r="59" spans="1:11" x14ac:dyDescent="0.45">
      <c r="A59" s="10"/>
      <c r="B59" s="11"/>
      <c r="D59" s="11"/>
      <c r="E59" s="11"/>
      <c r="F59" s="11"/>
      <c r="G59" s="11"/>
      <c r="H59" s="11"/>
      <c r="I59" s="11"/>
    </row>
    <row r="60" spans="1:11" x14ac:dyDescent="0.45">
      <c r="A60" s="15" t="s">
        <v>53</v>
      </c>
      <c r="B60" s="15"/>
      <c r="D60" s="11"/>
      <c r="E60" s="11"/>
      <c r="F60" s="11"/>
      <c r="G60" s="11"/>
      <c r="H60" s="11"/>
      <c r="I60" s="11"/>
    </row>
    <row r="61" spans="1:11" x14ac:dyDescent="0.45">
      <c r="A61" s="10"/>
      <c r="B61" s="8"/>
      <c r="C61" s="9" t="s">
        <v>50</v>
      </c>
      <c r="D61" s="8" t="s">
        <v>51</v>
      </c>
      <c r="E61" s="9" t="s">
        <v>54</v>
      </c>
      <c r="F61" s="9" t="s">
        <v>55</v>
      </c>
      <c r="G61" s="11"/>
      <c r="H61" s="11"/>
      <c r="I61" s="11"/>
    </row>
    <row r="62" spans="1:11" x14ac:dyDescent="0.45">
      <c r="A62" s="10" t="s">
        <v>47</v>
      </c>
      <c r="B62" s="11">
        <f>B55</f>
        <v>30000</v>
      </c>
      <c r="C62" s="12">
        <f>C58</f>
        <v>12</v>
      </c>
      <c r="D62" s="48">
        <f>E58</f>
        <v>352000</v>
      </c>
      <c r="E62" s="16">
        <f>Rates!L39</f>
        <v>398.97</v>
      </c>
      <c r="F62" s="6">
        <f>E62*C62</f>
        <v>4787.6400000000003</v>
      </c>
      <c r="G62" s="11"/>
    </row>
    <row r="63" spans="1:11" x14ac:dyDescent="0.45">
      <c r="A63" s="10" t="s">
        <v>71</v>
      </c>
      <c r="B63" s="11">
        <f>B56</f>
        <v>70000</v>
      </c>
      <c r="C63" s="12"/>
      <c r="D63" s="48">
        <f>F58</f>
        <v>493000</v>
      </c>
      <c r="E63" s="84">
        <f>Rates!L40</f>
        <v>9.93</v>
      </c>
      <c r="F63" s="3">
        <f>E63*(D63/1000)</f>
        <v>4895.49</v>
      </c>
      <c r="G63" s="11"/>
    </row>
    <row r="64" spans="1:11" x14ac:dyDescent="0.45">
      <c r="A64" s="10" t="s">
        <v>48</v>
      </c>
      <c r="B64" s="13">
        <f>B57</f>
        <v>100000</v>
      </c>
      <c r="C64" s="17"/>
      <c r="D64" s="49">
        <f>G58</f>
        <v>1961000</v>
      </c>
      <c r="E64" s="18">
        <f>Rates!L41</f>
        <v>7.9599999999999991</v>
      </c>
      <c r="F64" s="52">
        <f>E64*(D64/1000)</f>
        <v>15609.559999999998</v>
      </c>
      <c r="G64" s="11"/>
    </row>
    <row r="65" spans="1:9" x14ac:dyDescent="0.45">
      <c r="A65" s="10"/>
      <c r="B65" s="11" t="s">
        <v>52</v>
      </c>
      <c r="C65" s="3">
        <f>SUM(C62:C64)</f>
        <v>12</v>
      </c>
      <c r="D65" s="50">
        <f>SUM(D62:D64)</f>
        <v>2806000</v>
      </c>
      <c r="F65" s="6">
        <f>SUM(F62:F64)</f>
        <v>25292.69</v>
      </c>
      <c r="G65" s="11"/>
      <c r="H65" s="11"/>
      <c r="I65" s="11"/>
    </row>
  </sheetData>
  <mergeCells count="2">
    <mergeCell ref="A1:H1"/>
    <mergeCell ref="A2:H2"/>
  </mergeCells>
  <printOptions horizontalCentered="1"/>
  <pageMargins left="0.6" right="0.6" top="0.75" bottom="0.5" header="0.3" footer="0.3"/>
  <pageSetup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61"/>
  <sheetViews>
    <sheetView topLeftCell="F1" workbookViewId="0">
      <selection activeCell="R13" sqref="R13"/>
    </sheetView>
  </sheetViews>
  <sheetFormatPr defaultColWidth="8.88671875" defaultRowHeight="14.25" x14ac:dyDescent="0.45"/>
  <cols>
    <col min="1" max="1" width="3.77734375" style="1" customWidth="1"/>
    <col min="2" max="2" width="10.6640625" style="1" customWidth="1"/>
    <col min="3" max="3" width="8.109375" style="1" customWidth="1"/>
    <col min="4" max="4" width="9.21875" style="1" customWidth="1"/>
    <col min="5" max="5" width="10.88671875" style="1" customWidth="1"/>
    <col min="6" max="7" width="9.77734375" style="1" customWidth="1"/>
    <col min="8" max="8" width="5.6640625" style="1" customWidth="1"/>
    <col min="9" max="10" width="11.6640625" style="1" customWidth="1"/>
    <col min="11" max="11" width="11.21875" style="1" customWidth="1"/>
    <col min="12" max="12" width="9.5546875" style="1" customWidth="1"/>
    <col min="13" max="13" width="8.88671875" style="1"/>
    <col min="14" max="14" width="11.77734375" style="1" customWidth="1"/>
    <col min="15" max="15" width="10.88671875" style="1" customWidth="1"/>
    <col min="16" max="16" width="3.77734375" style="1" customWidth="1"/>
    <col min="17" max="17" width="20.609375" style="1" customWidth="1"/>
    <col min="18" max="18" width="8.609375" style="1" customWidth="1"/>
    <col min="19" max="19" width="3.77734375" style="1" customWidth="1"/>
    <col min="20" max="20" width="9.88671875" style="1" customWidth="1"/>
    <col min="21" max="16384" width="8.88671875" style="1"/>
  </cols>
  <sheetData>
    <row r="1" spans="1:23" ht="18" x14ac:dyDescent="0.45">
      <c r="B1" s="486" t="s">
        <v>252</v>
      </c>
      <c r="C1" s="486"/>
      <c r="D1" s="486"/>
      <c r="E1" s="171"/>
      <c r="F1" s="171"/>
      <c r="G1" s="171"/>
      <c r="H1" s="171"/>
      <c r="I1" s="171"/>
      <c r="J1" s="171"/>
    </row>
    <row r="2" spans="1:23" ht="18" x14ac:dyDescent="0.45">
      <c r="B2" s="293"/>
      <c r="C2" s="293"/>
      <c r="D2" s="293"/>
      <c r="E2" s="171"/>
      <c r="F2" s="171"/>
      <c r="G2" s="171"/>
      <c r="H2" s="171"/>
      <c r="I2" s="171"/>
      <c r="J2" s="171"/>
    </row>
    <row r="3" spans="1:23" x14ac:dyDescent="0.45">
      <c r="B3" s="104" t="s">
        <v>58</v>
      </c>
      <c r="C3" s="19"/>
      <c r="D3" s="19"/>
      <c r="E3" s="19"/>
      <c r="F3" s="19"/>
      <c r="I3" s="104" t="s">
        <v>108</v>
      </c>
      <c r="T3" s="104" t="s">
        <v>117</v>
      </c>
    </row>
    <row r="4" spans="1:23" x14ac:dyDescent="0.45">
      <c r="O4" s="2" t="s">
        <v>132</v>
      </c>
    </row>
    <row r="5" spans="1:23" x14ac:dyDescent="0.45">
      <c r="B5" s="19" t="s">
        <v>59</v>
      </c>
      <c r="C5" s="19"/>
      <c r="D5" s="19">
        <v>108595</v>
      </c>
      <c r="E5" s="19"/>
      <c r="F5" s="438"/>
      <c r="J5" s="2" t="s">
        <v>83</v>
      </c>
      <c r="K5" s="2" t="s">
        <v>83</v>
      </c>
      <c r="L5" s="2" t="s">
        <v>257</v>
      </c>
      <c r="M5" s="2" t="s">
        <v>83</v>
      </c>
      <c r="N5" s="2" t="s">
        <v>83</v>
      </c>
      <c r="O5" s="2" t="s">
        <v>83</v>
      </c>
      <c r="T5" s="29" t="s">
        <v>269</v>
      </c>
      <c r="V5" s="12"/>
    </row>
    <row r="6" spans="1:23" ht="16.5" x14ac:dyDescent="0.75">
      <c r="B6" s="19" t="s">
        <v>60</v>
      </c>
      <c r="C6" s="19"/>
      <c r="D6" s="19">
        <v>60115</v>
      </c>
      <c r="E6" s="19"/>
      <c r="F6" s="19"/>
      <c r="I6" s="8" t="s">
        <v>258</v>
      </c>
      <c r="J6" s="8" t="s">
        <v>259</v>
      </c>
      <c r="K6" s="8" t="s">
        <v>260</v>
      </c>
      <c r="L6" s="8" t="s">
        <v>261</v>
      </c>
      <c r="M6" s="8" t="s">
        <v>262</v>
      </c>
      <c r="N6" s="8" t="s">
        <v>263</v>
      </c>
      <c r="O6" s="8" t="s">
        <v>264</v>
      </c>
      <c r="U6" s="88" t="s">
        <v>270</v>
      </c>
      <c r="V6" s="88" t="s">
        <v>205</v>
      </c>
      <c r="W6" s="88" t="s">
        <v>132</v>
      </c>
    </row>
    <row r="7" spans="1:23" x14ac:dyDescent="0.45">
      <c r="B7" s="19" t="s">
        <v>61</v>
      </c>
      <c r="C7" s="19"/>
      <c r="D7" s="19"/>
      <c r="E7" s="19"/>
      <c r="F7" s="19"/>
      <c r="I7" s="12" t="s">
        <v>265</v>
      </c>
      <c r="J7" s="436">
        <v>574.25</v>
      </c>
      <c r="K7" s="436">
        <v>0</v>
      </c>
      <c r="L7" s="29">
        <v>20.190000000000001</v>
      </c>
      <c r="M7" s="50">
        <f t="shared" ref="M7:M9" si="0">J7*L7</f>
        <v>11594.1075</v>
      </c>
      <c r="N7" s="50">
        <f t="shared" ref="N7:N9" si="1">K7*L7*1.5</f>
        <v>0</v>
      </c>
      <c r="O7" s="12">
        <f>M7+N7</f>
        <v>11594.1075</v>
      </c>
      <c r="Q7" s="1" t="s">
        <v>348</v>
      </c>
      <c r="R7" s="437">
        <f>O7/$O$12</f>
        <v>0.1364119810706306</v>
      </c>
      <c r="T7" s="294" t="s">
        <v>271</v>
      </c>
      <c r="U7" s="48"/>
      <c r="V7" s="456">
        <v>1160</v>
      </c>
      <c r="W7" s="48">
        <f>V7*U7</f>
        <v>0</v>
      </c>
    </row>
    <row r="8" spans="1:23" ht="16.5" x14ac:dyDescent="0.75">
      <c r="B8" s="1" t="s">
        <v>62</v>
      </c>
      <c r="C8" s="19">
        <v>0</v>
      </c>
      <c r="D8" s="19"/>
      <c r="E8" s="19"/>
      <c r="F8" s="19"/>
      <c r="I8" s="12" t="s">
        <v>266</v>
      </c>
      <c r="J8" s="436">
        <v>1482.75</v>
      </c>
      <c r="K8" s="436">
        <v>0</v>
      </c>
      <c r="L8" s="29">
        <v>22.5</v>
      </c>
      <c r="M8" s="50">
        <f t="shared" si="0"/>
        <v>33361.875</v>
      </c>
      <c r="N8" s="50">
        <f t="shared" si="1"/>
        <v>0</v>
      </c>
      <c r="O8" s="12">
        <f t="shared" ref="O8:O9" si="2">M8+N8</f>
        <v>33361.875</v>
      </c>
      <c r="Q8" s="1" t="s">
        <v>348</v>
      </c>
      <c r="R8" s="437">
        <f t="shared" ref="R8:R11" si="3">O8/$O$12</f>
        <v>0.39252348324187469</v>
      </c>
      <c r="T8" s="294" t="s">
        <v>272</v>
      </c>
      <c r="U8" s="48"/>
      <c r="V8" s="86">
        <v>1430</v>
      </c>
      <c r="W8" s="457">
        <f>V8*U8</f>
        <v>0</v>
      </c>
    </row>
    <row r="9" spans="1:23" x14ac:dyDescent="0.45">
      <c r="A9" s="3"/>
      <c r="B9" s="19" t="s">
        <v>63</v>
      </c>
      <c r="C9" s="19">
        <v>17958</v>
      </c>
      <c r="D9" s="19"/>
      <c r="E9" s="19"/>
      <c r="F9" s="19"/>
      <c r="I9" s="12" t="s">
        <v>267</v>
      </c>
      <c r="J9" s="436">
        <v>691.5</v>
      </c>
      <c r="K9" s="436">
        <v>0</v>
      </c>
      <c r="L9" s="29">
        <v>18.71</v>
      </c>
      <c r="M9" s="50">
        <f t="shared" si="0"/>
        <v>12937.965</v>
      </c>
      <c r="N9" s="50">
        <f t="shared" si="1"/>
        <v>0</v>
      </c>
      <c r="O9" s="12">
        <f t="shared" si="2"/>
        <v>12937.965</v>
      </c>
      <c r="Q9" s="1" t="s">
        <v>348</v>
      </c>
      <c r="R9" s="437">
        <f t="shared" si="3"/>
        <v>0.15222331142543583</v>
      </c>
      <c r="U9" s="12"/>
      <c r="V9" s="192"/>
      <c r="W9" s="12">
        <v>18785</v>
      </c>
    </row>
    <row r="10" spans="1:23" ht="15.4" x14ac:dyDescent="0.45">
      <c r="A10" s="3"/>
      <c r="B10" s="19" t="s">
        <v>64</v>
      </c>
      <c r="C10" s="19">
        <v>0</v>
      </c>
      <c r="D10" s="19"/>
      <c r="E10" s="19"/>
      <c r="F10" s="19"/>
      <c r="I10" s="12" t="s">
        <v>335</v>
      </c>
      <c r="J10" s="436">
        <v>800</v>
      </c>
      <c r="K10" s="436">
        <v>104.65</v>
      </c>
      <c r="L10" s="29">
        <v>25</v>
      </c>
      <c r="M10" s="50">
        <f t="shared" ref="M10:M11" si="4">J10*L10</f>
        <v>20000</v>
      </c>
      <c r="N10" s="50">
        <f t="shared" ref="N10:N11" si="5">K10*L10*1.5</f>
        <v>3924.375</v>
      </c>
      <c r="O10" s="12">
        <f t="shared" ref="O10:O11" si="6">M10+N10</f>
        <v>23924.375</v>
      </c>
      <c r="P10"/>
      <c r="Q10" s="1" t="s">
        <v>349</v>
      </c>
      <c r="R10" s="437">
        <f t="shared" si="3"/>
        <v>0.28148534845193279</v>
      </c>
      <c r="S10"/>
      <c r="U10" s="12"/>
      <c r="V10" s="12"/>
    </row>
    <row r="11" spans="1:23" ht="17.649999999999999" x14ac:dyDescent="0.75">
      <c r="A11" s="3"/>
      <c r="B11" s="19" t="s">
        <v>65</v>
      </c>
      <c r="C11" s="30">
        <v>0</v>
      </c>
      <c r="D11" s="19"/>
      <c r="E11" s="19"/>
      <c r="F11" s="19"/>
      <c r="I11" s="12" t="s">
        <v>336</v>
      </c>
      <c r="J11" s="436">
        <v>122.5</v>
      </c>
      <c r="K11" s="436">
        <v>3</v>
      </c>
      <c r="L11" s="29">
        <v>25</v>
      </c>
      <c r="M11" s="50">
        <f t="shared" si="4"/>
        <v>3062.5</v>
      </c>
      <c r="N11" s="50">
        <f t="shared" si="5"/>
        <v>112.5</v>
      </c>
      <c r="O11" s="205">
        <f t="shared" si="6"/>
        <v>3175</v>
      </c>
      <c r="P11"/>
      <c r="Q11" s="1" t="s">
        <v>348</v>
      </c>
      <c r="R11" s="437">
        <f t="shared" si="3"/>
        <v>3.7355875810126143E-2</v>
      </c>
      <c r="S11"/>
      <c r="T11" s="294"/>
      <c r="V11" s="76" t="s">
        <v>273</v>
      </c>
      <c r="W11" s="77">
        <f>-W9</f>
        <v>-18785</v>
      </c>
    </row>
    <row r="12" spans="1:23" ht="17.649999999999999" x14ac:dyDescent="0.75">
      <c r="A12" s="3"/>
      <c r="B12" s="19"/>
      <c r="C12" s="19"/>
      <c r="D12" s="19">
        <f>SUM(C8:C11)</f>
        <v>17958</v>
      </c>
      <c r="E12" s="19"/>
      <c r="F12" s="19"/>
      <c r="I12" s="12"/>
      <c r="J12" s="12"/>
      <c r="K12" s="12"/>
      <c r="L12" s="29"/>
      <c r="M12" s="12"/>
      <c r="N12" s="12"/>
      <c r="O12" s="92">
        <f>SUM(O7:O11)</f>
        <v>84993.322499999995</v>
      </c>
      <c r="P12"/>
      <c r="Q12"/>
      <c r="R12" s="464">
        <f>SUM(R7:R11)</f>
        <v>1.0000000000000002</v>
      </c>
      <c r="S12"/>
      <c r="T12" s="295"/>
      <c r="U12" s="77"/>
      <c r="V12" s="77"/>
      <c r="W12" s="296"/>
    </row>
    <row r="13" spans="1:23" ht="15.4" x14ac:dyDescent="0.45">
      <c r="A13" s="3"/>
      <c r="B13" s="19" t="s">
        <v>66</v>
      </c>
      <c r="C13" s="19">
        <v>0</v>
      </c>
      <c r="D13" s="19"/>
      <c r="E13" s="19"/>
      <c r="F13" s="19"/>
      <c r="I13" s="12"/>
      <c r="J13" s="12"/>
      <c r="K13" s="12"/>
      <c r="L13" s="29"/>
      <c r="M13" s="12"/>
      <c r="N13" s="12"/>
      <c r="O13" s="92"/>
      <c r="P13"/>
      <c r="Q13"/>
      <c r="R13"/>
      <c r="S13"/>
      <c r="U13" s="297"/>
      <c r="V13" s="100"/>
      <c r="W13" s="33"/>
    </row>
    <row r="14" spans="1:23" ht="15.4" x14ac:dyDescent="0.45">
      <c r="A14" s="3"/>
      <c r="B14" s="19" t="s">
        <v>67</v>
      </c>
      <c r="C14" s="30">
        <v>30522</v>
      </c>
      <c r="D14" s="19"/>
      <c r="E14" s="19"/>
      <c r="F14" s="19"/>
      <c r="K14"/>
      <c r="O14" s="93" t="s">
        <v>27</v>
      </c>
      <c r="P14"/>
      <c r="Q14"/>
      <c r="R14"/>
      <c r="S14"/>
      <c r="T14" s="104"/>
      <c r="V14" s="113"/>
      <c r="W14" s="3"/>
    </row>
    <row r="15" spans="1:23" ht="15.4" x14ac:dyDescent="0.45">
      <c r="A15" s="3"/>
      <c r="B15" s="19"/>
      <c r="C15" s="19"/>
      <c r="D15" s="19">
        <f>C13+C14</f>
        <v>30522</v>
      </c>
      <c r="E15" s="439">
        <f>D15/D5</f>
        <v>0.2810626640268889</v>
      </c>
      <c r="F15" s="19" t="s">
        <v>68</v>
      </c>
      <c r="K15"/>
      <c r="L15" s="1" t="s">
        <v>101</v>
      </c>
      <c r="O15" s="92">
        <f>O12</f>
        <v>84993.322499999995</v>
      </c>
      <c r="P15"/>
      <c r="Q15"/>
      <c r="R15"/>
      <c r="S15"/>
      <c r="U15" s="3"/>
      <c r="V15" s="113"/>
      <c r="W15" s="3"/>
    </row>
    <row r="16" spans="1:23" ht="17.649999999999999" x14ac:dyDescent="0.75">
      <c r="A16" s="3"/>
      <c r="B16" s="440" t="s">
        <v>69</v>
      </c>
      <c r="C16" s="19">
        <f>SUM(D6:D15)</f>
        <v>108595</v>
      </c>
      <c r="E16" s="441">
        <v>0.15</v>
      </c>
      <c r="F16" s="19" t="s">
        <v>70</v>
      </c>
      <c r="K16"/>
      <c r="L16" s="1" t="s">
        <v>268</v>
      </c>
      <c r="O16" s="44">
        <f>-SAO!F20</f>
        <v>-77434</v>
      </c>
      <c r="P16"/>
      <c r="Q16"/>
      <c r="R16"/>
      <c r="S16"/>
      <c r="U16" s="3"/>
      <c r="V16" s="114"/>
      <c r="W16" s="101"/>
    </row>
    <row r="17" spans="1:23" ht="18" thickBot="1" x14ac:dyDescent="0.8">
      <c r="A17" s="3"/>
      <c r="B17" s="442"/>
      <c r="C17" s="19"/>
      <c r="D17" s="19"/>
      <c r="E17" s="443">
        <f>E15-E16</f>
        <v>0.1310626640268889</v>
      </c>
      <c r="F17" s="444" t="s">
        <v>253</v>
      </c>
      <c r="K17"/>
      <c r="L17" s="94" t="s">
        <v>109</v>
      </c>
      <c r="M17" s="94"/>
      <c r="N17" s="94"/>
      <c r="O17" s="95">
        <f>O15+O16</f>
        <v>7559.3224999999948</v>
      </c>
      <c r="P17"/>
      <c r="Q17"/>
      <c r="R17"/>
      <c r="S17"/>
      <c r="U17" s="44"/>
      <c r="V17" s="114"/>
      <c r="W17" s="102"/>
    </row>
    <row r="18" spans="1:23" ht="15.75" thickTop="1" x14ac:dyDescent="0.45">
      <c r="A18" s="3"/>
      <c r="K18"/>
      <c r="O18" s="1" t="s">
        <v>102</v>
      </c>
      <c r="P18"/>
      <c r="Q18"/>
      <c r="R18"/>
      <c r="S18"/>
      <c r="T18" s="10"/>
      <c r="U18" s="3"/>
      <c r="V18" s="100"/>
      <c r="W18" s="103"/>
    </row>
    <row r="19" spans="1:23" ht="17.649999999999999" x14ac:dyDescent="0.75">
      <c r="A19" s="3"/>
      <c r="K19"/>
      <c r="L19" s="1" t="s">
        <v>103</v>
      </c>
      <c r="O19" s="47">
        <f>O15</f>
        <v>84993.322499999995</v>
      </c>
      <c r="P19"/>
      <c r="Q19"/>
      <c r="R19"/>
      <c r="S19"/>
      <c r="T19" s="10"/>
      <c r="U19" s="44"/>
    </row>
    <row r="20" spans="1:23" ht="15.4" x14ac:dyDescent="0.45">
      <c r="A20" s="3"/>
      <c r="B20" s="104"/>
      <c r="C20" s="29"/>
      <c r="D20" s="29"/>
      <c r="E20" s="12"/>
      <c r="K20"/>
      <c r="L20" s="1" t="s">
        <v>104</v>
      </c>
      <c r="O20" s="97">
        <v>7.6499999999999999E-2</v>
      </c>
      <c r="P20"/>
      <c r="Q20"/>
      <c r="R20"/>
      <c r="S20"/>
      <c r="T20" s="160"/>
      <c r="U20" s="101"/>
    </row>
    <row r="21" spans="1:23" ht="17.649999999999999" x14ac:dyDescent="0.75">
      <c r="A21" s="3"/>
      <c r="E21" s="88"/>
      <c r="F21" s="88"/>
      <c r="G21" s="88"/>
      <c r="H21" s="88"/>
      <c r="K21"/>
      <c r="L21" s="1" t="s">
        <v>105</v>
      </c>
      <c r="O21" s="3">
        <f>+O19*O20</f>
        <v>6501.9891712499993</v>
      </c>
      <c r="P21"/>
      <c r="Q21"/>
      <c r="R21"/>
      <c r="S21"/>
    </row>
    <row r="22" spans="1:23" ht="17.649999999999999" x14ac:dyDescent="0.75">
      <c r="A22" s="3"/>
      <c r="E22" s="88"/>
      <c r="F22" s="88"/>
      <c r="G22" s="88"/>
      <c r="H22" s="88"/>
      <c r="K22"/>
      <c r="L22" s="1" t="s">
        <v>106</v>
      </c>
      <c r="O22" s="96">
        <f>O16*0.0765</f>
        <v>-5923.701</v>
      </c>
      <c r="P22"/>
      <c r="Q22"/>
      <c r="R22"/>
      <c r="S22"/>
    </row>
    <row r="23" spans="1:23" ht="18" thickBot="1" x14ac:dyDescent="0.8">
      <c r="A23" s="3"/>
      <c r="B23" s="19"/>
      <c r="C23" s="84"/>
      <c r="D23" s="3"/>
      <c r="E23" s="84"/>
      <c r="F23" s="89"/>
      <c r="G23" s="84"/>
      <c r="H23" s="84"/>
      <c r="I23" s="88"/>
      <c r="K23"/>
      <c r="L23" s="94" t="s">
        <v>107</v>
      </c>
      <c r="M23" s="94"/>
      <c r="N23" s="94"/>
      <c r="O23" s="95">
        <f>+O21+O22</f>
        <v>578.28817124999932</v>
      </c>
      <c r="T23" s="104"/>
    </row>
    <row r="24" spans="1:23" ht="18" thickTop="1" x14ac:dyDescent="0.75">
      <c r="A24" s="3"/>
      <c r="B24" s="19"/>
      <c r="C24" s="84"/>
      <c r="D24" s="3"/>
      <c r="E24" s="84"/>
      <c r="F24" s="89"/>
      <c r="G24" s="84"/>
      <c r="H24" s="84"/>
      <c r="I24" s="88"/>
      <c r="K24"/>
      <c r="U24" s="3"/>
    </row>
    <row r="25" spans="1:23" ht="17.649999999999999" x14ac:dyDescent="0.75">
      <c r="A25" s="3"/>
      <c r="B25" s="19"/>
      <c r="C25" s="84"/>
      <c r="D25" s="3"/>
      <c r="E25" s="84"/>
      <c r="F25" s="89"/>
      <c r="G25" s="84"/>
      <c r="H25" s="84"/>
      <c r="I25" s="84"/>
      <c r="K25"/>
      <c r="O25" s="47"/>
      <c r="U25" s="44"/>
    </row>
    <row r="26" spans="1:23" ht="17.649999999999999" x14ac:dyDescent="0.75">
      <c r="A26" s="3"/>
      <c r="B26" s="19"/>
      <c r="C26" s="84"/>
      <c r="D26" s="3"/>
      <c r="E26" s="85"/>
      <c r="F26" s="89"/>
      <c r="G26" s="84"/>
      <c r="H26" s="85"/>
      <c r="I26" s="84"/>
      <c r="K26" s="3"/>
      <c r="O26"/>
      <c r="T26" s="94"/>
      <c r="U26" s="101"/>
    </row>
    <row r="27" spans="1:23" ht="15.4" x14ac:dyDescent="0.45">
      <c r="A27" s="3"/>
      <c r="B27" s="19"/>
      <c r="C27" s="19"/>
      <c r="D27" s="123"/>
      <c r="E27" s="84"/>
      <c r="G27" s="90"/>
      <c r="H27" s="84"/>
      <c r="I27" s="84"/>
      <c r="K27" s="105"/>
      <c r="O27"/>
    </row>
    <row r="28" spans="1:23" ht="17.649999999999999" x14ac:dyDescent="0.75">
      <c r="A28" s="3"/>
      <c r="B28" s="19"/>
      <c r="C28" s="19"/>
      <c r="D28" s="123"/>
      <c r="E28" s="84"/>
      <c r="G28" s="90"/>
      <c r="H28" s="84"/>
      <c r="I28" s="85"/>
      <c r="K28" s="3"/>
      <c r="O28"/>
      <c r="T28" s="104"/>
    </row>
    <row r="29" spans="1:23" ht="17.649999999999999" x14ac:dyDescent="0.75">
      <c r="B29" s="19"/>
      <c r="C29" s="19"/>
      <c r="D29" s="19"/>
      <c r="E29" s="84"/>
      <c r="G29" s="90"/>
      <c r="H29" s="85"/>
      <c r="I29" s="84"/>
      <c r="K29" s="3"/>
      <c r="L29" s="94"/>
      <c r="M29" s="94"/>
      <c r="N29" s="94"/>
      <c r="O29"/>
      <c r="U29" s="3"/>
    </row>
    <row r="30" spans="1:23" ht="17.649999999999999" x14ac:dyDescent="0.75">
      <c r="B30" s="19"/>
      <c r="C30" s="19"/>
      <c r="D30" s="19"/>
      <c r="E30" s="84"/>
      <c r="F30" s="98"/>
      <c r="G30" s="99"/>
      <c r="H30" s="98"/>
      <c r="I30" s="84"/>
      <c r="J30" s="88"/>
      <c r="K30" s="3"/>
      <c r="O30"/>
      <c r="U30" s="44"/>
    </row>
    <row r="31" spans="1:23" ht="16.5" x14ac:dyDescent="0.75">
      <c r="B31" s="19"/>
      <c r="C31" s="84"/>
      <c r="D31" s="84"/>
      <c r="E31" s="84"/>
      <c r="F31" s="84"/>
      <c r="G31" s="10"/>
      <c r="H31" s="117"/>
      <c r="I31" s="85"/>
      <c r="J31" s="88"/>
      <c r="K31" s="3"/>
      <c r="L31" s="3"/>
      <c r="M31" s="3"/>
      <c r="U31" s="3"/>
    </row>
    <row r="32" spans="1:23" x14ac:dyDescent="0.45">
      <c r="B32" s="19"/>
      <c r="C32" s="84"/>
      <c r="D32" s="84"/>
      <c r="E32" s="84"/>
      <c r="F32" s="84"/>
      <c r="G32" s="99"/>
      <c r="H32" s="101"/>
      <c r="I32" s="98"/>
      <c r="J32" s="84"/>
      <c r="K32" s="3"/>
      <c r="L32" s="3"/>
      <c r="M32" s="3"/>
      <c r="U32" s="285"/>
    </row>
    <row r="33" spans="1:25" ht="15.4" x14ac:dyDescent="0.45">
      <c r="B33"/>
      <c r="C33"/>
      <c r="D33"/>
      <c r="E33"/>
      <c r="F33"/>
      <c r="H33" s="3"/>
      <c r="I33" s="117"/>
      <c r="J33" s="84"/>
      <c r="L33" s="3"/>
      <c r="T33" s="100"/>
      <c r="U33" s="101"/>
    </row>
    <row r="34" spans="1:25" ht="15.4" x14ac:dyDescent="0.45">
      <c r="B34"/>
      <c r="C34"/>
      <c r="D34"/>
      <c r="E34"/>
      <c r="F34"/>
      <c r="H34" s="3"/>
      <c r="I34" s="101"/>
      <c r="J34" s="84"/>
      <c r="L34" s="3"/>
      <c r="U34" s="3"/>
    </row>
    <row r="35" spans="1:25" ht="17.649999999999999" x14ac:dyDescent="0.75">
      <c r="B35"/>
      <c r="C35"/>
      <c r="D35"/>
      <c r="E35"/>
      <c r="F35"/>
      <c r="G35"/>
      <c r="H35" s="3"/>
      <c r="I35" s="3"/>
      <c r="J35" s="85"/>
      <c r="L35" s="3"/>
      <c r="U35" s="3"/>
      <c r="V35" s="3"/>
      <c r="W35" s="3"/>
    </row>
    <row r="36" spans="1:25" ht="15.4" x14ac:dyDescent="0.45">
      <c r="B36"/>
      <c r="C36"/>
      <c r="D36"/>
      <c r="E36"/>
      <c r="F36"/>
      <c r="G36"/>
      <c r="I36" s="3"/>
      <c r="J36" s="84"/>
      <c r="L36" s="3"/>
      <c r="U36" s="3"/>
      <c r="W36" s="3"/>
      <c r="Y36" s="115"/>
    </row>
    <row r="37" spans="1:25" ht="15.4" x14ac:dyDescent="0.45">
      <c r="B37"/>
      <c r="C37"/>
      <c r="D37"/>
      <c r="E37"/>
      <c r="F37"/>
      <c r="G37"/>
      <c r="I37" s="3"/>
      <c r="J37" s="84"/>
      <c r="L37" s="3"/>
      <c r="T37" s="3"/>
      <c r="W37" s="3"/>
    </row>
    <row r="38" spans="1:25" ht="17.649999999999999" x14ac:dyDescent="0.75">
      <c r="B38"/>
      <c r="C38"/>
      <c r="D38"/>
      <c r="E38"/>
      <c r="F38"/>
      <c r="G38"/>
      <c r="J38" s="85"/>
      <c r="L38" s="3"/>
      <c r="P38" s="3"/>
      <c r="Q38" s="3"/>
      <c r="R38" s="3"/>
      <c r="S38" s="3"/>
      <c r="W38" s="115"/>
    </row>
    <row r="39" spans="1:25" ht="15.4" x14ac:dyDescent="0.45">
      <c r="B39"/>
      <c r="C39"/>
      <c r="D39"/>
      <c r="E39"/>
      <c r="F39"/>
      <c r="G39"/>
      <c r="J39" s="98"/>
      <c r="L39" s="3"/>
      <c r="P39" s="3"/>
      <c r="Q39" s="3"/>
      <c r="R39" s="3"/>
      <c r="S39" s="3"/>
    </row>
    <row r="40" spans="1:25" ht="15.4" x14ac:dyDescent="0.45">
      <c r="B40"/>
      <c r="C40"/>
      <c r="D40"/>
      <c r="E40"/>
      <c r="F40"/>
      <c r="G40"/>
      <c r="J40" s="117"/>
      <c r="P40" s="3"/>
      <c r="Q40" s="3"/>
      <c r="R40" s="3"/>
      <c r="S40" s="3"/>
    </row>
    <row r="41" spans="1:25" ht="15.4" x14ac:dyDescent="0.45">
      <c r="A41"/>
      <c r="B41"/>
      <c r="C41"/>
      <c r="D41"/>
      <c r="E41"/>
      <c r="F41"/>
      <c r="G41"/>
      <c r="J41" s="101"/>
    </row>
    <row r="42" spans="1:25" ht="15.4" x14ac:dyDescent="0.45">
      <c r="A42"/>
      <c r="B42"/>
      <c r="C42"/>
      <c r="D42"/>
      <c r="E42"/>
      <c r="F42"/>
      <c r="G42"/>
      <c r="J42" s="3"/>
    </row>
    <row r="43" spans="1:25" ht="15.4" x14ac:dyDescent="0.45">
      <c r="A43"/>
      <c r="B43"/>
      <c r="C43"/>
      <c r="D43"/>
      <c r="E43"/>
      <c r="F43"/>
      <c r="G43"/>
      <c r="J43" s="3"/>
    </row>
    <row r="44" spans="1:25" ht="15.4" x14ac:dyDescent="0.45">
      <c r="A44"/>
      <c r="B44"/>
      <c r="C44" s="109"/>
      <c r="D44" s="107"/>
      <c r="E44" s="106"/>
      <c r="G44"/>
      <c r="J44" s="3"/>
      <c r="L44"/>
    </row>
    <row r="45" spans="1:25" ht="15.4" x14ac:dyDescent="0.45">
      <c r="A45"/>
      <c r="B45"/>
      <c r="C45"/>
      <c r="G45"/>
      <c r="O45" s="3"/>
      <c r="P45" s="3"/>
      <c r="Q45" s="3"/>
      <c r="R45" s="3"/>
      <c r="S45" s="3"/>
    </row>
    <row r="46" spans="1:25" ht="17.649999999999999" x14ac:dyDescent="0.75">
      <c r="A46"/>
      <c r="B46"/>
      <c r="C46" s="109"/>
      <c r="D46" s="108"/>
      <c r="G46"/>
      <c r="O46" s="44"/>
      <c r="P46" s="3"/>
      <c r="Q46" s="3"/>
      <c r="R46" s="3"/>
      <c r="S46" s="3"/>
    </row>
    <row r="47" spans="1:25" ht="15.4" x14ac:dyDescent="0.45">
      <c r="A47"/>
      <c r="B47"/>
      <c r="C47" s="109"/>
      <c r="D47" s="110"/>
      <c r="G47"/>
      <c r="O47" s="3"/>
      <c r="P47" s="3"/>
      <c r="Q47" s="3"/>
      <c r="R47" s="3"/>
      <c r="S47" s="3"/>
    </row>
    <row r="48" spans="1:25" ht="17.649999999999999" x14ac:dyDescent="0.75">
      <c r="A48"/>
      <c r="B48"/>
      <c r="C48" s="111"/>
      <c r="D48" s="112"/>
      <c r="O48" s="44"/>
      <c r="P48" s="3"/>
      <c r="Q48" s="3"/>
      <c r="R48" s="3"/>
      <c r="S48" s="3"/>
    </row>
    <row r="49" spans="1:19" ht="15.4" x14ac:dyDescent="0.45">
      <c r="A49"/>
      <c r="C49"/>
      <c r="D49"/>
      <c r="E49"/>
      <c r="F49"/>
      <c r="O49" s="101"/>
      <c r="P49" s="3"/>
      <c r="Q49" s="3"/>
      <c r="R49" s="3"/>
      <c r="S49" s="3"/>
    </row>
    <row r="50" spans="1:19" x14ac:dyDescent="0.45">
      <c r="P50" s="3"/>
      <c r="Q50" s="3"/>
      <c r="R50" s="3"/>
      <c r="S50" s="3"/>
    </row>
    <row r="51" spans="1:19" x14ac:dyDescent="0.45">
      <c r="P51" s="3"/>
      <c r="Q51" s="3"/>
      <c r="R51" s="3"/>
      <c r="S51" s="3"/>
    </row>
    <row r="52" spans="1:19" x14ac:dyDescent="0.45">
      <c r="L52" s="84"/>
      <c r="P52" s="3"/>
      <c r="Q52" s="3"/>
      <c r="R52" s="3"/>
      <c r="S52" s="3"/>
    </row>
    <row r="53" spans="1:19" x14ac:dyDescent="0.45">
      <c r="L53" s="84"/>
      <c r="P53" s="3"/>
      <c r="Q53" s="3"/>
      <c r="R53" s="3"/>
      <c r="S53" s="3"/>
    </row>
    <row r="54" spans="1:19" x14ac:dyDescent="0.45">
      <c r="P54" s="3"/>
      <c r="Q54" s="3"/>
      <c r="R54" s="3"/>
      <c r="S54" s="3"/>
    </row>
    <row r="56" spans="1:19" x14ac:dyDescent="0.45">
      <c r="E56" s="3"/>
      <c r="F56" s="3"/>
    </row>
    <row r="57" spans="1:19" x14ac:dyDescent="0.45">
      <c r="E57" s="3"/>
      <c r="F57" s="3"/>
    </row>
    <row r="58" spans="1:19" x14ac:dyDescent="0.45">
      <c r="E58" s="3"/>
      <c r="F58" s="3"/>
    </row>
    <row r="59" spans="1:19" x14ac:dyDescent="0.45">
      <c r="E59" s="3"/>
      <c r="F59" s="3"/>
      <c r="K59" s="3"/>
      <c r="L59" s="3"/>
      <c r="M59" s="3"/>
      <c r="N59" s="3"/>
    </row>
    <row r="60" spans="1:19" x14ac:dyDescent="0.45">
      <c r="E60" s="3"/>
      <c r="F60" s="3"/>
      <c r="K60" s="3"/>
      <c r="L60" s="3"/>
      <c r="M60" s="3"/>
      <c r="N60" s="3"/>
    </row>
    <row r="61" spans="1:19" x14ac:dyDescent="0.45">
      <c r="E61" s="3"/>
      <c r="F61" s="3"/>
      <c r="K61" s="3"/>
      <c r="L61" s="3"/>
      <c r="M61" s="3"/>
      <c r="N61" s="3"/>
    </row>
  </sheetData>
  <mergeCells count="1">
    <mergeCell ref="B1:D1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II39"/>
  <sheetViews>
    <sheetView workbookViewId="0">
      <selection activeCell="B2" sqref="B2:N36"/>
    </sheetView>
  </sheetViews>
  <sheetFormatPr defaultColWidth="8.88671875" defaultRowHeight="14.25" x14ac:dyDescent="0.45"/>
  <cols>
    <col min="1" max="1" width="1.88671875" style="1" customWidth="1"/>
    <col min="2" max="2" width="1.88671875" style="19" customWidth="1"/>
    <col min="3" max="3" width="0.88671875" style="19" customWidth="1"/>
    <col min="4" max="4" width="1.6640625" style="19" customWidth="1"/>
    <col min="5" max="5" width="21.109375" style="19" customWidth="1"/>
    <col min="6" max="6" width="8.5546875" style="19" customWidth="1"/>
    <col min="7" max="7" width="11.5546875" style="286" customWidth="1"/>
    <col min="8" max="8" width="7.6640625" style="19" customWidth="1"/>
    <col min="9" max="9" width="9.88671875" style="286" bestFit="1" customWidth="1"/>
    <col min="10" max="10" width="6.88671875" style="19" customWidth="1"/>
    <col min="11" max="11" width="9.88671875" style="286" bestFit="1" customWidth="1"/>
    <col min="12" max="12" width="10.21875" style="286" bestFit="1" customWidth="1"/>
    <col min="13" max="13" width="0.88671875" style="19" customWidth="1"/>
    <col min="14" max="14" width="2.33203125" style="19" customWidth="1"/>
    <col min="15" max="243" width="9.6640625" style="19" customWidth="1"/>
    <col min="244" max="16384" width="8.88671875" style="1"/>
  </cols>
  <sheetData>
    <row r="2" spans="2:13" x14ac:dyDescent="0.45">
      <c r="B2" s="1"/>
      <c r="C2" s="1"/>
      <c r="E2" s="336"/>
      <c r="H2" s="166"/>
      <c r="J2" s="337"/>
    </row>
    <row r="3" spans="2:13" x14ac:dyDescent="0.45">
      <c r="B3" s="1"/>
      <c r="C3" s="34"/>
      <c r="D3" s="35"/>
      <c r="E3" s="338"/>
      <c r="F3" s="35"/>
      <c r="G3" s="397"/>
      <c r="H3" s="339"/>
      <c r="I3" s="397"/>
      <c r="J3" s="340"/>
      <c r="K3" s="397"/>
      <c r="L3" s="397"/>
      <c r="M3" s="36"/>
    </row>
    <row r="4" spans="2:13" ht="18" x14ac:dyDescent="0.55000000000000004">
      <c r="B4" s="1"/>
      <c r="C4" s="37"/>
      <c r="D4" s="488" t="s">
        <v>42</v>
      </c>
      <c r="E4" s="488"/>
      <c r="F4" s="488"/>
      <c r="G4" s="488"/>
      <c r="H4" s="488"/>
      <c r="I4" s="488"/>
      <c r="J4" s="488"/>
      <c r="K4" s="488"/>
      <c r="L4" s="488"/>
      <c r="M4" s="38"/>
    </row>
    <row r="5" spans="2:13" ht="18" x14ac:dyDescent="0.55000000000000004">
      <c r="B5" s="1"/>
      <c r="C5" s="37"/>
      <c r="D5" s="489" t="s">
        <v>1</v>
      </c>
      <c r="E5" s="489"/>
      <c r="F5" s="489"/>
      <c r="G5" s="489"/>
      <c r="H5" s="489"/>
      <c r="I5" s="489"/>
      <c r="J5" s="489"/>
      <c r="K5" s="489"/>
      <c r="L5" s="489"/>
      <c r="M5" s="38"/>
    </row>
    <row r="6" spans="2:13" ht="18" x14ac:dyDescent="0.55000000000000004">
      <c r="B6" s="1"/>
      <c r="C6" s="37"/>
      <c r="D6" s="341"/>
      <c r="E6" s="487" t="s">
        <v>252</v>
      </c>
      <c r="F6" s="487"/>
      <c r="G6" s="487"/>
      <c r="H6" s="487"/>
      <c r="I6" s="487"/>
      <c r="J6" s="487"/>
      <c r="K6" s="487"/>
      <c r="L6" s="487"/>
      <c r="M6" s="38"/>
    </row>
    <row r="7" spans="2:13" ht="18" x14ac:dyDescent="0.55000000000000004">
      <c r="B7" s="1"/>
      <c r="C7" s="41"/>
      <c r="D7" s="342"/>
      <c r="E7" s="343"/>
      <c r="F7" s="343"/>
      <c r="G7" s="398"/>
      <c r="H7" s="343"/>
      <c r="I7" s="398"/>
      <c r="J7" s="343"/>
      <c r="K7" s="398"/>
      <c r="L7" s="398"/>
      <c r="M7" s="42"/>
    </row>
    <row r="8" spans="2:13" ht="18" x14ac:dyDescent="0.55000000000000004">
      <c r="B8" s="1"/>
      <c r="C8" s="37"/>
      <c r="D8" s="341"/>
      <c r="E8" s="341"/>
      <c r="F8" s="341"/>
      <c r="G8" s="399"/>
      <c r="H8" s="341"/>
      <c r="I8" s="399"/>
      <c r="J8" s="341"/>
      <c r="K8" s="399"/>
      <c r="L8" s="399"/>
      <c r="M8" s="38"/>
    </row>
    <row r="9" spans="2:13" x14ac:dyDescent="0.45">
      <c r="B9" s="1"/>
      <c r="C9" s="37"/>
      <c r="E9" s="168"/>
      <c r="H9" s="166"/>
      <c r="J9" s="170"/>
      <c r="L9" s="401" t="s">
        <v>35</v>
      </c>
      <c r="M9" s="38"/>
    </row>
    <row r="10" spans="2:13" x14ac:dyDescent="0.45">
      <c r="B10" s="1"/>
      <c r="C10" s="37"/>
      <c r="D10" s="40"/>
      <c r="E10" s="344"/>
      <c r="F10" s="40" t="s">
        <v>3</v>
      </c>
      <c r="G10" s="400" t="s">
        <v>6</v>
      </c>
      <c r="H10" s="39" t="s">
        <v>56</v>
      </c>
      <c r="I10" s="402"/>
      <c r="J10" s="345" t="s">
        <v>280</v>
      </c>
      <c r="K10" s="402"/>
      <c r="L10" s="401" t="s">
        <v>36</v>
      </c>
      <c r="M10" s="38"/>
    </row>
    <row r="11" spans="2:13" x14ac:dyDescent="0.45">
      <c r="B11" s="1"/>
      <c r="C11" s="37"/>
      <c r="D11" s="39"/>
      <c r="E11" s="346" t="s">
        <v>281</v>
      </c>
      <c r="F11" s="39" t="s">
        <v>4</v>
      </c>
      <c r="G11" s="401" t="s">
        <v>86</v>
      </c>
      <c r="H11" s="39" t="s">
        <v>7</v>
      </c>
      <c r="I11" s="401" t="s">
        <v>8</v>
      </c>
      <c r="J11" s="347" t="s">
        <v>7</v>
      </c>
      <c r="K11" s="401" t="s">
        <v>8</v>
      </c>
      <c r="L11" s="401" t="s">
        <v>9</v>
      </c>
      <c r="M11" s="38"/>
    </row>
    <row r="12" spans="2:13" x14ac:dyDescent="0.45">
      <c r="B12" s="1"/>
      <c r="C12" s="37"/>
      <c r="D12" s="39"/>
      <c r="E12" s="346"/>
      <c r="F12" s="39"/>
      <c r="G12" s="401"/>
      <c r="H12" s="39"/>
      <c r="I12" s="401"/>
      <c r="J12" s="347"/>
      <c r="K12" s="401"/>
      <c r="L12" s="401"/>
      <c r="M12" s="38"/>
    </row>
    <row r="13" spans="2:13" x14ac:dyDescent="0.45">
      <c r="B13" s="1"/>
      <c r="C13" s="37"/>
      <c r="D13" s="394" t="s">
        <v>329</v>
      </c>
      <c r="E13" s="346"/>
      <c r="F13" s="39"/>
      <c r="G13" s="401"/>
      <c r="H13" s="39"/>
      <c r="I13" s="401"/>
      <c r="J13" s="347"/>
      <c r="K13" s="401"/>
      <c r="L13" s="401"/>
      <c r="M13" s="38"/>
    </row>
    <row r="14" spans="2:13" x14ac:dyDescent="0.45">
      <c r="B14" s="1"/>
      <c r="C14" s="37"/>
      <c r="D14" s="394"/>
      <c r="E14" s="395" t="s">
        <v>121</v>
      </c>
      <c r="F14" s="166" t="s">
        <v>5</v>
      </c>
      <c r="G14" s="409">
        <f>[1]PPE!$D$9</f>
        <v>8096</v>
      </c>
      <c r="H14" s="166"/>
      <c r="I14" s="403">
        <f>[1]PPE!$F$9</f>
        <v>0</v>
      </c>
      <c r="J14" s="396"/>
      <c r="K14" s="415">
        <v>0</v>
      </c>
      <c r="L14" s="47">
        <f t="shared" ref="L14" si="0">K14-I14</f>
        <v>0</v>
      </c>
      <c r="M14" s="38"/>
    </row>
    <row r="15" spans="2:13" x14ac:dyDescent="0.45">
      <c r="B15" s="1"/>
      <c r="C15" s="37"/>
      <c r="D15" s="39"/>
      <c r="E15" s="346"/>
      <c r="F15" s="39"/>
      <c r="G15" s="410"/>
      <c r="H15" s="39"/>
      <c r="I15" s="404"/>
      <c r="J15" s="347"/>
      <c r="K15" s="416"/>
      <c r="L15" s="416"/>
      <c r="M15" s="38"/>
    </row>
    <row r="16" spans="2:13" x14ac:dyDescent="0.45">
      <c r="B16" s="1"/>
      <c r="C16" s="37"/>
      <c r="D16" s="31" t="s">
        <v>282</v>
      </c>
      <c r="E16" s="168"/>
      <c r="G16" s="407"/>
      <c r="H16" s="166"/>
      <c r="I16" s="405"/>
      <c r="J16" s="170"/>
      <c r="K16" s="47"/>
      <c r="L16" s="47"/>
      <c r="M16" s="38"/>
    </row>
    <row r="17" spans="2:13" x14ac:dyDescent="0.45">
      <c r="B17" s="1"/>
      <c r="C17" s="37"/>
      <c r="D17" s="31"/>
      <c r="E17" s="168" t="s">
        <v>283</v>
      </c>
      <c r="F17" s="32" t="s">
        <v>5</v>
      </c>
      <c r="G17" s="411">
        <f>[1]PPE!$D$42+[1]PPE!$D$43</f>
        <v>75465.3</v>
      </c>
      <c r="H17" s="166" t="s">
        <v>324</v>
      </c>
      <c r="I17" s="407">
        <f>[1]PPE!$F$42+[1]PPE!$F$43</f>
        <v>1886.6325000000002</v>
      </c>
      <c r="J17" s="170">
        <v>25</v>
      </c>
      <c r="K17" s="47">
        <f t="shared" ref="K17:K18" si="1">G17/J17</f>
        <v>3018.6120000000001</v>
      </c>
      <c r="L17" s="47">
        <f t="shared" ref="L17:L20" si="2">K17-I17</f>
        <v>1131.9794999999999</v>
      </c>
      <c r="M17" s="38"/>
    </row>
    <row r="18" spans="2:13" x14ac:dyDescent="0.45">
      <c r="B18" s="1"/>
      <c r="C18" s="37"/>
      <c r="D18" s="31"/>
      <c r="E18" s="168" t="s">
        <v>136</v>
      </c>
      <c r="F18" s="32" t="s">
        <v>5</v>
      </c>
      <c r="G18" s="408">
        <f>[1]PPE!$D$60+[1]PPE!$D$63</f>
        <v>3819.19</v>
      </c>
      <c r="H18" s="166" t="s">
        <v>324</v>
      </c>
      <c r="I18" s="408">
        <f>[1]PPE!$F$60+[1]PPE!$F$63</f>
        <v>95.479749999999996</v>
      </c>
      <c r="J18" s="170">
        <v>45</v>
      </c>
      <c r="K18" s="47">
        <f t="shared" si="1"/>
        <v>84.870888888888885</v>
      </c>
      <c r="L18" s="47">
        <f t="shared" si="2"/>
        <v>-10.608861111111111</v>
      </c>
      <c r="M18" s="38"/>
    </row>
    <row r="19" spans="2:13" x14ac:dyDescent="0.45">
      <c r="B19" s="1"/>
      <c r="C19" s="37"/>
      <c r="D19" s="31"/>
      <c r="E19" s="168" t="s">
        <v>295</v>
      </c>
      <c r="F19" s="32" t="s">
        <v>5</v>
      </c>
      <c r="G19" s="408">
        <f>[1]PPE!$D$62</f>
        <v>64838</v>
      </c>
      <c r="H19" s="166" t="s">
        <v>324</v>
      </c>
      <c r="I19" s="408">
        <f>[1]PPE!$F$62</f>
        <v>1620.95</v>
      </c>
      <c r="J19" s="170">
        <v>40</v>
      </c>
      <c r="K19" s="47">
        <f>I19</f>
        <v>1620.95</v>
      </c>
      <c r="L19" s="47">
        <f t="shared" si="2"/>
        <v>0</v>
      </c>
      <c r="M19" s="38"/>
    </row>
    <row r="20" spans="2:13" x14ac:dyDescent="0.45">
      <c r="B20" s="1"/>
      <c r="C20" s="37"/>
      <c r="E20" s="168" t="s">
        <v>122</v>
      </c>
      <c r="F20" s="32" t="s">
        <v>5</v>
      </c>
      <c r="G20" s="408">
        <f>[1]PPE!$D$69-G17-G18-G19</f>
        <v>5689776.1400000025</v>
      </c>
      <c r="H20" s="166" t="s">
        <v>324</v>
      </c>
      <c r="I20" s="408">
        <f>[1]PPE!$F$69-I17-I18-I19</f>
        <v>125336.22356249997</v>
      </c>
      <c r="J20" s="170">
        <v>62.5</v>
      </c>
      <c r="K20" s="47">
        <f t="shared" ref="K20" si="3">G20/J20</f>
        <v>91036.418240000043</v>
      </c>
      <c r="L20" s="47">
        <f t="shared" si="2"/>
        <v>-34299.805322499931</v>
      </c>
      <c r="M20" s="38"/>
    </row>
    <row r="21" spans="2:13" x14ac:dyDescent="0.45">
      <c r="B21" s="1"/>
      <c r="C21" s="37"/>
      <c r="E21" s="168"/>
      <c r="F21" s="348"/>
      <c r="G21" s="407"/>
      <c r="H21" s="166"/>
      <c r="I21" s="408"/>
      <c r="J21" s="170"/>
      <c r="K21" s="47"/>
      <c r="L21" s="47"/>
      <c r="M21" s="38"/>
    </row>
    <row r="22" spans="2:13" x14ac:dyDescent="0.45">
      <c r="B22" s="1"/>
      <c r="C22" s="37"/>
      <c r="D22" s="31" t="s">
        <v>127</v>
      </c>
      <c r="E22" s="391"/>
      <c r="F22" s="32"/>
      <c r="G22" s="407"/>
      <c r="H22" s="166"/>
      <c r="I22" s="407"/>
      <c r="J22" s="170"/>
      <c r="K22" s="47"/>
      <c r="L22" s="47"/>
      <c r="M22" s="38"/>
    </row>
    <row r="23" spans="2:13" x14ac:dyDescent="0.45">
      <c r="B23" s="1"/>
      <c r="C23" s="37"/>
      <c r="E23" s="391" t="s">
        <v>121</v>
      </c>
      <c r="F23" s="32" t="s">
        <v>5</v>
      </c>
      <c r="G23" s="407">
        <f>[1]PPE!$D$80</f>
        <v>621164.84</v>
      </c>
      <c r="H23" s="166" t="s">
        <v>324</v>
      </c>
      <c r="I23" s="407">
        <f>[1]PPE!$F$80</f>
        <v>18823.176969696971</v>
      </c>
      <c r="J23" s="170">
        <v>45</v>
      </c>
      <c r="K23" s="47">
        <f t="shared" ref="K23" si="4">G23/J23</f>
        <v>13803.663111111111</v>
      </c>
      <c r="L23" s="47">
        <f t="shared" ref="L23" si="5">K23-I23</f>
        <v>-5019.5138585858604</v>
      </c>
      <c r="M23" s="38"/>
    </row>
    <row r="24" spans="2:13" x14ac:dyDescent="0.45">
      <c r="B24" s="1"/>
      <c r="C24" s="37"/>
      <c r="E24" s="391"/>
      <c r="F24" s="32"/>
      <c r="G24" s="407"/>
      <c r="H24" s="166"/>
      <c r="I24" s="407"/>
      <c r="J24" s="170"/>
      <c r="K24" s="47"/>
      <c r="L24" s="47"/>
      <c r="M24" s="38"/>
    </row>
    <row r="25" spans="2:13" x14ac:dyDescent="0.45">
      <c r="B25" s="1"/>
      <c r="C25" s="37"/>
      <c r="D25" s="31" t="s">
        <v>325</v>
      </c>
      <c r="E25" s="391"/>
      <c r="F25" s="32"/>
      <c r="G25" s="407"/>
      <c r="H25" s="406"/>
      <c r="I25" s="407"/>
      <c r="J25" s="170"/>
      <c r="K25" s="47"/>
      <c r="L25" s="47"/>
      <c r="M25" s="38"/>
    </row>
    <row r="26" spans="2:13" x14ac:dyDescent="0.45">
      <c r="B26" s="1"/>
      <c r="C26" s="37"/>
      <c r="D26" s="31"/>
      <c r="E26" s="391" t="s">
        <v>326</v>
      </c>
      <c r="F26" s="32" t="s">
        <v>5</v>
      </c>
      <c r="G26" s="407">
        <f>[1]PPE!$D$96+[1]PPE!$D$99</f>
        <v>24024.370000000003</v>
      </c>
      <c r="H26" s="166" t="s">
        <v>324</v>
      </c>
      <c r="I26" s="407">
        <f>[1]PPE!$F$96+[1]PPE!$F$99</f>
        <v>2947.0308333333332</v>
      </c>
      <c r="J26" s="170">
        <v>7</v>
      </c>
      <c r="K26" s="47">
        <f t="shared" ref="K26:K27" si="6">G26/J26</f>
        <v>3432.0528571428576</v>
      </c>
      <c r="L26" s="47">
        <f t="shared" ref="L26:L27" si="7">K26-I26</f>
        <v>485.0220238095244</v>
      </c>
      <c r="M26" s="38"/>
    </row>
    <row r="27" spans="2:13" x14ac:dyDescent="0.45">
      <c r="B27" s="1"/>
      <c r="C27" s="37"/>
      <c r="E27" s="391" t="s">
        <v>327</v>
      </c>
      <c r="F27" s="32" t="s">
        <v>5</v>
      </c>
      <c r="G27" s="407">
        <f>[1]PPE!$D$95+[1]PPE!$D$97+[1]PPE!$D$98</f>
        <v>3032.1099999999997</v>
      </c>
      <c r="H27" s="166" t="s">
        <v>324</v>
      </c>
      <c r="I27" s="407">
        <f>[1]PPE!$F$95+[1]PPE!$F$97+[1]PPE!$F$98</f>
        <v>447.55899999999997</v>
      </c>
      <c r="J27" s="170">
        <v>10</v>
      </c>
      <c r="K27" s="47">
        <f t="shared" si="6"/>
        <v>303.21099999999996</v>
      </c>
      <c r="L27" s="47">
        <f t="shared" si="7"/>
        <v>-144.34800000000001</v>
      </c>
      <c r="M27" s="38"/>
    </row>
    <row r="28" spans="2:13" x14ac:dyDescent="0.45">
      <c r="B28" s="1"/>
      <c r="C28" s="37"/>
      <c r="E28" s="391"/>
      <c r="F28" s="32"/>
      <c r="G28" s="407"/>
      <c r="H28" s="166"/>
      <c r="I28" s="407"/>
      <c r="J28" s="170"/>
      <c r="K28" s="47"/>
      <c r="L28" s="47"/>
      <c r="M28" s="38"/>
    </row>
    <row r="29" spans="2:13" x14ac:dyDescent="0.45">
      <c r="B29" s="1"/>
      <c r="C29" s="37"/>
      <c r="D29" s="31" t="s">
        <v>284</v>
      </c>
      <c r="E29" s="391"/>
      <c r="F29" s="32"/>
      <c r="G29" s="407"/>
      <c r="H29" s="166"/>
      <c r="I29" s="407"/>
      <c r="J29" s="170"/>
      <c r="K29" s="47"/>
      <c r="L29" s="47"/>
      <c r="M29" s="38"/>
    </row>
    <row r="30" spans="2:13" x14ac:dyDescent="0.45">
      <c r="B30" s="1"/>
      <c r="C30" s="37"/>
      <c r="D30" s="31"/>
      <c r="E30" s="391" t="s">
        <v>331</v>
      </c>
      <c r="F30" s="32" t="s">
        <v>5</v>
      </c>
      <c r="G30" s="407">
        <f>[1]PPE!$D$107+[1]PPE!$D$109+[1]PPE!$D$111</f>
        <v>16450.73</v>
      </c>
      <c r="H30" s="166" t="s">
        <v>324</v>
      </c>
      <c r="I30" s="407">
        <f>[1]PPE!$F$107+[1]PPE!$F$109+[1]PPE!$F$111</f>
        <v>1557.7385714285715</v>
      </c>
      <c r="J30" s="170">
        <v>15</v>
      </c>
      <c r="K30" s="47">
        <f>G30/J30</f>
        <v>1096.7153333333333</v>
      </c>
      <c r="L30" s="47">
        <f>K30-I30</f>
        <v>-461.02323809523818</v>
      </c>
      <c r="M30" s="38"/>
    </row>
    <row r="31" spans="2:13" x14ac:dyDescent="0.45">
      <c r="B31" s="1"/>
      <c r="C31" s="37"/>
      <c r="D31" s="31"/>
      <c r="E31" s="391" t="s">
        <v>328</v>
      </c>
      <c r="F31" s="32" t="s">
        <v>5</v>
      </c>
      <c r="G31" s="407">
        <f>[1]PPE!$D$110+[1]PPE!$D$112+[1]PPE!$D$113</f>
        <v>15259.15</v>
      </c>
      <c r="H31" s="166" t="s">
        <v>324</v>
      </c>
      <c r="I31" s="407">
        <f>[1]PPE!$F$110+[1]PPE!$F$112+[1]PPE!$F$113</f>
        <v>234.33511904761906</v>
      </c>
      <c r="J31" s="170">
        <v>10</v>
      </c>
      <c r="K31" s="47">
        <f>G31/J31</f>
        <v>1525.915</v>
      </c>
      <c r="L31" s="47">
        <f>K31-I31</f>
        <v>1291.5798809523808</v>
      </c>
      <c r="M31" s="38"/>
    </row>
    <row r="32" spans="2:13" x14ac:dyDescent="0.45">
      <c r="B32" s="1"/>
      <c r="C32" s="37"/>
      <c r="D32" s="31"/>
      <c r="E32" s="391" t="s">
        <v>285</v>
      </c>
      <c r="F32" s="32" t="s">
        <v>5</v>
      </c>
      <c r="G32" s="407">
        <f>[1]PPE!$D$108</f>
        <v>4445</v>
      </c>
      <c r="H32" s="166" t="s">
        <v>324</v>
      </c>
      <c r="I32" s="407">
        <f>[1]PPE!$F$108</f>
        <v>635</v>
      </c>
      <c r="J32" s="170">
        <v>7</v>
      </c>
      <c r="K32" s="47">
        <f>G32/J32</f>
        <v>635</v>
      </c>
      <c r="L32" s="47">
        <f>K32-I32</f>
        <v>0</v>
      </c>
      <c r="M32" s="38"/>
    </row>
    <row r="33" spans="2:14" x14ac:dyDescent="0.45">
      <c r="B33" s="1"/>
      <c r="C33" s="37"/>
      <c r="D33" s="31"/>
      <c r="E33" s="168"/>
      <c r="F33" s="32"/>
      <c r="H33" s="166"/>
      <c r="J33" s="170"/>
      <c r="M33" s="38"/>
    </row>
    <row r="34" spans="2:14" x14ac:dyDescent="0.45">
      <c r="B34" s="1"/>
      <c r="C34" s="41"/>
      <c r="D34" s="392" t="s">
        <v>40</v>
      </c>
      <c r="E34" s="190"/>
      <c r="F34" s="30"/>
      <c r="G34" s="412">
        <f>SUM(G14:G33)</f>
        <v>6526370.8300000038</v>
      </c>
      <c r="H34" s="413"/>
      <c r="I34" s="412">
        <f>SUM(I17:I33)</f>
        <v>153584.12630600645</v>
      </c>
      <c r="J34" s="414"/>
      <c r="K34" s="412">
        <f>SUM(K17:K33)</f>
        <v>116557.40843047621</v>
      </c>
      <c r="L34" s="412">
        <f>SUM(L17:L33)</f>
        <v>-37026.71787553023</v>
      </c>
      <c r="M34" s="42"/>
      <c r="N34" s="43"/>
    </row>
    <row r="35" spans="2:14" x14ac:dyDescent="0.45">
      <c r="B35" s="1"/>
      <c r="C35" s="1"/>
      <c r="E35" s="169"/>
      <c r="H35" s="166"/>
      <c r="J35" s="349"/>
    </row>
    <row r="36" spans="2:14" x14ac:dyDescent="0.45">
      <c r="B36" s="1"/>
      <c r="C36" s="1"/>
      <c r="E36" s="19" t="s">
        <v>286</v>
      </c>
      <c r="F36" s="1"/>
      <c r="H36" s="166"/>
      <c r="J36" s="337"/>
    </row>
    <row r="37" spans="2:14" x14ac:dyDescent="0.45">
      <c r="B37" s="1"/>
      <c r="C37" s="1"/>
      <c r="E37" s="336"/>
      <c r="H37" s="166"/>
      <c r="J37" s="337"/>
    </row>
    <row r="39" spans="2:14" x14ac:dyDescent="0.45">
      <c r="E39" s="19" t="s">
        <v>402</v>
      </c>
      <c r="I39" s="47">
        <f>SAO!F45</f>
        <v>153731</v>
      </c>
      <c r="L39" s="286">
        <f>I39-I34</f>
        <v>146.87369399354793</v>
      </c>
    </row>
  </sheetData>
  <mergeCells count="3">
    <mergeCell ref="E6:L6"/>
    <mergeCell ref="D4:L4"/>
    <mergeCell ref="D5:L5"/>
  </mergeCells>
  <printOptions horizontalCentered="1"/>
  <pageMargins left="0.65" right="0.55000000000000004" top="1.5" bottom="0.25" header="0" footer="0"/>
  <pageSetup scale="87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6"/>
  <sheetViews>
    <sheetView workbookViewId="0">
      <selection sqref="A1:L25"/>
    </sheetView>
  </sheetViews>
  <sheetFormatPr defaultColWidth="8.88671875" defaultRowHeight="14.25" x14ac:dyDescent="0.45"/>
  <cols>
    <col min="1" max="1" width="2.33203125" style="12" customWidth="1"/>
    <col min="2" max="2" width="8.33203125" style="12" customWidth="1"/>
    <col min="3" max="8" width="8.5546875" style="12" customWidth="1"/>
    <col min="9" max="9" width="7.21875" style="12" customWidth="1"/>
    <col min="10" max="10" width="8.109375" style="12" customWidth="1"/>
    <col min="11" max="11" width="1.44140625" style="12" customWidth="1"/>
    <col min="12" max="12" width="1.88671875" style="12" customWidth="1"/>
    <col min="13" max="13" width="11" style="12" bestFit="1" customWidth="1"/>
    <col min="14" max="16384" width="8.88671875" style="12"/>
  </cols>
  <sheetData>
    <row r="1" spans="1:13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45">
      <c r="A2" s="1"/>
      <c r="B2" s="34"/>
      <c r="C2" s="64"/>
      <c r="D2" s="64"/>
      <c r="E2" s="64"/>
      <c r="F2" s="64"/>
      <c r="G2" s="64"/>
      <c r="H2" s="64"/>
      <c r="I2" s="64"/>
      <c r="J2" s="64"/>
      <c r="K2" s="65"/>
      <c r="L2" s="1"/>
      <c r="M2" s="1"/>
    </row>
    <row r="3" spans="1:13" ht="18" x14ac:dyDescent="0.55000000000000004">
      <c r="A3" s="1"/>
      <c r="B3" s="298" t="s">
        <v>0</v>
      </c>
      <c r="C3" s="299"/>
      <c r="D3" s="299"/>
      <c r="E3" s="299"/>
      <c r="F3" s="299"/>
      <c r="G3" s="300"/>
      <c r="H3" s="300"/>
      <c r="I3" s="300"/>
      <c r="J3" s="300"/>
      <c r="K3" s="66"/>
      <c r="L3" s="1"/>
      <c r="M3" s="1"/>
    </row>
    <row r="4" spans="1:13" ht="18" x14ac:dyDescent="0.55000000000000004">
      <c r="A4" s="1"/>
      <c r="B4" s="301" t="s">
        <v>37</v>
      </c>
      <c r="C4" s="163"/>
      <c r="D4" s="163"/>
      <c r="E4" s="163"/>
      <c r="F4" s="163"/>
      <c r="G4" s="300"/>
      <c r="H4" s="300"/>
      <c r="I4" s="300"/>
      <c r="J4" s="300"/>
      <c r="K4" s="66"/>
      <c r="L4" s="1"/>
      <c r="M4" s="1"/>
    </row>
    <row r="5" spans="1:13" ht="15.75" x14ac:dyDescent="0.5">
      <c r="A5" s="1"/>
      <c r="B5" s="302" t="s">
        <v>252</v>
      </c>
      <c r="C5" s="164"/>
      <c r="D5" s="164"/>
      <c r="E5" s="164"/>
      <c r="F5" s="164"/>
      <c r="G5" s="300"/>
      <c r="H5" s="300"/>
      <c r="I5" s="300"/>
      <c r="J5" s="300"/>
      <c r="K5" s="66"/>
      <c r="L5" s="1"/>
      <c r="M5" s="1"/>
    </row>
    <row r="6" spans="1:13" x14ac:dyDescent="0.45">
      <c r="A6" s="1"/>
      <c r="B6" s="303" t="s">
        <v>350</v>
      </c>
      <c r="C6" s="165"/>
      <c r="D6" s="165"/>
      <c r="E6" s="165"/>
      <c r="F6" s="165"/>
      <c r="G6" s="300"/>
      <c r="H6" s="300"/>
      <c r="I6" s="300"/>
      <c r="J6" s="300"/>
      <c r="K6" s="66"/>
      <c r="L6" s="1"/>
      <c r="M6" s="1"/>
    </row>
    <row r="7" spans="1:13" x14ac:dyDescent="0.45">
      <c r="A7" s="1"/>
      <c r="B7" s="303"/>
      <c r="C7" s="165"/>
      <c r="D7" s="165"/>
      <c r="E7" s="165"/>
      <c r="F7" s="165"/>
      <c r="G7" s="300"/>
      <c r="H7" s="300"/>
      <c r="I7" s="300"/>
      <c r="J7" s="300"/>
      <c r="K7" s="66"/>
      <c r="L7" s="1"/>
      <c r="M7" s="1"/>
    </row>
    <row r="8" spans="1:13" x14ac:dyDescent="0.45">
      <c r="A8" s="1"/>
      <c r="B8" s="304"/>
      <c r="C8" s="304"/>
      <c r="D8" s="305"/>
      <c r="E8" s="304"/>
      <c r="F8" s="305"/>
      <c r="G8" s="306"/>
      <c r="H8" s="306"/>
      <c r="I8" s="307"/>
      <c r="J8" s="306"/>
      <c r="K8" s="65"/>
      <c r="L8" s="1"/>
      <c r="M8" s="1"/>
    </row>
    <row r="9" spans="1:13" x14ac:dyDescent="0.45">
      <c r="A9" s="1"/>
      <c r="B9" s="308"/>
      <c r="C9" s="491" t="s">
        <v>278</v>
      </c>
      <c r="D9" s="492"/>
      <c r="E9" s="491" t="s">
        <v>279</v>
      </c>
      <c r="F9" s="492"/>
      <c r="G9" s="493" t="s">
        <v>274</v>
      </c>
      <c r="H9" s="493"/>
      <c r="I9" s="494"/>
      <c r="J9" s="309"/>
      <c r="K9" s="66"/>
      <c r="L9" s="1"/>
      <c r="M9" s="1"/>
    </row>
    <row r="10" spans="1:13" x14ac:dyDescent="0.45">
      <c r="A10" s="1"/>
      <c r="B10" s="310"/>
      <c r="C10" s="311" t="s">
        <v>38</v>
      </c>
      <c r="D10" s="312" t="s">
        <v>39</v>
      </c>
      <c r="E10" s="311" t="s">
        <v>38</v>
      </c>
      <c r="F10" s="312" t="s">
        <v>39</v>
      </c>
      <c r="G10" s="313" t="s">
        <v>38</v>
      </c>
      <c r="H10" s="313" t="s">
        <v>39</v>
      </c>
      <c r="I10" s="314" t="s">
        <v>275</v>
      </c>
      <c r="J10" s="315" t="s">
        <v>40</v>
      </c>
      <c r="K10" s="71"/>
      <c r="L10" s="1"/>
      <c r="M10" s="1"/>
    </row>
    <row r="11" spans="1:13" x14ac:dyDescent="0.45">
      <c r="A11" s="1"/>
      <c r="B11" s="308"/>
      <c r="C11" s="308"/>
      <c r="D11" s="308"/>
      <c r="E11" s="308"/>
      <c r="F11" s="308"/>
      <c r="G11" s="316"/>
      <c r="H11" s="317"/>
      <c r="I11" s="318"/>
      <c r="J11" s="317"/>
      <c r="K11" s="66"/>
      <c r="L11" s="1"/>
      <c r="M11" s="1"/>
    </row>
    <row r="12" spans="1:13" x14ac:dyDescent="0.45">
      <c r="A12" s="1"/>
      <c r="B12" s="319">
        <v>2024</v>
      </c>
      <c r="C12" s="320">
        <f>'[2]91-03 and 91-05 Bonds'!$C$22</f>
        <v>14000</v>
      </c>
      <c r="D12" s="320">
        <f>'[2]91-03 and 91-05 Bonds'!$F$22</f>
        <v>11100</v>
      </c>
      <c r="E12" s="320">
        <f>'[2]91-03 and 91-05 Bonds'!$C$57</f>
        <v>6900</v>
      </c>
      <c r="F12" s="320">
        <f>'[2]91-03 and 91-05 Bonds'!$F$57</f>
        <v>5595</v>
      </c>
      <c r="G12" s="56">
        <f>SUM('[2]KIA Loan'!$C$179:$C$190)</f>
        <v>53378.63</v>
      </c>
      <c r="H12" s="50">
        <f>SUM('[2]KIA Loan'!$D$179:$D$190)</f>
        <v>9639.1299999999992</v>
      </c>
      <c r="I12" s="57">
        <f>SUM('[2]KIA Loan'!$G$179:$G$190)</f>
        <v>642.6</v>
      </c>
      <c r="J12" s="50">
        <f t="shared" ref="J12:J16" si="0">SUM(C12:I12)</f>
        <v>101255.36000000002</v>
      </c>
      <c r="K12" s="66"/>
      <c r="L12" s="1"/>
      <c r="M12" s="1"/>
    </row>
    <row r="13" spans="1:13" x14ac:dyDescent="0.45">
      <c r="A13" s="1"/>
      <c r="B13" s="319">
        <v>2025</v>
      </c>
      <c r="C13" s="320">
        <f>'[2]91-03 and 91-05 Bonds'!$C$23</f>
        <v>15000</v>
      </c>
      <c r="D13" s="320">
        <f>'[2]91-03 and 91-05 Bonds'!$F$23</f>
        <v>10400</v>
      </c>
      <c r="E13" s="320">
        <f>'[2]91-03 and 91-05 Bonds'!$C$58</f>
        <v>7200</v>
      </c>
      <c r="F13" s="320">
        <f>'[2]91-03 and 91-05 Bonds'!$F$58</f>
        <v>5250</v>
      </c>
      <c r="G13" s="56">
        <f>SUM('[2]KIA Loan'!$C$191:$C$202)</f>
        <v>55002.189999999995</v>
      </c>
      <c r="H13" s="50">
        <f>SUM('[2]KIA Loan'!$D$191:$D$202)</f>
        <v>8015.57</v>
      </c>
      <c r="I13" s="57">
        <f>SUM('[2]KIA Loan'!$G$191:$G$202)</f>
        <v>534.37000000000012</v>
      </c>
      <c r="J13" s="50">
        <f t="shared" si="0"/>
        <v>101402.13</v>
      </c>
      <c r="K13" s="66"/>
      <c r="L13" s="1"/>
      <c r="M13" s="1"/>
    </row>
    <row r="14" spans="1:13" x14ac:dyDescent="0.45">
      <c r="A14" s="1"/>
      <c r="B14" s="319">
        <v>2026</v>
      </c>
      <c r="C14" s="320">
        <f>'[2]91-03 and 91-05 Bonds'!$C$24</f>
        <v>15000</v>
      </c>
      <c r="D14" s="320">
        <f>'[2]91-03 and 91-05 Bonds'!$F$24</f>
        <v>9650</v>
      </c>
      <c r="E14" s="320">
        <f>'[2]91-03 and 91-05 Bonds'!$C$59</f>
        <v>7600</v>
      </c>
      <c r="F14" s="320">
        <f>'[2]91-03 and 91-05 Bonds'!$F$59</f>
        <v>4890</v>
      </c>
      <c r="G14" s="56">
        <f>SUM('[2]KIA Loan'!$C$203:$C$214)</f>
        <v>56675.15</v>
      </c>
      <c r="H14" s="50">
        <f>SUM('[2]KIA Loan'!$D$203:$D$214)</f>
        <v>6342.61</v>
      </c>
      <c r="I14" s="57">
        <f>SUM('[2]KIA Loan'!$G$203:$G$214)</f>
        <v>422.85000000000008</v>
      </c>
      <c r="J14" s="50">
        <f t="shared" si="0"/>
        <v>100580.61</v>
      </c>
      <c r="K14" s="66"/>
      <c r="L14" s="1"/>
      <c r="M14" s="1"/>
    </row>
    <row r="15" spans="1:13" x14ac:dyDescent="0.45">
      <c r="A15" s="1"/>
      <c r="B15" s="319">
        <v>2027</v>
      </c>
      <c r="C15" s="320">
        <f>'[2]91-03 and 91-05 Bonds'!$C$25</f>
        <v>17000</v>
      </c>
      <c r="D15" s="320">
        <f>'[2]91-03 and 91-05 Bonds'!$F$25</f>
        <v>8900</v>
      </c>
      <c r="E15" s="320">
        <f>'[2]91-03 and 91-05 Bonds'!$C$60</f>
        <v>8000</v>
      </c>
      <c r="F15" s="320">
        <f>'[2]91-03 and 91-05 Bonds'!$F$60</f>
        <v>4510</v>
      </c>
      <c r="G15" s="56">
        <f>SUM('[2]KIA Loan'!$C$215:$C$226)</f>
        <v>58398.98</v>
      </c>
      <c r="H15" s="50">
        <f>SUM('[2]KIA Loan'!$D$215:$D$226)</f>
        <v>4618.78</v>
      </c>
      <c r="I15" s="57">
        <f>SUM('[2]KIA Loan'!$G$215:$G$226)</f>
        <v>307.92</v>
      </c>
      <c r="J15" s="50">
        <f t="shared" si="0"/>
        <v>101735.68000000001</v>
      </c>
      <c r="K15" s="66"/>
      <c r="L15" s="1"/>
      <c r="M15" s="1"/>
    </row>
    <row r="16" spans="1:13" x14ac:dyDescent="0.45">
      <c r="A16" s="1"/>
      <c r="B16" s="319">
        <v>2028</v>
      </c>
      <c r="C16" s="320">
        <f>'[2]91-03 and 91-05 Bonds'!$C$26</f>
        <v>17000</v>
      </c>
      <c r="D16" s="320">
        <f>'[2]91-03 and 91-05 Bonds'!$F$26</f>
        <v>8050</v>
      </c>
      <c r="E16" s="320">
        <f>'[2]91-03 and 91-05 Bonds'!$C$61</f>
        <v>8400</v>
      </c>
      <c r="F16" s="320">
        <f>'[2]91-03 and 91-05 Bonds'!$F$61</f>
        <v>4110</v>
      </c>
      <c r="G16" s="56">
        <f>SUM('[2]KIA Loan'!$C$227:$C$238)</f>
        <v>60175.219999999994</v>
      </c>
      <c r="H16" s="50">
        <f>SUM('[2]KIA Loan'!$D$227:$D$238)</f>
        <v>2842.54</v>
      </c>
      <c r="I16" s="57">
        <f>SUM('[2]KIA Loan'!$G$227:$G$238)</f>
        <v>189.49</v>
      </c>
      <c r="J16" s="50">
        <f t="shared" si="0"/>
        <v>100767.25</v>
      </c>
      <c r="K16" s="66"/>
      <c r="L16" s="1"/>
      <c r="M16" s="1"/>
    </row>
    <row r="17" spans="1:13" x14ac:dyDescent="0.45">
      <c r="A17" s="1"/>
      <c r="B17" s="321"/>
      <c r="C17" s="74"/>
      <c r="D17" s="74"/>
      <c r="E17" s="74"/>
      <c r="F17" s="74"/>
      <c r="G17" s="322"/>
      <c r="H17" s="181"/>
      <c r="I17" s="182"/>
      <c r="J17" s="181"/>
      <c r="K17" s="66"/>
      <c r="L17" s="1"/>
      <c r="M17" s="1"/>
    </row>
    <row r="18" spans="1:13" x14ac:dyDescent="0.45">
      <c r="A18" s="1"/>
      <c r="B18" s="323" t="s">
        <v>40</v>
      </c>
      <c r="C18" s="324">
        <f t="shared" ref="C18:J18" si="1">SUM(C12:C17)</f>
        <v>78000</v>
      </c>
      <c r="D18" s="324">
        <f t="shared" si="1"/>
        <v>48100</v>
      </c>
      <c r="E18" s="324">
        <f t="shared" si="1"/>
        <v>38100</v>
      </c>
      <c r="F18" s="324">
        <f t="shared" si="1"/>
        <v>24355</v>
      </c>
      <c r="G18" s="324">
        <f t="shared" si="1"/>
        <v>283630.17</v>
      </c>
      <c r="H18" s="120">
        <f t="shared" si="1"/>
        <v>31458.629999999997</v>
      </c>
      <c r="I18" s="325">
        <f t="shared" si="1"/>
        <v>2097.2300000000005</v>
      </c>
      <c r="J18" s="120">
        <f t="shared" si="1"/>
        <v>505741.03</v>
      </c>
      <c r="K18" s="326"/>
      <c r="L18" s="1"/>
      <c r="M18" s="81">
        <f>SUM(C18:I18)</f>
        <v>505741.02999999997</v>
      </c>
    </row>
    <row r="19" spans="1:13" x14ac:dyDescent="0.45">
      <c r="A19" s="1"/>
      <c r="B19" s="327"/>
      <c r="C19" s="327"/>
      <c r="D19" s="327"/>
      <c r="E19" s="327"/>
      <c r="F19" s="327"/>
      <c r="G19" s="328"/>
      <c r="H19" s="180"/>
      <c r="I19" s="329"/>
      <c r="J19" s="180"/>
      <c r="K19" s="330"/>
      <c r="L19" s="1"/>
      <c r="M19" s="1"/>
    </row>
    <row r="20" spans="1:13" x14ac:dyDescent="0.45">
      <c r="A20" s="1"/>
      <c r="B20" s="331"/>
      <c r="C20" s="160"/>
      <c r="D20" s="160"/>
      <c r="E20" s="160"/>
      <c r="F20" s="160"/>
      <c r="G20" s="120"/>
      <c r="H20" s="120"/>
      <c r="I20" s="120"/>
      <c r="J20" s="120"/>
      <c r="K20" s="326"/>
      <c r="L20" s="1"/>
      <c r="M20" s="1"/>
    </row>
    <row r="21" spans="1:13" x14ac:dyDescent="0.45">
      <c r="A21" s="1"/>
      <c r="B21" s="332" t="s">
        <v>276</v>
      </c>
      <c r="C21" s="100"/>
      <c r="D21" s="100"/>
      <c r="E21" s="100"/>
      <c r="F21" s="100"/>
      <c r="G21" s="15"/>
      <c r="H21" s="181"/>
      <c r="I21" s="181"/>
      <c r="J21" s="120">
        <f>J18/5</f>
        <v>101148.20600000001</v>
      </c>
      <c r="K21" s="326"/>
      <c r="L21" s="1"/>
      <c r="M21" s="29"/>
    </row>
    <row r="22" spans="1:13" x14ac:dyDescent="0.45">
      <c r="A22" s="1"/>
      <c r="B22" s="37"/>
      <c r="C22" s="1"/>
      <c r="D22" s="1"/>
      <c r="E22" s="1"/>
      <c r="F22" s="1"/>
      <c r="G22" s="126"/>
      <c r="H22" s="120"/>
      <c r="I22" s="120"/>
      <c r="J22" s="120"/>
      <c r="K22" s="326"/>
      <c r="L22" s="1"/>
      <c r="M22" s="29"/>
    </row>
    <row r="23" spans="1:13" x14ac:dyDescent="0.45">
      <c r="A23" s="1"/>
      <c r="B23" s="332" t="s">
        <v>277</v>
      </c>
      <c r="C23" s="100"/>
      <c r="D23" s="100"/>
      <c r="E23" s="100"/>
      <c r="F23" s="100"/>
      <c r="G23" s="15"/>
      <c r="H23" s="181"/>
      <c r="I23" s="181"/>
      <c r="J23" s="120">
        <f>J21*0.2</f>
        <v>20229.641200000002</v>
      </c>
      <c r="K23" s="326"/>
      <c r="L23" s="1"/>
      <c r="M23" s="29">
        <f>J21+J23</f>
        <v>121377.8472</v>
      </c>
    </row>
    <row r="24" spans="1:13" x14ac:dyDescent="0.45">
      <c r="A24" s="1"/>
      <c r="B24" s="333"/>
      <c r="C24" s="8"/>
      <c r="D24" s="8"/>
      <c r="E24" s="8"/>
      <c r="F24" s="8"/>
      <c r="G24" s="334"/>
      <c r="H24" s="334"/>
      <c r="I24" s="334"/>
      <c r="J24" s="334"/>
      <c r="K24" s="71"/>
      <c r="L24" s="1"/>
      <c r="M24" s="29"/>
    </row>
    <row r="25" spans="1:13" x14ac:dyDescent="0.45">
      <c r="A25" s="1"/>
      <c r="B25" s="2"/>
      <c r="C25" s="2"/>
      <c r="D25" s="2"/>
      <c r="E25" s="2"/>
      <c r="F25" s="2"/>
      <c r="G25" s="121"/>
      <c r="H25" s="121"/>
      <c r="I25" s="121"/>
      <c r="J25" s="121"/>
      <c r="K25" s="1"/>
      <c r="L25" s="1"/>
      <c r="M25" s="29"/>
    </row>
    <row r="26" spans="1:13" x14ac:dyDescent="0.45">
      <c r="A26" s="1"/>
      <c r="B26" s="490"/>
      <c r="C26" s="490"/>
      <c r="D26" s="490"/>
      <c r="E26" s="490"/>
      <c r="F26" s="490"/>
      <c r="G26" s="490"/>
      <c r="H26" s="490"/>
      <c r="I26" s="490"/>
      <c r="J26" s="490"/>
      <c r="K26" s="1"/>
      <c r="L26" s="1"/>
      <c r="M26" s="29"/>
    </row>
  </sheetData>
  <mergeCells count="4">
    <mergeCell ref="B26:J26"/>
    <mergeCell ref="C9:D9"/>
    <mergeCell ref="E9:F9"/>
    <mergeCell ref="G9:I9"/>
  </mergeCells>
  <printOptions horizontalCentered="1"/>
  <pageMargins left="0.5" right="0.4" top="1.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0E34B-6EB4-45F1-86CE-FD11B332E570}">
  <sheetPr>
    <pageSetUpPr fitToPage="1"/>
  </sheetPr>
  <dimension ref="A2:O54"/>
  <sheetViews>
    <sheetView workbookViewId="0">
      <selection activeCell="B1" sqref="B1:L34"/>
    </sheetView>
  </sheetViews>
  <sheetFormatPr defaultRowHeight="15" x14ac:dyDescent="0.4"/>
  <cols>
    <col min="1" max="1" width="2.27734375" customWidth="1"/>
    <col min="2" max="3" width="1.109375" customWidth="1"/>
    <col min="4" max="4" width="23.5546875" customWidth="1"/>
    <col min="5" max="5" width="9.44140625" customWidth="1"/>
    <col min="6" max="6" width="9.77734375" customWidth="1"/>
    <col min="7" max="8" width="9.109375" customWidth="1"/>
    <col min="9" max="9" width="8.21875" customWidth="1"/>
    <col min="10" max="10" width="7.6640625" customWidth="1"/>
    <col min="11" max="11" width="1.33203125" customWidth="1"/>
    <col min="12" max="12" width="1.38671875" customWidth="1"/>
    <col min="13" max="13" width="11" bestFit="1" customWidth="1"/>
  </cols>
  <sheetData>
    <row r="2" spans="1:13" ht="8.1" customHeight="1" x14ac:dyDescent="0.45">
      <c r="B2" s="34"/>
      <c r="C2" s="64"/>
      <c r="D2" s="64"/>
      <c r="E2" s="64"/>
      <c r="F2" s="64"/>
      <c r="G2" s="64"/>
      <c r="H2" s="64"/>
      <c r="I2" s="64"/>
      <c r="J2" s="64"/>
      <c r="K2" s="65"/>
      <c r="L2" s="1"/>
      <c r="M2" s="1"/>
    </row>
    <row r="3" spans="1:13" ht="18" x14ac:dyDescent="0.55000000000000004">
      <c r="A3" s="37"/>
      <c r="B3" s="37"/>
      <c r="C3" s="1"/>
      <c r="D3" s="495" t="s">
        <v>314</v>
      </c>
      <c r="E3" s="495"/>
      <c r="F3" s="495"/>
      <c r="G3" s="495"/>
      <c r="H3" s="495"/>
      <c r="I3" s="495"/>
      <c r="J3" s="495"/>
      <c r="K3" s="38"/>
      <c r="L3" s="1"/>
      <c r="M3" s="1"/>
    </row>
    <row r="4" spans="1:13" ht="18" x14ac:dyDescent="0.55000000000000004">
      <c r="A4" s="37"/>
      <c r="B4" s="37"/>
      <c r="C4" s="1"/>
      <c r="D4" s="163" t="s">
        <v>131</v>
      </c>
      <c r="E4" s="165"/>
      <c r="F4" s="165"/>
      <c r="G4" s="165"/>
      <c r="H4" s="165"/>
      <c r="I4" s="165"/>
      <c r="J4" s="165"/>
      <c r="K4" s="38"/>
      <c r="L4" s="1"/>
      <c r="M4" s="1"/>
    </row>
    <row r="5" spans="1:13" ht="15.75" x14ac:dyDescent="0.45">
      <c r="A5" s="37"/>
      <c r="B5" s="37"/>
      <c r="C5" s="1"/>
      <c r="D5" s="484" t="s">
        <v>252</v>
      </c>
      <c r="E5" s="484"/>
      <c r="F5" s="484"/>
      <c r="G5" s="484"/>
      <c r="H5" s="484"/>
      <c r="I5" s="484"/>
      <c r="J5" s="484"/>
      <c r="K5" s="496"/>
      <c r="L5" s="1"/>
      <c r="M5" s="1"/>
    </row>
    <row r="6" spans="1:13" ht="8.1" customHeight="1" x14ac:dyDescent="0.45">
      <c r="A6" s="37"/>
      <c r="B6" s="41"/>
      <c r="C6" s="17"/>
      <c r="D6" s="30"/>
      <c r="E6" s="30"/>
      <c r="F6" s="30"/>
      <c r="G6" s="30"/>
      <c r="H6" s="30"/>
      <c r="I6" s="30"/>
      <c r="J6" s="30"/>
      <c r="K6" s="42"/>
      <c r="L6" s="1"/>
      <c r="M6" s="1"/>
    </row>
    <row r="7" spans="1:13" ht="17.649999999999999" x14ac:dyDescent="0.75">
      <c r="A7" s="37"/>
      <c r="B7" s="37"/>
      <c r="C7" s="1"/>
      <c r="D7" s="19"/>
      <c r="E7" s="50"/>
      <c r="F7" s="50"/>
      <c r="G7" s="50"/>
      <c r="H7" s="497" t="s">
        <v>128</v>
      </c>
      <c r="I7" s="497"/>
      <c r="J7" s="50"/>
      <c r="K7" s="38"/>
      <c r="L7" s="1"/>
      <c r="M7" s="1"/>
    </row>
    <row r="8" spans="1:13" ht="15.4" x14ac:dyDescent="0.45">
      <c r="A8" s="37"/>
      <c r="B8" s="37"/>
      <c r="C8" s="1"/>
      <c r="D8" s="19"/>
      <c r="E8" s="206" t="s">
        <v>132</v>
      </c>
      <c r="F8" s="197"/>
      <c r="G8" s="197"/>
      <c r="H8" s="75" t="s">
        <v>171</v>
      </c>
      <c r="I8" s="75" t="s">
        <v>172</v>
      </c>
      <c r="J8" s="206" t="s">
        <v>173</v>
      </c>
      <c r="K8" s="38"/>
      <c r="L8" s="1"/>
      <c r="M8" s="1"/>
    </row>
    <row r="9" spans="1:13" ht="17.649999999999999" x14ac:dyDescent="0.75">
      <c r="A9" s="37"/>
      <c r="B9" s="37"/>
      <c r="C9" s="1"/>
      <c r="D9" s="19"/>
      <c r="E9" s="362" t="s">
        <v>133</v>
      </c>
      <c r="F9" s="362" t="s">
        <v>174</v>
      </c>
      <c r="G9" s="362" t="s">
        <v>175</v>
      </c>
      <c r="H9" s="195" t="s">
        <v>176</v>
      </c>
      <c r="I9" s="195" t="s">
        <v>135</v>
      </c>
      <c r="J9" s="362" t="s">
        <v>125</v>
      </c>
      <c r="K9" s="38"/>
      <c r="L9" s="1"/>
      <c r="M9" s="1"/>
    </row>
    <row r="10" spans="1:13" ht="7.05" customHeight="1" x14ac:dyDescent="0.45">
      <c r="A10" s="37"/>
      <c r="B10" s="37"/>
      <c r="C10" s="1"/>
      <c r="D10" s="19"/>
      <c r="E10" s="19"/>
      <c r="F10" s="19"/>
      <c r="G10" s="19"/>
      <c r="H10" s="19"/>
      <c r="I10" s="19"/>
      <c r="J10" s="19"/>
      <c r="K10" s="38"/>
      <c r="L10" s="1"/>
      <c r="M10" s="1"/>
    </row>
    <row r="11" spans="1:13" ht="15.4" x14ac:dyDescent="0.45">
      <c r="A11" s="37"/>
      <c r="B11" s="37"/>
      <c r="C11" s="31" t="s">
        <v>296</v>
      </c>
      <c r="D11" s="168"/>
      <c r="E11" s="19"/>
      <c r="F11" s="19"/>
      <c r="G11" s="19"/>
      <c r="H11" s="19"/>
      <c r="I11" s="19"/>
      <c r="J11" s="19"/>
      <c r="K11" s="38"/>
      <c r="L11" s="1"/>
      <c r="M11" s="1"/>
    </row>
    <row r="12" spans="1:13" ht="15.4" x14ac:dyDescent="0.45">
      <c r="A12" s="37"/>
      <c r="B12" s="37"/>
      <c r="C12" s="31"/>
      <c r="D12" s="168" t="s">
        <v>121</v>
      </c>
      <c r="E12" s="411">
        <f>Depreciation!G14</f>
        <v>8096</v>
      </c>
      <c r="F12" s="417">
        <f>E12</f>
        <v>8096</v>
      </c>
      <c r="G12" s="47"/>
      <c r="H12" s="47"/>
      <c r="I12" s="47"/>
      <c r="J12" s="47"/>
      <c r="K12" s="38"/>
      <c r="L12" s="1"/>
      <c r="M12" s="1"/>
    </row>
    <row r="13" spans="1:13" ht="15.4" x14ac:dyDescent="0.45">
      <c r="A13" s="37"/>
      <c r="B13" s="37"/>
      <c r="C13" s="31"/>
      <c r="D13" s="168"/>
      <c r="E13" s="411"/>
      <c r="F13" s="417"/>
      <c r="G13" s="47"/>
      <c r="H13" s="47"/>
      <c r="I13" s="47"/>
      <c r="J13" s="47"/>
      <c r="K13" s="38"/>
      <c r="L13" s="1"/>
      <c r="M13" s="1"/>
    </row>
    <row r="14" spans="1:13" ht="15.4" x14ac:dyDescent="0.45">
      <c r="A14" s="37"/>
      <c r="B14" s="37"/>
      <c r="C14" s="31" t="s">
        <v>282</v>
      </c>
      <c r="D14" s="168"/>
      <c r="E14" s="411"/>
      <c r="F14" s="47"/>
      <c r="G14" s="47"/>
      <c r="H14" s="47"/>
      <c r="I14" s="47"/>
      <c r="J14" s="4"/>
      <c r="K14" s="38"/>
      <c r="L14" s="1"/>
      <c r="M14" s="1"/>
    </row>
    <row r="15" spans="1:13" ht="15.4" x14ac:dyDescent="0.45">
      <c r="A15" s="37"/>
      <c r="B15" s="37"/>
      <c r="C15" s="31"/>
      <c r="D15" s="168" t="s">
        <v>283</v>
      </c>
      <c r="E15" s="408">
        <f>Depreciation!G17</f>
        <v>75465.3</v>
      </c>
      <c r="F15" s="417"/>
      <c r="G15" s="4">
        <f>E15</f>
        <v>75465.3</v>
      </c>
      <c r="H15" s="4"/>
      <c r="I15" s="4"/>
      <c r="J15" s="4"/>
      <c r="K15" s="177"/>
      <c r="L15" s="1"/>
      <c r="M15" s="33"/>
    </row>
    <row r="16" spans="1:13" ht="15.4" x14ac:dyDescent="0.45">
      <c r="A16" s="37"/>
      <c r="B16" s="37"/>
      <c r="C16" s="31"/>
      <c r="D16" s="168" t="s">
        <v>136</v>
      </c>
      <c r="E16" s="408">
        <f>Depreciation!G18</f>
        <v>3819.19</v>
      </c>
      <c r="F16" s="417">
        <f>E16</f>
        <v>3819.19</v>
      </c>
      <c r="G16" s="4"/>
      <c r="H16" s="4"/>
      <c r="I16" s="4"/>
      <c r="J16" s="4"/>
      <c r="K16" s="38"/>
      <c r="L16" s="1"/>
      <c r="M16" s="1"/>
    </row>
    <row r="17" spans="1:14" ht="15.4" x14ac:dyDescent="0.45">
      <c r="A17" s="37"/>
      <c r="B17" s="37"/>
      <c r="C17" s="31"/>
      <c r="D17" s="168" t="s">
        <v>295</v>
      </c>
      <c r="E17" s="408">
        <f>Depreciation!G19</f>
        <v>64838</v>
      </c>
      <c r="F17" s="417">
        <f>E17</f>
        <v>64838</v>
      </c>
      <c r="G17" s="4"/>
      <c r="H17" s="4"/>
      <c r="I17" s="4"/>
      <c r="J17" s="4"/>
      <c r="K17" s="38"/>
      <c r="L17" s="1"/>
      <c r="M17" s="1"/>
    </row>
    <row r="18" spans="1:14" ht="15.4" x14ac:dyDescent="0.45">
      <c r="A18" s="37"/>
      <c r="B18" s="37"/>
      <c r="C18" s="19"/>
      <c r="D18" s="168" t="s">
        <v>122</v>
      </c>
      <c r="E18" s="408">
        <f>Depreciation!G20</f>
        <v>5689776.1400000025</v>
      </c>
      <c r="F18" s="417"/>
      <c r="G18" s="417">
        <f>E18</f>
        <v>5689776.1400000025</v>
      </c>
      <c r="H18" s="417"/>
      <c r="I18" s="417"/>
      <c r="J18" s="417"/>
      <c r="K18" s="38"/>
      <c r="L18" s="1"/>
      <c r="M18" s="1"/>
    </row>
    <row r="19" spans="1:14" ht="15.4" x14ac:dyDescent="0.45">
      <c r="A19" s="37"/>
      <c r="B19" s="37"/>
      <c r="C19" s="19"/>
      <c r="D19" s="168"/>
      <c r="E19" s="408"/>
      <c r="F19" s="417"/>
      <c r="G19" s="417"/>
      <c r="H19" s="417"/>
      <c r="I19" s="417"/>
      <c r="J19" s="417"/>
      <c r="K19" s="38"/>
      <c r="L19" s="1"/>
      <c r="M19" s="1"/>
    </row>
    <row r="20" spans="1:14" ht="15.4" x14ac:dyDescent="0.45">
      <c r="A20" s="37"/>
      <c r="B20" s="37"/>
      <c r="C20" s="31" t="s">
        <v>127</v>
      </c>
      <c r="D20" s="168"/>
      <c r="E20" s="411"/>
      <c r="F20" s="417"/>
      <c r="G20" s="417"/>
      <c r="H20" s="417"/>
      <c r="I20" s="417"/>
      <c r="J20" s="417"/>
      <c r="K20" s="38"/>
      <c r="L20" s="1"/>
      <c r="M20" s="1"/>
    </row>
    <row r="21" spans="1:14" ht="15.4" x14ac:dyDescent="0.45">
      <c r="A21" s="37"/>
      <c r="B21" s="37"/>
      <c r="C21" s="19"/>
      <c r="D21" s="168" t="s">
        <v>121</v>
      </c>
      <c r="E21" s="411">
        <f>Depreciation!G23</f>
        <v>621164.84</v>
      </c>
      <c r="F21" s="417"/>
      <c r="G21" s="417">
        <f>E21</f>
        <v>621164.84</v>
      </c>
      <c r="H21" s="417"/>
      <c r="I21" s="417"/>
      <c r="J21" s="417"/>
      <c r="K21" s="38"/>
      <c r="L21" s="1"/>
      <c r="M21" s="1"/>
    </row>
    <row r="22" spans="1:14" ht="15.4" x14ac:dyDescent="0.45">
      <c r="A22" s="37"/>
      <c r="B22" s="37"/>
      <c r="C22" s="19"/>
      <c r="D22" s="168"/>
      <c r="E22" s="411"/>
      <c r="F22" s="417"/>
      <c r="G22" s="417"/>
      <c r="H22" s="417"/>
      <c r="I22" s="417"/>
      <c r="J22" s="417"/>
      <c r="K22" s="38"/>
      <c r="L22" s="1"/>
      <c r="M22" s="1"/>
    </row>
    <row r="23" spans="1:14" ht="15.4" x14ac:dyDescent="0.45">
      <c r="A23" s="37"/>
      <c r="B23" s="37"/>
      <c r="C23" s="31" t="s">
        <v>332</v>
      </c>
      <c r="D23" s="168"/>
      <c r="E23" s="411"/>
      <c r="F23" s="417"/>
      <c r="G23" s="417"/>
      <c r="H23" s="417"/>
      <c r="I23" s="417"/>
      <c r="J23" s="417"/>
      <c r="K23" s="38"/>
      <c r="L23" s="1"/>
      <c r="M23" s="1"/>
    </row>
    <row r="24" spans="1:14" ht="15.4" x14ac:dyDescent="0.45">
      <c r="A24" s="37"/>
      <c r="B24" s="37"/>
      <c r="C24" s="19"/>
      <c r="D24" s="168" t="s">
        <v>121</v>
      </c>
      <c r="E24" s="411">
        <f>Depreciation!G26+Depreciation!G27</f>
        <v>27056.480000000003</v>
      </c>
      <c r="F24" s="417"/>
      <c r="G24" s="417"/>
      <c r="H24" s="417">
        <f>E24</f>
        <v>27056.480000000003</v>
      </c>
      <c r="I24" s="417"/>
      <c r="J24" s="417"/>
      <c r="K24" s="38"/>
      <c r="L24" s="1"/>
      <c r="M24" s="1"/>
    </row>
    <row r="25" spans="1:14" ht="15.4" x14ac:dyDescent="0.45">
      <c r="A25" s="37"/>
      <c r="B25" s="37"/>
      <c r="C25" s="19"/>
      <c r="D25" s="168"/>
      <c r="E25" s="411"/>
      <c r="F25" s="417"/>
      <c r="G25" s="417"/>
      <c r="H25" s="417"/>
      <c r="I25" s="417"/>
      <c r="J25" s="417"/>
      <c r="K25" s="38"/>
      <c r="L25" s="1"/>
      <c r="M25" s="1"/>
    </row>
    <row r="26" spans="1:14" ht="15.4" x14ac:dyDescent="0.45">
      <c r="A26" s="37"/>
      <c r="B26" s="37"/>
      <c r="C26" s="31" t="s">
        <v>284</v>
      </c>
      <c r="D26" s="168"/>
      <c r="E26" s="411"/>
      <c r="F26" s="417"/>
      <c r="G26" s="417"/>
      <c r="H26" s="417"/>
      <c r="I26" s="417"/>
      <c r="J26" s="417"/>
      <c r="K26" s="38"/>
      <c r="L26" s="1"/>
      <c r="M26" s="1"/>
    </row>
    <row r="27" spans="1:14" ht="15.4" x14ac:dyDescent="0.45">
      <c r="A27" s="37"/>
      <c r="B27" s="37"/>
      <c r="C27" s="31"/>
      <c r="D27" s="168" t="s">
        <v>121</v>
      </c>
      <c r="E27" s="411">
        <f>Depreciation!G30+Depreciation!G31+Depreciation!G32</f>
        <v>36154.879999999997</v>
      </c>
      <c r="F27" s="417"/>
      <c r="G27" s="417"/>
      <c r="H27" s="417"/>
      <c r="I27" s="417">
        <f>E27</f>
        <v>36154.879999999997</v>
      </c>
      <c r="J27" s="417"/>
      <c r="K27" s="38"/>
      <c r="L27" s="1"/>
      <c r="M27" s="1"/>
    </row>
    <row r="28" spans="1:14" ht="7.05" customHeight="1" x14ac:dyDescent="0.45">
      <c r="A28" s="37"/>
      <c r="B28" s="37"/>
      <c r="C28" s="31"/>
      <c r="D28" s="168"/>
      <c r="E28" s="411"/>
      <c r="F28" s="417"/>
      <c r="G28" s="417"/>
      <c r="H28" s="417"/>
      <c r="I28" s="417"/>
      <c r="J28" s="417"/>
      <c r="K28" s="38"/>
      <c r="L28" s="1"/>
      <c r="M28" s="1"/>
    </row>
    <row r="29" spans="1:14" ht="15.4" x14ac:dyDescent="0.45">
      <c r="A29" s="37"/>
      <c r="B29" s="37"/>
      <c r="C29" s="1"/>
      <c r="D29" s="188" t="s">
        <v>129</v>
      </c>
      <c r="E29" s="408">
        <f>SUM(E12:E28)</f>
        <v>6526370.8300000029</v>
      </c>
      <c r="F29" s="4">
        <f t="shared" ref="F29:J29" si="0">SUM(F12:F28)</f>
        <v>76753.19</v>
      </c>
      <c r="G29" s="4">
        <f t="shared" si="0"/>
        <v>6386406.2800000021</v>
      </c>
      <c r="H29" s="4">
        <f t="shared" si="0"/>
        <v>27056.480000000003</v>
      </c>
      <c r="I29" s="4">
        <f t="shared" si="0"/>
        <v>36154.879999999997</v>
      </c>
      <c r="J29" s="4">
        <f t="shared" si="0"/>
        <v>0</v>
      </c>
      <c r="K29" s="38"/>
      <c r="L29" s="1"/>
      <c r="M29" s="33">
        <f>SUM(F29:J29)</f>
        <v>6526370.8300000029</v>
      </c>
      <c r="N29" s="423" t="str">
        <f>IF(M29=E29,"OK","OutofBalance")</f>
        <v>OK</v>
      </c>
    </row>
    <row r="30" spans="1:14" ht="15.4" x14ac:dyDescent="0.45">
      <c r="A30" s="37"/>
      <c r="B30" s="37"/>
      <c r="C30" s="1"/>
      <c r="D30" s="168" t="s">
        <v>137</v>
      </c>
      <c r="E30" s="179">
        <f>SUM(F30:J30)</f>
        <v>0.99999999999999989</v>
      </c>
      <c r="F30" s="178">
        <f>F29/$E$29</f>
        <v>1.1760470252040515E-2</v>
      </c>
      <c r="G30" s="178">
        <f>G29/$E$29</f>
        <v>0.97855399981922253</v>
      </c>
      <c r="H30" s="178">
        <f>H29/$E$29</f>
        <v>4.1457160043110808E-3</v>
      </c>
      <c r="I30" s="178">
        <f>I29/$E$29</f>
        <v>5.539813924425741E-3</v>
      </c>
      <c r="J30" s="178">
        <f>J29/$E$29</f>
        <v>0</v>
      </c>
      <c r="K30" s="38"/>
      <c r="L30" s="1"/>
      <c r="N30" s="423"/>
    </row>
    <row r="31" spans="1:14" ht="7.05" customHeight="1" x14ac:dyDescent="0.45">
      <c r="A31" s="37"/>
      <c r="B31" s="37"/>
      <c r="C31" s="1"/>
      <c r="D31" s="168"/>
      <c r="E31" s="19"/>
      <c r="F31" s="19"/>
      <c r="G31" s="125"/>
      <c r="H31" s="125"/>
      <c r="I31" s="125"/>
      <c r="J31" s="125"/>
      <c r="K31" s="38"/>
      <c r="L31" s="1"/>
      <c r="M31" s="1"/>
      <c r="N31" s="423"/>
    </row>
    <row r="32" spans="1:14" ht="15.4" x14ac:dyDescent="0.45">
      <c r="A32" s="37"/>
      <c r="B32" s="37"/>
      <c r="C32" s="189" t="s">
        <v>330</v>
      </c>
      <c r="D32" s="419"/>
      <c r="E32" s="418">
        <f>'Debt Service'!J21+'Debt Service'!J23</f>
        <v>121377.8472</v>
      </c>
      <c r="F32" s="418">
        <f>$E$32*F30</f>
        <v>1427.4605612523192</v>
      </c>
      <c r="G32" s="418">
        <f>$E$32*G30</f>
        <v>118774.77786700643</v>
      </c>
      <c r="H32" s="418">
        <f>$E$32*H30</f>
        <v>503.19808370586492</v>
      </c>
      <c r="I32" s="418">
        <f>$E$32*I30</f>
        <v>672.41068803537996</v>
      </c>
      <c r="J32" s="418">
        <f>$E$32*J30</f>
        <v>0</v>
      </c>
      <c r="K32" s="38"/>
      <c r="L32" s="1"/>
      <c r="M32" s="33">
        <f>SUM(F32:J32)</f>
        <v>121377.84719999999</v>
      </c>
      <c r="N32" s="423" t="str">
        <f>IF(M32=E32,"OK","Out of Balance")</f>
        <v>OK</v>
      </c>
    </row>
    <row r="33" spans="1:15" ht="15.4" x14ac:dyDescent="0.45">
      <c r="A33" s="1"/>
      <c r="B33" s="41"/>
      <c r="C33" s="17"/>
      <c r="D33" s="190"/>
      <c r="E33" s="180"/>
      <c r="F33" s="180"/>
      <c r="G33" s="180"/>
      <c r="H33" s="180"/>
      <c r="I33" s="180"/>
      <c r="J33" s="180"/>
      <c r="K33" s="42"/>
      <c r="L33" s="1"/>
      <c r="M33" s="1"/>
    </row>
    <row r="34" spans="1:15" ht="15.4" x14ac:dyDescent="0.45">
      <c r="D34" s="5"/>
      <c r="E34" s="5"/>
      <c r="F34" s="5"/>
      <c r="G34" s="5"/>
      <c r="H34" s="5"/>
      <c r="I34" s="5"/>
      <c r="J34" s="5"/>
      <c r="K34" s="5"/>
      <c r="L34" s="3"/>
      <c r="M34" s="3"/>
      <c r="N34" s="3"/>
      <c r="O34" s="3"/>
    </row>
    <row r="35" spans="1:15" ht="15.4" x14ac:dyDescent="0.45">
      <c r="C35" s="421" t="s">
        <v>333</v>
      </c>
      <c r="D35" s="420"/>
      <c r="E35" s="420">
        <f>Depreciation!G34</f>
        <v>6526370.8300000038</v>
      </c>
      <c r="F35" s="422" t="str">
        <f>IF(E35=E29,"OK","Out of Balance")</f>
        <v>OK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5.4" x14ac:dyDescent="0.45">
      <c r="C36" s="421"/>
      <c r="D36" s="420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.4" x14ac:dyDescent="0.45">
      <c r="C37" s="421" t="s">
        <v>334</v>
      </c>
      <c r="D37" s="420"/>
      <c r="E37" s="420">
        <f>'Debt Service'!J21+'Debt Service'!J23</f>
        <v>121377.8472</v>
      </c>
      <c r="F37" s="128" t="str">
        <f>IF(E37=E32,"OK","Out of Balance")</f>
        <v>OK</v>
      </c>
      <c r="G37" s="3"/>
      <c r="H37" s="3"/>
      <c r="I37" s="3"/>
      <c r="J37" s="3"/>
      <c r="K37" s="3"/>
      <c r="L37" s="3"/>
      <c r="M37" s="3"/>
      <c r="N37" s="3"/>
      <c r="O37" s="3"/>
    </row>
    <row r="38" spans="1:15" ht="15.4" x14ac:dyDescent="0.45">
      <c r="D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4" x14ac:dyDescent="0.45"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4" x14ac:dyDescent="0.45"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4" x14ac:dyDescent="0.4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4" x14ac:dyDescent="0.4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4" x14ac:dyDescent="0.45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5.4" x14ac:dyDescent="0.45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5.4" x14ac:dyDescent="0.45"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5.4" x14ac:dyDescent="0.45"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5.4" x14ac:dyDescent="0.45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5.4" x14ac:dyDescent="0.45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4:15" ht="15.4" x14ac:dyDescent="0.45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4:15" ht="15.4" x14ac:dyDescent="0.45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4:15" ht="15.4" x14ac:dyDescent="0.4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4:15" ht="15.4" x14ac:dyDescent="0.45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4:15" ht="15.4" x14ac:dyDescent="0.45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4:15" ht="15.4" x14ac:dyDescent="0.45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</sheetData>
  <mergeCells count="3">
    <mergeCell ref="D3:J3"/>
    <mergeCell ref="D5:K5"/>
    <mergeCell ref="H7:I7"/>
  </mergeCells>
  <printOptions horizontalCentered="1"/>
  <pageMargins left="0.8" right="0.55000000000000004" top="1.5" bottom="0.75" header="0.3" footer="0.3"/>
  <pageSetup scale="95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08343-FBB6-48AA-B25F-8C792D35D055}">
  <sheetPr>
    <pageSetUpPr fitToPage="1"/>
  </sheetPr>
  <dimension ref="B3:N51"/>
  <sheetViews>
    <sheetView workbookViewId="0">
      <selection activeCell="F41" sqref="F41"/>
    </sheetView>
  </sheetViews>
  <sheetFormatPr defaultColWidth="8.88671875" defaultRowHeight="14.25" x14ac:dyDescent="0.45"/>
  <cols>
    <col min="1" max="1" width="8.88671875" style="3"/>
    <col min="2" max="2" width="18.5546875" style="3" customWidth="1"/>
    <col min="3" max="7" width="9.77734375" style="3" customWidth="1"/>
    <col min="8" max="8" width="10.88671875" style="3" customWidth="1"/>
    <col min="9" max="9" width="9.77734375" style="3" customWidth="1"/>
    <col min="10" max="10" width="9.6640625" style="3" customWidth="1"/>
    <col min="11" max="11" width="9.109375" style="3" bestFit="1" customWidth="1"/>
    <col min="12" max="16384" width="8.88671875" style="3"/>
  </cols>
  <sheetData>
    <row r="3" spans="2:10" ht="16.5" x14ac:dyDescent="0.75">
      <c r="B3" s="102" t="s">
        <v>138</v>
      </c>
    </row>
    <row r="4" spans="2:10" ht="16.5" x14ac:dyDescent="0.75">
      <c r="C4" s="162" t="s">
        <v>132</v>
      </c>
      <c r="D4" s="162" t="s">
        <v>126</v>
      </c>
      <c r="E4" s="162" t="s">
        <v>134</v>
      </c>
      <c r="F4" s="162" t="s">
        <v>139</v>
      </c>
      <c r="G4" s="162" t="s">
        <v>128</v>
      </c>
      <c r="H4" s="162" t="s">
        <v>140</v>
      </c>
      <c r="I4" s="162"/>
    </row>
    <row r="5" spans="2:10" x14ac:dyDescent="0.45">
      <c r="B5" s="3" t="s">
        <v>141</v>
      </c>
      <c r="C5" s="130">
        <f>SAO!F20</f>
        <v>77434</v>
      </c>
      <c r="D5" s="130">
        <f>$C$5*D30</f>
        <v>0</v>
      </c>
      <c r="E5" s="130">
        <f t="shared" ref="E5:H5" si="0">$C$5*E30</f>
        <v>0</v>
      </c>
      <c r="F5" s="130">
        <f t="shared" si="0"/>
        <v>21796.536472026964</v>
      </c>
      <c r="G5" s="130">
        <f t="shared" si="0"/>
        <v>55637.463527973043</v>
      </c>
      <c r="H5" s="130">
        <f t="shared" si="0"/>
        <v>0</v>
      </c>
      <c r="I5" s="130"/>
      <c r="J5" s="3">
        <f>SUM(D5:H5)</f>
        <v>77434</v>
      </c>
    </row>
    <row r="6" spans="2:10" x14ac:dyDescent="0.45">
      <c r="B6" s="3" t="s">
        <v>142</v>
      </c>
      <c r="C6" s="130">
        <f>SAO!F22</f>
        <v>10800</v>
      </c>
      <c r="D6" s="130"/>
      <c r="E6" s="130"/>
      <c r="F6" s="130"/>
      <c r="G6" s="130"/>
      <c r="H6" s="130">
        <v>10800</v>
      </c>
      <c r="I6" s="130"/>
      <c r="J6" s="130">
        <f>SUM(D6:H6)</f>
        <v>10800</v>
      </c>
    </row>
    <row r="7" spans="2:10" x14ac:dyDescent="0.45">
      <c r="B7" s="3" t="s">
        <v>143</v>
      </c>
      <c r="C7" s="130">
        <f>SAO!F23</f>
        <v>7149</v>
      </c>
      <c r="D7" s="130">
        <f>$C7*D$30</f>
        <v>0</v>
      </c>
      <c r="E7" s="130">
        <f t="shared" ref="E7:H7" si="1">$C7*E$30</f>
        <v>0</v>
      </c>
      <c r="F7" s="130">
        <f t="shared" si="1"/>
        <v>2012.3387560828676</v>
      </c>
      <c r="G7" s="130">
        <f t="shared" si="1"/>
        <v>5136.6612439171331</v>
      </c>
      <c r="H7" s="130">
        <f t="shared" si="1"/>
        <v>0</v>
      </c>
      <c r="J7" s="130">
        <f>SUM(D7:H7)</f>
        <v>7149.0000000000009</v>
      </c>
    </row>
    <row r="8" spans="2:10" x14ac:dyDescent="0.45">
      <c r="B8" s="3" t="s">
        <v>144</v>
      </c>
      <c r="C8" s="130">
        <f>SAO!F24</f>
        <v>380510</v>
      </c>
      <c r="D8" s="130">
        <f>C8</f>
        <v>380510</v>
      </c>
      <c r="E8" s="130"/>
      <c r="F8" s="130"/>
      <c r="G8" s="130"/>
      <c r="H8" s="130"/>
      <c r="I8" s="130"/>
      <c r="J8" s="130">
        <f>SUM(D8:H8)</f>
        <v>380510</v>
      </c>
    </row>
    <row r="9" spans="2:10" x14ac:dyDescent="0.45">
      <c r="B9" s="3" t="s">
        <v>145</v>
      </c>
      <c r="C9" s="130">
        <f>SAO!F27</f>
        <v>12554</v>
      </c>
      <c r="D9" s="130">
        <f>C9</f>
        <v>12554</v>
      </c>
      <c r="E9" s="130"/>
      <c r="F9" s="130"/>
      <c r="G9" s="130"/>
      <c r="H9" s="130"/>
      <c r="I9" s="130"/>
      <c r="J9" s="3">
        <f t="shared" ref="J9:J25" si="2">SUM(D9:H9)</f>
        <v>12554</v>
      </c>
    </row>
    <row r="10" spans="2:10" x14ac:dyDescent="0.45">
      <c r="B10" s="3" t="s">
        <v>118</v>
      </c>
      <c r="C10" s="130">
        <f>SAO!F28</f>
        <v>4150</v>
      </c>
      <c r="D10" s="130"/>
      <c r="E10" s="130"/>
      <c r="F10" s="130">
        <f>C10</f>
        <v>4150</v>
      </c>
      <c r="G10" s="130"/>
      <c r="H10" s="130"/>
      <c r="I10" s="130"/>
      <c r="J10" s="3">
        <f t="shared" si="2"/>
        <v>4150</v>
      </c>
    </row>
    <row r="11" spans="2:10" x14ac:dyDescent="0.45">
      <c r="B11" s="3" t="s">
        <v>146</v>
      </c>
      <c r="C11" s="130"/>
      <c r="D11" s="130"/>
      <c r="E11" s="130"/>
      <c r="F11" s="130"/>
      <c r="G11" s="130"/>
      <c r="H11" s="130"/>
      <c r="I11" s="130"/>
      <c r="J11" s="3">
        <f t="shared" si="2"/>
        <v>0</v>
      </c>
    </row>
    <row r="12" spans="2:10" x14ac:dyDescent="0.45">
      <c r="B12" s="3" t="s">
        <v>163</v>
      </c>
      <c r="C12" s="130"/>
      <c r="D12" s="130"/>
      <c r="E12" s="130"/>
      <c r="F12" s="130"/>
      <c r="G12" s="130"/>
      <c r="H12" s="130"/>
      <c r="I12" s="130"/>
      <c r="J12" s="3">
        <f t="shared" si="2"/>
        <v>0</v>
      </c>
    </row>
    <row r="13" spans="2:10" x14ac:dyDescent="0.45">
      <c r="B13" s="3" t="s">
        <v>147</v>
      </c>
      <c r="C13" s="130">
        <f>SAO!F29</f>
        <v>9308</v>
      </c>
      <c r="D13" s="130"/>
      <c r="E13" s="130"/>
      <c r="F13" s="130"/>
      <c r="G13" s="130"/>
      <c r="H13" s="130">
        <f>C13</f>
        <v>9308</v>
      </c>
      <c r="I13" s="130"/>
      <c r="J13" s="3">
        <f t="shared" si="2"/>
        <v>9308</v>
      </c>
    </row>
    <row r="14" spans="2:10" x14ac:dyDescent="0.45">
      <c r="B14" s="3" t="s">
        <v>148</v>
      </c>
      <c r="C14" s="130"/>
      <c r="D14" s="130"/>
      <c r="E14" s="130"/>
      <c r="F14" s="130"/>
      <c r="G14" s="130"/>
      <c r="H14" s="130"/>
      <c r="I14" s="130"/>
      <c r="J14" s="3">
        <f t="shared" si="2"/>
        <v>0</v>
      </c>
    </row>
    <row r="15" spans="2:10" x14ac:dyDescent="0.45">
      <c r="B15" s="3" t="s">
        <v>149</v>
      </c>
      <c r="C15" s="130"/>
      <c r="D15" s="130"/>
      <c r="E15" s="130"/>
      <c r="F15" s="130"/>
      <c r="G15" s="130"/>
      <c r="H15" s="130"/>
      <c r="I15" s="130"/>
      <c r="J15" s="3">
        <f t="shared" si="2"/>
        <v>0</v>
      </c>
    </row>
    <row r="16" spans="2:10" x14ac:dyDescent="0.45">
      <c r="B16" s="3" t="s">
        <v>150</v>
      </c>
      <c r="C16" s="130">
        <f>SAO!F30</f>
        <v>301284</v>
      </c>
      <c r="D16" s="130"/>
      <c r="E16" s="130"/>
      <c r="F16" s="130">
        <f>$C16*0.8*0.65</f>
        <v>156667.68000000002</v>
      </c>
      <c r="G16" s="130">
        <f>$C16*0.8*0.35</f>
        <v>84359.52</v>
      </c>
      <c r="H16" s="130">
        <f>0.2*C16</f>
        <v>60256.800000000003</v>
      </c>
      <c r="I16" s="130"/>
      <c r="J16" s="3">
        <f t="shared" si="2"/>
        <v>301284</v>
      </c>
    </row>
    <row r="17" spans="2:13" x14ac:dyDescent="0.45">
      <c r="B17" s="3" t="s">
        <v>151</v>
      </c>
      <c r="C17" s="130">
        <f>SAO!F37</f>
        <v>14350</v>
      </c>
      <c r="D17" s="130"/>
      <c r="E17" s="130"/>
      <c r="F17" s="130"/>
      <c r="G17" s="130"/>
      <c r="H17" s="130">
        <f>C17</f>
        <v>14350</v>
      </c>
      <c r="I17" s="130"/>
      <c r="J17" s="3">
        <f t="shared" si="2"/>
        <v>14350</v>
      </c>
    </row>
    <row r="18" spans="2:13" x14ac:dyDescent="0.45">
      <c r="B18" s="3" t="s">
        <v>152</v>
      </c>
      <c r="C18" s="130"/>
      <c r="D18" s="130"/>
      <c r="E18" s="130"/>
      <c r="F18" s="130"/>
      <c r="G18" s="130"/>
      <c r="H18" s="130"/>
      <c r="I18" s="130"/>
      <c r="J18" s="3">
        <f t="shared" si="2"/>
        <v>0</v>
      </c>
    </row>
    <row r="19" spans="2:13" x14ac:dyDescent="0.45">
      <c r="B19" s="3" t="s">
        <v>153</v>
      </c>
      <c r="C19" s="130"/>
      <c r="D19" s="130"/>
      <c r="E19" s="130"/>
      <c r="F19" s="130"/>
      <c r="G19" s="130"/>
      <c r="H19" s="130"/>
      <c r="I19" s="130"/>
      <c r="J19" s="3">
        <f t="shared" si="2"/>
        <v>0</v>
      </c>
    </row>
    <row r="20" spans="2:13" x14ac:dyDescent="0.45">
      <c r="B20" s="3" t="s">
        <v>154</v>
      </c>
      <c r="C20" s="130">
        <f>SAO!F38</f>
        <v>13113</v>
      </c>
      <c r="D20" s="130"/>
      <c r="E20" s="130"/>
      <c r="F20" s="130"/>
      <c r="G20" s="130"/>
      <c r="H20" s="130">
        <f>C20</f>
        <v>13113</v>
      </c>
      <c r="I20" s="130"/>
      <c r="J20" s="3">
        <f t="shared" si="2"/>
        <v>13113</v>
      </c>
    </row>
    <row r="21" spans="2:13" x14ac:dyDescent="0.45">
      <c r="B21" s="3" t="s">
        <v>155</v>
      </c>
      <c r="C21" s="130"/>
      <c r="D21" s="130"/>
      <c r="E21" s="130"/>
      <c r="F21" s="130"/>
      <c r="G21" s="130"/>
      <c r="H21" s="130">
        <f t="shared" ref="H21:H23" si="3">C21</f>
        <v>0</v>
      </c>
      <c r="I21" s="130"/>
      <c r="J21" s="3">
        <f t="shared" si="2"/>
        <v>0</v>
      </c>
    </row>
    <row r="22" spans="2:13" x14ac:dyDescent="0.45">
      <c r="B22" s="3" t="s">
        <v>156</v>
      </c>
      <c r="C22" s="130">
        <f>SAO!F39</f>
        <v>0</v>
      </c>
      <c r="D22" s="130"/>
      <c r="E22" s="130"/>
      <c r="F22" s="130"/>
      <c r="G22" s="130"/>
      <c r="H22" s="130">
        <f t="shared" si="3"/>
        <v>0</v>
      </c>
      <c r="I22" s="130"/>
      <c r="J22" s="3">
        <f t="shared" si="2"/>
        <v>0</v>
      </c>
    </row>
    <row r="23" spans="2:13" x14ac:dyDescent="0.45">
      <c r="B23" s="3" t="s">
        <v>157</v>
      </c>
      <c r="C23" s="130">
        <f>SAO!F40</f>
        <v>217</v>
      </c>
      <c r="D23" s="130"/>
      <c r="E23" s="130"/>
      <c r="F23" s="130"/>
      <c r="G23" s="130"/>
      <c r="H23" s="130">
        <f t="shared" si="3"/>
        <v>217</v>
      </c>
      <c r="I23" s="130"/>
      <c r="J23" s="3">
        <f t="shared" si="2"/>
        <v>217</v>
      </c>
    </row>
    <row r="24" spans="2:13" x14ac:dyDescent="0.45">
      <c r="B24" s="3" t="s">
        <v>113</v>
      </c>
      <c r="C24" s="130">
        <f>SAO!F41</f>
        <v>0</v>
      </c>
      <c r="D24" s="130"/>
      <c r="E24" s="130"/>
      <c r="F24" s="130"/>
      <c r="G24" s="130">
        <f>C24</f>
        <v>0</v>
      </c>
      <c r="H24" s="130"/>
      <c r="I24" s="130"/>
      <c r="J24" s="3">
        <f t="shared" si="2"/>
        <v>0</v>
      </c>
    </row>
    <row r="25" spans="2:13" x14ac:dyDescent="0.45">
      <c r="B25" s="3" t="s">
        <v>158</v>
      </c>
      <c r="C25" s="445">
        <f>SAO!F42</f>
        <v>29261</v>
      </c>
      <c r="D25" s="445">
        <v>0</v>
      </c>
      <c r="E25" s="445">
        <v>0</v>
      </c>
      <c r="F25" s="445">
        <v>0</v>
      </c>
      <c r="G25" s="445">
        <v>12272</v>
      </c>
      <c r="H25" s="445">
        <v>16989</v>
      </c>
      <c r="I25" s="445"/>
      <c r="J25" s="52">
        <f t="shared" si="2"/>
        <v>29261</v>
      </c>
    </row>
    <row r="26" spans="2:13" x14ac:dyDescent="0.45">
      <c r="B26" s="3" t="s">
        <v>52</v>
      </c>
      <c r="C26" s="130">
        <f>SUM(C5:C25)</f>
        <v>860130</v>
      </c>
      <c r="D26" s="130">
        <f>SUM(D5:D25)</f>
        <v>393064</v>
      </c>
      <c r="E26" s="130">
        <f>SUM(E5:E25)</f>
        <v>0</v>
      </c>
      <c r="F26" s="130">
        <f>SUM(F5:F25)</f>
        <v>184626.55522810985</v>
      </c>
      <c r="G26" s="130">
        <f>SUM(G5:G25)</f>
        <v>157405.64477189019</v>
      </c>
      <c r="H26" s="130">
        <f>SUM(H6:H25)+H5</f>
        <v>125033.8</v>
      </c>
      <c r="I26" s="130">
        <f>SUM(D26:H26)</f>
        <v>860130</v>
      </c>
      <c r="J26" s="3">
        <f>SUM(J5:J25)</f>
        <v>860130</v>
      </c>
    </row>
    <row r="27" spans="2:13" x14ac:dyDescent="0.45">
      <c r="C27" s="130"/>
      <c r="D27" s="130"/>
      <c r="E27" s="130"/>
      <c r="F27" s="130"/>
      <c r="G27" s="130"/>
      <c r="H27" s="130"/>
      <c r="I27" s="130"/>
    </row>
    <row r="28" spans="2:13" x14ac:dyDescent="0.45">
      <c r="B28" s="3" t="s">
        <v>338</v>
      </c>
      <c r="C28" s="426" t="str">
        <f>IF(C26=SAO!F44,"OK","Out of Balance")</f>
        <v>OK</v>
      </c>
      <c r="D28" s="130"/>
      <c r="E28" s="130"/>
      <c r="F28" s="130"/>
      <c r="G28" s="130"/>
      <c r="H28" s="130"/>
      <c r="I28" s="426" t="str">
        <f>IF(I26=C26,"OK","Out of Balance")</f>
        <v>OK</v>
      </c>
      <c r="J28" s="128" t="str">
        <f>IF(J26=C26,"OK","Out of Balance")</f>
        <v>OK</v>
      </c>
    </row>
    <row r="29" spans="2:13" x14ac:dyDescent="0.45">
      <c r="C29" s="130"/>
      <c r="D29" s="130"/>
      <c r="E29" s="130"/>
      <c r="F29" s="130"/>
      <c r="G29" s="130"/>
      <c r="H29" s="130"/>
      <c r="I29" s="130"/>
    </row>
    <row r="30" spans="2:13" x14ac:dyDescent="0.45">
      <c r="B30" s="3" t="s">
        <v>337</v>
      </c>
      <c r="C30" s="130"/>
      <c r="D30" s="425">
        <v>0</v>
      </c>
      <c r="E30" s="425">
        <v>0</v>
      </c>
      <c r="F30" s="425">
        <f>Adjustments!R10</f>
        <v>0.28148534845193279</v>
      </c>
      <c r="G30" s="425">
        <f>Adjustments!R7+Adjustments!R8+Adjustments!R9+Adjustments!R11</f>
        <v>0.71851465154806726</v>
      </c>
      <c r="H30" s="425">
        <v>0</v>
      </c>
      <c r="I30" s="130"/>
    </row>
    <row r="31" spans="2:13" x14ac:dyDescent="0.45">
      <c r="B31" s="3" t="s">
        <v>401</v>
      </c>
      <c r="D31" s="127">
        <v>0</v>
      </c>
      <c r="E31" s="127">
        <v>0</v>
      </c>
      <c r="F31" s="127">
        <v>0</v>
      </c>
      <c r="G31" s="127">
        <f>G25/C25</f>
        <v>0.41939783329346231</v>
      </c>
      <c r="H31" s="127">
        <f>H25/C25</f>
        <v>0.58060216670653775</v>
      </c>
    </row>
    <row r="32" spans="2:13" ht="16.5" x14ac:dyDescent="0.75">
      <c r="L32" s="497" t="s">
        <v>128</v>
      </c>
      <c r="M32" s="497"/>
    </row>
    <row r="33" spans="2:13" ht="16.5" x14ac:dyDescent="0.75">
      <c r="B33" s="102" t="s">
        <v>159</v>
      </c>
      <c r="L33" s="75" t="s">
        <v>171</v>
      </c>
      <c r="M33" s="75" t="s">
        <v>172</v>
      </c>
    </row>
    <row r="34" spans="2:13" ht="16.5" x14ac:dyDescent="0.75">
      <c r="C34" s="162" t="s">
        <v>132</v>
      </c>
      <c r="D34" s="162" t="s">
        <v>126</v>
      </c>
      <c r="E34" s="162" t="s">
        <v>134</v>
      </c>
      <c r="F34" s="162" t="s">
        <v>139</v>
      </c>
      <c r="G34" s="162" t="s">
        <v>128</v>
      </c>
      <c r="H34" s="162" t="s">
        <v>140</v>
      </c>
      <c r="I34" s="162"/>
      <c r="L34" s="195" t="s">
        <v>176</v>
      </c>
      <c r="M34" s="195" t="s">
        <v>135</v>
      </c>
    </row>
    <row r="35" spans="2:13" x14ac:dyDescent="0.45">
      <c r="B35" s="3" t="s">
        <v>141</v>
      </c>
      <c r="C35" s="3">
        <f>SAO!I21</f>
        <v>76077.002500000002</v>
      </c>
      <c r="D35" s="130">
        <v>0</v>
      </c>
      <c r="E35" s="130">
        <v>0</v>
      </c>
      <c r="F35" s="130">
        <f>C35*F30</f>
        <v>21414.561557891062</v>
      </c>
      <c r="G35" s="130">
        <f>C35*G30</f>
        <v>54662.440942108944</v>
      </c>
      <c r="H35" s="130">
        <v>0</v>
      </c>
      <c r="I35" s="130"/>
      <c r="J35" s="3">
        <f t="shared" ref="J35:J48" si="4">SUM(D35:H35)</f>
        <v>76077.002500000002</v>
      </c>
      <c r="L35" s="130">
        <f>G35-M35</f>
        <v>49196.196847898049</v>
      </c>
      <c r="M35" s="130">
        <f>G35*0.1</f>
        <v>5466.2440942108951</v>
      </c>
    </row>
    <row r="36" spans="2:13" x14ac:dyDescent="0.45">
      <c r="B36" s="3" t="s">
        <v>142</v>
      </c>
      <c r="C36" s="3">
        <f>SAO!I22</f>
        <v>10800</v>
      </c>
      <c r="D36" s="130"/>
      <c r="E36" s="130"/>
      <c r="F36" s="130"/>
      <c r="G36" s="130"/>
      <c r="H36" s="130">
        <f>C36</f>
        <v>10800</v>
      </c>
      <c r="I36" s="130"/>
      <c r="J36" s="3">
        <f t="shared" si="4"/>
        <v>10800</v>
      </c>
      <c r="L36" s="130"/>
      <c r="M36" s="130"/>
    </row>
    <row r="37" spans="2:13" x14ac:dyDescent="0.45">
      <c r="B37" s="3" t="s">
        <v>160</v>
      </c>
      <c r="C37" s="3">
        <f>SAO!I23</f>
        <v>0</v>
      </c>
      <c r="D37" s="130">
        <f>$C37*D$30</f>
        <v>0</v>
      </c>
      <c r="E37" s="130">
        <f t="shared" ref="E37:H37" si="5">$C37*E$30</f>
        <v>0</v>
      </c>
      <c r="F37" s="130">
        <f t="shared" si="5"/>
        <v>0</v>
      </c>
      <c r="G37" s="130">
        <f t="shared" si="5"/>
        <v>0</v>
      </c>
      <c r="H37" s="130">
        <f t="shared" si="5"/>
        <v>0</v>
      </c>
      <c r="I37" s="130"/>
      <c r="J37" s="3">
        <f t="shared" si="4"/>
        <v>0</v>
      </c>
      <c r="L37" s="3">
        <f>IF(C37=0,0,(L35/G35)*G37)</f>
        <v>0</v>
      </c>
      <c r="M37" s="3">
        <f>G37-L37</f>
        <v>0</v>
      </c>
    </row>
    <row r="38" spans="2:13" x14ac:dyDescent="0.45">
      <c r="B38" s="3" t="s">
        <v>144</v>
      </c>
      <c r="C38" s="3">
        <f>SAO!I26</f>
        <v>224377.3457111285</v>
      </c>
      <c r="D38" s="130">
        <f>C38</f>
        <v>224377.3457111285</v>
      </c>
      <c r="E38" s="130"/>
      <c r="F38" s="130"/>
      <c r="G38" s="130"/>
      <c r="H38" s="130"/>
      <c r="I38" s="130"/>
      <c r="J38" s="3">
        <f t="shared" si="4"/>
        <v>224377.3457111285</v>
      </c>
    </row>
    <row r="39" spans="2:13" x14ac:dyDescent="0.45">
      <c r="B39" s="3" t="s">
        <v>145</v>
      </c>
      <c r="C39" s="3">
        <f>SAO!I27</f>
        <v>10908.639315806437</v>
      </c>
      <c r="D39" s="130">
        <f>C39</f>
        <v>10908.639315806437</v>
      </c>
      <c r="E39" s="130">
        <f>E9</f>
        <v>0</v>
      </c>
      <c r="F39" s="130">
        <v>0</v>
      </c>
      <c r="G39" s="130">
        <f>G9</f>
        <v>0</v>
      </c>
      <c r="H39" s="130">
        <f>H9</f>
        <v>0</v>
      </c>
      <c r="I39" s="130"/>
      <c r="J39" s="3">
        <f t="shared" si="4"/>
        <v>10908.639315806437</v>
      </c>
    </row>
    <row r="40" spans="2:13" x14ac:dyDescent="0.45">
      <c r="B40" s="3" t="s">
        <v>118</v>
      </c>
      <c r="C40" s="3">
        <f>SAO!I28</f>
        <v>4150</v>
      </c>
      <c r="D40" s="130">
        <v>0</v>
      </c>
      <c r="E40" s="130">
        <v>0</v>
      </c>
      <c r="F40" s="130">
        <f>C40</f>
        <v>4150</v>
      </c>
      <c r="G40" s="130">
        <v>0</v>
      </c>
      <c r="H40" s="130">
        <v>0</v>
      </c>
      <c r="I40" s="130"/>
      <c r="J40" s="3">
        <f t="shared" si="4"/>
        <v>4150</v>
      </c>
    </row>
    <row r="41" spans="2:13" x14ac:dyDescent="0.45">
      <c r="B41" s="3" t="s">
        <v>146</v>
      </c>
      <c r="C41" s="3">
        <f>SAO!I36</f>
        <v>31930</v>
      </c>
      <c r="D41" s="130">
        <f>D11</f>
        <v>0</v>
      </c>
      <c r="E41" s="130">
        <f>E11</f>
        <v>0</v>
      </c>
      <c r="F41" s="130">
        <f>C41</f>
        <v>31930</v>
      </c>
      <c r="G41" s="130">
        <f>G11</f>
        <v>0</v>
      </c>
      <c r="H41" s="129">
        <v>0</v>
      </c>
      <c r="I41" s="129"/>
      <c r="J41" s="3">
        <f t="shared" si="4"/>
        <v>31930</v>
      </c>
    </row>
    <row r="42" spans="2:13" x14ac:dyDescent="0.45">
      <c r="B42" s="183" t="s">
        <v>289</v>
      </c>
      <c r="C42" s="3">
        <f>SAO!I29</f>
        <v>9308</v>
      </c>
      <c r="D42" s="130"/>
      <c r="E42" s="130"/>
      <c r="F42" s="130"/>
      <c r="G42" s="130"/>
      <c r="H42" s="130">
        <f>C42</f>
        <v>9308</v>
      </c>
      <c r="I42" s="130"/>
      <c r="J42" s="3">
        <f t="shared" si="4"/>
        <v>9308</v>
      </c>
    </row>
    <row r="43" spans="2:13" x14ac:dyDescent="0.45">
      <c r="B43" s="3" t="s">
        <v>150</v>
      </c>
      <c r="C43" s="3">
        <f>SAO!I33</f>
        <v>264948</v>
      </c>
      <c r="D43" s="130"/>
      <c r="E43" s="130"/>
      <c r="F43" s="130">
        <f>$C43*0.8*0.65</f>
        <v>137772.96000000002</v>
      </c>
      <c r="G43" s="130">
        <f>$C43*0.8*0.35</f>
        <v>74185.440000000002</v>
      </c>
      <c r="H43" s="130">
        <f>0.2*C43</f>
        <v>52989.600000000006</v>
      </c>
      <c r="I43" s="130"/>
      <c r="J43" s="3">
        <f t="shared" si="4"/>
        <v>264948</v>
      </c>
      <c r="L43" s="130">
        <f>G43*0.2</f>
        <v>14837.088000000002</v>
      </c>
      <c r="M43" s="130">
        <f>G43-L43</f>
        <v>59348.351999999999</v>
      </c>
    </row>
    <row r="44" spans="2:13" x14ac:dyDescent="0.45">
      <c r="B44" s="3" t="s">
        <v>151</v>
      </c>
      <c r="C44" s="3">
        <f>SAO!I37</f>
        <v>14400</v>
      </c>
      <c r="D44" s="130"/>
      <c r="E44" s="130"/>
      <c r="F44" s="130"/>
      <c r="G44" s="130"/>
      <c r="H44" s="130">
        <f>C44</f>
        <v>14400</v>
      </c>
      <c r="I44" s="130"/>
      <c r="J44" s="3">
        <f t="shared" si="4"/>
        <v>14400</v>
      </c>
    </row>
    <row r="45" spans="2:13" x14ac:dyDescent="0.45">
      <c r="B45" s="183" t="s">
        <v>119</v>
      </c>
      <c r="C45" s="3">
        <f>SAO!I38+SAO!I39</f>
        <v>13113</v>
      </c>
      <c r="D45" s="130">
        <f>D20</f>
        <v>0</v>
      </c>
      <c r="E45" s="130">
        <f>E20</f>
        <v>0</v>
      </c>
      <c r="F45" s="130">
        <f>F20</f>
        <v>0</v>
      </c>
      <c r="G45" s="130">
        <f>G20</f>
        <v>0</v>
      </c>
      <c r="H45" s="3">
        <f>C45</f>
        <v>13113</v>
      </c>
      <c r="I45" s="129"/>
      <c r="J45" s="3">
        <f t="shared" si="4"/>
        <v>13113</v>
      </c>
    </row>
    <row r="46" spans="2:13" x14ac:dyDescent="0.45">
      <c r="B46" s="3" t="s">
        <v>157</v>
      </c>
      <c r="C46" s="3">
        <f>SAO!I40</f>
        <v>217</v>
      </c>
      <c r="D46" s="130"/>
      <c r="E46" s="130"/>
      <c r="F46" s="130"/>
      <c r="G46" s="130"/>
      <c r="H46" s="3">
        <f>C46</f>
        <v>217</v>
      </c>
      <c r="I46" s="129"/>
      <c r="J46" s="3">
        <f t="shared" si="4"/>
        <v>217</v>
      </c>
    </row>
    <row r="47" spans="2:13" x14ac:dyDescent="0.45">
      <c r="B47" s="3" t="s">
        <v>113</v>
      </c>
      <c r="C47" s="3">
        <f>SAO!I41</f>
        <v>0</v>
      </c>
      <c r="D47" s="130">
        <f t="shared" ref="D47:H48" si="6">D24</f>
        <v>0</v>
      </c>
      <c r="E47" s="130">
        <f t="shared" si="6"/>
        <v>0</v>
      </c>
      <c r="F47" s="130">
        <f t="shared" si="6"/>
        <v>0</v>
      </c>
      <c r="G47" s="130">
        <f t="shared" si="6"/>
        <v>0</v>
      </c>
      <c r="H47" s="130">
        <f t="shared" si="6"/>
        <v>0</v>
      </c>
      <c r="I47" s="130"/>
      <c r="J47" s="3">
        <f t="shared" si="4"/>
        <v>0</v>
      </c>
      <c r="L47" s="3">
        <f>G47</f>
        <v>0</v>
      </c>
    </row>
    <row r="48" spans="2:13" ht="16.5" x14ac:dyDescent="0.75">
      <c r="B48" s="3" t="s">
        <v>158</v>
      </c>
      <c r="C48" s="52">
        <f>SAO!I43</f>
        <v>23261</v>
      </c>
      <c r="D48" s="445">
        <f t="shared" si="6"/>
        <v>0</v>
      </c>
      <c r="E48" s="445">
        <f t="shared" si="6"/>
        <v>0</v>
      </c>
      <c r="F48" s="445">
        <f t="shared" si="6"/>
        <v>0</v>
      </c>
      <c r="G48" s="445">
        <f>C48*G31</f>
        <v>9755.6130002392274</v>
      </c>
      <c r="H48" s="52">
        <f>C48*H31</f>
        <v>13505.386999760774</v>
      </c>
      <c r="I48" s="446"/>
      <c r="J48" s="52">
        <f t="shared" si="4"/>
        <v>23261</v>
      </c>
      <c r="L48" s="44">
        <f>G48</f>
        <v>9755.6130002392274</v>
      </c>
      <c r="M48" s="44">
        <v>0</v>
      </c>
    </row>
    <row r="49" spans="2:14" x14ac:dyDescent="0.45">
      <c r="B49" s="3" t="s">
        <v>52</v>
      </c>
      <c r="C49" s="3">
        <f t="shared" ref="C49:H49" si="7">SUM(C35:C48)</f>
        <v>683489.98752693494</v>
      </c>
      <c r="D49" s="3">
        <f t="shared" si="7"/>
        <v>235285.98502693494</v>
      </c>
      <c r="E49" s="3">
        <f t="shared" si="7"/>
        <v>0</v>
      </c>
      <c r="F49" s="3">
        <f t="shared" si="7"/>
        <v>195267.5215578911</v>
      </c>
      <c r="G49" s="3">
        <f t="shared" si="7"/>
        <v>138603.49394234817</v>
      </c>
      <c r="H49" s="3">
        <f t="shared" si="7"/>
        <v>114332.98699976077</v>
      </c>
      <c r="I49" s="3">
        <f>SUM(D49:H49)</f>
        <v>683489.98752693494</v>
      </c>
      <c r="J49" s="3">
        <f>SUM(J35:J48)</f>
        <v>683489.98752693494</v>
      </c>
      <c r="L49" s="3">
        <f>SUM(L35:L48)</f>
        <v>73788.897848137276</v>
      </c>
      <c r="M49" s="3">
        <f>SUM(M35:M48)</f>
        <v>64814.596094210894</v>
      </c>
      <c r="N49" s="3">
        <f>L49+M49</f>
        <v>138603.49394234817</v>
      </c>
    </row>
    <row r="50" spans="2:14" ht="16.5" x14ac:dyDescent="0.75">
      <c r="B50" s="45"/>
      <c r="C50" s="44"/>
    </row>
    <row r="51" spans="2:14" x14ac:dyDescent="0.45">
      <c r="B51" s="3" t="s">
        <v>338</v>
      </c>
      <c r="C51" s="426" t="str">
        <f>IF(C49=SAO!I44,"OK","Out of Balance")</f>
        <v>OK</v>
      </c>
      <c r="D51" s="130"/>
      <c r="E51" s="130"/>
      <c r="F51" s="130"/>
      <c r="G51" s="130"/>
      <c r="H51" s="130"/>
      <c r="I51" s="426" t="str">
        <f>IF(I49=C49,"OK","Out of Balance")</f>
        <v>OK</v>
      </c>
      <c r="J51" s="128" t="str">
        <f>IF(J49=C49,"OK","Out of Balance")</f>
        <v>OK</v>
      </c>
    </row>
  </sheetData>
  <mergeCells count="1">
    <mergeCell ref="L32:M32"/>
  </mergeCells>
  <pageMargins left="0.25" right="0.25" top="0.25" bottom="0.25" header="0.3" footer="0.3"/>
  <pageSetup scale="78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D9D2-BEF3-43DC-BFDF-6AF23C6B12AC}">
  <sheetPr>
    <pageSetUpPr fitToPage="1"/>
  </sheetPr>
  <dimension ref="B1:K45"/>
  <sheetViews>
    <sheetView workbookViewId="0">
      <selection activeCell="B1" sqref="B1:J37"/>
    </sheetView>
  </sheetViews>
  <sheetFormatPr defaultRowHeight="15" x14ac:dyDescent="0.4"/>
  <cols>
    <col min="2" max="2" width="1.77734375" customWidth="1"/>
    <col min="3" max="3" width="23.77734375" customWidth="1"/>
    <col min="4" max="4" width="10.27734375" bestFit="1" customWidth="1"/>
    <col min="6" max="6" width="9" bestFit="1" customWidth="1"/>
    <col min="7" max="7" width="8.21875" customWidth="1"/>
    <col min="8" max="8" width="8.33203125" customWidth="1"/>
    <col min="9" max="9" width="8.21875" customWidth="1"/>
    <col min="10" max="10" width="1.77734375" customWidth="1"/>
  </cols>
  <sheetData>
    <row r="1" spans="2:11" ht="15.4" x14ac:dyDescent="0.45"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2:11" ht="15.4" x14ac:dyDescent="0.45">
      <c r="B2" s="53"/>
      <c r="C2" s="54"/>
      <c r="D2" s="54"/>
      <c r="E2" s="54"/>
      <c r="F2" s="54"/>
      <c r="G2" s="54"/>
      <c r="H2" s="54"/>
      <c r="I2" s="54"/>
      <c r="J2" s="55"/>
      <c r="K2" s="12"/>
    </row>
    <row r="3" spans="2:11" ht="18" x14ac:dyDescent="0.55000000000000004">
      <c r="B3" s="56"/>
      <c r="C3" s="495" t="s">
        <v>315</v>
      </c>
      <c r="D3" s="495"/>
      <c r="E3" s="495"/>
      <c r="F3" s="495"/>
      <c r="G3" s="495"/>
      <c r="H3" s="495"/>
      <c r="I3" s="495"/>
      <c r="J3" s="57"/>
      <c r="K3" s="12"/>
    </row>
    <row r="4" spans="2:11" ht="18" x14ac:dyDescent="0.55000000000000004">
      <c r="B4" s="56"/>
      <c r="C4" s="498" t="s">
        <v>404</v>
      </c>
      <c r="D4" s="498"/>
      <c r="E4" s="498"/>
      <c r="F4" s="498"/>
      <c r="G4" s="498"/>
      <c r="H4" s="498"/>
      <c r="I4" s="498"/>
      <c r="J4" s="57"/>
      <c r="K4" s="12"/>
    </row>
    <row r="5" spans="2:11" ht="15.75" x14ac:dyDescent="0.45">
      <c r="B5" s="56"/>
      <c r="C5" s="484" t="s">
        <v>252</v>
      </c>
      <c r="D5" s="484"/>
      <c r="E5" s="484"/>
      <c r="F5" s="484"/>
      <c r="G5" s="484"/>
      <c r="H5" s="484"/>
      <c r="I5" s="484"/>
      <c r="J5" s="57"/>
      <c r="K5" s="12"/>
    </row>
    <row r="6" spans="2:11" ht="8.1" customHeight="1" x14ac:dyDescent="0.45">
      <c r="B6" s="58"/>
      <c r="C6" s="172"/>
      <c r="D6" s="172"/>
      <c r="E6" s="172"/>
      <c r="F6" s="172"/>
      <c r="G6" s="172"/>
      <c r="H6" s="172"/>
      <c r="I6" s="172"/>
      <c r="J6" s="59"/>
      <c r="K6" s="12"/>
    </row>
    <row r="7" spans="2:11" ht="8.1" customHeight="1" x14ac:dyDescent="0.45">
      <c r="B7" s="56"/>
      <c r="C7" s="171"/>
      <c r="D7" s="171"/>
      <c r="E7" s="171"/>
      <c r="F7" s="171"/>
      <c r="G7" s="171"/>
      <c r="H7" s="171"/>
      <c r="I7" s="171"/>
      <c r="J7" s="57"/>
      <c r="K7" s="12"/>
    </row>
    <row r="8" spans="2:11" ht="17.649999999999999" x14ac:dyDescent="0.75">
      <c r="B8" s="56"/>
      <c r="C8" s="50"/>
      <c r="D8" s="50"/>
      <c r="E8" s="50"/>
      <c r="F8" s="50"/>
      <c r="G8" s="497" t="s">
        <v>128</v>
      </c>
      <c r="H8" s="497"/>
      <c r="I8" s="50"/>
      <c r="J8" s="57"/>
      <c r="K8" s="12"/>
    </row>
    <row r="9" spans="2:11" ht="15.4" x14ac:dyDescent="0.45">
      <c r="B9" s="56"/>
      <c r="C9" s="50"/>
      <c r="D9" s="197" t="s">
        <v>132</v>
      </c>
      <c r="E9" s="197"/>
      <c r="F9" s="197"/>
      <c r="G9" s="75" t="s">
        <v>171</v>
      </c>
      <c r="H9" s="75" t="s">
        <v>172</v>
      </c>
      <c r="I9" s="197" t="s">
        <v>173</v>
      </c>
      <c r="J9" s="57"/>
      <c r="K9" s="12"/>
    </row>
    <row r="10" spans="2:11" ht="17.649999999999999" x14ac:dyDescent="0.75">
      <c r="B10" s="56"/>
      <c r="C10" s="50"/>
      <c r="D10" s="197" t="s">
        <v>133</v>
      </c>
      <c r="E10" s="197" t="s">
        <v>174</v>
      </c>
      <c r="F10" s="197" t="s">
        <v>175</v>
      </c>
      <c r="G10" s="195" t="s">
        <v>176</v>
      </c>
      <c r="H10" s="195" t="s">
        <v>135</v>
      </c>
      <c r="I10" s="197" t="s">
        <v>125</v>
      </c>
      <c r="J10" s="57"/>
      <c r="K10" s="12"/>
    </row>
    <row r="11" spans="2:11" ht="15.4" x14ac:dyDescent="0.45">
      <c r="B11" s="56"/>
      <c r="C11" s="167" t="s">
        <v>161</v>
      </c>
      <c r="D11" s="50">
        <f>Matrix!C35</f>
        <v>76077.002500000002</v>
      </c>
      <c r="E11" s="50">
        <v>0</v>
      </c>
      <c r="F11" s="50">
        <f>Matrix!F35</f>
        <v>21414.561557891062</v>
      </c>
      <c r="G11" s="50">
        <f>Matrix!L35</f>
        <v>49196.196847898049</v>
      </c>
      <c r="H11" s="50">
        <f>Matrix!M35</f>
        <v>5466.2440942108951</v>
      </c>
      <c r="I11" s="50">
        <f>Matrix!H35</f>
        <v>0</v>
      </c>
      <c r="J11" s="57"/>
      <c r="K11" s="12">
        <f t="shared" ref="K11:K26" si="0">SUM(E11:J11)</f>
        <v>76077.002500000002</v>
      </c>
    </row>
    <row r="12" spans="2:11" ht="15.4" x14ac:dyDescent="0.45">
      <c r="B12" s="56"/>
      <c r="C12" s="167" t="s">
        <v>162</v>
      </c>
      <c r="D12" s="50">
        <f>Matrix!C37</f>
        <v>0</v>
      </c>
      <c r="E12" s="50">
        <v>0</v>
      </c>
      <c r="F12" s="50">
        <v>0</v>
      </c>
      <c r="G12" s="50">
        <f>Matrix!L37</f>
        <v>0</v>
      </c>
      <c r="H12" s="50">
        <f>Matrix!M37</f>
        <v>0</v>
      </c>
      <c r="I12" s="50">
        <f>Matrix!H37</f>
        <v>0</v>
      </c>
      <c r="J12" s="57"/>
      <c r="K12" s="12">
        <f t="shared" si="0"/>
        <v>0</v>
      </c>
    </row>
    <row r="13" spans="2:11" ht="15.4" x14ac:dyDescent="0.45">
      <c r="B13" s="56"/>
      <c r="C13" s="50" t="s">
        <v>177</v>
      </c>
      <c r="D13" s="50">
        <f>Matrix!C36</f>
        <v>10800</v>
      </c>
      <c r="E13" s="50"/>
      <c r="F13" s="50"/>
      <c r="G13" s="50"/>
      <c r="H13" s="50"/>
      <c r="I13" s="50">
        <f>Matrix!H36</f>
        <v>10800</v>
      </c>
      <c r="J13" s="57"/>
      <c r="K13" s="12">
        <f t="shared" si="0"/>
        <v>10800</v>
      </c>
    </row>
    <row r="14" spans="2:11" ht="15.4" x14ac:dyDescent="0.45">
      <c r="B14" s="56"/>
      <c r="C14" s="50" t="s">
        <v>245</v>
      </c>
      <c r="D14" s="50">
        <f>Matrix!C38</f>
        <v>224377.3457111285</v>
      </c>
      <c r="E14" s="50">
        <f>D14</f>
        <v>224377.3457111285</v>
      </c>
      <c r="F14" s="50"/>
      <c r="G14" s="50"/>
      <c r="H14" s="50"/>
      <c r="I14" s="50"/>
      <c r="J14" s="57"/>
      <c r="K14" s="12">
        <f t="shared" si="0"/>
        <v>224377.3457111285</v>
      </c>
    </row>
    <row r="15" spans="2:11" ht="15.4" x14ac:dyDescent="0.45">
      <c r="B15" s="56"/>
      <c r="C15" s="50" t="s">
        <v>24</v>
      </c>
      <c r="D15" s="50">
        <f>Matrix!C39</f>
        <v>10908.639315806437</v>
      </c>
      <c r="E15" s="50"/>
      <c r="F15" s="50">
        <f>D15</f>
        <v>10908.639315806437</v>
      </c>
      <c r="G15" s="50">
        <v>0</v>
      </c>
      <c r="H15" s="50">
        <v>0</v>
      </c>
      <c r="I15" s="50"/>
      <c r="J15" s="57"/>
      <c r="K15" s="12">
        <f t="shared" si="0"/>
        <v>10908.639315806437</v>
      </c>
    </row>
    <row r="16" spans="2:11" ht="15.4" x14ac:dyDescent="0.45">
      <c r="B16" s="56"/>
      <c r="C16" s="50" t="s">
        <v>118</v>
      </c>
      <c r="D16" s="50">
        <f>Matrix!C40</f>
        <v>4150</v>
      </c>
      <c r="E16" s="50">
        <f>D16</f>
        <v>4150</v>
      </c>
      <c r="F16" s="50"/>
      <c r="G16" s="50"/>
      <c r="H16" s="50"/>
      <c r="I16" s="50"/>
      <c r="J16" s="57"/>
      <c r="K16" s="12">
        <f t="shared" si="0"/>
        <v>4150</v>
      </c>
    </row>
    <row r="17" spans="2:11" ht="15.4" x14ac:dyDescent="0.45">
      <c r="B17" s="56"/>
      <c r="C17" s="183" t="s">
        <v>289</v>
      </c>
      <c r="D17" s="50">
        <f>Matrix!C42</f>
        <v>9308</v>
      </c>
      <c r="E17" s="50"/>
      <c r="F17" s="50"/>
      <c r="G17" s="50"/>
      <c r="H17" s="50"/>
      <c r="I17" s="50">
        <f>D17</f>
        <v>9308</v>
      </c>
      <c r="J17" s="57"/>
      <c r="K17" s="12">
        <f t="shared" si="0"/>
        <v>9308</v>
      </c>
    </row>
    <row r="18" spans="2:11" ht="15.4" x14ac:dyDescent="0.45">
      <c r="B18" s="56"/>
      <c r="C18" s="3" t="s">
        <v>290</v>
      </c>
      <c r="D18" s="50">
        <f>Matrix!C43</f>
        <v>264948</v>
      </c>
      <c r="E18" s="50"/>
      <c r="F18" s="50">
        <f>Matrix!F43</f>
        <v>137772.96000000002</v>
      </c>
      <c r="G18" s="50">
        <f>Matrix!L43</f>
        <v>14837.088000000002</v>
      </c>
      <c r="H18" s="50">
        <f>Matrix!M43</f>
        <v>59348.351999999999</v>
      </c>
      <c r="I18" s="50">
        <f>Matrix!H43</f>
        <v>52989.600000000006</v>
      </c>
      <c r="J18" s="57"/>
      <c r="K18" s="12">
        <f t="shared" si="0"/>
        <v>264948</v>
      </c>
    </row>
    <row r="19" spans="2:11" ht="15.4" x14ac:dyDescent="0.45">
      <c r="B19" s="56"/>
      <c r="C19" s="3" t="s">
        <v>151</v>
      </c>
      <c r="D19" s="50">
        <f>Matrix!C44</f>
        <v>14400</v>
      </c>
      <c r="E19" s="50"/>
      <c r="F19" s="50"/>
      <c r="G19" s="50"/>
      <c r="H19" s="50"/>
      <c r="I19" s="50">
        <f>D19</f>
        <v>14400</v>
      </c>
      <c r="J19" s="57"/>
      <c r="K19" s="12">
        <f t="shared" si="0"/>
        <v>14400</v>
      </c>
    </row>
    <row r="20" spans="2:11" ht="15.4" x14ac:dyDescent="0.45">
      <c r="B20" s="56"/>
      <c r="C20" s="50" t="s">
        <v>119</v>
      </c>
      <c r="D20" s="50">
        <f>Matrix!C45</f>
        <v>13113</v>
      </c>
      <c r="E20" s="12"/>
      <c r="F20" s="50"/>
      <c r="G20" s="50"/>
      <c r="H20" s="50"/>
      <c r="I20" s="50">
        <f>D20</f>
        <v>13113</v>
      </c>
      <c r="J20" s="57"/>
      <c r="K20" s="12">
        <f t="shared" si="0"/>
        <v>13113</v>
      </c>
    </row>
    <row r="21" spans="2:11" ht="15.4" x14ac:dyDescent="0.45">
      <c r="B21" s="56"/>
      <c r="C21" s="50" t="s">
        <v>157</v>
      </c>
      <c r="D21" s="50">
        <f>Matrix!C46</f>
        <v>217</v>
      </c>
      <c r="E21" s="12"/>
      <c r="F21" s="50"/>
      <c r="G21" s="50"/>
      <c r="H21" s="50"/>
      <c r="I21" s="50">
        <f>D21</f>
        <v>217</v>
      </c>
      <c r="J21" s="57"/>
      <c r="K21" s="12">
        <f t="shared" si="0"/>
        <v>217</v>
      </c>
    </row>
    <row r="22" spans="2:11" ht="15.4" x14ac:dyDescent="0.45">
      <c r="B22" s="56"/>
      <c r="C22" s="50" t="s">
        <v>113</v>
      </c>
      <c r="D22" s="50">
        <f t="shared" ref="D22" si="1">SUM(E22:I22)</f>
        <v>0</v>
      </c>
      <c r="E22" s="50"/>
      <c r="F22" s="50"/>
      <c r="G22" s="50">
        <f>Matrix!G47</f>
        <v>0</v>
      </c>
      <c r="H22" s="50"/>
      <c r="I22" s="50"/>
      <c r="J22" s="57"/>
      <c r="K22" s="12">
        <f t="shared" si="0"/>
        <v>0</v>
      </c>
    </row>
    <row r="23" spans="2:11" ht="15.4" x14ac:dyDescent="0.45">
      <c r="B23" s="56"/>
      <c r="C23" s="50" t="s">
        <v>178</v>
      </c>
      <c r="D23" s="50">
        <f>Matrix!C48</f>
        <v>23261</v>
      </c>
      <c r="E23" s="50">
        <v>0</v>
      </c>
      <c r="F23" s="50"/>
      <c r="G23" s="50">
        <f>Matrix!G48</f>
        <v>9755.6130002392274</v>
      </c>
      <c r="H23" s="50"/>
      <c r="I23" s="50">
        <f>Matrix!H48</f>
        <v>13505.386999760774</v>
      </c>
      <c r="J23" s="57"/>
      <c r="K23" s="12">
        <f t="shared" si="0"/>
        <v>23261</v>
      </c>
    </row>
    <row r="24" spans="2:11" ht="15.4" x14ac:dyDescent="0.45">
      <c r="B24" s="56"/>
      <c r="C24" s="50" t="s">
        <v>388</v>
      </c>
      <c r="D24" s="50">
        <f>Matrix!C41</f>
        <v>31930</v>
      </c>
      <c r="E24" s="50"/>
      <c r="F24" s="50">
        <f>Matrix!F41</f>
        <v>31930</v>
      </c>
      <c r="G24" s="50"/>
      <c r="H24" s="50"/>
      <c r="I24" s="50"/>
      <c r="J24" s="57"/>
      <c r="K24" s="12"/>
    </row>
    <row r="25" spans="2:11" ht="15.4" x14ac:dyDescent="0.45">
      <c r="B25" s="56"/>
      <c r="C25" s="50" t="s">
        <v>403</v>
      </c>
      <c r="D25" s="50">
        <f>SAO!I47</f>
        <v>8287</v>
      </c>
      <c r="E25" s="50"/>
      <c r="F25" s="50">
        <f>F11/D11*D25</f>
        <v>2332.669082621167</v>
      </c>
      <c r="G25" s="50">
        <f>G11/D11*D25</f>
        <v>5358.89782564095</v>
      </c>
      <c r="H25" s="50">
        <f>H11/D11*D25</f>
        <v>595.4330917378835</v>
      </c>
      <c r="I25" s="50"/>
      <c r="J25" s="57"/>
      <c r="K25" s="12">
        <f t="shared" si="0"/>
        <v>8287</v>
      </c>
    </row>
    <row r="26" spans="2:11" ht="17.649999999999999" x14ac:dyDescent="0.75">
      <c r="B26" s="56"/>
      <c r="C26" s="50" t="s">
        <v>35</v>
      </c>
      <c r="D26" s="198">
        <f>SAO!I46</f>
        <v>116557.40843047622</v>
      </c>
      <c r="E26" s="198">
        <f>Depreciation!K18+Depreciation!K19+Depreciation!K26+Depreciation!K31</f>
        <v>6663.7887460317461</v>
      </c>
      <c r="F26" s="198">
        <f>Depreciation!K17+Depreciation!K20+Depreciation!K23</f>
        <v>107858.69335111114</v>
      </c>
      <c r="G26" s="198">
        <f>Depreciation!K27</f>
        <v>303.21099999999996</v>
      </c>
      <c r="H26" s="198">
        <f>Depreciation!K30+Depreciation!K32</f>
        <v>1731.7153333333333</v>
      </c>
      <c r="I26" s="198">
        <v>0</v>
      </c>
      <c r="J26" s="57"/>
      <c r="K26" s="12">
        <f t="shared" si="0"/>
        <v>116557.40843047621</v>
      </c>
    </row>
    <row r="27" spans="2:11" ht="15.4" x14ac:dyDescent="0.45">
      <c r="B27" s="56"/>
      <c r="C27" s="119" t="s">
        <v>40</v>
      </c>
      <c r="D27" s="50">
        <f t="shared" ref="D27:I27" si="2">SUM(D11:D26)</f>
        <v>808334.39595741115</v>
      </c>
      <c r="E27" s="50">
        <f t="shared" si="2"/>
        <v>235191.13445716025</v>
      </c>
      <c r="F27" s="50">
        <f t="shared" si="2"/>
        <v>312217.52330742986</v>
      </c>
      <c r="G27" s="50">
        <f t="shared" si="2"/>
        <v>79451.006673778218</v>
      </c>
      <c r="H27" s="50">
        <f t="shared" si="2"/>
        <v>67141.744519282103</v>
      </c>
      <c r="I27" s="50">
        <f t="shared" si="2"/>
        <v>114332.98699976077</v>
      </c>
      <c r="J27" s="57"/>
      <c r="K27" s="12">
        <f>SUM(E27:J27)</f>
        <v>808334.39595741115</v>
      </c>
    </row>
    <row r="28" spans="2:11" ht="17.649999999999999" x14ac:dyDescent="0.75">
      <c r="B28" s="56"/>
      <c r="C28" s="50" t="s">
        <v>179</v>
      </c>
      <c r="D28" s="198">
        <f>I27</f>
        <v>114332.98699976077</v>
      </c>
      <c r="E28" s="50"/>
      <c r="F28" s="50"/>
      <c r="G28" s="50"/>
      <c r="H28" s="50"/>
      <c r="I28" s="50"/>
      <c r="J28" s="57"/>
      <c r="K28" s="12"/>
    </row>
    <row r="29" spans="2:11" ht="15.4" x14ac:dyDescent="0.45">
      <c r="B29" s="56"/>
      <c r="C29" s="50" t="s">
        <v>180</v>
      </c>
      <c r="D29" s="50">
        <f>+D27-D28</f>
        <v>694001.40895765042</v>
      </c>
      <c r="E29" s="50"/>
      <c r="F29" s="50"/>
      <c r="G29" s="50"/>
      <c r="H29" s="50"/>
      <c r="I29" s="50"/>
      <c r="J29" s="57"/>
      <c r="K29" s="12"/>
    </row>
    <row r="30" spans="2:11" ht="15.4" x14ac:dyDescent="0.45">
      <c r="B30" s="56"/>
      <c r="C30" s="50"/>
      <c r="D30" s="50"/>
      <c r="E30" s="50"/>
      <c r="F30" s="50"/>
      <c r="G30" s="50"/>
      <c r="H30" s="50"/>
      <c r="I30" s="50"/>
      <c r="J30" s="57"/>
      <c r="K30" s="12"/>
    </row>
    <row r="31" spans="2:11" ht="15.4" x14ac:dyDescent="0.45">
      <c r="B31" s="56"/>
      <c r="C31" s="50" t="s">
        <v>181</v>
      </c>
      <c r="D31" s="174">
        <f>SUM(E31:H31)</f>
        <v>1</v>
      </c>
      <c r="E31" s="174">
        <f>E27/$D$29</f>
        <v>0.33889143656120757</v>
      </c>
      <c r="F31" s="174">
        <f>F27/$D$29</f>
        <v>0.44988024415737476</v>
      </c>
      <c r="G31" s="174">
        <f>G27/$D$29</f>
        <v>0.114482486127959</v>
      </c>
      <c r="H31" s="174">
        <f>H27/$D$29</f>
        <v>9.6745833153458693E-2</v>
      </c>
      <c r="I31" s="50"/>
      <c r="J31" s="57"/>
      <c r="K31" s="199"/>
    </row>
    <row r="32" spans="2:11" ht="15.4" x14ac:dyDescent="0.45">
      <c r="B32" s="56"/>
      <c r="C32" s="50"/>
      <c r="D32" s="50"/>
      <c r="E32" s="50"/>
      <c r="F32" s="50"/>
      <c r="G32" s="50"/>
      <c r="H32" s="50"/>
      <c r="I32" s="50"/>
      <c r="J32" s="57"/>
      <c r="K32" s="12"/>
    </row>
    <row r="33" spans="2:11" ht="15.4" x14ac:dyDescent="0.45">
      <c r="B33" s="56"/>
      <c r="C33" s="50" t="s">
        <v>182</v>
      </c>
      <c r="D33" s="50">
        <f>SUM(E33:H33)</f>
        <v>114332.98699976077</v>
      </c>
      <c r="E33" s="50">
        <f>E31*$I$27</f>
        <v>38746.470210682797</v>
      </c>
      <c r="F33" s="50">
        <f>F31*$I$27</f>
        <v>51436.152106694331</v>
      </c>
      <c r="G33" s="50">
        <f>G31*$I$27</f>
        <v>13089.12459816823</v>
      </c>
      <c r="H33" s="50">
        <f>H31*$I$27</f>
        <v>11061.240084215418</v>
      </c>
      <c r="I33" s="50"/>
      <c r="J33" s="57"/>
      <c r="K33" s="12">
        <f>SUM(E33:H33)</f>
        <v>114332.98699976077</v>
      </c>
    </row>
    <row r="34" spans="2:11" ht="15.4" x14ac:dyDescent="0.45">
      <c r="B34" s="56"/>
      <c r="C34" s="50"/>
      <c r="D34" s="50"/>
      <c r="E34" s="50"/>
      <c r="F34" s="50"/>
      <c r="G34" s="50"/>
      <c r="H34" s="50"/>
      <c r="I34" s="50"/>
      <c r="J34" s="57"/>
      <c r="K34" s="12"/>
    </row>
    <row r="35" spans="2:11" ht="15.4" x14ac:dyDescent="0.45">
      <c r="B35" s="56"/>
      <c r="C35" s="50" t="s">
        <v>183</v>
      </c>
      <c r="D35" s="50">
        <f>D33+D29</f>
        <v>808334.39595741115</v>
      </c>
      <c r="E35" s="50">
        <f>E33+E27</f>
        <v>273937.60466784303</v>
      </c>
      <c r="F35" s="50">
        <f>F33+F27</f>
        <v>363653.67541412421</v>
      </c>
      <c r="G35" s="50">
        <f>G33+G27</f>
        <v>92540.131271946448</v>
      </c>
      <c r="H35" s="50">
        <f>H33+H27</f>
        <v>78202.98460349752</v>
      </c>
      <c r="I35" s="50"/>
      <c r="J35" s="57"/>
      <c r="K35" s="12">
        <f>SUM(E35:H35)</f>
        <v>808334.39595741127</v>
      </c>
    </row>
    <row r="36" spans="2:11" ht="15.4" x14ac:dyDescent="0.45">
      <c r="B36" s="58"/>
      <c r="C36" s="14"/>
      <c r="D36" s="14"/>
      <c r="E36" s="14"/>
      <c r="F36" s="14"/>
      <c r="G36" s="14"/>
      <c r="H36" s="14"/>
      <c r="I36" s="14"/>
      <c r="J36" s="59"/>
      <c r="K36" s="12"/>
    </row>
    <row r="37" spans="2:11" ht="15.4" x14ac:dyDescent="0.45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2:11" s="421" customFormat="1" ht="14.25" x14ac:dyDescent="0.45">
      <c r="C38" s="421" t="s">
        <v>339</v>
      </c>
      <c r="D38" s="423" t="str">
        <f>IF(D35=Matrix!C49+SAO!I46+SAO!I47,"OK","Out of Balance")</f>
        <v>OK</v>
      </c>
      <c r="K38" s="423" t="str">
        <f>IF(K35=D35,"OK","Out of Balance")</f>
        <v>OK</v>
      </c>
    </row>
    <row r="39" spans="2:11" s="421" customFormat="1" ht="14.25" x14ac:dyDescent="0.45">
      <c r="D39" s="465"/>
    </row>
    <row r="40" spans="2:11" s="421" customFormat="1" ht="14.25" x14ac:dyDescent="0.45">
      <c r="D40" s="467"/>
    </row>
    <row r="41" spans="2:11" s="421" customFormat="1" ht="14.25" x14ac:dyDescent="0.45">
      <c r="D41" s="467"/>
    </row>
    <row r="42" spans="2:11" s="421" customFormat="1" ht="14.25" x14ac:dyDescent="0.45">
      <c r="D42" s="467"/>
    </row>
    <row r="43" spans="2:11" s="421" customFormat="1" ht="14.25" x14ac:dyDescent="0.45">
      <c r="D43" s="466"/>
    </row>
    <row r="44" spans="2:11" s="421" customFormat="1" ht="14.25" x14ac:dyDescent="0.45"/>
    <row r="45" spans="2:11" s="421" customFormat="1" ht="14.25" x14ac:dyDescent="0.45"/>
  </sheetData>
  <mergeCells count="4">
    <mergeCell ref="G8:H8"/>
    <mergeCell ref="C3:I3"/>
    <mergeCell ref="C4:I4"/>
    <mergeCell ref="C5:I5"/>
  </mergeCells>
  <printOptions horizontalCentered="1"/>
  <pageMargins left="0.55000000000000004" right="0.45" top="1.25" bottom="0.75" header="0.3" footer="0.3"/>
  <pageSetup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75D-7259-44E7-B43A-3662FCD88845}">
  <sheetPr>
    <pageSetUpPr fitToPage="1"/>
  </sheetPr>
  <dimension ref="A1:L27"/>
  <sheetViews>
    <sheetView workbookViewId="0">
      <selection activeCell="B1" sqref="B1:I24"/>
    </sheetView>
  </sheetViews>
  <sheetFormatPr defaultRowHeight="15" x14ac:dyDescent="0.4"/>
  <cols>
    <col min="2" max="2" width="1.77734375" customWidth="1"/>
    <col min="3" max="3" width="27.5546875" customWidth="1"/>
    <col min="4" max="4" width="9" bestFit="1" customWidth="1"/>
    <col min="9" max="9" width="1.77734375" customWidth="1"/>
  </cols>
  <sheetData>
    <row r="1" spans="1:12" ht="15.4" x14ac:dyDescent="0.4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.4" x14ac:dyDescent="0.45">
      <c r="A2" s="12"/>
      <c r="B2" s="53"/>
      <c r="C2" s="54"/>
      <c r="D2" s="54"/>
      <c r="E2" s="54"/>
      <c r="F2" s="54"/>
      <c r="G2" s="54"/>
      <c r="H2" s="54"/>
      <c r="I2" s="55"/>
      <c r="J2" s="12"/>
      <c r="K2" s="12"/>
      <c r="L2" s="12"/>
    </row>
    <row r="3" spans="1:12" ht="18" x14ac:dyDescent="0.55000000000000004">
      <c r="A3" s="56"/>
      <c r="B3" s="56"/>
      <c r="C3" s="495" t="s">
        <v>164</v>
      </c>
      <c r="D3" s="495"/>
      <c r="E3" s="495"/>
      <c r="F3" s="495"/>
      <c r="G3" s="495"/>
      <c r="H3" s="495"/>
      <c r="I3" s="176"/>
      <c r="J3" s="184"/>
      <c r="K3" s="12"/>
      <c r="L3" s="12"/>
    </row>
    <row r="4" spans="1:12" ht="18" x14ac:dyDescent="0.55000000000000004">
      <c r="A4" s="56"/>
      <c r="B4" s="56"/>
      <c r="C4" s="498" t="s">
        <v>299</v>
      </c>
      <c r="D4" s="498"/>
      <c r="E4" s="498"/>
      <c r="F4" s="498"/>
      <c r="G4" s="498"/>
      <c r="H4" s="498"/>
      <c r="I4" s="186"/>
      <c r="J4" s="185"/>
      <c r="K4" s="12"/>
      <c r="L4" s="12"/>
    </row>
    <row r="5" spans="1:12" ht="18" x14ac:dyDescent="0.45">
      <c r="A5" s="56"/>
      <c r="B5" s="56"/>
      <c r="C5" s="484" t="s">
        <v>252</v>
      </c>
      <c r="D5" s="484"/>
      <c r="E5" s="484"/>
      <c r="F5" s="484"/>
      <c r="G5" s="484"/>
      <c r="H5" s="484"/>
      <c r="I5" s="159"/>
      <c r="J5" s="200"/>
      <c r="K5" s="12"/>
      <c r="L5" s="12"/>
    </row>
    <row r="6" spans="1:12" ht="8.1" customHeight="1" x14ac:dyDescent="0.45">
      <c r="A6" s="50"/>
      <c r="B6" s="58"/>
      <c r="C6" s="172"/>
      <c r="D6" s="172"/>
      <c r="E6" s="172"/>
      <c r="F6" s="172"/>
      <c r="G6" s="172"/>
      <c r="H6" s="172"/>
      <c r="I6" s="173"/>
      <c r="J6" s="200"/>
      <c r="K6" s="12"/>
      <c r="L6" s="12"/>
    </row>
    <row r="7" spans="1:12" ht="8.1" customHeight="1" x14ac:dyDescent="0.45">
      <c r="A7" s="50"/>
      <c r="B7" s="56"/>
      <c r="C7" s="171"/>
      <c r="D7" s="171"/>
      <c r="E7" s="171"/>
      <c r="F7" s="171"/>
      <c r="G7" s="171"/>
      <c r="H7" s="171"/>
      <c r="I7" s="159"/>
      <c r="J7" s="200"/>
      <c r="K7" s="12"/>
      <c r="L7" s="12"/>
    </row>
    <row r="8" spans="1:12" ht="18" x14ac:dyDescent="0.75">
      <c r="A8" s="50"/>
      <c r="B8" s="56"/>
      <c r="C8" s="200"/>
      <c r="D8" s="200"/>
      <c r="E8" s="200"/>
      <c r="F8" s="200"/>
      <c r="G8" s="497" t="s">
        <v>128</v>
      </c>
      <c r="H8" s="497"/>
      <c r="I8" s="201"/>
      <c r="J8" s="200"/>
      <c r="K8" s="12"/>
      <c r="L8" s="12"/>
    </row>
    <row r="9" spans="1:12" ht="17.649999999999999" x14ac:dyDescent="0.75">
      <c r="A9" s="12"/>
      <c r="B9" s="56"/>
      <c r="C9" s="50"/>
      <c r="D9" s="197" t="s">
        <v>132</v>
      </c>
      <c r="E9" s="197"/>
      <c r="F9" s="197"/>
      <c r="G9" s="195" t="s">
        <v>171</v>
      </c>
      <c r="H9" s="195" t="s">
        <v>172</v>
      </c>
      <c r="I9" s="202"/>
      <c r="J9" s="12"/>
      <c r="K9" s="12"/>
      <c r="L9" s="12"/>
    </row>
    <row r="10" spans="1:12" ht="17.649999999999999" x14ac:dyDescent="0.75">
      <c r="A10" s="12"/>
      <c r="B10" s="56"/>
      <c r="C10" s="50"/>
      <c r="D10" s="197" t="s">
        <v>133</v>
      </c>
      <c r="E10" s="197" t="s">
        <v>174</v>
      </c>
      <c r="F10" s="197" t="s">
        <v>175</v>
      </c>
      <c r="G10" s="195" t="s">
        <v>176</v>
      </c>
      <c r="H10" s="195" t="s">
        <v>135</v>
      </c>
      <c r="I10" s="202"/>
      <c r="J10" s="12"/>
      <c r="K10" s="12"/>
      <c r="L10" s="12"/>
    </row>
    <row r="11" spans="1:12" ht="15.4" x14ac:dyDescent="0.45">
      <c r="A11" s="12"/>
      <c r="B11" s="56"/>
      <c r="C11" s="50"/>
      <c r="D11" s="197"/>
      <c r="E11" s="197"/>
      <c r="F11" s="197"/>
      <c r="G11" s="197"/>
      <c r="H11" s="197"/>
      <c r="I11" s="202"/>
      <c r="J11" s="12"/>
      <c r="K11" s="12"/>
      <c r="L11" s="12"/>
    </row>
    <row r="12" spans="1:12" ht="15.4" x14ac:dyDescent="0.45">
      <c r="A12" s="12"/>
      <c r="B12" s="56"/>
      <c r="C12" s="50" t="s">
        <v>184</v>
      </c>
      <c r="D12" s="50">
        <f>'Allocate OM'!D27</f>
        <v>808334.39595741115</v>
      </c>
      <c r="E12" s="50">
        <f>'Allocate OM'!E35</f>
        <v>273937.60466784303</v>
      </c>
      <c r="F12" s="50">
        <f>'Allocate OM'!F35</f>
        <v>363653.67541412421</v>
      </c>
      <c r="G12" s="50">
        <f>'Allocate OM'!G35</f>
        <v>92540.131271946448</v>
      </c>
      <c r="H12" s="50">
        <f>'Allocate OM'!H35</f>
        <v>78202.98460349752</v>
      </c>
      <c r="I12" s="57"/>
      <c r="J12" s="12"/>
      <c r="K12" s="12"/>
      <c r="L12" s="12"/>
    </row>
    <row r="13" spans="1:12" ht="17.649999999999999" x14ac:dyDescent="0.75">
      <c r="A13" s="12"/>
      <c r="B13" s="56"/>
      <c r="C13" s="50" t="s">
        <v>341</v>
      </c>
      <c r="D13" s="198">
        <f>'Allocate Plant'!E32</f>
        <v>121377.8472</v>
      </c>
      <c r="E13" s="198">
        <f>'Allocate Plant'!F32</f>
        <v>1427.4605612523192</v>
      </c>
      <c r="F13" s="198">
        <f>'Allocate Plant'!G32</f>
        <v>118774.77786700643</v>
      </c>
      <c r="G13" s="198">
        <f>'Allocate Plant'!H32</f>
        <v>503.19808370586492</v>
      </c>
      <c r="H13" s="198">
        <f>'Allocate Plant'!I32</f>
        <v>672.41068803537996</v>
      </c>
      <c r="I13" s="203"/>
      <c r="J13" s="12"/>
      <c r="K13" s="12"/>
      <c r="L13" s="12"/>
    </row>
    <row r="14" spans="1:12" ht="15.4" x14ac:dyDescent="0.45">
      <c r="A14" s="12"/>
      <c r="B14" s="56"/>
      <c r="C14" s="119" t="s">
        <v>340</v>
      </c>
      <c r="D14" s="50">
        <f>D13+D12</f>
        <v>929712.24315741111</v>
      </c>
      <c r="E14" s="50">
        <f>E13+E12</f>
        <v>275365.06522909534</v>
      </c>
      <c r="F14" s="50">
        <f>F13+F12</f>
        <v>482428.45328113064</v>
      </c>
      <c r="G14" s="50">
        <f>G12+G13</f>
        <v>93043.329355652313</v>
      </c>
      <c r="H14" s="50">
        <f>H12+H13</f>
        <v>78875.395291532899</v>
      </c>
      <c r="I14" s="57"/>
      <c r="J14" s="12">
        <f>SUM(E14:H14)</f>
        <v>929712.24315741111</v>
      </c>
      <c r="K14" s="75" t="str">
        <f>IF(J14=D14,"OK","Out of Balance")</f>
        <v>OK</v>
      </c>
      <c r="L14" s="12"/>
    </row>
    <row r="15" spans="1:12" ht="15.4" x14ac:dyDescent="0.45">
      <c r="A15" s="12"/>
      <c r="B15" s="56"/>
      <c r="C15" s="50" t="s">
        <v>185</v>
      </c>
      <c r="D15" s="50"/>
      <c r="E15" s="174">
        <f>E12/$D$12</f>
        <v>0.33889143656120757</v>
      </c>
      <c r="F15" s="174">
        <f>F12/$D$12</f>
        <v>0.44988024415737482</v>
      </c>
      <c r="G15" s="174">
        <f>G12/$D$12</f>
        <v>0.11448248612795901</v>
      </c>
      <c r="H15" s="174">
        <f>H12/$D$12</f>
        <v>9.6745833153458693E-2</v>
      </c>
      <c r="I15" s="57"/>
      <c r="J15" s="127">
        <f>SUM(E15:H15)</f>
        <v>1</v>
      </c>
      <c r="K15" s="12"/>
      <c r="L15" s="12"/>
    </row>
    <row r="16" spans="1:12" ht="8.1" customHeight="1" x14ac:dyDescent="0.45">
      <c r="A16" s="12"/>
      <c r="B16" s="56"/>
      <c r="C16" s="119"/>
      <c r="D16" s="50"/>
      <c r="E16" s="50"/>
      <c r="F16" s="50"/>
      <c r="G16" s="50"/>
      <c r="H16" s="50"/>
      <c r="I16" s="57"/>
      <c r="J16" s="75"/>
      <c r="K16" s="12"/>
      <c r="L16" s="12"/>
    </row>
    <row r="17" spans="1:12" ht="15.4" x14ac:dyDescent="0.45">
      <c r="A17" s="12"/>
      <c r="B17" s="56"/>
      <c r="C17" s="119" t="s">
        <v>186</v>
      </c>
      <c r="D17" s="50"/>
      <c r="E17" s="50"/>
      <c r="F17" s="50"/>
      <c r="G17" s="50"/>
      <c r="H17" s="50"/>
      <c r="I17" s="57"/>
      <c r="J17" s="12"/>
      <c r="K17" s="12"/>
      <c r="L17" s="12"/>
    </row>
    <row r="18" spans="1:12" ht="15.4" x14ac:dyDescent="0.45">
      <c r="A18" s="12"/>
      <c r="B18" s="56"/>
      <c r="C18" s="204" t="s">
        <v>187</v>
      </c>
      <c r="D18" s="50">
        <f>-SAO!I12</f>
        <v>-12873</v>
      </c>
      <c r="E18" s="50"/>
      <c r="F18" s="50"/>
      <c r="G18" s="50">
        <f>D18</f>
        <v>-12873</v>
      </c>
      <c r="H18" s="50"/>
      <c r="I18" s="57"/>
      <c r="J18" s="12"/>
      <c r="K18" s="12"/>
      <c r="L18" s="12"/>
    </row>
    <row r="19" spans="1:12" ht="15.4" x14ac:dyDescent="0.45">
      <c r="A19" s="12"/>
      <c r="B19" s="56"/>
      <c r="C19" s="204" t="s">
        <v>188</v>
      </c>
      <c r="D19" s="50">
        <f>-SAO!I13</f>
        <v>0</v>
      </c>
      <c r="E19" s="50"/>
      <c r="F19" s="50"/>
      <c r="G19" s="50">
        <f>D19</f>
        <v>0</v>
      </c>
      <c r="H19" s="50"/>
      <c r="I19" s="57"/>
      <c r="J19" s="12"/>
      <c r="K19" s="12"/>
      <c r="L19" s="12"/>
    </row>
    <row r="20" spans="1:12" ht="17.649999999999999" x14ac:dyDescent="0.75">
      <c r="A20" s="12"/>
      <c r="B20" s="56"/>
      <c r="C20" s="50" t="s">
        <v>189</v>
      </c>
      <c r="D20" s="198">
        <f>SAO!I60</f>
        <v>-1581</v>
      </c>
      <c r="E20" s="198">
        <f>$D$20*E15</f>
        <v>-535.78736120326914</v>
      </c>
      <c r="F20" s="198">
        <f>$D$20*F15</f>
        <v>-711.26066601280957</v>
      </c>
      <c r="G20" s="198">
        <f>$D$20*G15</f>
        <v>-180.9968105683032</v>
      </c>
      <c r="H20" s="198">
        <f>$D$20*H15</f>
        <v>-152.9551622156182</v>
      </c>
      <c r="I20" s="203"/>
      <c r="J20" s="12"/>
      <c r="K20" s="12"/>
      <c r="L20" s="12"/>
    </row>
    <row r="21" spans="1:12" ht="8.1" customHeight="1" x14ac:dyDescent="0.45">
      <c r="A21" s="12"/>
      <c r="B21" s="56"/>
      <c r="C21" s="50"/>
      <c r="D21" s="50"/>
      <c r="E21" s="50"/>
      <c r="F21" s="50"/>
      <c r="G21" s="50"/>
      <c r="H21" s="50"/>
      <c r="I21" s="57"/>
      <c r="J21" s="12"/>
      <c r="K21" s="12"/>
      <c r="L21" s="12"/>
    </row>
    <row r="22" spans="1:12" ht="15.4" x14ac:dyDescent="0.45">
      <c r="A22" s="12"/>
      <c r="B22" s="56"/>
      <c r="C22" s="119" t="s">
        <v>297</v>
      </c>
      <c r="D22" s="50">
        <f>SUM(D14:D20)</f>
        <v>915258.24315741111</v>
      </c>
      <c r="E22" s="50">
        <f>E14+E18+E19+E20</f>
        <v>274829.27786789206</v>
      </c>
      <c r="F22" s="50">
        <f t="shared" ref="F22:H22" si="0">F14+F18+F19+F20</f>
        <v>481717.19261511782</v>
      </c>
      <c r="G22" s="50">
        <f t="shared" si="0"/>
        <v>79989.332545084006</v>
      </c>
      <c r="H22" s="50">
        <f t="shared" si="0"/>
        <v>78722.440129317285</v>
      </c>
      <c r="I22" s="57"/>
      <c r="J22" s="12">
        <f>SUM(E22:H22)</f>
        <v>915258.24315741123</v>
      </c>
      <c r="K22" s="75" t="str">
        <f>IF(J22=D22,"OK","Out of Balance")</f>
        <v>OK</v>
      </c>
      <c r="L22" s="12"/>
    </row>
    <row r="23" spans="1:12" ht="15.4" x14ac:dyDescent="0.45">
      <c r="A23" s="12"/>
      <c r="B23" s="58"/>
      <c r="C23" s="14"/>
      <c r="D23" s="14"/>
      <c r="E23" s="14"/>
      <c r="F23" s="14"/>
      <c r="G23" s="14"/>
      <c r="H23" s="14"/>
      <c r="I23" s="59"/>
      <c r="J23" s="12"/>
      <c r="K23" s="12"/>
      <c r="L23" s="12"/>
    </row>
    <row r="24" spans="1:12" ht="15.4" x14ac:dyDescent="0.4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4" x14ac:dyDescent="0.45">
      <c r="A25" s="12"/>
      <c r="C25" s="287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4" x14ac:dyDescent="0.4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4" x14ac:dyDescent="0.4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4">
    <mergeCell ref="C3:H3"/>
    <mergeCell ref="C4:H4"/>
    <mergeCell ref="C5:H5"/>
    <mergeCell ref="G8:H8"/>
  </mergeCells>
  <printOptions horizontalCentered="1"/>
  <pageMargins left="0.55000000000000004" right="0.45" top="1.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1384-9C2D-442E-8400-5CA78B010D32}">
  <sheetPr>
    <pageSetUpPr fitToPage="1"/>
  </sheetPr>
  <dimension ref="A1:M40"/>
  <sheetViews>
    <sheetView workbookViewId="0">
      <selection activeCell="B1" sqref="B1:K40"/>
    </sheetView>
  </sheetViews>
  <sheetFormatPr defaultRowHeight="15" x14ac:dyDescent="0.4"/>
  <cols>
    <col min="2" max="2" width="1.33203125" customWidth="1"/>
    <col min="3" max="3" width="8.44140625" customWidth="1"/>
    <col min="4" max="5" width="9.33203125" customWidth="1"/>
    <col min="6" max="6" width="10.6640625" customWidth="1"/>
    <col min="7" max="7" width="9.33203125" customWidth="1"/>
    <col min="8" max="8" width="12" customWidth="1"/>
    <col min="9" max="9" width="8.6640625" customWidth="1"/>
    <col min="10" max="10" width="7.44140625" customWidth="1"/>
    <col min="11" max="11" width="0.88671875" customWidth="1"/>
  </cols>
  <sheetData>
    <row r="1" spans="1:12" ht="15.4" x14ac:dyDescent="0.45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.4" x14ac:dyDescent="0.45">
      <c r="A2" s="235"/>
      <c r="B2" s="236"/>
      <c r="C2" s="237"/>
      <c r="D2" s="237"/>
      <c r="E2" s="237"/>
      <c r="F2" s="237"/>
      <c r="G2" s="237"/>
      <c r="H2" s="237"/>
      <c r="I2" s="237"/>
      <c r="J2" s="237"/>
      <c r="K2" s="238"/>
      <c r="L2" s="235"/>
    </row>
    <row r="3" spans="1:12" ht="18" x14ac:dyDescent="0.55000000000000004">
      <c r="A3" s="235"/>
      <c r="B3" s="239"/>
      <c r="C3" s="495" t="s">
        <v>130</v>
      </c>
      <c r="D3" s="495"/>
      <c r="E3" s="495"/>
      <c r="F3" s="495"/>
      <c r="G3" s="495"/>
      <c r="H3" s="495"/>
      <c r="I3" s="495"/>
      <c r="J3" s="495"/>
      <c r="K3" s="176"/>
      <c r="L3" s="184"/>
    </row>
    <row r="4" spans="1:12" ht="18" x14ac:dyDescent="0.55000000000000004">
      <c r="A4" s="235"/>
      <c r="B4" s="239"/>
      <c r="C4" s="498" t="s">
        <v>217</v>
      </c>
      <c r="D4" s="498"/>
      <c r="E4" s="498"/>
      <c r="F4" s="498"/>
      <c r="G4" s="498"/>
      <c r="H4" s="498"/>
      <c r="I4" s="498"/>
      <c r="J4" s="498"/>
      <c r="K4" s="186"/>
      <c r="L4" s="185"/>
    </row>
    <row r="5" spans="1:12" ht="15.75" x14ac:dyDescent="0.5">
      <c r="A5" s="235"/>
      <c r="B5" s="239"/>
      <c r="C5" s="484" t="s">
        <v>252</v>
      </c>
      <c r="D5" s="484"/>
      <c r="E5" s="484"/>
      <c r="F5" s="484"/>
      <c r="G5" s="484"/>
      <c r="H5" s="484"/>
      <c r="I5" s="484"/>
      <c r="J5" s="484"/>
      <c r="K5" s="240"/>
      <c r="L5" s="241"/>
    </row>
    <row r="6" spans="1:12" ht="8.1" customHeight="1" x14ac:dyDescent="0.5">
      <c r="A6" s="235"/>
      <c r="B6" s="255"/>
      <c r="C6" s="257"/>
      <c r="D6" s="257"/>
      <c r="E6" s="257"/>
      <c r="F6" s="257"/>
      <c r="G6" s="257"/>
      <c r="H6" s="257"/>
      <c r="I6" s="257"/>
      <c r="J6" s="257"/>
      <c r="K6" s="258"/>
      <c r="L6" s="241"/>
    </row>
    <row r="7" spans="1:12" ht="15.75" x14ac:dyDescent="0.5">
      <c r="A7" s="235"/>
      <c r="B7" s="239"/>
      <c r="C7" s="241"/>
      <c r="D7" s="241"/>
      <c r="E7" s="241"/>
      <c r="F7" s="241"/>
      <c r="G7" s="241"/>
      <c r="H7" s="241"/>
      <c r="I7" s="241"/>
      <c r="J7" s="241"/>
      <c r="K7" s="240"/>
      <c r="L7" s="241"/>
    </row>
    <row r="8" spans="1:12" ht="15.75" x14ac:dyDescent="0.5">
      <c r="A8" s="235"/>
      <c r="B8" s="239"/>
      <c r="C8" s="242" t="s">
        <v>218</v>
      </c>
      <c r="D8" s="243"/>
      <c r="E8" s="243"/>
      <c r="F8" s="223"/>
      <c r="G8" s="223"/>
      <c r="H8" s="223"/>
      <c r="I8" s="223"/>
      <c r="J8" s="223"/>
      <c r="K8" s="224"/>
      <c r="L8" s="235"/>
    </row>
    <row r="9" spans="1:12" ht="17.649999999999999" x14ac:dyDescent="0.75">
      <c r="A9" s="235"/>
      <c r="B9" s="239"/>
      <c r="C9" s="225" t="s">
        <v>212</v>
      </c>
      <c r="D9" s="225" t="s">
        <v>213</v>
      </c>
      <c r="E9" s="225" t="s">
        <v>79</v>
      </c>
      <c r="F9" s="225" t="s">
        <v>79</v>
      </c>
      <c r="G9" s="225" t="s">
        <v>79</v>
      </c>
      <c r="H9" s="499" t="s">
        <v>219</v>
      </c>
      <c r="I9" s="499"/>
      <c r="J9" s="499"/>
      <c r="K9" s="244"/>
      <c r="L9" s="245"/>
    </row>
    <row r="10" spans="1:12" ht="17.649999999999999" x14ac:dyDescent="0.75">
      <c r="A10" s="235"/>
      <c r="B10" s="239"/>
      <c r="C10" s="226" t="s">
        <v>124</v>
      </c>
      <c r="D10" s="226" t="s">
        <v>220</v>
      </c>
      <c r="E10" s="226" t="s">
        <v>221</v>
      </c>
      <c r="F10" s="226" t="s">
        <v>222</v>
      </c>
      <c r="G10" s="226" t="s">
        <v>223</v>
      </c>
      <c r="H10" s="246" t="s">
        <v>224</v>
      </c>
      <c r="I10" s="246" t="s">
        <v>292</v>
      </c>
      <c r="J10" s="259" t="s">
        <v>293</v>
      </c>
      <c r="K10" s="247"/>
      <c r="L10" s="248"/>
    </row>
    <row r="11" spans="1:12" ht="15.4" x14ac:dyDescent="0.45">
      <c r="A11" s="235"/>
      <c r="B11" s="239"/>
      <c r="C11" s="249" t="s">
        <v>206</v>
      </c>
      <c r="D11" s="223">
        <f>SUM(Usage!B5:B6)</f>
        <v>5290</v>
      </c>
      <c r="E11" s="223">
        <f>D11*2000</f>
        <v>10580000</v>
      </c>
      <c r="F11" s="223">
        <f>SUM(Usage!C5:C6)</f>
        <v>5321800</v>
      </c>
      <c r="G11" s="223">
        <f>E11-F11</f>
        <v>5258200</v>
      </c>
      <c r="H11" s="223">
        <f>G11</f>
        <v>5258200</v>
      </c>
      <c r="I11" s="223"/>
      <c r="J11" s="223"/>
      <c r="K11" s="224"/>
      <c r="L11" s="235"/>
    </row>
    <row r="12" spans="1:12" ht="15.4" x14ac:dyDescent="0.45">
      <c r="A12" s="235"/>
      <c r="B12" s="239"/>
      <c r="C12" s="250" t="s">
        <v>207</v>
      </c>
      <c r="D12" s="223">
        <f>SUM(Usage!D5:D9)</f>
        <v>98</v>
      </c>
      <c r="E12" s="223">
        <f>D12*5000</f>
        <v>490000</v>
      </c>
      <c r="F12" s="223">
        <f>SUM(Usage!E5:E9)</f>
        <v>245600</v>
      </c>
      <c r="G12" s="223">
        <f t="shared" ref="G12" si="0">E12-F12</f>
        <v>244400</v>
      </c>
      <c r="H12" s="223">
        <f>G12</f>
        <v>244400</v>
      </c>
      <c r="I12" s="223"/>
      <c r="J12" s="223"/>
      <c r="K12" s="224"/>
      <c r="L12" s="235"/>
    </row>
    <row r="13" spans="1:12" ht="15.4" x14ac:dyDescent="0.45">
      <c r="A13" s="235"/>
      <c r="B13" s="239"/>
      <c r="C13" s="250" t="s">
        <v>208</v>
      </c>
      <c r="D13" s="223">
        <v>0</v>
      </c>
      <c r="E13" s="223">
        <v>0</v>
      </c>
      <c r="F13" s="223">
        <v>0</v>
      </c>
      <c r="G13" s="223">
        <v>0</v>
      </c>
      <c r="H13" s="223">
        <v>0</v>
      </c>
      <c r="I13" s="223"/>
      <c r="J13" s="223"/>
      <c r="K13" s="224"/>
      <c r="L13" s="235"/>
    </row>
    <row r="14" spans="1:12" ht="15.4" x14ac:dyDescent="0.45">
      <c r="A14" s="235"/>
      <c r="B14" s="239"/>
      <c r="C14" s="250" t="s">
        <v>209</v>
      </c>
      <c r="D14" s="223">
        <v>0</v>
      </c>
      <c r="E14" s="223">
        <v>0</v>
      </c>
      <c r="F14" s="223">
        <v>0</v>
      </c>
      <c r="G14" s="223">
        <v>0</v>
      </c>
      <c r="H14" s="223">
        <f>G14</f>
        <v>0</v>
      </c>
      <c r="I14" s="223"/>
      <c r="J14" s="223"/>
      <c r="K14" s="224"/>
      <c r="L14" s="235"/>
    </row>
    <row r="15" spans="1:12" ht="15.4" x14ac:dyDescent="0.45">
      <c r="A15" s="235"/>
      <c r="B15" s="239"/>
      <c r="C15" s="250" t="s">
        <v>210</v>
      </c>
      <c r="D15" s="223">
        <v>0</v>
      </c>
      <c r="E15" s="223">
        <f>D15*30000</f>
        <v>0</v>
      </c>
      <c r="F15" s="223">
        <v>0</v>
      </c>
      <c r="G15" s="223">
        <v>0</v>
      </c>
      <c r="H15" s="223">
        <f>G15</f>
        <v>0</v>
      </c>
      <c r="I15" s="223"/>
      <c r="J15" s="223"/>
      <c r="K15" s="224"/>
      <c r="L15" s="235"/>
    </row>
    <row r="16" spans="1:12" ht="17.649999999999999" x14ac:dyDescent="0.75">
      <c r="A16" s="235"/>
      <c r="B16" s="239"/>
      <c r="C16" s="250" t="s">
        <v>291</v>
      </c>
      <c r="D16" s="230">
        <f>SUM(Usage!H13:H14)</f>
        <v>2</v>
      </c>
      <c r="E16" s="230">
        <f>D16*30000</f>
        <v>60000</v>
      </c>
      <c r="F16" s="230">
        <f>SUM(Usage!I13:I14)</f>
        <v>52000</v>
      </c>
      <c r="G16" s="230">
        <f>E16-F16</f>
        <v>8000</v>
      </c>
      <c r="H16" s="230">
        <f>G16</f>
        <v>8000</v>
      </c>
      <c r="I16" s="230">
        <f>G16-H16</f>
        <v>0</v>
      </c>
      <c r="J16" s="230">
        <v>0</v>
      </c>
      <c r="K16" s="224"/>
      <c r="L16" s="235"/>
    </row>
    <row r="17" spans="1:12" ht="15.4" x14ac:dyDescent="0.45">
      <c r="A17" s="235"/>
      <c r="B17" s="239"/>
      <c r="C17" s="251" t="s">
        <v>40</v>
      </c>
      <c r="D17" s="223">
        <f t="shared" ref="D17:J17" si="1">SUM(D11:D16)</f>
        <v>5390</v>
      </c>
      <c r="E17" s="223">
        <f t="shared" si="1"/>
        <v>11130000</v>
      </c>
      <c r="F17" s="223">
        <f t="shared" si="1"/>
        <v>5619400</v>
      </c>
      <c r="G17" s="223">
        <f t="shared" si="1"/>
        <v>5510600</v>
      </c>
      <c r="H17" s="223">
        <f t="shared" si="1"/>
        <v>5510600</v>
      </c>
      <c r="I17" s="223">
        <f t="shared" si="1"/>
        <v>0</v>
      </c>
      <c r="J17" s="223">
        <f t="shared" si="1"/>
        <v>0</v>
      </c>
      <c r="K17" s="224"/>
      <c r="L17" s="235"/>
    </row>
    <row r="18" spans="1:12" ht="15.4" x14ac:dyDescent="0.45">
      <c r="A18" s="235"/>
      <c r="B18" s="239"/>
      <c r="C18" s="251"/>
      <c r="D18" s="223"/>
      <c r="E18" s="223"/>
      <c r="F18" s="223"/>
      <c r="G18" s="223"/>
      <c r="H18" s="223"/>
      <c r="I18" s="223"/>
      <c r="J18" s="223"/>
      <c r="K18" s="224"/>
      <c r="L18" s="235"/>
    </row>
    <row r="19" spans="1:12" ht="15.4" x14ac:dyDescent="0.45">
      <c r="A19" s="235"/>
      <c r="B19" s="239"/>
      <c r="C19" s="223"/>
      <c r="D19" s="223"/>
      <c r="E19" s="223"/>
      <c r="F19" s="223"/>
      <c r="G19" s="223"/>
      <c r="H19" s="223"/>
      <c r="I19" s="223"/>
      <c r="J19" s="223"/>
      <c r="K19" s="224"/>
      <c r="L19" s="235"/>
    </row>
    <row r="20" spans="1:12" ht="15.75" x14ac:dyDescent="0.5">
      <c r="A20" s="235"/>
      <c r="B20" s="239"/>
      <c r="E20" s="252" t="s">
        <v>225</v>
      </c>
      <c r="F20" s="253"/>
      <c r="G20" s="223"/>
      <c r="H20" s="223"/>
      <c r="I20" s="223"/>
      <c r="J20" s="223"/>
      <c r="K20" s="224"/>
      <c r="L20" s="235"/>
    </row>
    <row r="21" spans="1:12" ht="15.4" x14ac:dyDescent="0.45">
      <c r="A21" s="235"/>
      <c r="B21" s="239"/>
      <c r="E21" s="225" t="s">
        <v>168</v>
      </c>
      <c r="F21" s="225" t="s">
        <v>226</v>
      </c>
      <c r="G21" s="225" t="s">
        <v>9</v>
      </c>
      <c r="H21" s="225" t="s">
        <v>227</v>
      </c>
      <c r="I21" s="223"/>
      <c r="J21" s="223"/>
      <c r="K21" s="224"/>
      <c r="L21" s="235"/>
    </row>
    <row r="22" spans="1:12" ht="17.649999999999999" x14ac:dyDescent="0.75">
      <c r="A22" s="235"/>
      <c r="B22" s="239"/>
      <c r="E22" s="226" t="s">
        <v>228</v>
      </c>
      <c r="F22" s="226" t="s">
        <v>229</v>
      </c>
      <c r="G22" s="226" t="s">
        <v>230</v>
      </c>
      <c r="H22" s="226" t="s">
        <v>229</v>
      </c>
      <c r="I22" s="223"/>
      <c r="J22" s="223"/>
      <c r="K22" s="224"/>
      <c r="L22" s="235"/>
    </row>
    <row r="23" spans="1:12" ht="15.4" x14ac:dyDescent="0.45">
      <c r="A23" s="235"/>
      <c r="B23" s="239"/>
      <c r="E23" s="254" t="s">
        <v>231</v>
      </c>
      <c r="F23" s="223">
        <f>Usage!U29</f>
        <v>47036000</v>
      </c>
      <c r="G23" s="223">
        <f>H17</f>
        <v>5510600</v>
      </c>
      <c r="H23" s="223">
        <f>F23+G23</f>
        <v>52546600</v>
      </c>
      <c r="I23" s="223"/>
      <c r="J23" s="223"/>
      <c r="K23" s="224"/>
      <c r="L23" s="235"/>
    </row>
    <row r="24" spans="1:12" ht="15.4" x14ac:dyDescent="0.45">
      <c r="A24" s="235"/>
      <c r="B24" s="239"/>
      <c r="E24" s="254" t="s">
        <v>292</v>
      </c>
      <c r="F24" s="223">
        <f>Usage!V29</f>
        <v>9321900</v>
      </c>
      <c r="G24" s="223">
        <f>I17</f>
        <v>0</v>
      </c>
      <c r="H24" s="223">
        <f>F24+G24</f>
        <v>9321900</v>
      </c>
      <c r="I24" s="223"/>
      <c r="J24" s="223"/>
      <c r="K24" s="224"/>
      <c r="L24" s="235"/>
    </row>
    <row r="25" spans="1:12" ht="17.649999999999999" x14ac:dyDescent="0.75">
      <c r="A25" s="235"/>
      <c r="B25" s="239"/>
      <c r="E25" s="254" t="s">
        <v>293</v>
      </c>
      <c r="F25" s="230">
        <f>Usage!W29</f>
        <v>3709200</v>
      </c>
      <c r="G25" s="230">
        <v>0</v>
      </c>
      <c r="H25" s="230">
        <f>F25+G25</f>
        <v>3709200</v>
      </c>
      <c r="I25" s="223"/>
      <c r="J25" s="223"/>
      <c r="K25" s="224"/>
      <c r="L25" s="235"/>
    </row>
    <row r="26" spans="1:12" ht="15.4" x14ac:dyDescent="0.45">
      <c r="A26" s="235"/>
      <c r="B26" s="239"/>
      <c r="E26" s="222" t="s">
        <v>40</v>
      </c>
      <c r="F26" s="223">
        <f>SUM(F23:F25)</f>
        <v>60067100</v>
      </c>
      <c r="G26" s="223">
        <f>SUM(G23:G25)</f>
        <v>5510600</v>
      </c>
      <c r="H26" s="223">
        <f>SUM(H23:H25)</f>
        <v>65577700</v>
      </c>
      <c r="I26" s="223"/>
      <c r="J26" s="223"/>
      <c r="K26" s="224"/>
      <c r="L26" s="235"/>
    </row>
    <row r="27" spans="1:12" ht="15.4" x14ac:dyDescent="0.45">
      <c r="A27" s="235"/>
      <c r="B27" s="239"/>
      <c r="E27" s="222"/>
      <c r="F27" s="223"/>
      <c r="G27" s="223"/>
      <c r="H27" s="223"/>
      <c r="I27" s="223"/>
      <c r="J27" s="223"/>
      <c r="K27" s="224"/>
      <c r="L27" s="235"/>
    </row>
    <row r="28" spans="1:12" ht="15.4" x14ac:dyDescent="0.45">
      <c r="A28" s="235"/>
      <c r="B28" s="239"/>
      <c r="E28" s="222"/>
      <c r="F28" s="223"/>
      <c r="G28" s="223"/>
      <c r="H28" s="223"/>
      <c r="I28" s="223"/>
      <c r="J28" s="223"/>
      <c r="K28" s="224"/>
      <c r="L28" s="235"/>
    </row>
    <row r="29" spans="1:12" ht="15.75" x14ac:dyDescent="0.5">
      <c r="A29" s="235"/>
      <c r="B29" s="239"/>
      <c r="E29" s="252" t="s">
        <v>211</v>
      </c>
      <c r="F29" s="253"/>
      <c r="G29" s="253"/>
      <c r="H29" s="223"/>
      <c r="I29" s="223"/>
      <c r="J29" s="223"/>
      <c r="K29" s="224"/>
      <c r="L29" s="235"/>
    </row>
    <row r="30" spans="1:12" ht="15.4" x14ac:dyDescent="0.45">
      <c r="A30" s="235"/>
      <c r="B30" s="239"/>
      <c r="E30" s="225" t="s">
        <v>212</v>
      </c>
      <c r="F30" s="225" t="s">
        <v>4</v>
      </c>
      <c r="G30" s="225" t="s">
        <v>213</v>
      </c>
      <c r="H30" s="225" t="s">
        <v>213</v>
      </c>
      <c r="I30" s="223"/>
      <c r="J30" s="223"/>
      <c r="K30" s="224"/>
      <c r="L30" s="235"/>
    </row>
    <row r="31" spans="1:12" ht="17.649999999999999" x14ac:dyDescent="0.75">
      <c r="A31" s="235"/>
      <c r="B31" s="239"/>
      <c r="E31" s="226" t="s">
        <v>124</v>
      </c>
      <c r="F31" s="226" t="s">
        <v>204</v>
      </c>
      <c r="G31" s="226" t="s">
        <v>232</v>
      </c>
      <c r="H31" s="226" t="s">
        <v>214</v>
      </c>
      <c r="I31" s="223"/>
      <c r="J31" s="223"/>
      <c r="K31" s="224"/>
      <c r="L31" s="235"/>
    </row>
    <row r="32" spans="1:12" ht="15.4" x14ac:dyDescent="0.45">
      <c r="A32" s="235"/>
      <c r="B32" s="239"/>
      <c r="E32" s="227" t="s">
        <v>206</v>
      </c>
      <c r="F32" s="228">
        <v>1</v>
      </c>
      <c r="G32" s="223">
        <f>Usage!B23</f>
        <v>14127</v>
      </c>
      <c r="H32" s="223">
        <f t="shared" ref="H32:H37" si="2">G32*F32</f>
        <v>14127</v>
      </c>
      <c r="I32" s="223"/>
      <c r="J32" s="223"/>
      <c r="K32" s="224"/>
      <c r="L32" s="235"/>
    </row>
    <row r="33" spans="1:13" ht="15.4" x14ac:dyDescent="0.45">
      <c r="A33" s="235"/>
      <c r="B33" s="239"/>
      <c r="E33" s="229" t="s">
        <v>207</v>
      </c>
      <c r="F33" s="482">
        <v>1</v>
      </c>
      <c r="G33" s="223">
        <f>Usage!D23+Usage!F23</f>
        <v>226</v>
      </c>
      <c r="H33" s="223">
        <f t="shared" si="2"/>
        <v>226</v>
      </c>
      <c r="I33" s="223"/>
      <c r="J33" s="223"/>
      <c r="K33" s="224"/>
      <c r="L33" s="477" t="s">
        <v>410</v>
      </c>
      <c r="M33" s="478"/>
    </row>
    <row r="34" spans="1:13" ht="15.4" x14ac:dyDescent="0.45">
      <c r="A34" s="235"/>
      <c r="B34" s="239"/>
      <c r="E34" s="229" t="s">
        <v>208</v>
      </c>
      <c r="F34" s="228">
        <v>1.8</v>
      </c>
      <c r="G34" s="223">
        <v>0</v>
      </c>
      <c r="H34" s="223">
        <f t="shared" si="2"/>
        <v>0</v>
      </c>
      <c r="I34" s="223"/>
      <c r="J34" s="223"/>
      <c r="K34" s="224"/>
      <c r="L34" s="235"/>
    </row>
    <row r="35" spans="1:13" ht="15.4" x14ac:dyDescent="0.45">
      <c r="A35" s="235"/>
      <c r="B35" s="239"/>
      <c r="E35" s="229" t="s">
        <v>209</v>
      </c>
      <c r="F35" s="228">
        <v>2.9</v>
      </c>
      <c r="G35" s="223">
        <v>0</v>
      </c>
      <c r="H35" s="223">
        <f t="shared" si="2"/>
        <v>0</v>
      </c>
      <c r="I35" s="223"/>
      <c r="J35" s="223"/>
      <c r="K35" s="224"/>
      <c r="L35" s="235"/>
    </row>
    <row r="36" spans="1:13" ht="15.4" x14ac:dyDescent="0.45">
      <c r="A36" s="235"/>
      <c r="B36" s="239"/>
      <c r="E36" s="229" t="s">
        <v>210</v>
      </c>
      <c r="F36" s="228">
        <v>11</v>
      </c>
      <c r="G36" s="223">
        <v>0</v>
      </c>
      <c r="H36" s="223">
        <f t="shared" si="2"/>
        <v>0</v>
      </c>
      <c r="I36" s="223"/>
      <c r="J36" s="223"/>
      <c r="K36" s="224"/>
      <c r="L36" s="235"/>
    </row>
    <row r="37" spans="1:13" ht="17.649999999999999" x14ac:dyDescent="0.75">
      <c r="A37" s="235"/>
      <c r="B37" s="239"/>
      <c r="E37" s="227" t="s">
        <v>291</v>
      </c>
      <c r="F37" s="228">
        <v>14</v>
      </c>
      <c r="G37" s="230">
        <f>Usage!H23</f>
        <v>12</v>
      </c>
      <c r="H37" s="230">
        <f t="shared" si="2"/>
        <v>168</v>
      </c>
      <c r="I37" s="223"/>
      <c r="J37" s="223"/>
      <c r="K37" s="224"/>
      <c r="L37" s="235"/>
    </row>
    <row r="38" spans="1:13" ht="15.4" x14ac:dyDescent="0.45">
      <c r="A38" s="235"/>
      <c r="B38" s="239"/>
      <c r="E38" s="222" t="s">
        <v>40</v>
      </c>
      <c r="F38" s="223"/>
      <c r="G38" s="223">
        <f>SUM(G32:G37)</f>
        <v>14365</v>
      </c>
      <c r="H38" s="223">
        <f>SUM(H32:H37)</f>
        <v>14521</v>
      </c>
      <c r="I38" s="223"/>
      <c r="J38" s="223"/>
      <c r="K38" s="224"/>
      <c r="L38" s="235"/>
    </row>
    <row r="39" spans="1:13" ht="15.4" x14ac:dyDescent="0.45">
      <c r="A39" s="235"/>
      <c r="B39" s="255"/>
      <c r="C39" s="253"/>
      <c r="D39" s="253"/>
      <c r="E39" s="253"/>
      <c r="F39" s="253"/>
      <c r="G39" s="253"/>
      <c r="H39" s="253"/>
      <c r="I39" s="253"/>
      <c r="J39" s="253"/>
      <c r="K39" s="256"/>
      <c r="L39" s="235"/>
    </row>
    <row r="40" spans="1:13" ht="15.4" x14ac:dyDescent="0.45">
      <c r="A40" s="235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</row>
  </sheetData>
  <mergeCells count="4">
    <mergeCell ref="C3:J3"/>
    <mergeCell ref="C4:J4"/>
    <mergeCell ref="C5:J5"/>
    <mergeCell ref="H9:J9"/>
  </mergeCells>
  <printOptions horizontalCentered="1"/>
  <pageMargins left="0.7" right="0.45" top="1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SAO</vt:lpstr>
      <vt:lpstr>Adjustments</vt:lpstr>
      <vt:lpstr>Depreciation</vt:lpstr>
      <vt:lpstr>Debt Service</vt:lpstr>
      <vt:lpstr>Allocate Plant</vt:lpstr>
      <vt:lpstr>Matrix</vt:lpstr>
      <vt:lpstr>Allocate OM</vt:lpstr>
      <vt:lpstr>Summary of Allocations</vt:lpstr>
      <vt:lpstr>Units</vt:lpstr>
      <vt:lpstr>CalcRet</vt:lpstr>
      <vt:lpstr>Rates</vt:lpstr>
      <vt:lpstr>Customer Notice</vt:lpstr>
      <vt:lpstr>Bills</vt:lpstr>
      <vt:lpstr>Bills with Surcharge</vt:lpstr>
      <vt:lpstr>Usage</vt:lpstr>
      <vt:lpstr>ExBA</vt:lpstr>
      <vt:lpstr>PropBA</vt:lpstr>
      <vt:lpstr>'Allocate OM'!Print_Area</vt:lpstr>
      <vt:lpstr>'Allocate Plant'!Print_Area</vt:lpstr>
      <vt:lpstr>Bills!Print_Area</vt:lpstr>
      <vt:lpstr>'Bills with Surcharge'!Print_Area</vt:lpstr>
      <vt:lpstr>CalcRet!Print_Area</vt:lpstr>
      <vt:lpstr>'Customer Notice'!Print_Area</vt:lpstr>
      <vt:lpstr>'Debt Service'!Print_Area</vt:lpstr>
      <vt:lpstr>Depreciation!Print_Area</vt:lpstr>
      <vt:lpstr>ExBA!Print_Area</vt:lpstr>
      <vt:lpstr>Matrix!Print_Area</vt:lpstr>
      <vt:lpstr>PropBA!Print_Area</vt:lpstr>
      <vt:lpstr>Rates!Print_Area</vt:lpstr>
      <vt:lpstr>SAO!Print_Area</vt:lpstr>
      <vt:lpstr>'Summary of Allocations'!Print_Area</vt:lpstr>
      <vt:lpstr>Units!Print_Area</vt:lpstr>
      <vt:lpstr>Usage!Print_Area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Robert Miller</cp:lastModifiedBy>
  <cp:lastPrinted>2023-11-28T21:32:53Z</cp:lastPrinted>
  <dcterms:created xsi:type="dcterms:W3CDTF">2016-05-18T14:12:06Z</dcterms:created>
  <dcterms:modified xsi:type="dcterms:W3CDTF">2023-11-28T21:32:59Z</dcterms:modified>
</cp:coreProperties>
</file>