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Muhlenberg County WD ^N3/"/>
    </mc:Choice>
  </mc:AlternateContent>
  <xr:revisionPtr revIDLastSave="18" documentId="8_{F678A0C9-F38C-4C04-A8CD-9103598A8D8E}" xr6:coauthVersionLast="47" xr6:coauthVersionMax="47" xr10:uidLastSave="{5AD32B50-0CF9-40B5-9468-D9F9FE130447}"/>
  <bookViews>
    <workbookView xWindow="-98" yWindow="-98" windowWidth="20715" windowHeight="13155" xr2:uid="{F765FA49-964A-4F34-AB33-4C5CF4FBE6A8}"/>
  </bookViews>
  <sheets>
    <sheet name="SAO" sheetId="3" r:id="rId1"/>
    <sheet name="Wages" sheetId="29" r:id="rId2"/>
    <sheet name="Medical" sheetId="30" r:id="rId3"/>
    <sheet name="Water Loss" sheetId="31" r:id="rId4"/>
    <sheet name="ExBA" sheetId="10" r:id="rId5"/>
    <sheet name="Rates" sheetId="2" r:id="rId6"/>
    <sheet name="Bills" sheetId="21" r:id="rId7"/>
    <sheet name="PropBA" sheetId="15" r:id="rId8"/>
    <sheet name="Notice" sheetId="28" r:id="rId9"/>
    <sheet name="App A" sheetId="22" r:id="rId10"/>
    <sheet name="Sheet1" sheetId="32" r:id="rId11"/>
  </sheets>
  <definedNames>
    <definedName name="_xlnm.Print_Area" localSheetId="9">'App A'!$B$6:$M$38</definedName>
    <definedName name="_xlnm.Print_Area" localSheetId="6">Bills!$B$2:$H$56</definedName>
    <definedName name="_xlnm.Print_Area" localSheetId="4">ExBA!$A$1:$K$54</definedName>
    <definedName name="_xlnm.Print_Area" localSheetId="7">PropBA!$A$1:$K$67</definedName>
    <definedName name="_xlnm.Print_Area" localSheetId="5">Rates!$A$1:$P$29</definedName>
    <definedName name="_xlnm.Print_Area" localSheetId="0">SAO!$A$1:$H$50</definedName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2" l="1"/>
  <c r="L21" i="2"/>
  <c r="E66" i="15"/>
  <c r="E65" i="15"/>
  <c r="E49" i="15"/>
  <c r="E50" i="15"/>
  <c r="E51" i="15"/>
  <c r="E52" i="15"/>
  <c r="E53" i="15"/>
  <c r="D44" i="21"/>
  <c r="D46" i="21" s="1"/>
  <c r="H20" i="3"/>
  <c r="G10" i="15"/>
  <c r="D60" i="15"/>
  <c r="D59" i="15"/>
  <c r="C60" i="15"/>
  <c r="C59" i="15"/>
  <c r="D52" i="15"/>
  <c r="D43" i="15"/>
  <c r="D44" i="15"/>
  <c r="C44" i="15"/>
  <c r="H44" i="15" s="1"/>
  <c r="C43" i="15"/>
  <c r="A56" i="15"/>
  <c r="A37" i="15"/>
  <c r="E58" i="15"/>
  <c r="E60" i="15" s="1"/>
  <c r="F58" i="15"/>
  <c r="E59" i="15"/>
  <c r="C61" i="15"/>
  <c r="C65" i="15" s="1"/>
  <c r="C67" i="15" s="1"/>
  <c r="D61" i="15"/>
  <c r="B65" i="15"/>
  <c r="B66" i="15"/>
  <c r="A18" i="15"/>
  <c r="C8" i="10"/>
  <c r="C8" i="15" s="1"/>
  <c r="C7" i="15"/>
  <c r="C6" i="15"/>
  <c r="D36" i="31"/>
  <c r="C3" i="29"/>
  <c r="C4" i="29"/>
  <c r="G4" i="29" s="1"/>
  <c r="C5" i="29"/>
  <c r="C6" i="29"/>
  <c r="G6" i="29" s="1"/>
  <c r="C7" i="29"/>
  <c r="G7" i="29" s="1"/>
  <c r="C8" i="29"/>
  <c r="G8" i="29" s="1"/>
  <c r="C2" i="29"/>
  <c r="G2" i="29" s="1"/>
  <c r="D6" i="29"/>
  <c r="D5" i="29"/>
  <c r="D4" i="29"/>
  <c r="D3" i="29"/>
  <c r="D2" i="29"/>
  <c r="D7" i="29"/>
  <c r="F20" i="3"/>
  <c r="D47" i="21" l="1"/>
  <c r="D45" i="21"/>
  <c r="G59" i="15"/>
  <c r="E61" i="15"/>
  <c r="D65" i="15" s="1"/>
  <c r="F60" i="15"/>
  <c r="F61" i="15" s="1"/>
  <c r="D66" i="15" s="1"/>
  <c r="E3" i="29"/>
  <c r="E5" i="29"/>
  <c r="G3" i="29"/>
  <c r="E2" i="29"/>
  <c r="E8" i="29"/>
  <c r="E6" i="29"/>
  <c r="G5" i="29"/>
  <c r="E7" i="29"/>
  <c r="E4" i="29"/>
  <c r="I20" i="2"/>
  <c r="I12" i="2"/>
  <c r="F9" i="3"/>
  <c r="G12" i="10"/>
  <c r="F7" i="3" s="1"/>
  <c r="G8" i="10"/>
  <c r="F8" i="10"/>
  <c r="F9" i="10"/>
  <c r="E8" i="10"/>
  <c r="G44" i="10"/>
  <c r="G43" i="10"/>
  <c r="F42" i="10"/>
  <c r="F44" i="10"/>
  <c r="F43" i="10"/>
  <c r="E44" i="10"/>
  <c r="E43" i="10"/>
  <c r="E42" i="10"/>
  <c r="E41" i="10"/>
  <c r="D60" i="10"/>
  <c r="E60" i="10"/>
  <c r="B66" i="10"/>
  <c r="B65" i="10"/>
  <c r="C61" i="10"/>
  <c r="C65" i="10" s="1"/>
  <c r="D61" i="10"/>
  <c r="E59" i="10"/>
  <c r="G59" i="10" s="1"/>
  <c r="F58" i="10"/>
  <c r="E58" i="10"/>
  <c r="D44" i="10"/>
  <c r="D43" i="10"/>
  <c r="D42" i="10"/>
  <c r="D41" i="10"/>
  <c r="C7" i="10"/>
  <c r="B53" i="10"/>
  <c r="B51" i="10"/>
  <c r="B50" i="10"/>
  <c r="B49" i="10"/>
  <c r="C45" i="10"/>
  <c r="C49" i="10" s="1"/>
  <c r="E40" i="10"/>
  <c r="J40" i="10" s="1"/>
  <c r="I39" i="10"/>
  <c r="H39" i="10"/>
  <c r="H44" i="10" s="1"/>
  <c r="G39" i="10"/>
  <c r="F39" i="10"/>
  <c r="E39" i="10"/>
  <c r="C6" i="10"/>
  <c r="D25" i="10"/>
  <c r="D24" i="10"/>
  <c r="D23" i="10"/>
  <c r="D22" i="10"/>
  <c r="D26" i="31"/>
  <c r="H31" i="3"/>
  <c r="H33" i="3"/>
  <c r="D29" i="3"/>
  <c r="D26" i="3"/>
  <c r="H12" i="3"/>
  <c r="D49" i="21" l="1"/>
  <c r="D48" i="21"/>
  <c r="D67" i="15"/>
  <c r="G60" i="15"/>
  <c r="G61" i="15" s="1"/>
  <c r="C67" i="10"/>
  <c r="F65" i="10"/>
  <c r="F49" i="10"/>
  <c r="C54" i="10"/>
  <c r="E7" i="10" s="1"/>
  <c r="D45" i="10"/>
  <c r="D51" i="21" l="1"/>
  <c r="D52" i="21" s="1"/>
  <c r="D50" i="21"/>
  <c r="D35" i="3"/>
  <c r="F9" i="30" l="1"/>
  <c r="I9" i="30" s="1"/>
  <c r="D9" i="30"/>
  <c r="E9" i="30" s="1"/>
  <c r="F6" i="30"/>
  <c r="I6" i="30" s="1"/>
  <c r="D6" i="30"/>
  <c r="E6" i="30" s="1"/>
  <c r="G6" i="30" s="1"/>
  <c r="G9" i="30" l="1"/>
  <c r="J6" i="30"/>
  <c r="J11" i="30" l="1"/>
  <c r="J9" i="30"/>
  <c r="F9" i="29" l="1"/>
  <c r="H8" i="29" l="1"/>
  <c r="H7" i="29"/>
  <c r="H6" i="29"/>
  <c r="H5" i="29"/>
  <c r="H4" i="29"/>
  <c r="H3" i="29"/>
  <c r="H2" i="29" l="1"/>
  <c r="G9" i="29"/>
  <c r="E9" i="29"/>
  <c r="D9" i="29"/>
  <c r="B31" i="31"/>
  <c r="D31" i="31" s="1"/>
  <c r="B30" i="31"/>
  <c r="D30" i="31" s="1"/>
  <c r="F23" i="3" s="1"/>
  <c r="B29" i="31"/>
  <c r="D29" i="31" s="1"/>
  <c r="F22" i="3" s="1"/>
  <c r="C20" i="31"/>
  <c r="D24" i="31" s="1"/>
  <c r="C13" i="31"/>
  <c r="C4" i="31"/>
  <c r="L37" i="22"/>
  <c r="J37" i="22"/>
  <c r="L36" i="22"/>
  <c r="J36" i="22"/>
  <c r="L29" i="28"/>
  <c r="K29" i="28"/>
  <c r="L28" i="28"/>
  <c r="K28" i="28"/>
  <c r="K21" i="28"/>
  <c r="L21" i="28" s="1"/>
  <c r="L17" i="28"/>
  <c r="K17" i="28"/>
  <c r="K16" i="28"/>
  <c r="L16" i="28" s="1"/>
  <c r="K15" i="28"/>
  <c r="L15" i="28" s="1"/>
  <c r="K20" i="28"/>
  <c r="L20" i="28" s="1"/>
  <c r="K14" i="28"/>
  <c r="L14" i="28" s="1"/>
  <c r="L10" i="28"/>
  <c r="L8" i="28"/>
  <c r="K11" i="28"/>
  <c r="L11" i="28" s="1"/>
  <c r="K10" i="28"/>
  <c r="K9" i="28"/>
  <c r="L9" i="28" s="1"/>
  <c r="K8" i="28"/>
  <c r="K7" i="28"/>
  <c r="L7" i="28" s="1"/>
  <c r="L6" i="28"/>
  <c r="K6" i="28"/>
  <c r="D31" i="21"/>
  <c r="D30" i="21"/>
  <c r="D29" i="21"/>
  <c r="D28" i="21"/>
  <c r="D27" i="21"/>
  <c r="D26" i="21"/>
  <c r="D25" i="21"/>
  <c r="D24" i="21"/>
  <c r="D23" i="21"/>
  <c r="D40" i="21"/>
  <c r="D41" i="21"/>
  <c r="D39" i="21"/>
  <c r="D38" i="21"/>
  <c r="D37" i="21"/>
  <c r="D36" i="21"/>
  <c r="D35" i="21"/>
  <c r="D34" i="21"/>
  <c r="D17" i="21"/>
  <c r="D20" i="21"/>
  <c r="D19" i="21"/>
  <c r="D18" i="21"/>
  <c r="D16" i="21"/>
  <c r="D14" i="21"/>
  <c r="D13" i="21"/>
  <c r="D42" i="15"/>
  <c r="C42" i="15"/>
  <c r="D41" i="15"/>
  <c r="C41" i="15"/>
  <c r="D40" i="15"/>
  <c r="C40" i="15"/>
  <c r="D25" i="15"/>
  <c r="D24" i="15"/>
  <c r="D23" i="15"/>
  <c r="D22" i="15"/>
  <c r="D21" i="15"/>
  <c r="E21" i="15" s="1"/>
  <c r="J21" i="15" s="1"/>
  <c r="C25" i="15"/>
  <c r="E25" i="15" s="1"/>
  <c r="C24" i="15"/>
  <c r="C23" i="15"/>
  <c r="E23" i="15" s="1"/>
  <c r="C22" i="15"/>
  <c r="C21" i="15"/>
  <c r="B53" i="15"/>
  <c r="B49" i="15"/>
  <c r="I39" i="15"/>
  <c r="G39" i="15"/>
  <c r="G43" i="15" s="1"/>
  <c r="F39" i="15"/>
  <c r="F43" i="15" s="1"/>
  <c r="E39" i="15"/>
  <c r="E43" i="15" s="1"/>
  <c r="Q34" i="15"/>
  <c r="B34" i="15"/>
  <c r="B32" i="15"/>
  <c r="B31" i="15"/>
  <c r="B30" i="15"/>
  <c r="I20" i="15"/>
  <c r="H20" i="15"/>
  <c r="G20" i="15"/>
  <c r="F20" i="15"/>
  <c r="E20" i="15"/>
  <c r="H20" i="10"/>
  <c r="H43" i="15" l="1"/>
  <c r="H45" i="15" s="1"/>
  <c r="E40" i="15"/>
  <c r="J40" i="15" s="1"/>
  <c r="D45" i="15"/>
  <c r="E41" i="15"/>
  <c r="F42" i="15"/>
  <c r="F44" i="15"/>
  <c r="F7" i="15"/>
  <c r="F8" i="15"/>
  <c r="C45" i="15"/>
  <c r="C49" i="15" s="1"/>
  <c r="C54" i="15" s="1"/>
  <c r="C26" i="15"/>
  <c r="E6" i="15" s="1"/>
  <c r="E22" i="15"/>
  <c r="G24" i="15"/>
  <c r="H25" i="15"/>
  <c r="F24" i="15"/>
  <c r="E42" i="15"/>
  <c r="C21" i="31"/>
  <c r="D32" i="31"/>
  <c r="D35" i="31" s="1"/>
  <c r="H9" i="29"/>
  <c r="F13" i="29" s="1"/>
  <c r="B32" i="31"/>
  <c r="H36" i="3"/>
  <c r="E44" i="15"/>
  <c r="I44" i="15" s="1"/>
  <c r="G44" i="15"/>
  <c r="D26" i="15"/>
  <c r="F6" i="15" s="1"/>
  <c r="F9" i="15" s="1"/>
  <c r="G42" i="15"/>
  <c r="F22" i="15"/>
  <c r="J22" i="15" s="1"/>
  <c r="G25" i="15"/>
  <c r="F41" i="15"/>
  <c r="F45" i="15" s="1"/>
  <c r="D50" i="15" s="1"/>
  <c r="E24" i="15"/>
  <c r="F25" i="15"/>
  <c r="I25" i="15" s="1"/>
  <c r="F23" i="15"/>
  <c r="G23" i="15" s="1"/>
  <c r="H25" i="10"/>
  <c r="D15" i="21"/>
  <c r="H27" i="3"/>
  <c r="H32" i="3"/>
  <c r="D38" i="3"/>
  <c r="F15" i="29" l="1"/>
  <c r="F17" i="29" s="1"/>
  <c r="F37" i="3" s="1"/>
  <c r="F18" i="3"/>
  <c r="J43" i="15"/>
  <c r="E45" i="15"/>
  <c r="D49" i="15" s="1"/>
  <c r="E7" i="15"/>
  <c r="J41" i="15"/>
  <c r="C30" i="15"/>
  <c r="C35" i="15" s="1"/>
  <c r="E26" i="15"/>
  <c r="D30" i="15" s="1"/>
  <c r="I45" i="15"/>
  <c r="D53" i="15" s="1"/>
  <c r="E8" i="15"/>
  <c r="E9" i="15" s="1"/>
  <c r="G45" i="15"/>
  <c r="D51" i="15" s="1"/>
  <c r="G26" i="15"/>
  <c r="D32" i="15" s="1"/>
  <c r="J42" i="15"/>
  <c r="J23" i="15"/>
  <c r="I26" i="15"/>
  <c r="D34" i="15" s="1"/>
  <c r="H24" i="15"/>
  <c r="H26" i="15" s="1"/>
  <c r="D33" i="15" s="1"/>
  <c r="F26" i="15"/>
  <c r="D31" i="15" s="1"/>
  <c r="F35" i="3" l="1"/>
  <c r="H18" i="3"/>
  <c r="J44" i="15"/>
  <c r="J45" i="15" s="1"/>
  <c r="H37" i="3"/>
  <c r="D54" i="15"/>
  <c r="J24" i="15"/>
  <c r="J25" i="15"/>
  <c r="J26" i="15" s="1"/>
  <c r="D35" i="15"/>
  <c r="F38" i="3" l="1"/>
  <c r="H13" i="3" l="1"/>
  <c r="D14" i="3" l="1"/>
  <c r="H8" i="3" l="1"/>
  <c r="I20" i="10"/>
  <c r="Q34" i="10" l="1"/>
  <c r="E21" i="10" l="1"/>
  <c r="H9" i="3" l="1"/>
  <c r="D12" i="21" l="1"/>
  <c r="E20" i="10"/>
  <c r="F60" i="10" s="1"/>
  <c r="F20" i="10"/>
  <c r="G20" i="10"/>
  <c r="B30" i="10"/>
  <c r="B31" i="10"/>
  <c r="B32" i="10"/>
  <c r="B34" i="10"/>
  <c r="C26" i="10"/>
  <c r="E6" i="10" s="1"/>
  <c r="H19" i="3"/>
  <c r="H29" i="3"/>
  <c r="H30" i="3"/>
  <c r="H11" i="3"/>
  <c r="H28" i="3"/>
  <c r="E61" i="10" l="1"/>
  <c r="D65" i="10" s="1"/>
  <c r="F61" i="10"/>
  <c r="D66" i="10" s="1"/>
  <c r="F66" i="10" s="1"/>
  <c r="F67" i="10" s="1"/>
  <c r="G60" i="10"/>
  <c r="G61" i="10" s="1"/>
  <c r="E24" i="10"/>
  <c r="G24" i="10"/>
  <c r="F24" i="10"/>
  <c r="H45" i="3"/>
  <c r="C30" i="10"/>
  <c r="F30" i="10" s="1"/>
  <c r="F23" i="10"/>
  <c r="E22" i="10"/>
  <c r="F22" i="10" s="1"/>
  <c r="E23" i="10"/>
  <c r="E25" i="10"/>
  <c r="G25" i="10"/>
  <c r="D26" i="10"/>
  <c r="F6" i="10" s="1"/>
  <c r="H25" i="3"/>
  <c r="F25" i="10"/>
  <c r="J21" i="10"/>
  <c r="D39" i="3"/>
  <c r="H26" i="3"/>
  <c r="D67" i="10" l="1"/>
  <c r="H43" i="10"/>
  <c r="H45" i="10" s="1"/>
  <c r="D52" i="10" s="1"/>
  <c r="F52" i="10" s="1"/>
  <c r="J43" i="10"/>
  <c r="E45" i="10"/>
  <c r="D49" i="10" s="1"/>
  <c r="I44" i="10"/>
  <c r="I45" i="10" s="1"/>
  <c r="D53" i="10" s="1"/>
  <c r="F53" i="10" s="1"/>
  <c r="F41" i="10"/>
  <c r="F45" i="10" s="1"/>
  <c r="D50" i="10" s="1"/>
  <c r="F50" i="10" s="1"/>
  <c r="J41" i="10"/>
  <c r="G42" i="10"/>
  <c r="G45" i="10" s="1"/>
  <c r="D51" i="10" s="1"/>
  <c r="F51" i="10" s="1"/>
  <c r="I25" i="10"/>
  <c r="I26" i="10" s="1"/>
  <c r="D34" i="10" s="1"/>
  <c r="F34" i="10" s="1"/>
  <c r="H24" i="10"/>
  <c r="H26" i="10" s="1"/>
  <c r="D33" i="10" s="1"/>
  <c r="F33" i="10" s="1"/>
  <c r="H22" i="3"/>
  <c r="H24" i="3"/>
  <c r="H23" i="3"/>
  <c r="C35" i="10"/>
  <c r="G23" i="10"/>
  <c r="G26" i="10" s="1"/>
  <c r="D32" i="10" s="1"/>
  <c r="F32" i="10" s="1"/>
  <c r="E9" i="10"/>
  <c r="D37" i="31" s="1"/>
  <c r="F26" i="10"/>
  <c r="D31" i="10" s="1"/>
  <c r="F31" i="10" s="1"/>
  <c r="J22" i="10"/>
  <c r="E26" i="10"/>
  <c r="D30" i="10" s="1"/>
  <c r="J42" i="10" l="1"/>
  <c r="F54" i="10"/>
  <c r="G7" i="10" s="1"/>
  <c r="J44" i="10"/>
  <c r="D54" i="10"/>
  <c r="F7" i="10" s="1"/>
  <c r="H35" i="3"/>
  <c r="J24" i="10"/>
  <c r="J23" i="10"/>
  <c r="J25" i="10"/>
  <c r="F35" i="10"/>
  <c r="D35" i="10"/>
  <c r="J45" i="10" l="1"/>
  <c r="G6" i="10"/>
  <c r="J26" i="10"/>
  <c r="G9" i="10" l="1"/>
  <c r="G11" i="10" s="1"/>
  <c r="H38" i="3" l="1"/>
  <c r="H42" i="3" s="1"/>
  <c r="H44" i="3" s="1"/>
  <c r="H47" i="3" l="1"/>
  <c r="G12" i="15" s="1"/>
  <c r="H7" i="3" l="1"/>
  <c r="G13" i="10"/>
  <c r="H13" i="10"/>
  <c r="H14" i="3" l="1"/>
  <c r="H39" i="3" s="1"/>
  <c r="H48" i="3"/>
  <c r="H49" i="3" s="1"/>
  <c r="H50" i="3" s="1"/>
  <c r="F14" i="3"/>
  <c r="F39" i="3" s="1"/>
  <c r="F66" i="15" l="1"/>
  <c r="L17" i="22"/>
  <c r="L25" i="22"/>
  <c r="L15" i="22"/>
  <c r="L29" i="22"/>
  <c r="L24" i="22"/>
  <c r="L15" i="2"/>
  <c r="L16" i="2"/>
  <c r="L19" i="22"/>
  <c r="L13" i="2"/>
  <c r="E44" i="21" s="1"/>
  <c r="L14" i="2"/>
  <c r="L17" i="2"/>
  <c r="L23" i="22"/>
  <c r="L14" i="22"/>
  <c r="L16" i="22"/>
  <c r="L18" i="22"/>
  <c r="E45" i="21" l="1"/>
  <c r="F45" i="21" s="1"/>
  <c r="G45" i="21" s="1"/>
  <c r="E46" i="21"/>
  <c r="F46" i="21" s="1"/>
  <c r="G46" i="21" s="1"/>
  <c r="E47" i="21"/>
  <c r="F44" i="21"/>
  <c r="G44" i="21" s="1"/>
  <c r="F52" i="15"/>
  <c r="F51" i="15"/>
  <c r="L28" i="22"/>
  <c r="L22" i="22"/>
  <c r="E31" i="15"/>
  <c r="F31" i="15" s="1"/>
  <c r="N14" i="2"/>
  <c r="O14" i="2" s="1"/>
  <c r="E33" i="15"/>
  <c r="F33" i="15" s="1"/>
  <c r="N16" i="2"/>
  <c r="O16" i="2" s="1"/>
  <c r="N17" i="2"/>
  <c r="O17" i="2" s="1"/>
  <c r="E34" i="15"/>
  <c r="F34" i="15" s="1"/>
  <c r="E12" i="21"/>
  <c r="F12" i="21" s="1"/>
  <c r="G12" i="21" s="1"/>
  <c r="E14" i="21"/>
  <c r="F14" i="21" s="1"/>
  <c r="G14" i="21" s="1"/>
  <c r="E20" i="21"/>
  <c r="F20" i="21" s="1"/>
  <c r="G20" i="21" s="1"/>
  <c r="F65" i="15"/>
  <c r="F67" i="15" s="1"/>
  <c r="E19" i="21"/>
  <c r="F19" i="21" s="1"/>
  <c r="G19" i="21" s="1"/>
  <c r="N13" i="2"/>
  <c r="O13" i="2" s="1"/>
  <c r="E18" i="21"/>
  <c r="F18" i="21" s="1"/>
  <c r="G18" i="21" s="1"/>
  <c r="E15" i="21"/>
  <c r="F15" i="21" s="1"/>
  <c r="G15" i="21" s="1"/>
  <c r="E16" i="21"/>
  <c r="F16" i="21" s="1"/>
  <c r="G16" i="21" s="1"/>
  <c r="E17" i="21"/>
  <c r="F17" i="21" s="1"/>
  <c r="G17" i="21" s="1"/>
  <c r="E30" i="15"/>
  <c r="F30" i="15" s="1"/>
  <c r="E13" i="21"/>
  <c r="F13" i="21" s="1"/>
  <c r="G13" i="21" s="1"/>
  <c r="F53" i="15"/>
  <c r="F50" i="15"/>
  <c r="N15" i="2"/>
  <c r="O15" i="2" s="1"/>
  <c r="E32" i="15"/>
  <c r="F32" i="15" s="1"/>
  <c r="E49" i="21" l="1"/>
  <c r="E48" i="21"/>
  <c r="F48" i="21" s="1"/>
  <c r="G48" i="21" s="1"/>
  <c r="F47" i="21"/>
  <c r="G47" i="21" s="1"/>
  <c r="F35" i="15"/>
  <c r="G6" i="15" s="1"/>
  <c r="E35" i="21"/>
  <c r="F35" i="21" s="1"/>
  <c r="G35" i="21" s="1"/>
  <c r="G8" i="15"/>
  <c r="E41" i="21"/>
  <c r="F41" i="21" s="1"/>
  <c r="G41" i="21" s="1"/>
  <c r="E37" i="21"/>
  <c r="F37" i="21" s="1"/>
  <c r="G37" i="21" s="1"/>
  <c r="E40" i="21"/>
  <c r="F40" i="21" s="1"/>
  <c r="G40" i="21" s="1"/>
  <c r="E39" i="21"/>
  <c r="F39" i="21" s="1"/>
  <c r="G39" i="21" s="1"/>
  <c r="E38" i="21"/>
  <c r="F38" i="21" s="1"/>
  <c r="G38" i="21" s="1"/>
  <c r="E34" i="21"/>
  <c r="F34" i="21" s="1"/>
  <c r="G34" i="21" s="1"/>
  <c r="E36" i="21"/>
  <c r="F36" i="21" s="1"/>
  <c r="G36" i="21" s="1"/>
  <c r="E31" i="21"/>
  <c r="F31" i="21" s="1"/>
  <c r="G31" i="21" s="1"/>
  <c r="E28" i="21"/>
  <c r="F28" i="21" s="1"/>
  <c r="G28" i="21" s="1"/>
  <c r="E24" i="21"/>
  <c r="F24" i="21" s="1"/>
  <c r="G24" i="21" s="1"/>
  <c r="E27" i="21"/>
  <c r="F27" i="21" s="1"/>
  <c r="G27" i="21" s="1"/>
  <c r="F49" i="15"/>
  <c r="F54" i="15" s="1"/>
  <c r="G7" i="15" s="1"/>
  <c r="E30" i="21"/>
  <c r="F30" i="21" s="1"/>
  <c r="G30" i="21" s="1"/>
  <c r="E26" i="21"/>
  <c r="F26" i="21" s="1"/>
  <c r="G26" i="21" s="1"/>
  <c r="E29" i="21"/>
  <c r="F29" i="21" s="1"/>
  <c r="G29" i="21" s="1"/>
  <c r="E25" i="21"/>
  <c r="F25" i="21" s="1"/>
  <c r="G25" i="21" s="1"/>
  <c r="E23" i="21"/>
  <c r="F23" i="21" s="1"/>
  <c r="G23" i="21" s="1"/>
  <c r="E50" i="21" l="1"/>
  <c r="F50" i="21" s="1"/>
  <c r="G50" i="21" s="1"/>
  <c r="E51" i="21"/>
  <c r="F49" i="21"/>
  <c r="G49" i="21" s="1"/>
  <c r="F69" i="15"/>
  <c r="G9" i="15"/>
  <c r="G11" i="15" s="1"/>
  <c r="G13" i="15" s="1"/>
  <c r="H13" i="15" s="1"/>
  <c r="E52" i="21" l="1"/>
  <c r="F52" i="21" s="1"/>
  <c r="G52" i="21" s="1"/>
  <c r="F51" i="21"/>
  <c r="G51" i="21" s="1"/>
</calcChain>
</file>

<file path=xl/sharedStrings.xml><?xml version="1.0" encoding="utf-8"?>
<sst xmlns="http://schemas.openxmlformats.org/spreadsheetml/2006/main" count="556" uniqueCount="202">
  <si>
    <t>SCHEDULE OF ADJUSTED OPERATIONS</t>
  </si>
  <si>
    <t>Muhlenberg County Water District #3</t>
  </si>
  <si>
    <t>Test Year Ended December 31, 2022</t>
  </si>
  <si>
    <t>Test Year</t>
  </si>
  <si>
    <t>Adjustments</t>
  </si>
  <si>
    <t>Ref.</t>
  </si>
  <si>
    <t>Pro Forma</t>
  </si>
  <si>
    <t>Operating Revenues</t>
  </si>
  <si>
    <t>Metered Sales to Retail Customers</t>
  </si>
  <si>
    <t>(A)</t>
  </si>
  <si>
    <t>Bulk Sales</t>
  </si>
  <si>
    <t>Sales for Resale</t>
  </si>
  <si>
    <t>Other Water Revenues:</t>
  </si>
  <si>
    <t>Forfeited Discounts</t>
  </si>
  <si>
    <t>Misc. Service Revenue</t>
  </si>
  <si>
    <t>Other Water Revenue</t>
  </si>
  <si>
    <t>Total Operating Revenues</t>
  </si>
  <si>
    <t>Operating Expenses</t>
  </si>
  <si>
    <t>Operation and Maintenance</t>
  </si>
  <si>
    <t>Salaries and Wages - Employees</t>
  </si>
  <si>
    <t>(B)</t>
  </si>
  <si>
    <t>Salaries and Wages - Officers</t>
  </si>
  <si>
    <t>Employee Pensions and Benefits</t>
  </si>
  <si>
    <t>(C)</t>
  </si>
  <si>
    <t>Purchased Water</t>
  </si>
  <si>
    <t>(D)</t>
  </si>
  <si>
    <t>Purchased Power</t>
  </si>
  <si>
    <t>Chemicals</t>
  </si>
  <si>
    <t>Materials and Supplies</t>
  </si>
  <si>
    <t>Contractual Services</t>
  </si>
  <si>
    <t>Rental of Building/Real Property</t>
  </si>
  <si>
    <t>Transportation Expenses</t>
  </si>
  <si>
    <t>Insurance - General Liability &amp; Other</t>
  </si>
  <si>
    <t>Insurance - Workers Comp</t>
  </si>
  <si>
    <t>Advertising Expenses</t>
  </si>
  <si>
    <t>Bad Debt</t>
  </si>
  <si>
    <t>Miscellaneous Expenses</t>
  </si>
  <si>
    <t>Total Operation and Mnt. Expenses</t>
  </si>
  <si>
    <t>Depreciation Expense</t>
  </si>
  <si>
    <t>Taxes Other Than Income</t>
  </si>
  <si>
    <t>Total Operating Expenses</t>
  </si>
  <si>
    <t>Net Utility Operating Income</t>
  </si>
  <si>
    <t>REVENUE REQUIREMENTS</t>
  </si>
  <si>
    <t>Pro Forma Operating Expenses</t>
  </si>
  <si>
    <t xml:space="preserve">   Divide by: 88 percent Operating Ratio</t>
  </si>
  <si>
    <t>Total Revenue Requirement</t>
  </si>
  <si>
    <t xml:space="preserve">   Less:</t>
  </si>
  <si>
    <t>Other Operating Revenue</t>
  </si>
  <si>
    <t>Interest Income</t>
  </si>
  <si>
    <t>Revenue Required From Water Sales</t>
  </si>
  <si>
    <t>Revenue from Sales at Present Rates</t>
  </si>
  <si>
    <t>Required Revenue Increase</t>
  </si>
  <si>
    <t>Percent Increase</t>
  </si>
  <si>
    <t>Employee ID</t>
  </si>
  <si>
    <t>Hourly Rate</t>
  </si>
  <si>
    <t>Regular Hours</t>
  </si>
  <si>
    <t>Regular Pay</t>
  </si>
  <si>
    <t>Overtime Hours</t>
  </si>
  <si>
    <t>Overtime Pay</t>
  </si>
  <si>
    <t>Total        Pay</t>
  </si>
  <si>
    <t>1</t>
  </si>
  <si>
    <t>2</t>
  </si>
  <si>
    <t>3</t>
  </si>
  <si>
    <t>4</t>
  </si>
  <si>
    <t>6</t>
  </si>
  <si>
    <t>8</t>
  </si>
  <si>
    <t>Total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</si>
  <si>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</si>
  <si>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</si>
  <si>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</si>
  <si>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</si>
  <si>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</si>
  <si>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Medical Insurance Adjustment</t>
  </si>
  <si>
    <t xml:space="preserve"> MONTHLY </t>
  </si>
  <si>
    <t xml:space="preserve"> Total </t>
  </si>
  <si>
    <t xml:space="preserve"> Utility Share </t>
  </si>
  <si>
    <t xml:space="preserve"> Allowable </t>
  </si>
  <si>
    <t>Unallowable</t>
  </si>
  <si>
    <t xml:space="preserve"> ANTHEM </t>
  </si>
  <si>
    <t xml:space="preserve"> EMPLOYEE </t>
  </si>
  <si>
    <t>EMPLOYEE</t>
  </si>
  <si>
    <t>UTILITY</t>
  </si>
  <si>
    <t xml:space="preserve"> Annual </t>
  </si>
  <si>
    <t xml:space="preserve"> Employer </t>
  </si>
  <si>
    <t>Employer</t>
  </si>
  <si>
    <t>MEDICAL</t>
  </si>
  <si>
    <t xml:space="preserve"> PREMIUM </t>
  </si>
  <si>
    <t xml:space="preserve"> CONTRIB </t>
  </si>
  <si>
    <t>CONTRIB %</t>
  </si>
  <si>
    <t xml:space="preserve"> Premium </t>
  </si>
  <si>
    <t xml:space="preserve"> Share </t>
  </si>
  <si>
    <t>Premium</t>
  </si>
  <si>
    <t>Employee Only</t>
  </si>
  <si>
    <t>DENTAL</t>
  </si>
  <si>
    <t>Total Unallowable Medical and Dental Premium</t>
  </si>
  <si>
    <t>Water Loss Adjustment</t>
  </si>
  <si>
    <t>Produced</t>
  </si>
  <si>
    <t>Purchased</t>
  </si>
  <si>
    <t>Total Produced and Purchased</t>
  </si>
  <si>
    <t>Sold</t>
  </si>
  <si>
    <t>Uses:</t>
  </si>
  <si>
    <t xml:space="preserve">   WTP</t>
  </si>
  <si>
    <t xml:space="preserve">   Flushing</t>
  </si>
  <si>
    <t xml:space="preserve">   Fire</t>
  </si>
  <si>
    <t xml:space="preserve">   Other</t>
  </si>
  <si>
    <t>Total Other Water Used</t>
  </si>
  <si>
    <t>Losses:</t>
  </si>
  <si>
    <t xml:space="preserve">   Tank Overflows</t>
  </si>
  <si>
    <t xml:space="preserve">   Line Breaks</t>
  </si>
  <si>
    <t xml:space="preserve">   Line Leaks</t>
  </si>
  <si>
    <t xml:space="preserve">   Unknown</t>
  </si>
  <si>
    <t>Total Losses:</t>
  </si>
  <si>
    <t>Sold, Used, and Lost</t>
  </si>
  <si>
    <t xml:space="preserve">  water loss percentage</t>
  </si>
  <si>
    <t xml:space="preserve">  allowable in rates</t>
  </si>
  <si>
    <t xml:space="preserve">  adjustment percentage</t>
  </si>
  <si>
    <t>Costs Subject to Water Loss Adjustment</t>
  </si>
  <si>
    <t>Adjustment</t>
  </si>
  <si>
    <t>Computation of Water Loss Surcharge</t>
  </si>
  <si>
    <t>Total Adjustment</t>
  </si>
  <si>
    <t>/ Number of Bills</t>
  </si>
  <si>
    <t>Monthly Surcharge Amount</t>
  </si>
  <si>
    <t>CURRENT BILLING ANALYSIS - CURRENT USAGE &amp; EXISTING RATES</t>
  </si>
  <si>
    <t xml:space="preserve">  SUMMARY  </t>
  </si>
  <si>
    <t>No. of Bills</t>
  </si>
  <si>
    <t>Gallons Sold</t>
  </si>
  <si>
    <t>Revenue</t>
  </si>
  <si>
    <t>Totals</t>
  </si>
  <si>
    <t>Less Billing Adjustments</t>
  </si>
  <si>
    <t>Net Total</t>
  </si>
  <si>
    <t>Less PSC Annual Report</t>
  </si>
  <si>
    <t>SAO Adjustment</t>
  </si>
  <si>
    <t>RESIDENTIAL METERS</t>
  </si>
  <si>
    <t>FIRST</t>
  </si>
  <si>
    <t>NEXT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</si>
  <si>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</si>
  <si>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</si>
  <si>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</si>
  <si>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</si>
  <si>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</si>
  <si>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</si>
  <si>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</si>
  <si>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</si>
  <si>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COMMERCIAL METERS</t>
  </si>
  <si>
    <t>WHOLESALE</t>
  </si>
  <si>
    <t>TABLE C</t>
  </si>
  <si>
    <t>CURRENT AND PROPOSED MONTHLY RATES</t>
  </si>
  <si>
    <t>CURRENT RATE SCHEDULE</t>
  </si>
  <si>
    <t>PROPOSED RATE SCHEDULE</t>
  </si>
  <si>
    <t>DIFFERENCE</t>
  </si>
  <si>
    <t>PERCENT</t>
  </si>
  <si>
    <t>MONTHLY WATER RATES</t>
  </si>
  <si>
    <t>First</t>
  </si>
  <si>
    <t>gallons</t>
  </si>
  <si>
    <t>Minimum Bill</t>
  </si>
  <si>
    <t>Next</t>
  </si>
  <si>
    <t>per 1,000 gallons</t>
  </si>
  <si>
    <t>Over</t>
  </si>
  <si>
    <t>N/A</t>
  </si>
  <si>
    <t>WATER LOSS REDUCTION SURCHARGE</t>
  </si>
  <si>
    <t>None</t>
  </si>
  <si>
    <t>$1.10 Per Customer Per Month</t>
  </si>
  <si>
    <t>Table B</t>
  </si>
  <si>
    <t>Table E</t>
  </si>
  <si>
    <t>COMPARISION OF EXISTING AND PROPOSED BILLS</t>
  </si>
  <si>
    <t>Gallons</t>
  </si>
  <si>
    <t>Existing</t>
  </si>
  <si>
    <t>Proposed</t>
  </si>
  <si>
    <t>per Month*</t>
  </si>
  <si>
    <t>Bill</t>
  </si>
  <si>
    <t>$ Change</t>
  </si>
  <si>
    <t>% Change</t>
  </si>
  <si>
    <t>WATER BILLS 5/8" x 3/4" METERS**</t>
  </si>
  <si>
    <t>WATER BILLS 1" METERS**</t>
  </si>
  <si>
    <t>WATER BILLS 2" METERS**</t>
  </si>
  <si>
    <t>WATER BILLS</t>
  </si>
  <si>
    <t>* Highlighted usage represents the average residential bill.</t>
  </si>
  <si>
    <t>PROPOSED BILLING ANALYSIS - CURRENT USAGE &amp; PROPOSED RATES</t>
  </si>
  <si>
    <t>Less Revenue Requirement</t>
  </si>
  <si>
    <t>Difference</t>
  </si>
  <si>
    <t>Dollar</t>
  </si>
  <si>
    <t>Percent</t>
  </si>
  <si>
    <t>5/8" x 3/4" Meters</t>
  </si>
  <si>
    <t>Current Charge</t>
  </si>
  <si>
    <t>Proposed Charge</t>
  </si>
  <si>
    <t>Increase</t>
  </si>
  <si>
    <t>1" Meters</t>
  </si>
  <si>
    <t>2" Meters</t>
  </si>
  <si>
    <t>MONTHLY SEWER RATES</t>
  </si>
  <si>
    <t>All Customers</t>
  </si>
  <si>
    <t>per gallon</t>
  </si>
  <si>
    <t>APPENDIX A</t>
  </si>
  <si>
    <t>Jessamine-South Elkhorn Water District</t>
  </si>
  <si>
    <t>WATER DIVISION</t>
  </si>
  <si>
    <t>SEWER DIVISION</t>
  </si>
  <si>
    <t>Reference</t>
  </si>
  <si>
    <t>Tab ExBA Cell G11- Tab ExBA Cell G8 + Tab ExBA Cell G12</t>
  </si>
  <si>
    <t>Tab ExBA Cell G8 - Tab SAO Cell D9</t>
  </si>
  <si>
    <t>Tab Wages Cell F13 - Tab SAO Cell D18</t>
  </si>
  <si>
    <t>Tab Medical Cell J11</t>
  </si>
  <si>
    <t>Tab Water Loss Cell D29</t>
  </si>
  <si>
    <t>Tab Water Loss Cell D30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</si>
</sst>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.00000_);_(* \(#,##0.00000\);_(* &quot;-&quot;??_);_(@_)"/>
  </numFmts>
  <fonts count="22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1" applyNumberFormat="1" applyFont="1"/>
    <xf numFmtId="44" fontId="4" fillId="0" borderId="0" xfId="2" applyFont="1" applyBorder="1"/>
    <xf numFmtId="164" fontId="4" fillId="0" borderId="0" xfId="2" applyNumberFormat="1" applyFont="1" applyBorder="1"/>
    <xf numFmtId="165" fontId="4" fillId="0" borderId="0" xfId="1" applyNumberFormat="1" applyFont="1" applyBorder="1"/>
    <xf numFmtId="44" fontId="4" fillId="0" borderId="2" xfId="2" applyFont="1" applyBorder="1"/>
    <xf numFmtId="0" fontId="4" fillId="0" borderId="0" xfId="0" applyFont="1" applyAlignment="1">
      <alignment horizontal="centerContinuous"/>
    </xf>
    <xf numFmtId="164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5" fontId="4" fillId="0" borderId="0" xfId="5" applyNumberFormat="1" applyFont="1"/>
    <xf numFmtId="37" fontId="4" fillId="0" borderId="1" xfId="0" applyNumberFormat="1" applyFont="1" applyBorder="1"/>
    <xf numFmtId="165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3" fontId="8" fillId="0" borderId="0" xfId="0" applyNumberFormat="1" applyFont="1" applyAlignment="1">
      <alignment horizontal="centerContinuous" vertical="center"/>
    </xf>
    <xf numFmtId="3" fontId="9" fillId="0" borderId="0" xfId="0" applyNumberFormat="1" applyFont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/>
    <xf numFmtId="0" fontId="9" fillId="0" borderId="0" xfId="0" applyFont="1"/>
    <xf numFmtId="3" fontId="1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5" fontId="4" fillId="0" borderId="0" xfId="1" applyNumberFormat="1" applyFont="1" applyAlignment="1"/>
    <xf numFmtId="166" fontId="4" fillId="0" borderId="0" xfId="0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165" fontId="4" fillId="0" borderId="0" xfId="0" applyNumberFormat="1" applyFont="1"/>
    <xf numFmtId="0" fontId="4" fillId="0" borderId="2" xfId="0" applyFont="1" applyBorder="1"/>
    <xf numFmtId="0" fontId="4" fillId="0" borderId="7" xfId="0" applyFont="1" applyBorder="1"/>
    <xf numFmtId="3" fontId="4" fillId="0" borderId="1" xfId="0" applyNumberFormat="1" applyFont="1" applyBorder="1"/>
    <xf numFmtId="10" fontId="4" fillId="0" borderId="0" xfId="3" applyNumberFormat="1" applyFont="1" applyAlignment="1">
      <alignment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/>
    </xf>
    <xf numFmtId="43" fontId="4" fillId="0" borderId="0" xfId="0" applyNumberFormat="1" applyFont="1"/>
    <xf numFmtId="164" fontId="4" fillId="0" borderId="0" xfId="2" applyNumberFormat="1" applyFont="1"/>
    <xf numFmtId="165" fontId="14" fillId="0" borderId="0" xfId="1" applyNumberFormat="1" applyFont="1" applyAlignment="1">
      <alignment vertical="center"/>
    </xf>
    <xf numFmtId="0" fontId="8" fillId="0" borderId="0" xfId="0" applyFont="1" applyAlignment="1">
      <alignment horizontal="centerContinuous"/>
    </xf>
    <xf numFmtId="164" fontId="4" fillId="0" borderId="0" xfId="0" applyNumberFormat="1" applyFont="1"/>
    <xf numFmtId="165" fontId="4" fillId="0" borderId="0" xfId="5" applyNumberFormat="1" applyFont="1" applyFill="1"/>
    <xf numFmtId="165" fontId="4" fillId="0" borderId="1" xfId="5" applyNumberFormat="1" applyFont="1" applyFill="1" applyBorder="1"/>
    <xf numFmtId="165" fontId="4" fillId="0" borderId="0" xfId="5" applyNumberFormat="1" applyFont="1" applyBorder="1"/>
    <xf numFmtId="0" fontId="5" fillId="0" borderId="0" xfId="0" applyFont="1" applyAlignment="1">
      <alignment horizontal="right"/>
    </xf>
    <xf numFmtId="165" fontId="15" fillId="0" borderId="0" xfId="1" applyNumberFormat="1" applyFont="1" applyAlignment="1">
      <alignment vertical="center"/>
    </xf>
    <xf numFmtId="0" fontId="4" fillId="0" borderId="0" xfId="0" quotePrefix="1" applyFont="1" applyAlignment="1">
      <alignment horizontal="center"/>
    </xf>
    <xf numFmtId="165" fontId="4" fillId="0" borderId="1" xfId="1" applyNumberFormat="1" applyFont="1" applyBorder="1"/>
    <xf numFmtId="165" fontId="4" fillId="0" borderId="3" xfId="5" applyNumberFormat="1" applyFont="1" applyBorder="1"/>
    <xf numFmtId="165" fontId="4" fillId="0" borderId="4" xfId="5" applyNumberFormat="1" applyFont="1" applyBorder="1"/>
    <xf numFmtId="165" fontId="4" fillId="0" borderId="5" xfId="5" applyNumberFormat="1" applyFont="1" applyBorder="1"/>
    <xf numFmtId="165" fontId="4" fillId="0" borderId="2" xfId="5" applyNumberFormat="1" applyFont="1" applyBorder="1"/>
    <xf numFmtId="165" fontId="4" fillId="0" borderId="7" xfId="5" applyNumberFormat="1" applyFont="1" applyBorder="1"/>
    <xf numFmtId="165" fontId="4" fillId="0" borderId="8" xfId="5" applyNumberFormat="1" applyFont="1" applyBorder="1"/>
    <xf numFmtId="165" fontId="7" fillId="0" borderId="0" xfId="5" applyNumberFormat="1" applyFont="1" applyBorder="1" applyAlignment="1">
      <alignment horizontal="center"/>
    </xf>
    <xf numFmtId="43" fontId="4" fillId="0" borderId="0" xfId="5" applyFont="1" applyBorder="1"/>
    <xf numFmtId="165" fontId="9" fillId="0" borderId="0" xfId="1" applyNumberFormat="1" applyFont="1" applyAlignment="1"/>
    <xf numFmtId="165" fontId="7" fillId="0" borderId="6" xfId="5" applyNumberFormat="1" applyFont="1" applyBorder="1" applyAlignment="1">
      <alignment horizontal="center"/>
    </xf>
    <xf numFmtId="166" fontId="4" fillId="0" borderId="6" xfId="6" applyNumberFormat="1" applyFont="1" applyBorder="1"/>
    <xf numFmtId="165" fontId="4" fillId="2" borderId="0" xfId="5" applyNumberFormat="1" applyFont="1" applyFill="1" applyBorder="1"/>
    <xf numFmtId="0" fontId="9" fillId="0" borderId="2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8" xfId="0" applyFont="1" applyBorder="1"/>
    <xf numFmtId="0" fontId="4" fillId="0" borderId="6" xfId="0" applyFont="1" applyBorder="1"/>
    <xf numFmtId="165" fontId="4" fillId="0" borderId="0" xfId="1" applyNumberFormat="1" applyFont="1" applyBorder="1" applyAlignment="1"/>
    <xf numFmtId="44" fontId="4" fillId="0" borderId="0" xfId="2" applyFont="1" applyBorder="1" applyAlignment="1"/>
    <xf numFmtId="43" fontId="4" fillId="0" borderId="0" xfId="1" applyFont="1" applyBorder="1" applyAlignment="1"/>
    <xf numFmtId="165" fontId="4" fillId="0" borderId="1" xfId="1" applyNumberFormat="1" applyFont="1" applyBorder="1" applyAlignment="1"/>
    <xf numFmtId="0" fontId="4" fillId="0" borderId="8" xfId="0" applyFont="1" applyBorder="1"/>
    <xf numFmtId="0" fontId="12" fillId="0" borderId="0" xfId="0" applyFont="1" applyAlignment="1">
      <alignment horizontal="center"/>
    </xf>
    <xf numFmtId="44" fontId="4" fillId="0" borderId="0" xfId="0" applyNumberFormat="1" applyFont="1"/>
    <xf numFmtId="166" fontId="4" fillId="0" borderId="0" xfId="3" applyNumberFormat="1" applyFont="1" applyAlignment="1"/>
    <xf numFmtId="0" fontId="11" fillId="0" borderId="0" xfId="0" applyFont="1"/>
    <xf numFmtId="3" fontId="8" fillId="0" borderId="0" xfId="0" applyNumberFormat="1" applyFont="1" applyAlignment="1">
      <alignment horizontal="center" vertical="center"/>
    </xf>
    <xf numFmtId="165" fontId="7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43" fontId="4" fillId="0" borderId="0" xfId="1" applyFont="1"/>
    <xf numFmtId="165" fontId="4" fillId="0" borderId="0" xfId="5" quotePrefix="1" applyNumberFormat="1" applyFont="1"/>
    <xf numFmtId="43" fontId="4" fillId="0" borderId="0" xfId="1" applyFont="1" applyAlignment="1"/>
    <xf numFmtId="165" fontId="7" fillId="0" borderId="0" xfId="1" applyNumberFormat="1" applyFont="1" applyAlignment="1">
      <alignment vertical="center"/>
    </xf>
    <xf numFmtId="165" fontId="4" fillId="0" borderId="0" xfId="1" quotePrefix="1" applyNumberFormat="1" applyFont="1" applyAlignment="1">
      <alignment vertical="center"/>
    </xf>
    <xf numFmtId="44" fontId="9" fillId="0" borderId="0" xfId="0" applyNumberFormat="1" applyFont="1"/>
    <xf numFmtId="165" fontId="4" fillId="0" borderId="9" xfId="5" applyNumberFormat="1" applyFont="1" applyBorder="1"/>
    <xf numFmtId="165" fontId="7" fillId="0" borderId="10" xfId="5" applyNumberFormat="1" applyFont="1" applyBorder="1" applyAlignment="1">
      <alignment horizontal="center"/>
    </xf>
    <xf numFmtId="44" fontId="4" fillId="0" borderId="10" xfId="2" applyFont="1" applyBorder="1"/>
    <xf numFmtId="43" fontId="4" fillId="2" borderId="10" xfId="5" applyFont="1" applyFill="1" applyBorder="1"/>
    <xf numFmtId="43" fontId="4" fillId="0" borderId="10" xfId="5" applyFont="1" applyBorder="1"/>
    <xf numFmtId="43" fontId="7" fillId="0" borderId="6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165" fontId="5" fillId="0" borderId="0" xfId="1" applyNumberFormat="1" applyFont="1" applyAlignment="1">
      <alignment horizontal="center" vertical="center"/>
    </xf>
    <xf numFmtId="167" fontId="4" fillId="0" borderId="0" xfId="1" applyNumberFormat="1" applyFont="1"/>
    <xf numFmtId="164" fontId="3" fillId="0" borderId="0" xfId="0" applyNumberFormat="1" applyFont="1" applyAlignment="1">
      <alignment horizontal="right"/>
    </xf>
    <xf numFmtId="165" fontId="4" fillId="0" borderId="0" xfId="1" applyNumberFormat="1" applyFont="1" applyFill="1" applyBorder="1"/>
    <xf numFmtId="164" fontId="4" fillId="0" borderId="1" xfId="2" applyNumberFormat="1" applyFont="1" applyBorder="1"/>
    <xf numFmtId="166" fontId="4" fillId="0" borderId="0" xfId="3" applyNumberFormat="1" applyFont="1"/>
    <xf numFmtId="43" fontId="9" fillId="0" borderId="0" xfId="1" applyFont="1" applyAlignment="1"/>
    <xf numFmtId="165" fontId="4" fillId="0" borderId="0" xfId="5" applyNumberFormat="1" applyFont="1" applyBorder="1" applyAlignment="1"/>
    <xf numFmtId="44" fontId="4" fillId="0" borderId="0" xfId="4" applyFont="1" applyBorder="1" applyAlignment="1"/>
    <xf numFmtId="165" fontId="4" fillId="0" borderId="0" xfId="1" applyNumberFormat="1" applyFont="1" applyFill="1"/>
    <xf numFmtId="3" fontId="17" fillId="0" borderId="0" xfId="0" applyNumberFormat="1" applyFont="1"/>
    <xf numFmtId="44" fontId="17" fillId="0" borderId="0" xfId="2" applyFont="1" applyAlignment="1"/>
    <xf numFmtId="0" fontId="4" fillId="3" borderId="0" xfId="0" applyFont="1" applyFill="1"/>
    <xf numFmtId="0" fontId="4" fillId="3" borderId="3" xfId="0" applyFont="1" applyFill="1" applyBorder="1"/>
    <xf numFmtId="0" fontId="4" fillId="3" borderId="7" xfId="0" applyFont="1" applyFill="1" applyBorder="1"/>
    <xf numFmtId="0" fontId="4" fillId="3" borderId="12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2" xfId="0" applyFont="1" applyFill="1" applyBorder="1"/>
    <xf numFmtId="0" fontId="4" fillId="3" borderId="6" xfId="0" applyFont="1" applyFill="1" applyBorder="1"/>
    <xf numFmtId="165" fontId="4" fillId="3" borderId="1" xfId="1" applyNumberFormat="1" applyFont="1" applyFill="1" applyBorder="1" applyAlignment="1"/>
    <xf numFmtId="0" fontId="4" fillId="3" borderId="1" xfId="0" applyFont="1" applyFill="1" applyBorder="1"/>
    <xf numFmtId="0" fontId="4" fillId="3" borderId="8" xfId="0" applyFont="1" applyFill="1" applyBorder="1"/>
    <xf numFmtId="165" fontId="4" fillId="3" borderId="1" xfId="5" applyNumberFormat="1" applyFont="1" applyFill="1" applyBorder="1" applyAlignment="1"/>
    <xf numFmtId="0" fontId="8" fillId="3" borderId="0" xfId="0" applyFont="1" applyFill="1" applyAlignment="1">
      <alignment horizontal="center"/>
    </xf>
    <xf numFmtId="0" fontId="0" fillId="3" borderId="11" xfId="0" applyFill="1" applyBorder="1"/>
    <xf numFmtId="0" fontId="0" fillId="3" borderId="0" xfId="0" applyFill="1"/>
    <xf numFmtId="165" fontId="19" fillId="0" borderId="0" xfId="1" applyNumberFormat="1" applyFont="1" applyAlignment="1">
      <alignment vertical="center"/>
    </xf>
    <xf numFmtId="165" fontId="9" fillId="0" borderId="0" xfId="1" applyNumberFormat="1" applyFont="1" applyAlignment="1">
      <alignment horizontal="centerContinuous" vertical="center"/>
    </xf>
    <xf numFmtId="165" fontId="11" fillId="0" borderId="0" xfId="1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165" fontId="17" fillId="0" borderId="0" xfId="1" applyNumberFormat="1" applyFont="1" applyAlignment="1"/>
    <xf numFmtId="44" fontId="4" fillId="0" borderId="1" xfId="4" applyFont="1" applyBorder="1"/>
    <xf numFmtId="168" fontId="4" fillId="0" borderId="0" xfId="5" applyNumberFormat="1" applyFont="1" applyBorder="1" applyAlignment="1"/>
    <xf numFmtId="168" fontId="4" fillId="0" borderId="0" xfId="1" applyNumberFormat="1" applyFont="1" applyBorder="1" applyAlignment="1"/>
    <xf numFmtId="166" fontId="4" fillId="0" borderId="0" xfId="3" applyNumberFormat="1" applyFont="1" applyFill="1"/>
    <xf numFmtId="43" fontId="4" fillId="0" borderId="0" xfId="1" applyFont="1" applyFill="1"/>
    <xf numFmtId="44" fontId="0" fillId="0" borderId="0" xfId="4" applyFont="1" applyFill="1"/>
    <xf numFmtId="0" fontId="1" fillId="0" borderId="0" xfId="0" applyFont="1"/>
    <xf numFmtId="166" fontId="4" fillId="0" borderId="0" xfId="3" applyNumberFormat="1" applyFont="1" applyBorder="1"/>
    <xf numFmtId="43" fontId="4" fillId="0" borderId="0" xfId="2" applyNumberFormat="1" applyFont="1" applyBorder="1"/>
    <xf numFmtId="43" fontId="4" fillId="0" borderId="0" xfId="2" applyNumberFormat="1" applyFont="1" applyBorder="1" applyAlignment="1"/>
    <xf numFmtId="44" fontId="4" fillId="0" borderId="0" xfId="1" applyNumberFormat="1" applyFont="1" applyBorder="1" applyAlignment="1"/>
    <xf numFmtId="165" fontId="4" fillId="0" borderId="1" xfId="0" applyNumberFormat="1" applyFont="1" applyBorder="1"/>
    <xf numFmtId="37" fontId="4" fillId="0" borderId="0" xfId="0" applyNumberFormat="1" applyFont="1" applyAlignment="1">
      <alignment horizontal="center"/>
    </xf>
    <xf numFmtId="165" fontId="4" fillId="0" borderId="0" xfId="5" applyNumberFormat="1" applyFont="1" applyFill="1" applyBorder="1"/>
    <xf numFmtId="44" fontId="4" fillId="0" borderId="0" xfId="4" applyFont="1" applyBorder="1"/>
    <xf numFmtId="164" fontId="4" fillId="0" borderId="0" xfId="4" applyNumberFormat="1" applyFont="1" applyBorder="1"/>
    <xf numFmtId="3" fontId="4" fillId="0" borderId="0" xfId="5" applyNumberFormat="1" applyFont="1" applyFill="1"/>
    <xf numFmtId="3" fontId="4" fillId="0" borderId="1" xfId="5" applyNumberFormat="1" applyFont="1" applyFill="1" applyBorder="1"/>
    <xf numFmtId="3" fontId="4" fillId="0" borderId="0" xfId="5" applyNumberFormat="1" applyFont="1" applyBorder="1"/>
    <xf numFmtId="165" fontId="4" fillId="0" borderId="1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centerContinuous"/>
    </xf>
    <xf numFmtId="165" fontId="4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/>
    <xf numFmtId="165" fontId="4" fillId="0" borderId="0" xfId="1" applyNumberFormat="1" applyFont="1" applyBorder="1" applyAlignment="1">
      <alignment horizontal="center"/>
    </xf>
    <xf numFmtId="10" fontId="4" fillId="0" borderId="0" xfId="3" applyNumberFormat="1" applyFont="1"/>
    <xf numFmtId="10" fontId="4" fillId="0" borderId="0" xfId="3" applyNumberFormat="1" applyFont="1" applyFill="1"/>
    <xf numFmtId="0" fontId="11" fillId="3" borderId="0" xfId="0" applyFont="1" applyFill="1" applyAlignment="1">
      <alignment horizontal="center"/>
    </xf>
    <xf numFmtId="43" fontId="4" fillId="2" borderId="0" xfId="5" applyFont="1" applyFill="1" applyBorder="1"/>
    <xf numFmtId="43" fontId="4" fillId="0" borderId="10" xfId="5" applyFont="1" applyFill="1" applyBorder="1"/>
    <xf numFmtId="43" fontId="4" fillId="0" borderId="0" xfId="5" applyFont="1" applyFill="1" applyBorder="1"/>
    <xf numFmtId="43" fontId="4" fillId="2" borderId="0" xfId="2" applyNumberFormat="1" applyFont="1" applyFill="1" applyBorder="1"/>
    <xf numFmtId="166" fontId="4" fillId="2" borderId="0" xfId="3" applyNumberFormat="1" applyFont="1" applyFill="1" applyBorder="1"/>
    <xf numFmtId="43" fontId="4" fillId="0" borderId="0" xfId="2" applyNumberFormat="1" applyFont="1" applyFill="1" applyBorder="1"/>
    <xf numFmtId="166" fontId="4" fillId="0" borderId="0" xfId="3" applyNumberFormat="1" applyFont="1" applyFill="1" applyBorder="1"/>
    <xf numFmtId="44" fontId="4" fillId="2" borderId="0" xfId="2" applyFont="1" applyFill="1" applyBorder="1"/>
    <xf numFmtId="43" fontId="4" fillId="0" borderId="10" xfId="2" applyNumberFormat="1" applyFont="1" applyBorder="1"/>
    <xf numFmtId="44" fontId="4" fillId="0" borderId="0" xfId="2" applyFont="1" applyFill="1" applyBorder="1"/>
    <xf numFmtId="0" fontId="3" fillId="0" borderId="0" xfId="0" applyFont="1" applyAlignment="1">
      <alignment horizontal="right"/>
    </xf>
    <xf numFmtId="168" fontId="4" fillId="0" borderId="0" xfId="0" applyNumberFormat="1" applyFont="1"/>
    <xf numFmtId="3" fontId="4" fillId="0" borderId="0" xfId="0" applyNumberFormat="1" applyFont="1" applyAlignment="1">
      <alignment horizontal="center"/>
    </xf>
    <xf numFmtId="10" fontId="4" fillId="0" borderId="0" xfId="0" applyNumberFormat="1" applyFont="1"/>
    <xf numFmtId="44" fontId="4" fillId="0" borderId="0" xfId="2" applyFont="1" applyFill="1"/>
    <xf numFmtId="164" fontId="4" fillId="0" borderId="0" xfId="2" applyNumberFormat="1" applyFont="1" applyFill="1"/>
    <xf numFmtId="164" fontId="4" fillId="0" borderId="1" xfId="2" applyNumberFormat="1" applyFont="1" applyFill="1" applyBorder="1"/>
    <xf numFmtId="49" fontId="4" fillId="0" borderId="0" xfId="0" applyNumberFormat="1" applyFont="1"/>
    <xf numFmtId="167" fontId="4" fillId="0" borderId="0" xfId="0" applyNumberFormat="1" applyFont="1"/>
    <xf numFmtId="49" fontId="4" fillId="0" borderId="0" xfId="0" applyNumberFormat="1" applyFont="1" applyAlignment="1">
      <alignment horizontal="center"/>
    </xf>
    <xf numFmtId="167" fontId="4" fillId="0" borderId="1" xfId="0" applyNumberFormat="1" applyFont="1" applyBorder="1"/>
    <xf numFmtId="44" fontId="4" fillId="0" borderId="0" xfId="2" applyFont="1"/>
    <xf numFmtId="43" fontId="4" fillId="0" borderId="1" xfId="0" applyNumberFormat="1" applyFont="1" applyBorder="1"/>
    <xf numFmtId="3" fontId="4" fillId="0" borderId="0" xfId="0" applyNumberFormat="1" applyFont="1" applyAlignment="1">
      <alignment horizontal="centerContinuous" vertical="center"/>
    </xf>
    <xf numFmtId="9" fontId="4" fillId="0" borderId="0" xfId="0" applyNumberFormat="1" applyFont="1"/>
    <xf numFmtId="44" fontId="4" fillId="0" borderId="0" xfId="2" applyFont="1" applyAlignment="1">
      <alignment horizontal="right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/>
    <xf numFmtId="0" fontId="4" fillId="0" borderId="0" xfId="1" applyNumberFormat="1" applyFont="1"/>
    <xf numFmtId="0" fontId="5" fillId="0" borderId="2" xfId="0" applyFont="1" applyBorder="1" applyAlignment="1">
      <alignment horizontal="center"/>
    </xf>
    <xf numFmtId="44" fontId="4" fillId="0" borderId="2" xfId="0" applyNumberFormat="1" applyFont="1" applyBorder="1"/>
    <xf numFmtId="10" fontId="4" fillId="0" borderId="6" xfId="3" applyNumberFormat="1" applyFont="1" applyBorder="1" applyAlignment="1">
      <alignment horizontal="center"/>
    </xf>
    <xf numFmtId="165" fontId="4" fillId="0" borderId="0" xfId="1" applyNumberFormat="1" applyFont="1" applyFill="1" applyAlignment="1">
      <alignment vertical="center"/>
    </xf>
    <xf numFmtId="165" fontId="4" fillId="0" borderId="1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horizontal="centerContinuous" vertical="center"/>
    </xf>
    <xf numFmtId="165" fontId="16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17" fillId="0" borderId="0" xfId="1" applyNumberFormat="1" applyFont="1" applyBorder="1" applyAlignment="1"/>
    <xf numFmtId="165" fontId="9" fillId="0" borderId="0" xfId="1" applyNumberFormat="1" applyFont="1" applyBorder="1" applyAlignment="1"/>
    <xf numFmtId="9" fontId="4" fillId="0" borderId="1" xfId="3" applyFont="1" applyBorder="1" applyAlignment="1">
      <alignment vertical="center"/>
    </xf>
    <xf numFmtId="43" fontId="4" fillId="2" borderId="2" xfId="5" applyFont="1" applyFill="1" applyBorder="1"/>
    <xf numFmtId="9" fontId="4" fillId="0" borderId="0" xfId="3" applyFont="1"/>
    <xf numFmtId="0" fontId="4" fillId="0" borderId="0" xfId="0" applyFont="1" applyAlignment="1">
      <alignment horizontal="left"/>
    </xf>
    <xf numFmtId="0" fontId="5" fillId="0" borderId="0" xfId="1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6" fillId="0" borderId="0" xfId="5" applyNumberFormat="1" applyFont="1" applyBorder="1" applyAlignment="1">
      <alignment horizontal="center"/>
    </xf>
    <xf numFmtId="165" fontId="7" fillId="0" borderId="2" xfId="5" applyNumberFormat="1" applyFont="1" applyBorder="1" applyAlignment="1">
      <alignment horizontal="center"/>
    </xf>
    <xf numFmtId="165" fontId="7" fillId="0" borderId="0" xfId="5" applyNumberFormat="1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/>
    <xf numFmtId="0" fontId="20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7" xr:uid="{00000000-0005-0000-0000-000005000000}"/>
    <cellStyle name="Percent" xfId="3" builtinId="5"/>
    <cellStyle name="Percent 2" xfId="6" xr:uid="{00000000-0005-0000-0000-000007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54"/>
  <sheetViews>
    <sheetView showGridLines="0" tabSelected="1" workbookViewId="0">
      <selection activeCell="J7" sqref="J7"/>
    </sheetView>
  </sheetViews>
  <sheetFormatPr defaultColWidth="8.88671875" defaultRowHeight="15.75" x14ac:dyDescent="0.5"/>
  <cols>
    <col min="1" max="1" width="3.6640625" style="26" customWidth="1"/>
    <col min="2" max="2" width="2.6640625" style="26" customWidth="1"/>
    <col min="3" max="3" width="28" style="26" customWidth="1"/>
    <col min="4" max="4" width="11.88671875" style="65" bestFit="1" customWidth="1"/>
    <col min="5" max="5" width="1.77734375" style="204" customWidth="1"/>
    <col min="6" max="6" width="10.21875" style="26" customWidth="1"/>
    <col min="7" max="7" width="4.88671875" style="22" customWidth="1"/>
    <col min="8" max="8" width="9.77734375" style="65" customWidth="1"/>
    <col min="9" max="9" width="2.609375" style="26" customWidth="1"/>
    <col min="10" max="10" width="11.33203125" style="27" customWidth="1"/>
    <col min="11" max="254" width="9.6640625" style="26" customWidth="1"/>
    <col min="255" max="256" width="9.6640625" style="27" customWidth="1"/>
    <col min="257" max="16384" width="8.88671875" style="27"/>
  </cols>
  <sheetData>
    <row r="1" spans="1:18" ht="18" x14ac:dyDescent="0.5">
      <c r="A1" s="23" t="s">
        <v>0</v>
      </c>
      <c r="B1" s="24"/>
      <c r="C1" s="24"/>
      <c r="D1" s="130"/>
      <c r="E1" s="198"/>
      <c r="F1" s="24"/>
      <c r="G1" s="184"/>
      <c r="H1" s="130"/>
      <c r="I1" s="25"/>
      <c r="J1" s="188"/>
      <c r="K1" s="25"/>
      <c r="L1" s="25"/>
      <c r="M1" s="25"/>
      <c r="N1" s="25"/>
      <c r="O1" s="25"/>
    </row>
    <row r="2" spans="1:18" ht="18.75" customHeight="1" x14ac:dyDescent="0.5">
      <c r="A2" s="210" t="s">
        <v>1</v>
      </c>
      <c r="B2" s="210"/>
      <c r="C2" s="210"/>
      <c r="D2" s="210"/>
      <c r="E2" s="210"/>
      <c r="F2" s="210"/>
      <c r="G2" s="210"/>
      <c r="H2" s="210"/>
      <c r="I2" s="84"/>
      <c r="J2" s="189"/>
      <c r="K2" s="25"/>
      <c r="L2" s="84"/>
      <c r="M2" s="84"/>
      <c r="N2" s="84"/>
      <c r="O2" s="84"/>
      <c r="P2" s="84"/>
      <c r="Q2" s="84"/>
      <c r="R2" s="84"/>
    </row>
    <row r="3" spans="1:18" ht="18.75" customHeight="1" x14ac:dyDescent="0.5">
      <c r="A3" s="211" t="s">
        <v>2</v>
      </c>
      <c r="B3" s="211"/>
      <c r="C3" s="211"/>
      <c r="D3" s="211"/>
      <c r="E3" s="211"/>
      <c r="F3" s="211"/>
      <c r="G3" s="211"/>
      <c r="H3" s="211"/>
      <c r="I3" s="84"/>
      <c r="J3" s="189"/>
      <c r="K3" s="25"/>
      <c r="L3" s="84"/>
      <c r="M3" s="84"/>
      <c r="N3" s="84"/>
      <c r="O3" s="84"/>
      <c r="P3" s="84"/>
      <c r="Q3" s="84"/>
      <c r="R3" s="84"/>
    </row>
    <row r="4" spans="1:18" x14ac:dyDescent="0.5">
      <c r="A4" s="25"/>
      <c r="B4" s="25"/>
      <c r="C4" s="25"/>
      <c r="D4" s="132"/>
      <c r="E4" s="199"/>
      <c r="F4" s="28"/>
      <c r="G4" s="30"/>
      <c r="H4" s="131"/>
      <c r="I4" s="25"/>
      <c r="J4" s="188"/>
      <c r="K4" s="25"/>
      <c r="L4" s="25"/>
      <c r="M4" s="25"/>
      <c r="N4" s="25"/>
      <c r="O4" s="25"/>
    </row>
    <row r="5" spans="1:18" x14ac:dyDescent="0.5">
      <c r="A5" s="29"/>
      <c r="B5" s="29"/>
      <c r="C5" s="29"/>
      <c r="D5" s="102" t="s">
        <v>3</v>
      </c>
      <c r="E5" s="200"/>
      <c r="F5" s="30" t="s">
        <v>4</v>
      </c>
      <c r="G5" s="30" t="s">
        <v>5</v>
      </c>
      <c r="H5" s="102" t="s">
        <v>6</v>
      </c>
      <c r="I5" s="31"/>
      <c r="J5" s="209" t="s">
        <v>195</v>
      </c>
      <c r="K5" s="31"/>
      <c r="L5" s="31"/>
      <c r="M5" s="25"/>
      <c r="N5" s="25"/>
      <c r="O5" s="25"/>
    </row>
    <row r="6" spans="1:18" x14ac:dyDescent="0.5">
      <c r="A6" s="32" t="s">
        <v>7</v>
      </c>
      <c r="B6" s="29"/>
      <c r="C6" s="29"/>
      <c r="D6" s="31"/>
      <c r="E6" s="201"/>
      <c r="F6" s="29"/>
      <c r="G6" s="29"/>
      <c r="H6" s="31"/>
      <c r="I6" s="31"/>
      <c r="J6" s="190"/>
      <c r="K6" s="31"/>
      <c r="L6" s="31"/>
      <c r="M6" s="25"/>
      <c r="N6" s="25"/>
      <c r="O6" s="25"/>
    </row>
    <row r="7" spans="1:18" x14ac:dyDescent="0.5">
      <c r="A7" s="29"/>
      <c r="B7" s="29" t="s">
        <v>8</v>
      </c>
      <c r="C7" s="29"/>
      <c r="D7" s="31">
        <v>1272349</v>
      </c>
      <c r="E7" s="201"/>
      <c r="F7" s="31">
        <f>ExBA!G11-ExBA!G8+ExBA!G12</f>
        <v>44009.868999999948</v>
      </c>
      <c r="G7" s="33" t="s">
        <v>9</v>
      </c>
      <c r="H7" s="31">
        <f>D7+F7</f>
        <v>1316358.8689999999</v>
      </c>
      <c r="I7" s="37"/>
      <c r="J7" s="190" t="s">
        <v>196</v>
      </c>
      <c r="K7" s="31"/>
      <c r="L7" s="31"/>
      <c r="M7" s="25"/>
      <c r="N7" s="25"/>
      <c r="O7" s="25"/>
    </row>
    <row r="8" spans="1:18" x14ac:dyDescent="0.5">
      <c r="A8" s="29"/>
      <c r="B8" s="29" t="s">
        <v>10</v>
      </c>
      <c r="C8" s="29"/>
      <c r="D8" s="31"/>
      <c r="E8" s="201"/>
      <c r="F8" s="3"/>
      <c r="G8" s="33"/>
      <c r="H8" s="31">
        <f>D8+F8</f>
        <v>0</v>
      </c>
      <c r="I8" s="37"/>
      <c r="J8" s="190"/>
      <c r="K8" s="31"/>
      <c r="L8" s="31"/>
      <c r="M8" s="25"/>
      <c r="N8" s="25"/>
      <c r="O8" s="25"/>
    </row>
    <row r="9" spans="1:18" x14ac:dyDescent="0.5">
      <c r="A9" s="29"/>
      <c r="B9" s="29" t="s">
        <v>11</v>
      </c>
      <c r="C9" s="29"/>
      <c r="D9" s="31">
        <v>9670</v>
      </c>
      <c r="E9" s="201"/>
      <c r="F9" s="31">
        <f>ExBA!G8-SAO!D9</f>
        <v>1903.1840000000011</v>
      </c>
      <c r="G9" s="33" t="s">
        <v>9</v>
      </c>
      <c r="H9" s="31">
        <f>D9+F9</f>
        <v>11573.184000000001</v>
      </c>
      <c r="I9" s="37"/>
      <c r="J9" s="190" t="s">
        <v>197</v>
      </c>
      <c r="L9" s="31"/>
      <c r="M9" s="25"/>
      <c r="N9" s="25"/>
      <c r="O9" s="25"/>
    </row>
    <row r="10" spans="1:18" x14ac:dyDescent="0.5">
      <c r="A10" s="29"/>
      <c r="B10" s="29" t="s">
        <v>12</v>
      </c>
      <c r="C10" s="29"/>
      <c r="D10" s="31"/>
      <c r="E10" s="201"/>
      <c r="F10" s="31"/>
      <c r="G10" s="33"/>
      <c r="H10" s="31"/>
      <c r="I10" s="31"/>
      <c r="J10" s="190"/>
      <c r="K10" s="31"/>
      <c r="L10" s="31"/>
      <c r="M10" s="25"/>
      <c r="N10" s="25"/>
      <c r="O10" s="25"/>
    </row>
    <row r="11" spans="1:18" x14ac:dyDescent="0.5">
      <c r="A11" s="29"/>
      <c r="B11" s="29"/>
      <c r="C11" s="29" t="s">
        <v>13</v>
      </c>
      <c r="D11" s="31">
        <v>18739</v>
      </c>
      <c r="E11" s="201"/>
      <c r="F11" s="31"/>
      <c r="G11" s="33"/>
      <c r="H11" s="31">
        <f>D11+F11</f>
        <v>18739</v>
      </c>
      <c r="I11" s="37"/>
      <c r="J11" s="190"/>
      <c r="K11" s="31"/>
      <c r="L11" s="42"/>
      <c r="M11" s="25"/>
      <c r="N11" s="25"/>
      <c r="O11" s="25"/>
    </row>
    <row r="12" spans="1:18" x14ac:dyDescent="0.5">
      <c r="A12" s="29"/>
      <c r="B12" s="29"/>
      <c r="C12" s="29" t="s">
        <v>14</v>
      </c>
      <c r="D12" s="31">
        <v>25733</v>
      </c>
      <c r="E12" s="201"/>
      <c r="F12" s="196"/>
      <c r="G12" s="33"/>
      <c r="H12" s="31">
        <f>D12+F12</f>
        <v>25733</v>
      </c>
      <c r="I12" s="37"/>
      <c r="J12" s="190"/>
      <c r="K12" s="31"/>
      <c r="L12" s="31"/>
      <c r="M12" s="25"/>
      <c r="N12" s="25"/>
      <c r="O12" s="25"/>
    </row>
    <row r="13" spans="1:18" ht="16.5" x14ac:dyDescent="0.5">
      <c r="A13" s="29"/>
      <c r="B13" s="29"/>
      <c r="C13" s="29" t="s">
        <v>15</v>
      </c>
      <c r="D13" s="91">
        <v>11481</v>
      </c>
      <c r="E13" s="202"/>
      <c r="F13" s="91"/>
      <c r="G13" s="33"/>
      <c r="H13" s="91">
        <f>D13+F13</f>
        <v>11481</v>
      </c>
      <c r="I13" s="37"/>
      <c r="J13" s="190"/>
      <c r="K13" s="31"/>
      <c r="L13" s="31"/>
      <c r="M13" s="25"/>
      <c r="N13" s="25"/>
      <c r="O13" s="25"/>
    </row>
    <row r="14" spans="1:18" x14ac:dyDescent="0.5">
      <c r="A14" s="34" t="s">
        <v>16</v>
      </c>
      <c r="B14" s="29"/>
      <c r="C14" s="29"/>
      <c r="D14" s="31">
        <f>SUM(D7:D13)</f>
        <v>1337972</v>
      </c>
      <c r="E14" s="201"/>
      <c r="F14" s="31">
        <f>SUM(F7:F13)</f>
        <v>45913.052999999949</v>
      </c>
      <c r="G14" s="33"/>
      <c r="H14" s="31">
        <f>SUM(H7:H13)</f>
        <v>1383885.0529999998</v>
      </c>
      <c r="I14" s="31"/>
      <c r="J14" s="190"/>
      <c r="K14" s="31"/>
      <c r="L14" s="31"/>
      <c r="M14" s="25"/>
      <c r="N14" s="25"/>
      <c r="O14" s="25"/>
    </row>
    <row r="15" spans="1:18" x14ac:dyDescent="0.5">
      <c r="A15" s="29"/>
      <c r="B15" s="29"/>
      <c r="C15" s="29"/>
      <c r="D15" s="31"/>
      <c r="E15" s="201"/>
      <c r="F15" s="31"/>
      <c r="G15" s="33"/>
      <c r="H15" s="31"/>
      <c r="I15" s="31"/>
      <c r="J15" s="190"/>
      <c r="K15" s="31"/>
      <c r="L15" s="31"/>
      <c r="N15" s="25"/>
      <c r="O15" s="25"/>
    </row>
    <row r="16" spans="1:18" x14ac:dyDescent="0.5">
      <c r="A16" s="32" t="s">
        <v>17</v>
      </c>
      <c r="B16" s="29"/>
      <c r="C16" s="29"/>
      <c r="D16" s="31"/>
      <c r="E16" s="201"/>
      <c r="F16" s="31"/>
      <c r="G16" s="33"/>
      <c r="H16" s="31"/>
      <c r="I16" s="31"/>
      <c r="J16" s="190"/>
      <c r="K16" s="31"/>
      <c r="L16" s="31"/>
      <c r="N16" s="25"/>
      <c r="O16" s="25"/>
    </row>
    <row r="17" spans="1:15" x14ac:dyDescent="0.5">
      <c r="A17" s="29"/>
      <c r="B17" s="29" t="s">
        <v>18</v>
      </c>
      <c r="C17" s="29"/>
      <c r="D17" s="31"/>
      <c r="E17" s="201"/>
      <c r="F17" s="31"/>
      <c r="G17" s="33"/>
      <c r="H17" s="31"/>
      <c r="I17" s="31"/>
      <c r="J17" s="190"/>
      <c r="K17" s="31"/>
      <c r="L17" s="25"/>
      <c r="M17" s="25"/>
      <c r="N17" s="25"/>
      <c r="O17" s="25"/>
    </row>
    <row r="18" spans="1:15" x14ac:dyDescent="0.5">
      <c r="A18" s="29"/>
      <c r="B18" s="29"/>
      <c r="C18" s="29" t="s">
        <v>19</v>
      </c>
      <c r="D18" s="31">
        <v>300235</v>
      </c>
      <c r="E18" s="201"/>
      <c r="F18" s="31">
        <f>Wages!F13-SAO!D18</f>
        <v>38736.97662999999</v>
      </c>
      <c r="G18" s="33" t="s">
        <v>20</v>
      </c>
      <c r="H18" s="31">
        <f>SUM(D18:F18)</f>
        <v>338971.97662999999</v>
      </c>
      <c r="I18" s="37"/>
      <c r="J18" s="190" t="s">
        <v>198</v>
      </c>
      <c r="K18" s="31"/>
      <c r="L18" s="25"/>
      <c r="M18" s="25"/>
      <c r="N18" s="25"/>
      <c r="O18" s="25"/>
    </row>
    <row r="19" spans="1:15" x14ac:dyDescent="0.5">
      <c r="A19" s="29"/>
      <c r="B19" s="29"/>
      <c r="C19" s="29" t="s">
        <v>21</v>
      </c>
      <c r="D19" s="31">
        <v>18000</v>
      </c>
      <c r="E19" s="201"/>
      <c r="F19" s="54"/>
      <c r="G19" s="33"/>
      <c r="H19" s="31">
        <f t="shared" ref="H19:H33" si="0">D19+F19</f>
        <v>18000</v>
      </c>
      <c r="I19" s="31"/>
      <c r="K19" s="31"/>
      <c r="L19" s="31"/>
      <c r="M19" s="25"/>
      <c r="N19" s="25"/>
      <c r="O19" s="25"/>
    </row>
    <row r="20" spans="1:15" x14ac:dyDescent="0.5">
      <c r="A20" s="29"/>
      <c r="B20" s="29"/>
      <c r="C20" s="29" t="s">
        <v>22</v>
      </c>
      <c r="D20" s="31">
        <v>144671</v>
      </c>
      <c r="E20" s="201"/>
      <c r="F20" s="31">
        <f>Medical!J11</f>
        <v>-10030.087200000002</v>
      </c>
      <c r="G20" s="2" t="s">
        <v>23</v>
      </c>
      <c r="H20" s="3">
        <f>SUM(D20:F20)</f>
        <v>134640.91279999999</v>
      </c>
      <c r="I20" s="37"/>
      <c r="J20" s="190" t="s">
        <v>199</v>
      </c>
      <c r="K20" s="31"/>
      <c r="L20" s="31"/>
      <c r="M20" s="25"/>
      <c r="N20" s="25"/>
      <c r="O20" s="25"/>
    </row>
    <row r="21" spans="1:15" x14ac:dyDescent="0.5">
      <c r="A21" s="29"/>
      <c r="B21" s="29"/>
      <c r="C21" s="29"/>
      <c r="D21" s="31"/>
      <c r="E21" s="201"/>
      <c r="F21" s="31"/>
      <c r="G21" s="2"/>
      <c r="H21" s="27"/>
      <c r="I21" s="37"/>
      <c r="J21" s="190"/>
      <c r="K21" s="31"/>
      <c r="L21" s="31"/>
      <c r="M21" s="25"/>
      <c r="N21" s="25"/>
      <c r="O21" s="25"/>
    </row>
    <row r="22" spans="1:15" x14ac:dyDescent="0.5">
      <c r="A22" s="29"/>
      <c r="B22" s="29"/>
      <c r="C22" s="29" t="s">
        <v>24</v>
      </c>
      <c r="D22" s="31">
        <v>635079</v>
      </c>
      <c r="E22" s="201"/>
      <c r="F22" s="31">
        <f>-'Water Loss'!D29</f>
        <v>-26265.986461509143</v>
      </c>
      <c r="G22" s="2" t="s">
        <v>25</v>
      </c>
      <c r="H22" s="31">
        <f t="shared" si="0"/>
        <v>608813.01353849086</v>
      </c>
      <c r="I22" s="37"/>
      <c r="J22" s="191" t="s">
        <v>200</v>
      </c>
      <c r="K22" s="31"/>
      <c r="L22" s="31"/>
      <c r="M22" s="25"/>
      <c r="N22" s="25"/>
      <c r="O22" s="25"/>
    </row>
    <row r="23" spans="1:15" x14ac:dyDescent="0.5">
      <c r="A23" s="29"/>
      <c r="B23" s="29"/>
      <c r="C23" s="29" t="s">
        <v>26</v>
      </c>
      <c r="D23" s="31">
        <v>22815</v>
      </c>
      <c r="E23" s="201"/>
      <c r="F23" s="31">
        <f>-'Water Loss'!D30</f>
        <v>-943.59675114329252</v>
      </c>
      <c r="G23" s="2" t="s">
        <v>25</v>
      </c>
      <c r="H23" s="31">
        <f t="shared" si="0"/>
        <v>21871.403248856706</v>
      </c>
      <c r="I23" s="37"/>
      <c r="J23" s="190" t="s">
        <v>201</v>
      </c>
      <c r="K23" s="31"/>
      <c r="L23" s="31"/>
      <c r="M23" s="25"/>
      <c r="N23" s="25"/>
      <c r="O23" s="25"/>
    </row>
    <row r="24" spans="1:15" x14ac:dyDescent="0.5">
      <c r="A24" s="29"/>
      <c r="B24" s="29"/>
      <c r="C24" s="29" t="s">
        <v>27</v>
      </c>
      <c r="D24" s="31"/>
      <c r="E24" s="201"/>
      <c r="F24" s="31"/>
      <c r="G24" s="33"/>
      <c r="H24" s="31">
        <f t="shared" si="0"/>
        <v>0</v>
      </c>
      <c r="I24" s="37"/>
      <c r="J24" s="190"/>
      <c r="K24" s="31"/>
      <c r="L24" s="31"/>
      <c r="M24" s="25"/>
      <c r="N24" s="25"/>
      <c r="O24" s="25"/>
    </row>
    <row r="25" spans="1:15" x14ac:dyDescent="0.5">
      <c r="A25" s="29"/>
      <c r="B25" s="29"/>
      <c r="C25" s="29" t="s">
        <v>28</v>
      </c>
      <c r="D25" s="31">
        <v>53011</v>
      </c>
      <c r="E25" s="201"/>
      <c r="F25" s="31"/>
      <c r="G25" s="33"/>
      <c r="H25" s="31">
        <f t="shared" si="0"/>
        <v>53011</v>
      </c>
      <c r="I25" s="37"/>
      <c r="J25" s="190"/>
      <c r="K25" s="47"/>
      <c r="L25" s="31"/>
      <c r="M25" s="25"/>
      <c r="N25" s="25"/>
      <c r="O25" s="25"/>
    </row>
    <row r="26" spans="1:15" x14ac:dyDescent="0.5">
      <c r="A26" s="29"/>
      <c r="B26" s="29"/>
      <c r="C26" s="29" t="s">
        <v>29</v>
      </c>
      <c r="D26" s="31">
        <f>7200+4418+32053</f>
        <v>43671</v>
      </c>
      <c r="E26" s="201"/>
      <c r="F26" s="31"/>
      <c r="H26" s="31">
        <f t="shared" si="0"/>
        <v>43671</v>
      </c>
      <c r="I26" s="31"/>
      <c r="J26" s="190"/>
      <c r="K26" s="31"/>
      <c r="L26" s="31"/>
      <c r="M26" s="25"/>
      <c r="N26" s="25"/>
      <c r="O26" s="25"/>
    </row>
    <row r="27" spans="1:15" x14ac:dyDescent="0.5">
      <c r="A27" s="29"/>
      <c r="B27" s="29"/>
      <c r="C27" s="29" t="s">
        <v>30</v>
      </c>
      <c r="D27" s="31"/>
      <c r="E27" s="201"/>
      <c r="F27" s="31"/>
      <c r="H27" s="31">
        <f t="shared" si="0"/>
        <v>0</v>
      </c>
      <c r="I27" s="31"/>
      <c r="J27" s="190"/>
      <c r="K27" s="31"/>
      <c r="L27" s="31"/>
      <c r="M27" s="25"/>
      <c r="N27" s="25"/>
      <c r="O27" s="25"/>
    </row>
    <row r="28" spans="1:15" x14ac:dyDescent="0.5">
      <c r="A28" s="29"/>
      <c r="B28" s="29"/>
      <c r="C28" s="29" t="s">
        <v>31</v>
      </c>
      <c r="D28" s="31">
        <v>20414</v>
      </c>
      <c r="E28" s="201"/>
      <c r="F28" s="31"/>
      <c r="G28" s="33"/>
      <c r="H28" s="31">
        <f t="shared" si="0"/>
        <v>20414</v>
      </c>
      <c r="I28" s="31"/>
      <c r="J28" s="190"/>
      <c r="K28" s="31"/>
      <c r="L28" s="31"/>
      <c r="M28" s="25"/>
      <c r="N28" s="25"/>
      <c r="O28" s="25"/>
    </row>
    <row r="29" spans="1:15" x14ac:dyDescent="0.5">
      <c r="A29" s="29"/>
      <c r="B29" s="29"/>
      <c r="C29" s="29" t="s">
        <v>32</v>
      </c>
      <c r="D29" s="31">
        <f>9317+9763+103</f>
        <v>19183</v>
      </c>
      <c r="E29" s="201"/>
      <c r="F29" s="31"/>
      <c r="G29" s="33"/>
      <c r="H29" s="31">
        <f t="shared" si="0"/>
        <v>19183</v>
      </c>
      <c r="I29" s="31"/>
      <c r="J29" s="190"/>
      <c r="K29" s="27"/>
      <c r="L29" s="31"/>
      <c r="M29" s="25"/>
      <c r="N29" s="25"/>
      <c r="O29" s="25"/>
    </row>
    <row r="30" spans="1:15" x14ac:dyDescent="0.5">
      <c r="A30" s="29"/>
      <c r="B30" s="29"/>
      <c r="C30" s="29" t="s">
        <v>33</v>
      </c>
      <c r="D30" s="31">
        <v>2293</v>
      </c>
      <c r="E30" s="201"/>
      <c r="F30" s="31"/>
      <c r="G30" s="2"/>
      <c r="H30" s="31">
        <f t="shared" si="0"/>
        <v>2293</v>
      </c>
      <c r="I30" s="31"/>
      <c r="J30" s="190"/>
      <c r="K30" s="31"/>
      <c r="L30" s="31"/>
      <c r="M30" s="25"/>
      <c r="N30" s="25"/>
      <c r="O30" s="25"/>
    </row>
    <row r="31" spans="1:15" x14ac:dyDescent="0.5">
      <c r="A31" s="29"/>
      <c r="B31" s="29"/>
      <c r="C31" s="29" t="s">
        <v>34</v>
      </c>
      <c r="D31" s="31">
        <v>217</v>
      </c>
      <c r="E31" s="201"/>
      <c r="F31" s="31"/>
      <c r="G31" s="2"/>
      <c r="H31" s="31">
        <f>SUM(D31:F31)</f>
        <v>217</v>
      </c>
      <c r="I31" s="31"/>
      <c r="J31" s="190"/>
      <c r="K31" s="31"/>
      <c r="L31" s="31"/>
      <c r="M31" s="25"/>
      <c r="N31" s="25"/>
      <c r="O31" s="25"/>
    </row>
    <row r="32" spans="1:15" x14ac:dyDescent="0.5">
      <c r="A32" s="29"/>
      <c r="B32" s="29"/>
      <c r="C32" s="29" t="s">
        <v>35</v>
      </c>
      <c r="D32" s="31">
        <v>4508</v>
      </c>
      <c r="E32" s="201"/>
      <c r="F32" s="31"/>
      <c r="G32" s="2"/>
      <c r="H32" s="31">
        <f t="shared" si="0"/>
        <v>4508</v>
      </c>
      <c r="I32" s="31"/>
      <c r="J32" s="190"/>
      <c r="K32" s="31"/>
      <c r="L32" s="31"/>
      <c r="M32" s="25"/>
      <c r="N32" s="25"/>
      <c r="O32" s="25"/>
    </row>
    <row r="33" spans="1:15" x14ac:dyDescent="0.5">
      <c r="A33" s="29"/>
      <c r="B33" s="29"/>
      <c r="C33" s="29" t="s">
        <v>36</v>
      </c>
      <c r="D33" s="197">
        <v>41501</v>
      </c>
      <c r="E33" s="201"/>
      <c r="F33" s="78"/>
      <c r="G33" s="2"/>
      <c r="H33" s="197">
        <f t="shared" si="0"/>
        <v>41501</v>
      </c>
      <c r="I33" s="37"/>
      <c r="J33" s="190"/>
      <c r="K33" s="31"/>
      <c r="L33" s="31"/>
      <c r="M33" s="25"/>
      <c r="N33" s="25"/>
      <c r="O33" s="25"/>
    </row>
    <row r="34" spans="1:15" x14ac:dyDescent="0.5">
      <c r="A34" s="29"/>
      <c r="B34" s="29"/>
      <c r="C34" s="29"/>
      <c r="D34" s="31"/>
      <c r="E34" s="201"/>
      <c r="F34" s="35"/>
      <c r="G34" s="2"/>
      <c r="H34" s="31"/>
      <c r="I34" s="37"/>
      <c r="J34" s="190"/>
      <c r="K34" s="31"/>
      <c r="L34" s="31"/>
      <c r="M34" s="25"/>
      <c r="N34" s="25"/>
      <c r="O34" s="25"/>
    </row>
    <row r="35" spans="1:15" x14ac:dyDescent="0.5">
      <c r="A35" s="29"/>
      <c r="B35" s="34" t="s">
        <v>37</v>
      </c>
      <c r="C35" s="29"/>
      <c r="D35" s="31">
        <f>SUM(D18:D33)</f>
        <v>1305598</v>
      </c>
      <c r="E35" s="201"/>
      <c r="F35" s="31">
        <f>SUM(F18:F33)</f>
        <v>1497.306217347553</v>
      </c>
      <c r="G35" s="33"/>
      <c r="H35" s="31">
        <f>SUM(H18:H33)</f>
        <v>1307095.3062173477</v>
      </c>
      <c r="I35" s="31"/>
      <c r="J35" s="190"/>
      <c r="K35" s="31"/>
      <c r="L35" s="31"/>
      <c r="M35" s="25"/>
      <c r="N35" s="25"/>
      <c r="O35" s="25"/>
    </row>
    <row r="36" spans="1:15" x14ac:dyDescent="0.5">
      <c r="A36" s="29"/>
      <c r="B36" s="29" t="s">
        <v>38</v>
      </c>
      <c r="C36" s="29"/>
      <c r="D36" s="31">
        <v>113158</v>
      </c>
      <c r="E36" s="201"/>
      <c r="F36" s="31"/>
      <c r="G36" s="173"/>
      <c r="H36" s="31">
        <f>D36+F36</f>
        <v>113158</v>
      </c>
      <c r="I36" s="37"/>
      <c r="J36" s="190"/>
      <c r="K36" s="31"/>
      <c r="L36" s="31"/>
      <c r="M36" s="25"/>
      <c r="N36" s="25"/>
      <c r="O36" s="25"/>
    </row>
    <row r="37" spans="1:15" ht="16.5" x14ac:dyDescent="0.5">
      <c r="A37" s="29"/>
      <c r="B37" s="29" t="s">
        <v>39</v>
      </c>
      <c r="C37" s="29"/>
      <c r="D37" s="91">
        <v>26474</v>
      </c>
      <c r="E37" s="202"/>
      <c r="F37" s="91">
        <f>Wages!F17</f>
        <v>1440.3562121949981</v>
      </c>
      <c r="G37" s="2" t="s">
        <v>20</v>
      </c>
      <c r="H37" s="91">
        <f>D37+F37</f>
        <v>27914.356212194998</v>
      </c>
      <c r="I37" s="37"/>
      <c r="J37" s="190"/>
      <c r="K37" s="31"/>
      <c r="L37" s="31"/>
      <c r="M37" s="25"/>
      <c r="N37" s="25"/>
      <c r="O37" s="25"/>
    </row>
    <row r="38" spans="1:15" ht="16.5" x14ac:dyDescent="0.5">
      <c r="A38" s="34" t="s">
        <v>40</v>
      </c>
      <c r="B38" s="29"/>
      <c r="C38" s="29"/>
      <c r="D38" s="91">
        <f>SUM(D35:D37)</f>
        <v>1445230</v>
      </c>
      <c r="E38" s="202"/>
      <c r="F38" s="91">
        <f>SUM(F35:F37)</f>
        <v>2937.6624295425509</v>
      </c>
      <c r="G38" s="33"/>
      <c r="H38" s="91">
        <f>SUM(H35:H37)</f>
        <v>1448167.6624295427</v>
      </c>
      <c r="I38" s="129"/>
      <c r="J38" s="190"/>
      <c r="K38" s="31"/>
      <c r="L38" s="31"/>
      <c r="M38" s="25"/>
      <c r="N38" s="25"/>
      <c r="O38" s="25"/>
    </row>
    <row r="39" spans="1:15" x14ac:dyDescent="0.5">
      <c r="A39" s="34" t="s">
        <v>41</v>
      </c>
      <c r="B39" s="29"/>
      <c r="C39" s="29"/>
      <c r="D39" s="31">
        <f>D14-D38</f>
        <v>-107258</v>
      </c>
      <c r="E39" s="201"/>
      <c r="F39" s="31">
        <f>F14-F38</f>
        <v>42975.390570457399</v>
      </c>
      <c r="G39" s="33"/>
      <c r="H39" s="31">
        <f>H14-H38</f>
        <v>-64282.609429542907</v>
      </c>
      <c r="I39" s="31"/>
      <c r="J39" s="190"/>
      <c r="K39" s="31"/>
      <c r="L39" s="31"/>
      <c r="M39" s="25"/>
      <c r="N39" s="25"/>
      <c r="O39" s="25"/>
    </row>
    <row r="40" spans="1:15" x14ac:dyDescent="0.5">
      <c r="A40" s="29"/>
      <c r="B40" s="29"/>
      <c r="C40" s="29"/>
      <c r="D40" s="31"/>
      <c r="E40" s="201"/>
      <c r="F40" s="29"/>
      <c r="G40" s="33"/>
      <c r="H40" s="31"/>
      <c r="I40" s="31"/>
      <c r="J40" s="190"/>
      <c r="K40" s="31"/>
      <c r="L40" s="31"/>
      <c r="M40" s="25"/>
      <c r="N40" s="25"/>
      <c r="O40" s="25"/>
    </row>
    <row r="41" spans="1:15" x14ac:dyDescent="0.5">
      <c r="A41" s="211" t="s">
        <v>42</v>
      </c>
      <c r="B41" s="211"/>
      <c r="C41" s="211"/>
      <c r="D41" s="211"/>
      <c r="E41" s="211"/>
      <c r="F41" s="211"/>
      <c r="G41" s="211"/>
      <c r="H41" s="211"/>
      <c r="I41" s="31"/>
      <c r="J41" s="190"/>
      <c r="K41" s="31"/>
      <c r="L41" s="31"/>
      <c r="M41" s="25"/>
      <c r="N41" s="25"/>
      <c r="O41" s="25"/>
    </row>
    <row r="42" spans="1:15" x14ac:dyDescent="0.5">
      <c r="A42" s="34" t="s">
        <v>43</v>
      </c>
      <c r="B42" s="29"/>
      <c r="C42" s="29"/>
      <c r="D42" s="35"/>
      <c r="E42" s="75"/>
      <c r="F42" s="29"/>
      <c r="G42" s="33"/>
      <c r="H42" s="31">
        <f>H38</f>
        <v>1448167.6624295427</v>
      </c>
      <c r="I42" s="31"/>
      <c r="J42" s="190"/>
      <c r="K42" s="31"/>
      <c r="L42" s="31"/>
      <c r="M42" s="25"/>
      <c r="N42" s="25"/>
      <c r="O42" s="25"/>
    </row>
    <row r="43" spans="1:15" x14ac:dyDescent="0.5">
      <c r="A43" s="29" t="s">
        <v>44</v>
      </c>
      <c r="B43" s="29"/>
      <c r="C43" s="29"/>
      <c r="D43" s="35"/>
      <c r="E43" s="75"/>
      <c r="F43" s="29"/>
      <c r="G43" s="2"/>
      <c r="H43" s="205">
        <v>0.88</v>
      </c>
      <c r="I43" s="31"/>
      <c r="J43" s="190"/>
      <c r="K43" s="31"/>
      <c r="L43" s="31"/>
      <c r="M43" s="25"/>
      <c r="N43" s="25"/>
      <c r="O43" s="25"/>
    </row>
    <row r="44" spans="1:15" x14ac:dyDescent="0.5">
      <c r="A44" s="34" t="s">
        <v>45</v>
      </c>
      <c r="B44" s="29"/>
      <c r="C44" s="29"/>
      <c r="D44" s="35"/>
      <c r="E44" s="75"/>
      <c r="F44" s="29"/>
      <c r="G44" s="33"/>
      <c r="H44" s="31">
        <f>H42/H43</f>
        <v>1645645.0709426622</v>
      </c>
      <c r="I44" s="31"/>
      <c r="K44" s="31"/>
      <c r="L44" s="31"/>
      <c r="M44" s="25"/>
      <c r="N44" s="25"/>
      <c r="O44" s="25"/>
    </row>
    <row r="45" spans="1:15" x14ac:dyDescent="0.5">
      <c r="A45" s="29" t="s">
        <v>46</v>
      </c>
      <c r="B45" s="29"/>
      <c r="C45" s="29" t="s">
        <v>47</v>
      </c>
      <c r="D45" s="35"/>
      <c r="E45" s="75"/>
      <c r="F45" s="29"/>
      <c r="G45" s="33"/>
      <c r="H45" s="92">
        <f>-SUM(H11:H13)</f>
        <v>-55953</v>
      </c>
      <c r="I45" s="31"/>
      <c r="K45" s="31"/>
      <c r="L45" s="31"/>
      <c r="M45" s="25"/>
      <c r="N45" s="25"/>
      <c r="O45" s="25"/>
    </row>
    <row r="46" spans="1:15" ht="16.5" x14ac:dyDescent="0.5">
      <c r="A46" s="29"/>
      <c r="B46" s="29"/>
      <c r="C46" s="29" t="s">
        <v>48</v>
      </c>
      <c r="D46" s="35"/>
      <c r="E46" s="75"/>
      <c r="F46" s="29"/>
      <c r="G46" s="33"/>
      <c r="H46" s="91">
        <v>-3282</v>
      </c>
      <c r="I46" s="31"/>
      <c r="K46" s="31"/>
      <c r="L46" s="31"/>
      <c r="M46" s="25"/>
      <c r="N46" s="25"/>
      <c r="O46" s="25"/>
    </row>
    <row r="47" spans="1:15" x14ac:dyDescent="0.5">
      <c r="A47" s="34" t="s">
        <v>49</v>
      </c>
      <c r="B47" s="29"/>
      <c r="C47" s="29"/>
      <c r="D47" s="35"/>
      <c r="E47" s="75"/>
      <c r="F47" s="29"/>
      <c r="G47" s="33"/>
      <c r="H47" s="31">
        <f>SUM(H44:H46)</f>
        <v>1586410.0709426622</v>
      </c>
      <c r="J47" s="192"/>
      <c r="K47" s="43"/>
      <c r="L47" s="31"/>
      <c r="M47" s="29"/>
      <c r="N47" s="29"/>
      <c r="O47" s="29"/>
    </row>
    <row r="48" spans="1:15" ht="16.5" x14ac:dyDescent="0.5">
      <c r="A48" s="29" t="s">
        <v>46</v>
      </c>
      <c r="B48" s="29"/>
      <c r="C48" s="29" t="s">
        <v>50</v>
      </c>
      <c r="D48" s="35"/>
      <c r="E48" s="75"/>
      <c r="F48" s="29"/>
      <c r="G48" s="33"/>
      <c r="H48" s="91">
        <f>-SUM(H7:H9)</f>
        <v>-1327932.0529999998</v>
      </c>
      <c r="I48" s="31"/>
      <c r="J48" s="1"/>
      <c r="K48" s="31"/>
      <c r="L48" s="31"/>
      <c r="M48" s="29"/>
      <c r="N48" s="29"/>
      <c r="O48" s="29"/>
    </row>
    <row r="49" spans="1:15" x14ac:dyDescent="0.5">
      <c r="A49" s="34" t="s">
        <v>51</v>
      </c>
      <c r="B49" s="29"/>
      <c r="C49" s="29"/>
      <c r="D49" s="35"/>
      <c r="E49" s="75"/>
      <c r="F49" s="29"/>
      <c r="G49" s="33"/>
      <c r="H49" s="31">
        <f>H47+H48</f>
        <v>258478.01794266235</v>
      </c>
      <c r="I49" s="31"/>
      <c r="J49" s="1"/>
      <c r="K49" s="31"/>
      <c r="L49" s="31"/>
      <c r="M49" s="29"/>
      <c r="N49" s="29"/>
      <c r="O49" s="29"/>
    </row>
    <row r="50" spans="1:15" ht="16.5" x14ac:dyDescent="0.5">
      <c r="A50" s="34" t="s">
        <v>52</v>
      </c>
      <c r="B50" s="29"/>
      <c r="C50" s="29"/>
      <c r="D50" s="35"/>
      <c r="E50" s="75"/>
      <c r="F50" s="29"/>
      <c r="G50" s="33"/>
      <c r="H50" s="42">
        <f>ROUND(H49/-H48,4)</f>
        <v>0.1946</v>
      </c>
      <c r="I50" s="25"/>
      <c r="K50" s="36"/>
      <c r="L50" s="91"/>
      <c r="M50" s="29"/>
      <c r="N50" s="29"/>
      <c r="O50" s="29"/>
    </row>
    <row r="51" spans="1:15" x14ac:dyDescent="0.5">
      <c r="A51" s="22"/>
      <c r="B51" s="22"/>
      <c r="C51" s="22"/>
      <c r="D51" s="35"/>
      <c r="E51" s="75"/>
      <c r="F51" s="22"/>
      <c r="H51" s="35"/>
      <c r="J51" s="1"/>
      <c r="K51" s="22"/>
      <c r="L51" s="22"/>
      <c r="M51" s="22"/>
      <c r="N51" s="22"/>
      <c r="O51" s="22"/>
    </row>
    <row r="52" spans="1:15" x14ac:dyDescent="0.5">
      <c r="D52" s="133"/>
      <c r="E52" s="203"/>
      <c r="F52" s="112"/>
      <c r="H52" s="31"/>
      <c r="I52" s="112"/>
      <c r="J52" s="1"/>
      <c r="K52" s="22"/>
      <c r="L52" s="22"/>
      <c r="M52" s="22"/>
      <c r="N52" s="22"/>
      <c r="O52" s="22"/>
    </row>
    <row r="53" spans="1:15" x14ac:dyDescent="0.5">
      <c r="D53" s="133"/>
      <c r="E53" s="203"/>
      <c r="F53" s="112"/>
      <c r="I53" s="112"/>
      <c r="J53" s="1"/>
      <c r="K53" s="22"/>
      <c r="L53" s="22"/>
      <c r="M53" s="22"/>
      <c r="N53" s="22"/>
      <c r="O53" s="22"/>
    </row>
    <row r="54" spans="1:15" x14ac:dyDescent="0.5">
      <c r="D54" s="133"/>
      <c r="E54" s="203"/>
      <c r="F54" s="113"/>
      <c r="I54" s="113"/>
      <c r="J54" s="1"/>
      <c r="K54" s="22"/>
      <c r="L54" s="22"/>
      <c r="M54" s="22"/>
      <c r="N54" s="22"/>
      <c r="O54" s="22"/>
    </row>
  </sheetData>
  <mergeCells count="3">
    <mergeCell ref="A2:H2"/>
    <mergeCell ref="A41:H41"/>
    <mergeCell ref="A3:H3"/>
  </mergeCells>
  <printOptions horizontalCentered="1"/>
  <pageMargins left="1.1000000000000001" right="1" top="0.6" bottom="0.5" header="0" footer="0"/>
  <pageSetup scale="89" orientation="portrait" horizontalDpi="4294967293" r:id="rId1"/>
  <headerFooter alignWithMargins="0"/>
  <ignoredErrors>
    <ignoredError sqref="H31 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D38"/>
  <sheetViews>
    <sheetView showGridLines="0" workbookViewId="0">
      <selection activeCell="L22" sqref="L22"/>
    </sheetView>
  </sheetViews>
  <sheetFormatPr defaultRowHeight="15" x14ac:dyDescent="0.4"/>
  <cols>
    <col min="2" max="2" width="1.109375" customWidth="1"/>
    <col min="3" max="3" width="4.77734375" customWidth="1"/>
    <col min="4" max="4" width="6.5546875" customWidth="1"/>
    <col min="5" max="5" width="5.5546875" customWidth="1"/>
    <col min="6" max="6" width="7.109375" customWidth="1"/>
    <col min="7" max="7" width="13.33203125" customWidth="1"/>
    <col min="8" max="8" width="1.21875" customWidth="1"/>
    <col min="9" max="9" width="4.77734375" customWidth="1"/>
    <col min="10" max="10" width="6.5546875" customWidth="1"/>
    <col min="11" max="11" width="5.5546875" customWidth="1"/>
    <col min="12" max="12" width="7.109375" customWidth="1"/>
    <col min="13" max="13" width="13.33203125" customWidth="1"/>
  </cols>
  <sheetData>
    <row r="1" spans="2:30" ht="23.25" x14ac:dyDescent="0.7">
      <c r="S1" s="232" t="s">
        <v>191</v>
      </c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</row>
    <row r="4" spans="2:30" ht="21.95" customHeight="1" x14ac:dyDescent="0.4"/>
    <row r="5" spans="2:30" ht="18" x14ac:dyDescent="0.55000000000000004">
      <c r="B5" s="11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2:30" ht="21.95" customHeight="1" x14ac:dyDescent="0.55000000000000004">
      <c r="B6" s="114"/>
      <c r="C6" s="235" t="s">
        <v>146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</row>
    <row r="7" spans="2:30" ht="21.95" customHeight="1" x14ac:dyDescent="0.55000000000000004">
      <c r="B7" s="114"/>
      <c r="C7" s="235" t="s">
        <v>192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</row>
    <row r="8" spans="2:30" ht="21.95" customHeight="1" x14ac:dyDescent="0.55000000000000004">
      <c r="B8" s="114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2:30" ht="30" customHeight="1" x14ac:dyDescent="0.45">
      <c r="B9" s="117"/>
      <c r="C9" s="233" t="s">
        <v>193</v>
      </c>
      <c r="D9" s="233"/>
      <c r="E9" s="233"/>
      <c r="F9" s="233"/>
      <c r="G9" s="233"/>
      <c r="H9" s="233"/>
      <c r="I9" s="233"/>
      <c r="J9" s="233"/>
      <c r="K9" s="233"/>
      <c r="L9" s="233"/>
      <c r="M9" s="234"/>
    </row>
    <row r="10" spans="2:30" ht="15.4" x14ac:dyDescent="0.45">
      <c r="B10" s="115"/>
      <c r="C10" s="118"/>
      <c r="D10" s="118"/>
      <c r="E10" s="118"/>
      <c r="F10" s="118"/>
      <c r="G10" s="119"/>
      <c r="H10" s="115"/>
      <c r="I10" s="118"/>
      <c r="J10" s="118"/>
      <c r="K10" s="118"/>
      <c r="L10" s="118"/>
      <c r="M10" s="119"/>
    </row>
    <row r="11" spans="2:30" ht="15.4" x14ac:dyDescent="0.45">
      <c r="B11" s="120"/>
      <c r="C11" s="230" t="s">
        <v>147</v>
      </c>
      <c r="D11" s="230"/>
      <c r="E11" s="230"/>
      <c r="F11" s="230"/>
      <c r="G11" s="231"/>
      <c r="H11" s="114"/>
      <c r="I11" s="230" t="s">
        <v>148</v>
      </c>
      <c r="J11" s="230"/>
      <c r="K11" s="230"/>
      <c r="L11" s="230"/>
      <c r="M11" s="231"/>
    </row>
    <row r="12" spans="2:30" ht="15.4" x14ac:dyDescent="0.45">
      <c r="B12" s="120"/>
      <c r="C12" s="114"/>
      <c r="D12" s="114"/>
      <c r="E12" s="114"/>
      <c r="F12" s="114"/>
      <c r="G12" s="121"/>
      <c r="H12" s="114"/>
      <c r="I12" s="114"/>
      <c r="J12" s="114"/>
      <c r="K12" s="114"/>
      <c r="L12" s="114"/>
      <c r="M12" s="121"/>
    </row>
    <row r="13" spans="2:30" ht="15.4" x14ac:dyDescent="0.45">
      <c r="B13" s="120"/>
      <c r="C13" s="10" t="s">
        <v>182</v>
      </c>
      <c r="D13" s="1"/>
      <c r="E13" s="1"/>
      <c r="F13" s="1"/>
      <c r="G13" s="74"/>
      <c r="H13" s="114"/>
      <c r="I13" s="10" t="s">
        <v>182</v>
      </c>
      <c r="J13" s="1"/>
      <c r="K13" s="1"/>
      <c r="L13" s="80"/>
      <c r="M13" s="74"/>
    </row>
    <row r="14" spans="2:30" ht="15.4" x14ac:dyDescent="0.45">
      <c r="B14" s="120"/>
      <c r="C14" s="13" t="s">
        <v>152</v>
      </c>
      <c r="D14" s="75">
        <v>2000</v>
      </c>
      <c r="E14" s="1" t="s">
        <v>153</v>
      </c>
      <c r="F14" s="76">
        <v>27.48</v>
      </c>
      <c r="G14" s="74" t="s">
        <v>154</v>
      </c>
      <c r="H14" s="114"/>
      <c r="I14" s="13" t="s">
        <v>152</v>
      </c>
      <c r="J14" s="75">
        <v>2000</v>
      </c>
      <c r="K14" s="1" t="s">
        <v>153</v>
      </c>
      <c r="L14" s="76">
        <f>ROUND(F14*(1+(SAO!$H$50)),2)</f>
        <v>32.83</v>
      </c>
      <c r="M14" s="74" t="s">
        <v>154</v>
      </c>
    </row>
    <row r="15" spans="2:30" ht="15.4" x14ac:dyDescent="0.45">
      <c r="B15" s="120"/>
      <c r="C15" s="13" t="s">
        <v>155</v>
      </c>
      <c r="D15" s="75">
        <v>2000</v>
      </c>
      <c r="E15" s="1" t="s">
        <v>153</v>
      </c>
      <c r="F15" s="77">
        <v>8.09</v>
      </c>
      <c r="G15" s="74" t="s">
        <v>156</v>
      </c>
      <c r="H15" s="114"/>
      <c r="I15" s="13" t="s">
        <v>155</v>
      </c>
      <c r="J15" s="75">
        <v>2000</v>
      </c>
      <c r="K15" s="1" t="s">
        <v>153</v>
      </c>
      <c r="L15" s="77">
        <f>ROUND(F15*(1+(SAO!$H$50)),2)</f>
        <v>9.66</v>
      </c>
      <c r="M15" s="74" t="s">
        <v>156</v>
      </c>
    </row>
    <row r="16" spans="2:30" ht="15.4" x14ac:dyDescent="0.45">
      <c r="B16" s="120"/>
      <c r="C16" s="13" t="s">
        <v>155</v>
      </c>
      <c r="D16" s="75">
        <v>2000</v>
      </c>
      <c r="E16" s="1" t="s">
        <v>153</v>
      </c>
      <c r="F16" s="77">
        <v>7.99</v>
      </c>
      <c r="G16" s="74" t="s">
        <v>156</v>
      </c>
      <c r="H16" s="114"/>
      <c r="I16" s="13" t="s">
        <v>155</v>
      </c>
      <c r="J16" s="75">
        <v>2000</v>
      </c>
      <c r="K16" s="1" t="s">
        <v>153</v>
      </c>
      <c r="L16" s="77">
        <f>ROUND(F16*(1+(SAO!$H$50)),2)</f>
        <v>9.5399999999999991</v>
      </c>
      <c r="M16" s="74" t="s">
        <v>156</v>
      </c>
    </row>
    <row r="17" spans="2:13" ht="15.4" x14ac:dyDescent="0.45">
      <c r="B17" s="120"/>
      <c r="C17" s="13" t="s">
        <v>155</v>
      </c>
      <c r="D17" s="75">
        <v>10000</v>
      </c>
      <c r="E17" s="1" t="s">
        <v>153</v>
      </c>
      <c r="F17" s="77">
        <v>7.89</v>
      </c>
      <c r="G17" s="74" t="s">
        <v>156</v>
      </c>
      <c r="H17" s="114"/>
      <c r="I17" s="13" t="s">
        <v>155</v>
      </c>
      <c r="J17" s="75">
        <v>10000</v>
      </c>
      <c r="K17" s="1" t="s">
        <v>153</v>
      </c>
      <c r="L17" s="77">
        <f>ROUND(F17*(1+(SAO!$H$50)),2)</f>
        <v>9.43</v>
      </c>
      <c r="M17" s="74" t="s">
        <v>156</v>
      </c>
    </row>
    <row r="18" spans="2:13" ht="15.4" x14ac:dyDescent="0.45">
      <c r="B18" s="120"/>
      <c r="C18" s="13" t="s">
        <v>155</v>
      </c>
      <c r="D18" s="75">
        <v>8000</v>
      </c>
      <c r="E18" s="1" t="s">
        <v>153</v>
      </c>
      <c r="F18" s="77">
        <v>7.79</v>
      </c>
      <c r="G18" s="74" t="s">
        <v>156</v>
      </c>
      <c r="H18" s="114"/>
      <c r="I18" s="13" t="s">
        <v>155</v>
      </c>
      <c r="J18" s="75">
        <v>8000</v>
      </c>
      <c r="K18" s="1" t="s">
        <v>153</v>
      </c>
      <c r="L18" s="77">
        <f>ROUND(F18*(1+(SAO!$H$50)),2)</f>
        <v>9.31</v>
      </c>
      <c r="M18" s="74" t="s">
        <v>156</v>
      </c>
    </row>
    <row r="19" spans="2:13" ht="15.4" x14ac:dyDescent="0.45">
      <c r="B19" s="120"/>
      <c r="C19" s="13" t="s">
        <v>157</v>
      </c>
      <c r="D19" s="75">
        <v>24000</v>
      </c>
      <c r="E19" s="1" t="s">
        <v>153</v>
      </c>
      <c r="F19" s="77">
        <v>7.69</v>
      </c>
      <c r="G19" s="74" t="s">
        <v>156</v>
      </c>
      <c r="H19" s="114"/>
      <c r="I19" s="13" t="s">
        <v>157</v>
      </c>
      <c r="J19" s="75">
        <v>24000</v>
      </c>
      <c r="K19" s="1" t="s">
        <v>153</v>
      </c>
      <c r="L19" s="77">
        <f>ROUND(F19*(1+(SAO!$H$50)),2)</f>
        <v>9.19</v>
      </c>
      <c r="M19" s="74" t="s">
        <v>156</v>
      </c>
    </row>
    <row r="20" spans="2:13" ht="15.4" x14ac:dyDescent="0.45">
      <c r="B20" s="120"/>
      <c r="C20" s="75"/>
      <c r="D20" s="1"/>
      <c r="E20" s="1"/>
      <c r="F20" s="1"/>
      <c r="G20" s="74"/>
      <c r="H20" s="114"/>
      <c r="I20" s="75"/>
      <c r="J20" s="1"/>
      <c r="K20" s="1"/>
      <c r="L20" s="1"/>
      <c r="M20" s="74"/>
    </row>
    <row r="21" spans="2:13" ht="15.4" x14ac:dyDescent="0.45">
      <c r="B21" s="120"/>
      <c r="C21" s="10" t="s">
        <v>186</v>
      </c>
      <c r="D21" s="1"/>
      <c r="E21" s="1"/>
      <c r="F21" s="1"/>
      <c r="G21" s="74"/>
      <c r="H21" s="114"/>
      <c r="I21" s="10" t="s">
        <v>186</v>
      </c>
      <c r="J21" s="1"/>
      <c r="K21" s="1"/>
      <c r="L21" s="1"/>
      <c r="M21" s="74"/>
    </row>
    <row r="22" spans="2:13" ht="15.4" x14ac:dyDescent="0.45">
      <c r="B22" s="120"/>
      <c r="C22" s="13" t="s">
        <v>152</v>
      </c>
      <c r="D22" s="75">
        <v>10000</v>
      </c>
      <c r="E22" s="1" t="s">
        <v>153</v>
      </c>
      <c r="F22" s="76">
        <v>91.2</v>
      </c>
      <c r="G22" s="74" t="s">
        <v>154</v>
      </c>
      <c r="H22" s="114"/>
      <c r="I22" s="13" t="s">
        <v>152</v>
      </c>
      <c r="J22" s="75">
        <v>10000</v>
      </c>
      <c r="K22" s="1" t="s">
        <v>153</v>
      </c>
      <c r="L22" s="144">
        <f>L14+2*L15+2*L16+4*L17</f>
        <v>108.94999999999999</v>
      </c>
      <c r="M22" s="74" t="s">
        <v>154</v>
      </c>
    </row>
    <row r="23" spans="2:13" ht="15.4" x14ac:dyDescent="0.45">
      <c r="B23" s="120"/>
      <c r="C23" s="13" t="s">
        <v>155</v>
      </c>
      <c r="D23" s="75">
        <v>6000</v>
      </c>
      <c r="E23" s="1" t="s">
        <v>153</v>
      </c>
      <c r="F23" s="143">
        <v>7.89</v>
      </c>
      <c r="G23" s="74" t="s">
        <v>156</v>
      </c>
      <c r="H23" s="114"/>
      <c r="I23" s="13" t="s">
        <v>155</v>
      </c>
      <c r="J23" s="75">
        <v>6000</v>
      </c>
      <c r="K23" s="1" t="s">
        <v>153</v>
      </c>
      <c r="L23" s="77">
        <f>ROUND(F23*(1+(SAO!$H$50)),2)</f>
        <v>9.43</v>
      </c>
      <c r="M23" s="74" t="s">
        <v>156</v>
      </c>
    </row>
    <row r="24" spans="2:13" ht="15.4" x14ac:dyDescent="0.45">
      <c r="B24" s="120"/>
      <c r="C24" s="13" t="s">
        <v>155</v>
      </c>
      <c r="D24" s="75">
        <v>8000</v>
      </c>
      <c r="E24" s="1" t="s">
        <v>153</v>
      </c>
      <c r="F24" s="143">
        <v>7.79</v>
      </c>
      <c r="G24" s="74" t="s">
        <v>156</v>
      </c>
      <c r="H24" s="114"/>
      <c r="I24" s="13" t="s">
        <v>155</v>
      </c>
      <c r="J24" s="75">
        <v>8000</v>
      </c>
      <c r="K24" s="1" t="s">
        <v>153</v>
      </c>
      <c r="L24" s="77">
        <f>ROUND(F24*(1+(SAO!$H$50)),2)</f>
        <v>9.31</v>
      </c>
      <c r="M24" s="74" t="s">
        <v>156</v>
      </c>
    </row>
    <row r="25" spans="2:13" ht="15.4" x14ac:dyDescent="0.45">
      <c r="B25" s="120"/>
      <c r="C25" s="13" t="s">
        <v>157</v>
      </c>
      <c r="D25" s="75">
        <v>24000</v>
      </c>
      <c r="E25" s="1" t="s">
        <v>153</v>
      </c>
      <c r="F25" s="77">
        <v>7.69</v>
      </c>
      <c r="G25" s="74" t="s">
        <v>156</v>
      </c>
      <c r="H25" s="114"/>
      <c r="I25" s="13" t="s">
        <v>157</v>
      </c>
      <c r="J25" s="75">
        <v>24000</v>
      </c>
      <c r="K25" s="1" t="s">
        <v>153</v>
      </c>
      <c r="L25" s="77">
        <f>ROUND(F25*(1+(SAO!$H$50)),2)</f>
        <v>9.19</v>
      </c>
      <c r="M25" s="74" t="s">
        <v>156</v>
      </c>
    </row>
    <row r="26" spans="2:13" ht="15.4" x14ac:dyDescent="0.45">
      <c r="B26" s="120"/>
      <c r="C26" s="75"/>
      <c r="D26" s="1"/>
      <c r="E26" s="1"/>
      <c r="F26" s="1"/>
      <c r="G26" s="74"/>
      <c r="H26" s="114"/>
      <c r="I26" s="75"/>
      <c r="J26" s="1"/>
      <c r="K26" s="1"/>
      <c r="L26" s="1"/>
      <c r="M26" s="74"/>
    </row>
    <row r="27" spans="2:13" ht="15.4" x14ac:dyDescent="0.45">
      <c r="B27" s="120"/>
      <c r="C27" s="10" t="s">
        <v>187</v>
      </c>
      <c r="D27" s="1"/>
      <c r="E27" s="1"/>
      <c r="F27" s="1"/>
      <c r="G27" s="74"/>
      <c r="H27" s="114"/>
      <c r="I27" s="10" t="s">
        <v>187</v>
      </c>
      <c r="J27" s="1"/>
      <c r="K27" s="1"/>
      <c r="L27" s="1"/>
      <c r="M27" s="74"/>
    </row>
    <row r="28" spans="2:13" ht="15.4" x14ac:dyDescent="0.45">
      <c r="B28" s="120"/>
      <c r="C28" s="13" t="s">
        <v>152</v>
      </c>
      <c r="D28" s="75">
        <v>24000</v>
      </c>
      <c r="E28" s="1" t="s">
        <v>153</v>
      </c>
      <c r="F28" s="76">
        <v>200.86</v>
      </c>
      <c r="G28" s="74" t="s">
        <v>154</v>
      </c>
      <c r="H28" s="114"/>
      <c r="I28" s="13" t="s">
        <v>152</v>
      </c>
      <c r="J28" s="75">
        <v>24000</v>
      </c>
      <c r="K28" s="1" t="s">
        <v>153</v>
      </c>
      <c r="L28" s="144">
        <f>L14+2*L15+2*L16+10*L17+8*L18</f>
        <v>240.01</v>
      </c>
      <c r="M28" s="74" t="s">
        <v>154</v>
      </c>
    </row>
    <row r="29" spans="2:13" ht="15.4" x14ac:dyDescent="0.45">
      <c r="B29" s="120"/>
      <c r="C29" s="13" t="s">
        <v>157</v>
      </c>
      <c r="D29" s="75">
        <v>24000</v>
      </c>
      <c r="E29" s="1" t="s">
        <v>153</v>
      </c>
      <c r="F29" s="77">
        <v>7.69</v>
      </c>
      <c r="G29" s="74" t="s">
        <v>156</v>
      </c>
      <c r="H29" s="114"/>
      <c r="I29" s="13" t="s">
        <v>157</v>
      </c>
      <c r="J29" s="75">
        <v>24000</v>
      </c>
      <c r="K29" s="1" t="s">
        <v>153</v>
      </c>
      <c r="L29" s="77">
        <f>ROUND(F29*(1+(SAO!$H$50)),2)</f>
        <v>9.19</v>
      </c>
      <c r="M29" s="74" t="s">
        <v>156</v>
      </c>
    </row>
    <row r="30" spans="2:13" ht="15.4" x14ac:dyDescent="0.45">
      <c r="B30" s="116"/>
      <c r="C30" s="122"/>
      <c r="D30" s="123"/>
      <c r="E30" s="123"/>
      <c r="F30" s="123"/>
      <c r="G30" s="124"/>
      <c r="H30" s="123"/>
      <c r="I30" s="123"/>
      <c r="J30" s="123"/>
      <c r="K30" s="123"/>
      <c r="L30" s="123"/>
      <c r="M30" s="124"/>
    </row>
    <row r="31" spans="2:13" ht="30" customHeight="1" x14ac:dyDescent="0.45">
      <c r="B31" s="117"/>
      <c r="C31" s="233" t="s">
        <v>194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4"/>
    </row>
    <row r="32" spans="2:13" ht="15.4" x14ac:dyDescent="0.45">
      <c r="B32" s="115"/>
      <c r="C32" s="118"/>
      <c r="D32" s="118"/>
      <c r="E32" s="118"/>
      <c r="F32" s="118"/>
      <c r="G32" s="119"/>
      <c r="H32" s="115"/>
      <c r="I32" s="118"/>
      <c r="J32" s="118"/>
      <c r="K32" s="118"/>
      <c r="L32" s="118"/>
      <c r="M32" s="119"/>
    </row>
    <row r="33" spans="2:13" ht="15.4" x14ac:dyDescent="0.45">
      <c r="B33" s="120"/>
      <c r="C33" s="230" t="s">
        <v>147</v>
      </c>
      <c r="D33" s="230"/>
      <c r="E33" s="230"/>
      <c r="F33" s="230"/>
      <c r="G33" s="231"/>
      <c r="H33" s="114"/>
      <c r="I33" s="230" t="s">
        <v>148</v>
      </c>
      <c r="J33" s="230"/>
      <c r="K33" s="230"/>
      <c r="L33" s="230"/>
      <c r="M33" s="231"/>
    </row>
    <row r="34" spans="2:13" ht="15.4" x14ac:dyDescent="0.45">
      <c r="B34" s="120"/>
      <c r="C34" s="114"/>
      <c r="D34" s="114"/>
      <c r="E34" s="114"/>
      <c r="F34" s="114"/>
      <c r="G34" s="121"/>
      <c r="H34" s="114"/>
      <c r="I34" s="114"/>
      <c r="J34" s="114"/>
      <c r="K34" s="114"/>
      <c r="L34" s="114"/>
      <c r="M34" s="121"/>
    </row>
    <row r="35" spans="2:13" ht="15.4" x14ac:dyDescent="0.45">
      <c r="B35" s="120"/>
      <c r="C35" s="10" t="s">
        <v>189</v>
      </c>
      <c r="D35" s="1"/>
      <c r="E35" s="1"/>
      <c r="F35" s="1"/>
      <c r="G35" s="74"/>
      <c r="H35" s="114"/>
      <c r="I35" s="10" t="s">
        <v>189</v>
      </c>
      <c r="J35" s="1"/>
      <c r="K35" s="1"/>
      <c r="L35" s="80"/>
      <c r="M35" s="74"/>
    </row>
    <row r="36" spans="2:13" ht="15.4" x14ac:dyDescent="0.45">
      <c r="B36" s="120"/>
      <c r="C36" s="13" t="s">
        <v>152</v>
      </c>
      <c r="D36" s="109">
        <v>2000</v>
      </c>
      <c r="E36" s="1" t="s">
        <v>153</v>
      </c>
      <c r="F36" s="110">
        <v>26.84</v>
      </c>
      <c r="G36" s="74" t="s">
        <v>154</v>
      </c>
      <c r="H36" s="114"/>
      <c r="I36" s="13" t="s">
        <v>152</v>
      </c>
      <c r="J36" s="109">
        <f>D36</f>
        <v>2000</v>
      </c>
      <c r="K36" s="1" t="s">
        <v>153</v>
      </c>
      <c r="L36" s="110" t="e">
        <f>ROUND(F36*(1+#REF!),2)</f>
        <v>#REF!</v>
      </c>
      <c r="M36" s="74" t="s">
        <v>154</v>
      </c>
    </row>
    <row r="37" spans="2:13" ht="15.4" x14ac:dyDescent="0.45">
      <c r="B37" s="120"/>
      <c r="C37" s="13" t="s">
        <v>157</v>
      </c>
      <c r="D37" s="109">
        <v>2000</v>
      </c>
      <c r="E37" s="1" t="s">
        <v>153</v>
      </c>
      <c r="F37" s="135">
        <v>1.342E-2</v>
      </c>
      <c r="G37" s="74" t="s">
        <v>190</v>
      </c>
      <c r="H37" s="114"/>
      <c r="I37" s="13" t="s">
        <v>157</v>
      </c>
      <c r="J37" s="109">
        <f t="shared" ref="J37" si="0">D37</f>
        <v>2000</v>
      </c>
      <c r="K37" s="1" t="s">
        <v>153</v>
      </c>
      <c r="L37" s="136" t="e">
        <f>ROUND(F37*(1+#REF!),5)</f>
        <v>#REF!</v>
      </c>
      <c r="M37" s="74" t="s">
        <v>190</v>
      </c>
    </row>
    <row r="38" spans="2:13" ht="15.4" x14ac:dyDescent="0.45">
      <c r="B38" s="116"/>
      <c r="C38" s="125"/>
      <c r="D38" s="123"/>
      <c r="E38" s="123"/>
      <c r="F38" s="123"/>
      <c r="G38" s="124"/>
      <c r="H38" s="123"/>
      <c r="I38" s="123"/>
      <c r="J38" s="123"/>
      <c r="K38" s="123"/>
      <c r="L38" s="123"/>
      <c r="M38" s="124"/>
    </row>
  </sheetData>
  <mergeCells count="10">
    <mergeCell ref="C11:G11"/>
    <mergeCell ref="I11:M11"/>
    <mergeCell ref="S1:AD1"/>
    <mergeCell ref="C33:G33"/>
    <mergeCell ref="I33:M33"/>
    <mergeCell ref="C31:M31"/>
    <mergeCell ref="C5:M5"/>
    <mergeCell ref="C6:M6"/>
    <mergeCell ref="C7:M7"/>
    <mergeCell ref="C9:M9"/>
  </mergeCells>
  <printOptions horizontalCentered="1"/>
  <pageMargins left="0.8" right="0.7" top="1" bottom="0.75" header="0.3" footer="0.3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10DDD-E12D-4D0B-A384-15D5AB8352BE}">
  <dimension ref="A1"/>
  <sheetViews>
    <sheetView workbookViewId="0"/>
  </sheetViews>
  <sheetFormatPr defaultRowHeight="15" x14ac:dyDescent="0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FF69-8A7A-4C4F-84DD-B476A95EF8D4}">
  <dimension ref="A1:J17"/>
  <sheetViews>
    <sheetView workbookViewId="0">
      <selection activeCell="H27" sqref="H27"/>
    </sheetView>
  </sheetViews>
  <sheetFormatPr defaultRowHeight="14.25" x14ac:dyDescent="0.45"/>
  <cols>
    <col min="1" max="1" width="8.88671875" style="1"/>
    <col min="2" max="3" width="8.88671875" style="182"/>
    <col min="4" max="4" width="26.33203125" style="1" bestFit="1" customWidth="1"/>
    <col min="5" max="5" width="10.21875" style="1" customWidth="1"/>
    <col min="6" max="6" width="9.88671875" style="1" bestFit="1" customWidth="1"/>
    <col min="7" max="7" width="8.88671875" style="1"/>
    <col min="8" max="8" width="11.77734375" style="1" customWidth="1"/>
    <col min="9" max="9" width="9.88671875" style="1" bestFit="1" customWidth="1"/>
    <col min="10" max="10" width="10.33203125" style="1" bestFit="1" customWidth="1"/>
    <col min="11" max="16384" width="8.88671875" style="1"/>
  </cols>
  <sheetData>
    <row r="1" spans="1:10" x14ac:dyDescent="0.45">
      <c r="A1" s="178" t="s">
        <v>53</v>
      </c>
      <c r="B1" s="182" t="s">
        <v>54</v>
      </c>
      <c r="D1" s="179" t="s">
        <v>55</v>
      </c>
      <c r="E1" s="45" t="s">
        <v>56</v>
      </c>
      <c r="F1" s="179" t="s">
        <v>57</v>
      </c>
      <c r="G1" s="179" t="s">
        <v>58</v>
      </c>
      <c r="H1" s="45" t="s">
        <v>59</v>
      </c>
    </row>
    <row r="2" spans="1:10" x14ac:dyDescent="0.45">
      <c r="A2" s="180" t="s">
        <v>60</v>
      </c>
      <c r="B2" s="182">
        <v>22.23</v>
      </c>
      <c r="C2" s="182">
        <f>B2+1.5+1</f>
        <v>24.73</v>
      </c>
      <c r="D2" s="179">
        <f>1873.84+104+13.83+88.33</f>
        <v>2080</v>
      </c>
      <c r="E2" s="45">
        <f t="shared" ref="E2:E8" si="0">C2*D2</f>
        <v>51438.400000000001</v>
      </c>
      <c r="F2" s="179">
        <v>11.75</v>
      </c>
      <c r="G2" s="179">
        <f t="shared" ref="G2:G8" si="1">C2*1.5*F2</f>
        <v>435.86624999999998</v>
      </c>
      <c r="H2" s="45">
        <f>E2+G2</f>
        <v>51874.266250000001</v>
      </c>
    </row>
    <row r="3" spans="1:10" x14ac:dyDescent="0.45">
      <c r="A3" s="180" t="s">
        <v>61</v>
      </c>
      <c r="B3" s="182">
        <v>18.62</v>
      </c>
      <c r="C3" s="182">
        <f t="shared" ref="C3:C8" si="2">B3+1.5+1</f>
        <v>21.12</v>
      </c>
      <c r="D3" s="179">
        <f>1882.67+104+93.3</f>
        <v>2079.9700000000003</v>
      </c>
      <c r="E3" s="45">
        <f t="shared" si="0"/>
        <v>43928.966400000005</v>
      </c>
      <c r="F3" s="179">
        <v>2.72</v>
      </c>
      <c r="G3" s="179">
        <f t="shared" si="1"/>
        <v>86.169600000000003</v>
      </c>
      <c r="H3" s="45">
        <f t="shared" ref="H3:H8" si="3">E3+G3</f>
        <v>44015.136000000006</v>
      </c>
    </row>
    <row r="4" spans="1:10" x14ac:dyDescent="0.45">
      <c r="A4" s="180" t="s">
        <v>62</v>
      </c>
      <c r="B4" s="182">
        <v>15.5</v>
      </c>
      <c r="C4" s="182">
        <f t="shared" si="2"/>
        <v>18</v>
      </c>
      <c r="D4" s="179">
        <f>1346.88+65+62.94</f>
        <v>1474.8200000000002</v>
      </c>
      <c r="E4" s="45">
        <f t="shared" si="0"/>
        <v>26546.760000000002</v>
      </c>
      <c r="F4" s="179">
        <v>0</v>
      </c>
      <c r="G4" s="179">
        <f t="shared" si="1"/>
        <v>0</v>
      </c>
      <c r="H4" s="45">
        <f t="shared" si="3"/>
        <v>26546.760000000002</v>
      </c>
    </row>
    <row r="5" spans="1:10" x14ac:dyDescent="0.45">
      <c r="A5" s="180" t="s">
        <v>63</v>
      </c>
      <c r="B5" s="182">
        <v>16.5</v>
      </c>
      <c r="C5" s="182">
        <f t="shared" si="2"/>
        <v>19</v>
      </c>
      <c r="D5" s="179">
        <f>1818.03+104+152</f>
        <v>2074.0299999999997</v>
      </c>
      <c r="E5" s="45">
        <f t="shared" si="0"/>
        <v>39406.569999999992</v>
      </c>
      <c r="F5" s="179">
        <v>162.79</v>
      </c>
      <c r="G5" s="179">
        <f t="shared" si="1"/>
        <v>4639.5149999999994</v>
      </c>
      <c r="H5" s="45">
        <f t="shared" si="3"/>
        <v>44046.084999999992</v>
      </c>
    </row>
    <row r="6" spans="1:10" x14ac:dyDescent="0.45">
      <c r="A6" s="180" t="s">
        <v>63</v>
      </c>
      <c r="B6" s="182">
        <v>21.12</v>
      </c>
      <c r="C6" s="182">
        <f t="shared" si="2"/>
        <v>23.62</v>
      </c>
      <c r="D6" s="179">
        <f>1649.66+104+188.89+107.114</f>
        <v>2049.6640000000002</v>
      </c>
      <c r="E6" s="45">
        <f t="shared" si="0"/>
        <v>48413.063680000007</v>
      </c>
      <c r="F6" s="179">
        <v>211.59</v>
      </c>
      <c r="G6" s="179">
        <f t="shared" si="1"/>
        <v>7496.6337000000003</v>
      </c>
      <c r="H6" s="45">
        <f t="shared" si="3"/>
        <v>55909.697380000005</v>
      </c>
    </row>
    <row r="7" spans="1:10" x14ac:dyDescent="0.45">
      <c r="A7" s="180" t="s">
        <v>64</v>
      </c>
      <c r="B7" s="182">
        <v>18.62</v>
      </c>
      <c r="C7" s="182">
        <f t="shared" si="2"/>
        <v>21.12</v>
      </c>
      <c r="D7" s="179">
        <f>1872.68+104+103.32</f>
        <v>2080</v>
      </c>
      <c r="E7" s="45">
        <f t="shared" si="0"/>
        <v>43929.599999999999</v>
      </c>
      <c r="F7" s="179">
        <v>247.4</v>
      </c>
      <c r="G7" s="179">
        <f t="shared" si="1"/>
        <v>7837.6320000000005</v>
      </c>
      <c r="H7" s="45">
        <f t="shared" si="3"/>
        <v>51767.231999999996</v>
      </c>
    </row>
    <row r="8" spans="1:10" x14ac:dyDescent="0.45">
      <c r="A8" s="180" t="s">
        <v>65</v>
      </c>
      <c r="B8" s="182">
        <v>28.66</v>
      </c>
      <c r="C8" s="182">
        <f t="shared" si="2"/>
        <v>31.16</v>
      </c>
      <c r="D8" s="181">
        <v>2080</v>
      </c>
      <c r="E8" s="183">
        <f t="shared" si="0"/>
        <v>64812.800000000003</v>
      </c>
      <c r="F8" s="181">
        <v>0</v>
      </c>
      <c r="G8" s="181">
        <f t="shared" si="1"/>
        <v>0</v>
      </c>
      <c r="H8" s="183">
        <f t="shared" si="3"/>
        <v>64812.800000000003</v>
      </c>
    </row>
    <row r="9" spans="1:10" x14ac:dyDescent="0.45">
      <c r="A9" s="178"/>
      <c r="C9" s="1" t="s">
        <v>66</v>
      </c>
      <c r="D9" s="179">
        <f>SUM(D2:D8)</f>
        <v>13918.484</v>
      </c>
      <c r="E9" s="182">
        <f>SUM(E2:E8)</f>
        <v>318476.16008000006</v>
      </c>
      <c r="F9" s="103">
        <f>SUM(F2:F8)</f>
        <v>636.25</v>
      </c>
      <c r="G9" s="182">
        <f>SUM(G2:G8)</f>
        <v>20495.81655</v>
      </c>
      <c r="H9" s="182">
        <f>SUM(H2:H8)</f>
        <v>338971.97662999999</v>
      </c>
      <c r="I9" s="45"/>
    </row>
    <row r="11" spans="1:10" x14ac:dyDescent="0.45">
      <c r="A11" s="178"/>
      <c r="F11" s="179"/>
      <c r="G11" s="179"/>
      <c r="H11" s="179"/>
      <c r="I11" s="179"/>
      <c r="J11" s="45"/>
    </row>
    <row r="13" spans="1:10" x14ac:dyDescent="0.45">
      <c r="A13" s="178"/>
      <c r="D13" s="1" t="s">
        <v>67</v>
      </c>
      <c r="F13" s="179">
        <f>H9</f>
        <v>338971.97662999999</v>
      </c>
      <c r="G13" s="179"/>
      <c r="H13" s="179"/>
      <c r="I13" s="179"/>
      <c r="J13" s="45"/>
    </row>
    <row r="14" spans="1:10" x14ac:dyDescent="0.45">
      <c r="A14" s="178"/>
      <c r="D14" s="1" t="s">
        <v>68</v>
      </c>
      <c r="F14" s="45">
        <v>7.65</v>
      </c>
      <c r="G14" s="179"/>
      <c r="H14" s="179"/>
      <c r="I14" s="179"/>
      <c r="J14" s="45"/>
    </row>
    <row r="15" spans="1:10" x14ac:dyDescent="0.45">
      <c r="A15" s="178"/>
      <c r="D15" s="1" t="s">
        <v>69</v>
      </c>
      <c r="F15" s="179">
        <f>F13*0.0765</f>
        <v>25931.356212194998</v>
      </c>
      <c r="G15" s="179"/>
      <c r="H15" s="179"/>
      <c r="I15" s="179"/>
      <c r="J15" s="45"/>
    </row>
    <row r="16" spans="1:10" x14ac:dyDescent="0.45">
      <c r="A16" s="178"/>
      <c r="D16" s="1" t="s">
        <v>70</v>
      </c>
      <c r="F16" s="179">
        <v>-24491</v>
      </c>
      <c r="G16" s="179"/>
      <c r="H16" s="179"/>
      <c r="I16" s="179"/>
      <c r="J16" s="45"/>
    </row>
    <row r="17" spans="1:10" x14ac:dyDescent="0.45">
      <c r="A17" s="178"/>
      <c r="D17" s="1" t="s">
        <v>71</v>
      </c>
      <c r="F17" s="179">
        <f>F15+F16</f>
        <v>1440.3562121949981</v>
      </c>
      <c r="G17" s="179"/>
      <c r="H17" s="179"/>
      <c r="I17" s="179"/>
      <c r="J17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E80F-8CAC-4B50-B816-DA0D148E8505}">
  <dimension ref="A1:J12"/>
  <sheetViews>
    <sheetView workbookViewId="0">
      <selection activeCell="I17" sqref="I17"/>
    </sheetView>
  </sheetViews>
  <sheetFormatPr defaultRowHeight="14.25" x14ac:dyDescent="0.45"/>
  <cols>
    <col min="1" max="1" width="20.77734375" style="1" customWidth="1"/>
    <col min="2" max="3" width="8.88671875" style="182"/>
    <col min="4" max="5" width="8.88671875" style="1"/>
    <col min="6" max="6" width="9" style="182" bestFit="1" customWidth="1"/>
    <col min="7" max="7" width="9.5546875" style="182" bestFit="1" customWidth="1"/>
    <col min="8" max="8" width="8.88671875" style="1"/>
    <col min="9" max="9" width="9" style="182" bestFit="1" customWidth="1"/>
    <col min="10" max="10" width="9.5546875" style="1" bestFit="1" customWidth="1"/>
    <col min="11" max="16384" width="8.88671875" style="1"/>
  </cols>
  <sheetData>
    <row r="1" spans="1:10" x14ac:dyDescent="0.45">
      <c r="A1" s="1" t="s">
        <v>72</v>
      </c>
    </row>
    <row r="3" spans="1:10" x14ac:dyDescent="0.45">
      <c r="B3" s="186" t="s">
        <v>73</v>
      </c>
      <c r="C3" s="186" t="s">
        <v>73</v>
      </c>
      <c r="D3" s="13"/>
      <c r="E3" s="13"/>
      <c r="F3" s="186" t="s">
        <v>74</v>
      </c>
      <c r="G3" s="186" t="s">
        <v>75</v>
      </c>
      <c r="H3" s="13" t="s">
        <v>76</v>
      </c>
      <c r="I3" s="186" t="s">
        <v>76</v>
      </c>
      <c r="J3" s="13" t="s">
        <v>77</v>
      </c>
    </row>
    <row r="4" spans="1:10" x14ac:dyDescent="0.45">
      <c r="B4" s="186" t="s">
        <v>78</v>
      </c>
      <c r="C4" s="186" t="s">
        <v>79</v>
      </c>
      <c r="D4" s="13" t="s">
        <v>80</v>
      </c>
      <c r="E4" s="13" t="s">
        <v>81</v>
      </c>
      <c r="F4" s="186" t="s">
        <v>82</v>
      </c>
      <c r="G4" s="186" t="s">
        <v>82</v>
      </c>
      <c r="H4" s="13" t="s">
        <v>83</v>
      </c>
      <c r="I4" s="186" t="s">
        <v>83</v>
      </c>
      <c r="J4" s="13" t="s">
        <v>84</v>
      </c>
    </row>
    <row r="5" spans="1:10" x14ac:dyDescent="0.45">
      <c r="A5" s="1" t="s">
        <v>85</v>
      </c>
      <c r="B5" s="186" t="s">
        <v>86</v>
      </c>
      <c r="C5" s="186" t="s">
        <v>87</v>
      </c>
      <c r="D5" s="13" t="s">
        <v>88</v>
      </c>
      <c r="E5" s="13" t="s">
        <v>88</v>
      </c>
      <c r="F5" s="186" t="s">
        <v>89</v>
      </c>
      <c r="G5" s="186" t="s">
        <v>89</v>
      </c>
      <c r="H5" s="13" t="s">
        <v>90</v>
      </c>
      <c r="I5" s="186" t="s">
        <v>89</v>
      </c>
      <c r="J5" s="13" t="s">
        <v>91</v>
      </c>
    </row>
    <row r="6" spans="1:10" x14ac:dyDescent="0.45">
      <c r="A6" s="1" t="s">
        <v>92</v>
      </c>
      <c r="B6" s="4">
        <v>3661.26</v>
      </c>
      <c r="C6" s="175">
        <v>0</v>
      </c>
      <c r="D6" s="174">
        <f>C6/B6</f>
        <v>0</v>
      </c>
      <c r="E6" s="174">
        <f>1-D6</f>
        <v>1</v>
      </c>
      <c r="F6" s="182">
        <f>B6*12</f>
        <v>43935.12</v>
      </c>
      <c r="G6" s="182">
        <f>E6*F6</f>
        <v>43935.12</v>
      </c>
      <c r="H6" s="185">
        <v>0.79</v>
      </c>
      <c r="I6" s="182">
        <f>F6*H6</f>
        <v>34708.7448</v>
      </c>
      <c r="J6" s="81">
        <f>I6-G6</f>
        <v>-9226.3752000000022</v>
      </c>
    </row>
    <row r="8" spans="1:10" x14ac:dyDescent="0.45">
      <c r="A8" s="1" t="s">
        <v>93</v>
      </c>
    </row>
    <row r="9" spans="1:10" x14ac:dyDescent="0.45">
      <c r="A9" s="1" t="s">
        <v>92</v>
      </c>
      <c r="B9" s="182">
        <v>167.44</v>
      </c>
      <c r="C9" s="182">
        <v>0</v>
      </c>
      <c r="D9" s="174">
        <f>C9/B9</f>
        <v>0</v>
      </c>
      <c r="E9" s="174">
        <f>1-D9</f>
        <v>1</v>
      </c>
      <c r="F9" s="182">
        <f>B9*12</f>
        <v>2009.28</v>
      </c>
      <c r="G9" s="182">
        <f>E9*F9</f>
        <v>2009.28</v>
      </c>
      <c r="H9" s="185">
        <v>0.6</v>
      </c>
      <c r="I9" s="182">
        <f t="shared" ref="I9" si="0">F9*H9</f>
        <v>1205.568</v>
      </c>
      <c r="J9" s="81">
        <f t="shared" ref="J9" si="1">I9-G9</f>
        <v>-803.71199999999999</v>
      </c>
    </row>
    <row r="11" spans="1:10" x14ac:dyDescent="0.45">
      <c r="A11" s="1" t="s">
        <v>94</v>
      </c>
      <c r="J11" s="81">
        <f>J6+J9</f>
        <v>-10030.087200000002</v>
      </c>
    </row>
    <row r="12" spans="1:10" x14ac:dyDescent="0.45">
      <c r="J12" s="81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7014-9138-4EA8-BD4C-4A4A86D801AE}">
  <dimension ref="A1:F37"/>
  <sheetViews>
    <sheetView topLeftCell="A3" workbookViewId="0">
      <selection activeCell="D37" sqref="D37"/>
    </sheetView>
  </sheetViews>
  <sheetFormatPr defaultRowHeight="15" x14ac:dyDescent="0.4"/>
  <cols>
    <col min="1" max="1" width="18.77734375" customWidth="1"/>
    <col min="2" max="2" width="9.88671875" bestFit="1" customWidth="1"/>
    <col min="3" max="3" width="8.88671875" bestFit="1" customWidth="1"/>
    <col min="4" max="4" width="9.6640625" bestFit="1" customWidth="1"/>
  </cols>
  <sheetData>
    <row r="1" spans="1:6" ht="15.4" x14ac:dyDescent="0.45">
      <c r="A1" s="1" t="s">
        <v>95</v>
      </c>
      <c r="B1" s="1"/>
      <c r="C1" s="1"/>
      <c r="D1" s="1"/>
      <c r="E1" s="1"/>
      <c r="F1" s="1"/>
    </row>
    <row r="2" spans="1:6" ht="15.4" x14ac:dyDescent="0.45">
      <c r="A2" s="1" t="s">
        <v>96</v>
      </c>
      <c r="B2" s="1"/>
      <c r="C2" s="1">
        <v>0</v>
      </c>
      <c r="D2" s="1"/>
      <c r="E2" s="1"/>
      <c r="F2" s="1"/>
    </row>
    <row r="3" spans="1:6" ht="15.4" x14ac:dyDescent="0.45">
      <c r="A3" s="1" t="s">
        <v>97</v>
      </c>
      <c r="B3" s="1"/>
      <c r="C3" s="41">
        <v>167936</v>
      </c>
      <c r="D3" s="1"/>
      <c r="E3" s="1"/>
      <c r="F3" s="1"/>
    </row>
    <row r="4" spans="1:6" ht="15.4" x14ac:dyDescent="0.45">
      <c r="A4" s="1" t="s">
        <v>98</v>
      </c>
      <c r="B4" s="1"/>
      <c r="C4" s="22">
        <f>C2+C3</f>
        <v>167936</v>
      </c>
      <c r="D4" s="1"/>
      <c r="E4" s="1"/>
      <c r="F4" s="1"/>
    </row>
    <row r="5" spans="1:6" ht="15.4" x14ac:dyDescent="0.45">
      <c r="A5" s="1"/>
      <c r="B5" s="1"/>
      <c r="C5" s="1"/>
      <c r="D5" s="1"/>
      <c r="E5" s="1"/>
      <c r="F5" s="1"/>
    </row>
    <row r="6" spans="1:6" ht="15.4" x14ac:dyDescent="0.45">
      <c r="A6" s="1" t="s">
        <v>99</v>
      </c>
      <c r="B6" s="1"/>
      <c r="C6" s="22">
        <v>132529</v>
      </c>
      <c r="D6" s="1"/>
      <c r="E6" s="1"/>
      <c r="F6" s="1"/>
    </row>
    <row r="7" spans="1:6" ht="15.4" x14ac:dyDescent="0.45">
      <c r="A7" s="1"/>
      <c r="B7" s="1"/>
      <c r="C7" s="1"/>
      <c r="D7" s="1"/>
      <c r="E7" s="1"/>
      <c r="F7" s="1"/>
    </row>
    <row r="8" spans="1:6" ht="15.4" x14ac:dyDescent="0.45">
      <c r="A8" s="1" t="s">
        <v>100</v>
      </c>
      <c r="B8" s="1"/>
      <c r="C8" s="1"/>
      <c r="D8" s="1"/>
      <c r="E8" s="1"/>
      <c r="F8" s="1"/>
    </row>
    <row r="9" spans="1:6" ht="15.4" x14ac:dyDescent="0.45">
      <c r="A9" s="1" t="s">
        <v>101</v>
      </c>
      <c r="B9" s="1">
        <v>0</v>
      </c>
      <c r="C9" s="1"/>
      <c r="D9" s="1"/>
      <c r="E9" s="1"/>
      <c r="F9" s="1"/>
    </row>
    <row r="10" spans="1:6" ht="15.4" x14ac:dyDescent="0.45">
      <c r="A10" s="1" t="s">
        <v>102</v>
      </c>
      <c r="B10" s="22">
        <v>2920</v>
      </c>
      <c r="C10" s="1"/>
      <c r="D10" s="1"/>
      <c r="E10" s="1"/>
      <c r="F10" s="1"/>
    </row>
    <row r="11" spans="1:6" ht="15.4" x14ac:dyDescent="0.45">
      <c r="A11" s="1" t="s">
        <v>103</v>
      </c>
      <c r="B11" s="22">
        <v>72</v>
      </c>
      <c r="C11" s="1"/>
      <c r="D11" s="1"/>
      <c r="E11" s="1"/>
      <c r="F11" s="1"/>
    </row>
    <row r="12" spans="1:6" ht="15.4" x14ac:dyDescent="0.45">
      <c r="A12" s="1" t="s">
        <v>104</v>
      </c>
      <c r="B12" s="1">
        <v>279</v>
      </c>
      <c r="C12" s="1"/>
      <c r="D12" s="1"/>
      <c r="E12" s="1"/>
      <c r="F12" s="1"/>
    </row>
    <row r="13" spans="1:6" ht="15.4" x14ac:dyDescent="0.45">
      <c r="A13" s="1" t="s">
        <v>105</v>
      </c>
      <c r="B13" s="1"/>
      <c r="C13" s="22">
        <f>SUM(B9:B12)</f>
        <v>3271</v>
      </c>
      <c r="D13" s="1"/>
      <c r="E13" s="1"/>
      <c r="F13" s="1"/>
    </row>
    <row r="14" spans="1:6" ht="15.4" x14ac:dyDescent="0.45">
      <c r="A14" s="1"/>
      <c r="B14" s="1"/>
      <c r="C14" s="1"/>
      <c r="D14" s="1"/>
      <c r="E14" s="1"/>
      <c r="F14" s="1"/>
    </row>
    <row r="15" spans="1:6" ht="15.4" x14ac:dyDescent="0.45">
      <c r="A15" s="1" t="s">
        <v>106</v>
      </c>
      <c r="B15" s="1"/>
      <c r="C15" s="1"/>
      <c r="D15" s="1"/>
      <c r="E15" s="1"/>
      <c r="F15" s="1"/>
    </row>
    <row r="16" spans="1:6" ht="15.4" x14ac:dyDescent="0.45">
      <c r="A16" s="1" t="s">
        <v>107</v>
      </c>
      <c r="B16" s="22">
        <v>0</v>
      </c>
      <c r="C16" s="1"/>
      <c r="D16" s="1"/>
      <c r="E16" s="1"/>
      <c r="F16" s="1"/>
    </row>
    <row r="17" spans="1:6" ht="15.4" x14ac:dyDescent="0.45">
      <c r="A17" s="1" t="s">
        <v>108</v>
      </c>
      <c r="B17" s="1">
        <v>146</v>
      </c>
      <c r="C17" s="1"/>
      <c r="D17" s="1"/>
      <c r="E17" s="1"/>
      <c r="F17" s="1"/>
    </row>
    <row r="18" spans="1:6" ht="15.4" x14ac:dyDescent="0.45">
      <c r="A18" s="1" t="s">
        <v>109</v>
      </c>
      <c r="B18" s="1">
        <v>6477</v>
      </c>
      <c r="C18" s="1"/>
      <c r="D18" s="1"/>
      <c r="E18" s="1"/>
      <c r="F18" s="1"/>
    </row>
    <row r="19" spans="1:6" ht="15.4" x14ac:dyDescent="0.45">
      <c r="A19" s="1" t="s">
        <v>110</v>
      </c>
      <c r="B19" s="22">
        <v>25513</v>
      </c>
      <c r="C19" s="1"/>
      <c r="D19" s="1"/>
      <c r="E19" s="1"/>
      <c r="F19" s="1"/>
    </row>
    <row r="20" spans="1:6" ht="15.4" x14ac:dyDescent="0.45">
      <c r="A20" s="1" t="s">
        <v>111</v>
      </c>
      <c r="B20" s="1"/>
      <c r="C20" s="41">
        <f>SUM(B16:B19)</f>
        <v>32136</v>
      </c>
      <c r="D20" s="1"/>
      <c r="E20" s="1"/>
      <c r="F20" s="1"/>
    </row>
    <row r="21" spans="1:6" ht="15.4" x14ac:dyDescent="0.45">
      <c r="A21" s="1" t="s">
        <v>112</v>
      </c>
      <c r="B21" s="1"/>
      <c r="C21" s="22">
        <f>C6+C13+C20</f>
        <v>167936</v>
      </c>
      <c r="D21" s="1"/>
      <c r="E21" s="1"/>
      <c r="F21" s="1"/>
    </row>
    <row r="22" spans="1:6" ht="15.4" x14ac:dyDescent="0.45">
      <c r="A22" s="1"/>
      <c r="B22" s="1"/>
      <c r="C22" s="1"/>
      <c r="D22" s="1"/>
      <c r="E22" s="1"/>
      <c r="F22" s="1"/>
    </row>
    <row r="23" spans="1:6" ht="15.4" x14ac:dyDescent="0.45">
      <c r="A23" s="1"/>
      <c r="B23" s="1"/>
      <c r="C23" s="1"/>
      <c r="D23" s="1"/>
      <c r="E23" s="1"/>
      <c r="F23" s="1"/>
    </row>
    <row r="24" spans="1:6" ht="15.4" x14ac:dyDescent="0.45">
      <c r="A24" s="1"/>
      <c r="B24" s="1"/>
      <c r="C24" s="1"/>
      <c r="D24" s="174">
        <f>C20/C4</f>
        <v>0.19135861280487804</v>
      </c>
      <c r="E24" s="1" t="s">
        <v>113</v>
      </c>
      <c r="F24" s="1"/>
    </row>
    <row r="25" spans="1:6" ht="15.4" x14ac:dyDescent="0.45">
      <c r="A25" s="1"/>
      <c r="B25" s="1"/>
      <c r="C25" s="1"/>
      <c r="D25" s="174">
        <v>0.15</v>
      </c>
      <c r="E25" s="1" t="s">
        <v>114</v>
      </c>
      <c r="F25" s="1"/>
    </row>
    <row r="26" spans="1:6" ht="15.4" x14ac:dyDescent="0.45">
      <c r="A26" s="1"/>
      <c r="B26" s="1"/>
      <c r="C26" s="1"/>
      <c r="D26" s="174">
        <f>D24-D25</f>
        <v>4.1358612804878042E-2</v>
      </c>
      <c r="E26" s="1" t="s">
        <v>115</v>
      </c>
      <c r="F26" s="1"/>
    </row>
    <row r="27" spans="1:6" ht="15.4" x14ac:dyDescent="0.45">
      <c r="A27" s="1"/>
      <c r="B27" s="1"/>
      <c r="C27" s="1"/>
      <c r="D27" s="1"/>
      <c r="E27" s="1"/>
      <c r="F27" s="1"/>
    </row>
    <row r="28" spans="1:6" ht="15.4" x14ac:dyDescent="0.45">
      <c r="A28" s="1" t="s">
        <v>116</v>
      </c>
      <c r="B28" s="1"/>
      <c r="C28" s="1"/>
      <c r="D28" s="1" t="s">
        <v>117</v>
      </c>
      <c r="E28" s="1"/>
      <c r="F28" s="1"/>
    </row>
    <row r="29" spans="1:6" ht="15.4" x14ac:dyDescent="0.45">
      <c r="A29" s="1" t="s">
        <v>24</v>
      </c>
      <c r="B29" s="176">
        <f>SAO!D22</f>
        <v>635079</v>
      </c>
      <c r="C29" s="1"/>
      <c r="D29" s="176">
        <f>B29*$D$26</f>
        <v>26265.986461509143</v>
      </c>
      <c r="E29" s="1"/>
      <c r="F29" s="1"/>
    </row>
    <row r="30" spans="1:6" ht="15.4" x14ac:dyDescent="0.45">
      <c r="A30" s="1" t="s">
        <v>26</v>
      </c>
      <c r="B30" s="176">
        <f>SAO!D23</f>
        <v>22815</v>
      </c>
      <c r="C30" s="1"/>
      <c r="D30" s="176">
        <f t="shared" ref="D30:D31" si="0">B30*$D$26</f>
        <v>943.59675114329252</v>
      </c>
      <c r="E30" s="1"/>
      <c r="F30" s="1"/>
    </row>
    <row r="31" spans="1:6" ht="15.4" x14ac:dyDescent="0.45">
      <c r="A31" s="1" t="s">
        <v>27</v>
      </c>
      <c r="B31" s="177">
        <f>SAO!D24</f>
        <v>0</v>
      </c>
      <c r="C31" s="1"/>
      <c r="D31" s="177">
        <f t="shared" si="0"/>
        <v>0</v>
      </c>
      <c r="E31" s="1"/>
      <c r="F31" s="1"/>
    </row>
    <row r="32" spans="1:6" ht="15.4" x14ac:dyDescent="0.45">
      <c r="A32" s="1" t="s">
        <v>66</v>
      </c>
      <c r="B32" s="176">
        <f>SUM(B29:B31)</f>
        <v>657894</v>
      </c>
      <c r="C32" s="1"/>
      <c r="D32" s="176">
        <f>SUM(D29:D31)</f>
        <v>27209.583212652436</v>
      </c>
      <c r="E32" s="1"/>
      <c r="F32" s="1"/>
    </row>
    <row r="33" spans="1:6" ht="15.4" x14ac:dyDescent="0.45">
      <c r="A33" s="1"/>
      <c r="B33" s="1"/>
      <c r="C33" s="1"/>
      <c r="D33" s="1"/>
      <c r="E33" s="1"/>
      <c r="F33" s="1"/>
    </row>
    <row r="34" spans="1:6" ht="15.4" x14ac:dyDescent="0.45">
      <c r="A34" s="1" t="s">
        <v>118</v>
      </c>
      <c r="B34" s="1"/>
      <c r="C34" s="1"/>
      <c r="D34" s="1"/>
      <c r="E34" s="1"/>
      <c r="F34" s="1"/>
    </row>
    <row r="35" spans="1:6" ht="15.4" x14ac:dyDescent="0.45">
      <c r="A35" s="1" t="s">
        <v>119</v>
      </c>
      <c r="B35" s="1"/>
      <c r="C35" s="1"/>
      <c r="D35" s="49">
        <f>D32</f>
        <v>27209.583212652436</v>
      </c>
      <c r="E35" s="1"/>
      <c r="F35" s="1"/>
    </row>
    <row r="36" spans="1:6" ht="15.4" x14ac:dyDescent="0.45">
      <c r="A36" s="1" t="s">
        <v>120</v>
      </c>
      <c r="B36" s="1"/>
      <c r="C36" s="1"/>
      <c r="D36" s="56">
        <f>ExBA!E9</f>
        <v>24729</v>
      </c>
      <c r="E36" s="1"/>
      <c r="F36" s="1"/>
    </row>
    <row r="37" spans="1:6" ht="15.4" x14ac:dyDescent="0.45">
      <c r="A37" s="1" t="s">
        <v>121</v>
      </c>
      <c r="B37" s="1"/>
      <c r="C37" s="1"/>
      <c r="D37" s="175">
        <f>D35/D36</f>
        <v>1.100310696455677</v>
      </c>
      <c r="E37" s="1"/>
      <c r="F37" s="1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04"/>
  <sheetViews>
    <sheetView showGridLines="0" topLeftCell="A18" zoomScaleNormal="100" workbookViewId="0">
      <selection sqref="A1:J67"/>
    </sheetView>
  </sheetViews>
  <sheetFormatPr defaultColWidth="8.88671875" defaultRowHeight="14.25" x14ac:dyDescent="0.45"/>
  <cols>
    <col min="1" max="1" width="8.44140625" style="1" customWidth="1"/>
    <col min="2" max="2" width="8.6640625" style="1" customWidth="1"/>
    <col min="3" max="3" width="8" style="1" customWidth="1"/>
    <col min="4" max="4" width="11.5546875" style="3" customWidth="1"/>
    <col min="5" max="5" width="9.77734375" style="1" customWidth="1"/>
    <col min="6" max="6" width="10.33203125" style="1" customWidth="1"/>
    <col min="7" max="7" width="10.5546875" style="1" customWidth="1"/>
    <col min="8" max="9" width="9.77734375" style="1" customWidth="1"/>
    <col min="10" max="11" width="9.88671875" style="1" bestFit="1" customWidth="1"/>
    <col min="12" max="12" width="10.5546875" style="3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" x14ac:dyDescent="0.55000000000000004">
      <c r="A1" s="48" t="s">
        <v>122</v>
      </c>
      <c r="B1" s="8"/>
      <c r="C1" s="8"/>
      <c r="D1" s="154"/>
      <c r="E1" s="8"/>
      <c r="F1" s="8"/>
      <c r="G1" s="8"/>
      <c r="H1" s="8"/>
      <c r="I1" s="8"/>
    </row>
    <row r="2" spans="1:17" ht="18" x14ac:dyDescent="0.45">
      <c r="A2" s="210" t="s">
        <v>1</v>
      </c>
      <c r="B2" s="210"/>
      <c r="C2" s="210"/>
      <c r="D2" s="210"/>
      <c r="E2" s="210"/>
      <c r="F2" s="210"/>
      <c r="G2" s="210"/>
      <c r="H2" s="210"/>
      <c r="I2" s="210"/>
    </row>
    <row r="3" spans="1:17" x14ac:dyDescent="0.45">
      <c r="M3" s="3"/>
      <c r="Q3" s="3"/>
    </row>
    <row r="4" spans="1:17" ht="16.5" x14ac:dyDescent="0.75">
      <c r="C4" s="53" t="s">
        <v>123</v>
      </c>
      <c r="M4" s="49"/>
      <c r="Q4" s="85"/>
    </row>
    <row r="5" spans="1:17" x14ac:dyDescent="0.45">
      <c r="C5" s="87"/>
      <c r="D5" s="56"/>
      <c r="E5" s="11" t="s">
        <v>124</v>
      </c>
      <c r="F5" s="11" t="s">
        <v>125</v>
      </c>
      <c r="G5" s="11" t="s">
        <v>126</v>
      </c>
      <c r="H5" s="2"/>
      <c r="J5" s="88"/>
      <c r="K5" s="3"/>
      <c r="L5" s="88"/>
      <c r="M5" s="3"/>
      <c r="Q5" s="38"/>
    </row>
    <row r="6" spans="1:17" x14ac:dyDescent="0.45">
      <c r="C6" s="1" t="str">
        <f>A18</f>
        <v>RESIDENTIAL METERS</v>
      </c>
      <c r="E6" s="3">
        <f>C26</f>
        <v>23679</v>
      </c>
      <c r="F6" s="44">
        <f>D26</f>
        <v>86206100</v>
      </c>
      <c r="G6" s="46">
        <f>F35</f>
        <v>990908.31800000009</v>
      </c>
      <c r="H6" s="46"/>
      <c r="J6" s="88"/>
      <c r="K6" s="38"/>
    </row>
    <row r="7" spans="1:17" x14ac:dyDescent="0.45">
      <c r="C7" s="1" t="str">
        <f>A37</f>
        <v>COMMERCIAL METERS</v>
      </c>
      <c r="E7" s="3">
        <f>C54</f>
        <v>1043</v>
      </c>
      <c r="F7" s="44">
        <f>D54</f>
        <v>44658000</v>
      </c>
      <c r="G7" s="3">
        <f>F54</f>
        <v>346009.55099999998</v>
      </c>
      <c r="H7" s="3"/>
      <c r="J7" s="88"/>
      <c r="K7" s="3"/>
    </row>
    <row r="8" spans="1:17" x14ac:dyDescent="0.45">
      <c r="C8" s="1" t="str">
        <f>A56</f>
        <v>WHOLESALE</v>
      </c>
      <c r="E8" s="56">
        <f>C67</f>
        <v>7</v>
      </c>
      <c r="F8" s="153">
        <f>D67</f>
        <v>1584900</v>
      </c>
      <c r="G8" s="56">
        <f>F67</f>
        <v>11573.184000000001</v>
      </c>
      <c r="H8" s="3"/>
      <c r="J8" s="88"/>
      <c r="K8" s="3"/>
    </row>
    <row r="9" spans="1:17" x14ac:dyDescent="0.45">
      <c r="C9" s="1" t="s">
        <v>127</v>
      </c>
      <c r="E9" s="38">
        <f>SUM(E6:E8)</f>
        <v>24729</v>
      </c>
      <c r="F9" s="6">
        <f>SUM(F6:F8)</f>
        <v>132449000</v>
      </c>
      <c r="G9" s="5">
        <f>SUM(G6:G8)</f>
        <v>1348491.0529999998</v>
      </c>
      <c r="H9" s="5"/>
      <c r="J9" s="88"/>
      <c r="K9" s="38"/>
      <c r="M9" s="45"/>
    </row>
    <row r="10" spans="1:17" x14ac:dyDescent="0.45">
      <c r="C10" s="1" t="s">
        <v>128</v>
      </c>
      <c r="E10" s="38"/>
      <c r="F10" s="6"/>
      <c r="G10" s="5">
        <v>-10889</v>
      </c>
      <c r="H10" s="5"/>
      <c r="J10" s="88"/>
      <c r="K10" s="38"/>
      <c r="M10" s="45"/>
    </row>
    <row r="11" spans="1:17" x14ac:dyDescent="0.45">
      <c r="C11" s="1" t="s">
        <v>129</v>
      </c>
      <c r="E11" s="38"/>
      <c r="F11" s="6"/>
      <c r="G11" s="106">
        <f>G9+G10</f>
        <v>1337602.0529999998</v>
      </c>
      <c r="H11" s="5"/>
      <c r="J11" s="88"/>
      <c r="K11" s="38"/>
      <c r="M11" s="45"/>
    </row>
    <row r="12" spans="1:17" x14ac:dyDescent="0.45">
      <c r="C12" s="1" t="s">
        <v>130</v>
      </c>
      <c r="E12" s="38"/>
      <c r="F12" s="6"/>
      <c r="G12" s="106">
        <f>-SAO!D7-SAO!D9</f>
        <v>-1282019</v>
      </c>
      <c r="H12" s="5"/>
      <c r="J12" s="88"/>
      <c r="K12" s="45"/>
    </row>
    <row r="13" spans="1:17" x14ac:dyDescent="0.45">
      <c r="C13" s="1" t="s">
        <v>131</v>
      </c>
      <c r="D13" s="111"/>
      <c r="F13" s="86"/>
      <c r="G13" s="49">
        <f>G11+G12</f>
        <v>55583.05299999984</v>
      </c>
      <c r="H13" s="137">
        <f>G13/G12</f>
        <v>-4.3355873040883043E-2</v>
      </c>
      <c r="I13" s="49"/>
      <c r="J13" s="88"/>
      <c r="O13" s="38"/>
    </row>
    <row r="14" spans="1:17" x14ac:dyDescent="0.45">
      <c r="D14" s="111"/>
      <c r="F14" s="86"/>
      <c r="G14" s="105"/>
      <c r="I14" s="49"/>
      <c r="J14" s="88"/>
    </row>
    <row r="15" spans="1:17" x14ac:dyDescent="0.45">
      <c r="D15" s="111"/>
      <c r="F15" s="86"/>
      <c r="G15" s="111"/>
      <c r="I15" s="49"/>
    </row>
    <row r="16" spans="1:17" x14ac:dyDescent="0.45">
      <c r="F16" s="104"/>
      <c r="G16" s="49"/>
    </row>
    <row r="17" spans="1:19" x14ac:dyDescent="0.45">
      <c r="F17" s="49"/>
      <c r="G17" s="49"/>
    </row>
    <row r="18" spans="1:19" ht="15.75" x14ac:dyDescent="0.5">
      <c r="A18" s="83" t="s">
        <v>132</v>
      </c>
      <c r="N18"/>
      <c r="O18"/>
      <c r="P18"/>
      <c r="Q18"/>
      <c r="R18"/>
      <c r="S18"/>
    </row>
    <row r="19" spans="1:19" ht="15.4" x14ac:dyDescent="0.45">
      <c r="E19" s="2" t="s">
        <v>133</v>
      </c>
      <c r="F19" s="2" t="s">
        <v>134</v>
      </c>
      <c r="G19" s="2" t="s">
        <v>134</v>
      </c>
      <c r="H19" s="2" t="s">
        <v>134</v>
      </c>
      <c r="I19" s="2" t="s">
        <v>135</v>
      </c>
      <c r="L19"/>
      <c r="M19"/>
      <c r="N19"/>
      <c r="O19"/>
      <c r="P19"/>
      <c r="Q19"/>
    </row>
    <row r="20" spans="1:19" ht="15.4" x14ac:dyDescent="0.45">
      <c r="B20" s="11" t="s">
        <v>136</v>
      </c>
      <c r="C20" s="12" t="s">
        <v>137</v>
      </c>
      <c r="D20" s="155" t="s">
        <v>138</v>
      </c>
      <c r="E20" s="12">
        <f>B21</f>
        <v>2000</v>
      </c>
      <c r="F20" s="12">
        <f>B22</f>
        <v>8000</v>
      </c>
      <c r="G20" s="12">
        <f>B23</f>
        <v>10000</v>
      </c>
      <c r="H20" s="12">
        <f>B24</f>
        <v>30000</v>
      </c>
      <c r="I20" s="12">
        <f>B25</f>
        <v>50000</v>
      </c>
      <c r="J20" s="11" t="s">
        <v>139</v>
      </c>
      <c r="L20"/>
      <c r="M20"/>
      <c r="N20"/>
      <c r="O20"/>
      <c r="P20"/>
      <c r="Q20"/>
    </row>
    <row r="21" spans="1:19" ht="15.4" x14ac:dyDescent="0.45">
      <c r="A21" s="13" t="s">
        <v>133</v>
      </c>
      <c r="B21" s="14">
        <v>2000</v>
      </c>
      <c r="C21" s="150">
        <v>8061</v>
      </c>
      <c r="D21" s="111">
        <v>7965800</v>
      </c>
      <c r="E21" s="50">
        <f>D21</f>
        <v>7965800</v>
      </c>
      <c r="F21" s="50">
        <v>0</v>
      </c>
      <c r="G21" s="50">
        <v>0</v>
      </c>
      <c r="H21" s="50">
        <v>0</v>
      </c>
      <c r="I21" s="50">
        <v>0</v>
      </c>
      <c r="J21" s="50">
        <f>SUM(E21:I21)</f>
        <v>7965800</v>
      </c>
      <c r="L21"/>
      <c r="M21"/>
      <c r="N21"/>
      <c r="O21"/>
      <c r="P21"/>
      <c r="Q21"/>
    </row>
    <row r="22" spans="1:19" ht="15.4" x14ac:dyDescent="0.45">
      <c r="A22" s="13" t="s">
        <v>134</v>
      </c>
      <c r="B22" s="14">
        <v>8000</v>
      </c>
      <c r="C22" s="150">
        <v>14750</v>
      </c>
      <c r="D22" s="111">
        <f>29500000+33158300</f>
        <v>62658300</v>
      </c>
      <c r="E22" s="50">
        <f>C22*E$20</f>
        <v>29500000</v>
      </c>
      <c r="F22" s="50">
        <f>D22-E22</f>
        <v>33158300</v>
      </c>
      <c r="G22" s="50">
        <v>0</v>
      </c>
      <c r="H22" s="50">
        <v>0</v>
      </c>
      <c r="I22" s="50">
        <v>0</v>
      </c>
      <c r="J22" s="50">
        <f>SUM(E22:I22)</f>
        <v>62658300</v>
      </c>
      <c r="L22"/>
      <c r="M22"/>
      <c r="N22"/>
      <c r="O22"/>
      <c r="P22"/>
      <c r="Q22"/>
    </row>
    <row r="23" spans="1:19" ht="15.4" x14ac:dyDescent="0.45">
      <c r="A23" s="13" t="s">
        <v>134</v>
      </c>
      <c r="B23" s="14">
        <v>10000</v>
      </c>
      <c r="C23" s="150">
        <v>676</v>
      </c>
      <c r="D23" s="111">
        <f>1352000+5408000+2161200</f>
        <v>8921200</v>
      </c>
      <c r="E23" s="50">
        <f>C23*E$20</f>
        <v>1352000</v>
      </c>
      <c r="F23" s="50">
        <f>$C23*F$20</f>
        <v>5408000</v>
      </c>
      <c r="G23" s="50">
        <f>D23-(F23+E23)</f>
        <v>2161200</v>
      </c>
      <c r="H23" s="50">
        <v>0</v>
      </c>
      <c r="I23" s="50">
        <v>0</v>
      </c>
      <c r="J23" s="50">
        <f>SUM(E23:I23)</f>
        <v>8921200</v>
      </c>
      <c r="L23"/>
      <c r="M23"/>
      <c r="N23"/>
      <c r="O23"/>
      <c r="P23"/>
      <c r="Q23"/>
    </row>
    <row r="24" spans="1:19" ht="15.4" x14ac:dyDescent="0.45">
      <c r="A24" s="13" t="s">
        <v>134</v>
      </c>
      <c r="B24" s="14">
        <v>30000</v>
      </c>
      <c r="C24" s="150">
        <v>167</v>
      </c>
      <c r="D24" s="111">
        <f>334000+1336000+1670000+1162200</f>
        <v>4502200</v>
      </c>
      <c r="E24" s="50">
        <f t="shared" ref="E24" si="0">C24*E$20</f>
        <v>334000</v>
      </c>
      <c r="F24" s="50">
        <f t="shared" ref="F24" si="1">$C24*F$20</f>
        <v>1336000</v>
      </c>
      <c r="G24" s="50">
        <f>C24*G20</f>
        <v>1670000</v>
      </c>
      <c r="H24" s="38">
        <f>D24-E24-F24-G24</f>
        <v>1162200</v>
      </c>
      <c r="I24" s="50">
        <v>0</v>
      </c>
      <c r="J24" s="50">
        <f>SUM(E24:I24)</f>
        <v>4502200</v>
      </c>
      <c r="L24"/>
      <c r="M24"/>
      <c r="N24"/>
      <c r="O24"/>
      <c r="P24"/>
      <c r="Q24"/>
    </row>
    <row r="25" spans="1:19" ht="15.4" x14ac:dyDescent="0.45">
      <c r="A25" s="13" t="s">
        <v>135</v>
      </c>
      <c r="B25" s="16">
        <v>50000</v>
      </c>
      <c r="C25" s="151">
        <v>25</v>
      </c>
      <c r="D25" s="156">
        <f>50000+200000+250000+750000+908600</f>
        <v>2158600</v>
      </c>
      <c r="E25" s="51">
        <f>C25*E$20</f>
        <v>50000</v>
      </c>
      <c r="F25" s="51">
        <f>$C25*F$20</f>
        <v>200000</v>
      </c>
      <c r="G25" s="51">
        <f>$C25*G$20</f>
        <v>250000</v>
      </c>
      <c r="H25" s="145">
        <f>C25*H20</f>
        <v>750000</v>
      </c>
      <c r="I25" s="51">
        <f>D25-E25-F25-G25-H25</f>
        <v>908600</v>
      </c>
      <c r="J25" s="51">
        <f>SUM(E25:I25)</f>
        <v>2158600</v>
      </c>
      <c r="L25"/>
      <c r="M25"/>
      <c r="N25"/>
      <c r="O25"/>
      <c r="P25"/>
      <c r="Q25"/>
    </row>
    <row r="26" spans="1:19" ht="15.4" x14ac:dyDescent="0.45">
      <c r="A26" s="13"/>
      <c r="B26" s="14" t="s">
        <v>139</v>
      </c>
      <c r="C26" s="52">
        <f t="shared" ref="C26:J26" si="2">SUM(C21:C25)</f>
        <v>23679</v>
      </c>
      <c r="D26" s="6">
        <f t="shared" si="2"/>
        <v>86206100</v>
      </c>
      <c r="E26" s="52">
        <f t="shared" si="2"/>
        <v>39201800</v>
      </c>
      <c r="F26" s="52">
        <f t="shared" si="2"/>
        <v>40102300</v>
      </c>
      <c r="G26" s="52">
        <f t="shared" si="2"/>
        <v>4081200</v>
      </c>
      <c r="H26" s="52">
        <f t="shared" si="2"/>
        <v>1912200</v>
      </c>
      <c r="I26" s="52">
        <f t="shared" si="2"/>
        <v>908600</v>
      </c>
      <c r="J26" s="52">
        <f t="shared" si="2"/>
        <v>86206100</v>
      </c>
      <c r="K26" s="3"/>
      <c r="L26"/>
      <c r="M26"/>
      <c r="N26"/>
      <c r="O26"/>
      <c r="P26"/>
      <c r="Q26"/>
    </row>
    <row r="27" spans="1:19" ht="15.4" x14ac:dyDescent="0.45">
      <c r="A27" s="13"/>
      <c r="B27" s="14"/>
      <c r="E27" s="14"/>
      <c r="F27" s="14"/>
      <c r="G27" s="14"/>
      <c r="H27" s="14"/>
      <c r="I27" s="14"/>
      <c r="N27"/>
      <c r="O27"/>
      <c r="P27"/>
      <c r="Q27"/>
      <c r="R27"/>
      <c r="S27"/>
    </row>
    <row r="28" spans="1:19" ht="15.4" x14ac:dyDescent="0.45">
      <c r="A28" s="18" t="s">
        <v>140</v>
      </c>
      <c r="B28" s="18"/>
      <c r="E28" s="14"/>
      <c r="F28" s="14"/>
      <c r="G28" s="14"/>
      <c r="H28" s="14"/>
      <c r="I28" s="14"/>
      <c r="N28"/>
      <c r="O28"/>
      <c r="P28"/>
      <c r="Q28"/>
      <c r="R28"/>
      <c r="S28"/>
    </row>
    <row r="29" spans="1:19" ht="15.4" x14ac:dyDescent="0.45">
      <c r="A29" s="13"/>
      <c r="B29" s="11"/>
      <c r="C29" s="12" t="s">
        <v>137</v>
      </c>
      <c r="D29" s="155" t="s">
        <v>138</v>
      </c>
      <c r="E29" s="12" t="s">
        <v>141</v>
      </c>
      <c r="F29" s="12" t="s">
        <v>142</v>
      </c>
      <c r="G29" s="14"/>
      <c r="H29" s="14"/>
      <c r="I29" s="14"/>
      <c r="N29"/>
      <c r="O29"/>
      <c r="P29"/>
      <c r="Q29"/>
      <c r="R29"/>
      <c r="S29"/>
    </row>
    <row r="30" spans="1:19" ht="15.4" x14ac:dyDescent="0.45">
      <c r="A30" s="13" t="s">
        <v>133</v>
      </c>
      <c r="B30" s="14">
        <f>B21</f>
        <v>2000</v>
      </c>
      <c r="C30" s="15">
        <f>C26</f>
        <v>23679</v>
      </c>
      <c r="D30" s="111">
        <f>E26</f>
        <v>39201800</v>
      </c>
      <c r="E30" s="19">
        <v>25.39</v>
      </c>
      <c r="F30" s="9">
        <f>E30*C30</f>
        <v>601209.81000000006</v>
      </c>
      <c r="G30" s="14"/>
      <c r="N30"/>
      <c r="O30"/>
      <c r="P30"/>
      <c r="Q30"/>
      <c r="R30"/>
      <c r="S30"/>
    </row>
    <row r="31" spans="1:19" ht="15.4" x14ac:dyDescent="0.45">
      <c r="A31" s="13" t="s">
        <v>134</v>
      </c>
      <c r="B31" s="14">
        <f>B22</f>
        <v>8000</v>
      </c>
      <c r="D31" s="111">
        <f>F26</f>
        <v>40102300</v>
      </c>
      <c r="E31" s="19">
        <v>8.3800000000000008</v>
      </c>
      <c r="F31" s="3">
        <f>E31*(D31/1000)</f>
        <v>336057.27400000003</v>
      </c>
      <c r="G31" s="14"/>
      <c r="N31"/>
      <c r="O31"/>
      <c r="P31"/>
      <c r="Q31"/>
      <c r="R31"/>
      <c r="S31"/>
    </row>
    <row r="32" spans="1:19" ht="15.4" x14ac:dyDescent="0.45">
      <c r="A32" s="13" t="s">
        <v>134</v>
      </c>
      <c r="B32" s="14">
        <f>B23</f>
        <v>10000</v>
      </c>
      <c r="D32" s="111">
        <f>G26</f>
        <v>4081200</v>
      </c>
      <c r="E32" s="19">
        <v>8.01</v>
      </c>
      <c r="F32" s="3">
        <f>E32*(D32/1000)</f>
        <v>32690.411999999997</v>
      </c>
      <c r="G32" s="14"/>
      <c r="N32"/>
      <c r="O32"/>
      <c r="P32"/>
      <c r="Q32"/>
      <c r="R32"/>
      <c r="S32"/>
    </row>
    <row r="33" spans="1:19" ht="15.4" x14ac:dyDescent="0.45">
      <c r="A33" s="13" t="s">
        <v>134</v>
      </c>
      <c r="B33" s="14">
        <v>10000</v>
      </c>
      <c r="D33" s="111">
        <f>H26</f>
        <v>1912200</v>
      </c>
      <c r="E33" s="19">
        <v>7.54</v>
      </c>
      <c r="F33" s="3">
        <f t="shared" ref="F33" si="3">E33*(D33/1000)</f>
        <v>14417.988000000001</v>
      </c>
      <c r="G33" s="14"/>
      <c r="N33"/>
      <c r="O33"/>
      <c r="P33"/>
      <c r="Q33"/>
      <c r="R33"/>
      <c r="S33"/>
    </row>
    <row r="34" spans="1:19" x14ac:dyDescent="0.45">
      <c r="A34" s="13" t="s">
        <v>135</v>
      </c>
      <c r="B34" s="16">
        <f>B25</f>
        <v>50000</v>
      </c>
      <c r="C34" s="20"/>
      <c r="D34" s="156">
        <f>I26</f>
        <v>908600</v>
      </c>
      <c r="E34" s="134">
        <v>7.19</v>
      </c>
      <c r="F34" s="56">
        <f>E34*(D34/1000)</f>
        <v>6532.8340000000007</v>
      </c>
      <c r="G34" s="14"/>
      <c r="Q34" s="3">
        <f>Q27/12</f>
        <v>0</v>
      </c>
    </row>
    <row r="35" spans="1:19" x14ac:dyDescent="0.45">
      <c r="A35" s="13"/>
      <c r="B35" s="14" t="s">
        <v>139</v>
      </c>
      <c r="C35" s="3">
        <f>SUM(C30:C34)</f>
        <v>23679</v>
      </c>
      <c r="D35" s="6">
        <f>SUM(D30:D34)</f>
        <v>86206100</v>
      </c>
      <c r="F35" s="9">
        <f>SUM(F30:F34)</f>
        <v>990908.31800000009</v>
      </c>
      <c r="G35" s="46"/>
      <c r="H35" s="14"/>
      <c r="I35" s="107"/>
    </row>
    <row r="36" spans="1:19" x14ac:dyDescent="0.45">
      <c r="A36" s="13"/>
      <c r="B36" s="14"/>
      <c r="C36" s="3"/>
      <c r="D36" s="6"/>
      <c r="F36" s="9"/>
      <c r="G36" s="14"/>
      <c r="H36" s="14"/>
      <c r="I36" s="14"/>
    </row>
    <row r="37" spans="1:19" ht="15.75" x14ac:dyDescent="0.5">
      <c r="A37" s="83" t="s">
        <v>143</v>
      </c>
    </row>
    <row r="38" spans="1:19" x14ac:dyDescent="0.45">
      <c r="E38" s="2" t="s">
        <v>133</v>
      </c>
      <c r="F38" s="2" t="s">
        <v>134</v>
      </c>
      <c r="G38" s="2" t="s">
        <v>134</v>
      </c>
      <c r="H38" s="2" t="s">
        <v>134</v>
      </c>
      <c r="I38" s="2" t="s">
        <v>135</v>
      </c>
      <c r="L38" s="1"/>
    </row>
    <row r="39" spans="1:19" x14ac:dyDescent="0.45">
      <c r="B39" s="11" t="s">
        <v>136</v>
      </c>
      <c r="C39" s="12" t="s">
        <v>137</v>
      </c>
      <c r="D39" s="155" t="s">
        <v>138</v>
      </c>
      <c r="E39" s="12">
        <f>B40</f>
        <v>2000</v>
      </c>
      <c r="F39" s="12">
        <f>B41</f>
        <v>8000</v>
      </c>
      <c r="G39" s="12">
        <f>B42</f>
        <v>10000</v>
      </c>
      <c r="H39" s="12">
        <f>B43</f>
        <v>30000</v>
      </c>
      <c r="I39" s="12">
        <f>B44</f>
        <v>50000</v>
      </c>
      <c r="J39" s="11" t="s">
        <v>139</v>
      </c>
      <c r="L39" s="1"/>
    </row>
    <row r="40" spans="1:19" x14ac:dyDescent="0.45">
      <c r="A40" s="13" t="s">
        <v>133</v>
      </c>
      <c r="B40" s="14">
        <v>2000</v>
      </c>
      <c r="C40" s="150">
        <v>633</v>
      </c>
      <c r="D40" s="111">
        <v>264400</v>
      </c>
      <c r="E40" s="50">
        <f>D40</f>
        <v>264400</v>
      </c>
      <c r="F40" s="50">
        <v>0</v>
      </c>
      <c r="G40" s="50">
        <v>0</v>
      </c>
      <c r="H40" s="50">
        <v>0</v>
      </c>
      <c r="I40" s="50">
        <v>0</v>
      </c>
      <c r="J40" s="50">
        <f>SUM(E40:I40)</f>
        <v>264400</v>
      </c>
      <c r="L40" s="1"/>
    </row>
    <row r="41" spans="1:19" x14ac:dyDescent="0.45">
      <c r="A41" s="13" t="s">
        <v>134</v>
      </c>
      <c r="B41" s="14">
        <v>8000</v>
      </c>
      <c r="C41" s="150">
        <v>173</v>
      </c>
      <c r="D41" s="111">
        <f>346000+472000</f>
        <v>818000</v>
      </c>
      <c r="E41" s="50">
        <f>C41*E$39</f>
        <v>346000</v>
      </c>
      <c r="F41" s="50">
        <f>D41-E41</f>
        <v>472000</v>
      </c>
      <c r="G41" s="50">
        <v>0</v>
      </c>
      <c r="H41" s="50">
        <v>0</v>
      </c>
      <c r="I41" s="50">
        <v>0</v>
      </c>
      <c r="J41" s="50">
        <f>SUM(E41:I41)</f>
        <v>818000</v>
      </c>
      <c r="L41" s="1"/>
    </row>
    <row r="42" spans="1:19" x14ac:dyDescent="0.45">
      <c r="A42" s="13" t="s">
        <v>134</v>
      </c>
      <c r="B42" s="14">
        <v>10000</v>
      </c>
      <c r="C42" s="150">
        <v>39</v>
      </c>
      <c r="D42" s="111">
        <f>78000+312000+173600</f>
        <v>563600</v>
      </c>
      <c r="E42" s="50">
        <f>C42*E$39</f>
        <v>78000</v>
      </c>
      <c r="F42" s="50">
        <f>$C42*F39</f>
        <v>312000</v>
      </c>
      <c r="G42" s="50">
        <f>D42-(F42+E42)</f>
        <v>173600</v>
      </c>
      <c r="H42" s="50">
        <v>0</v>
      </c>
      <c r="I42" s="50">
        <v>0</v>
      </c>
      <c r="J42" s="50">
        <f>SUM(E42:I42)</f>
        <v>563600</v>
      </c>
      <c r="L42" s="1"/>
    </row>
    <row r="43" spans="1:19" x14ac:dyDescent="0.45">
      <c r="A43" s="13" t="s">
        <v>134</v>
      </c>
      <c r="B43" s="14">
        <v>30000</v>
      </c>
      <c r="C43" s="150">
        <v>88</v>
      </c>
      <c r="D43" s="111">
        <f>176000+704000+880000+1413500</f>
        <v>3173500</v>
      </c>
      <c r="E43" s="50">
        <f>C43*E$39</f>
        <v>176000</v>
      </c>
      <c r="F43" s="50">
        <f>$C43*F$39</f>
        <v>704000</v>
      </c>
      <c r="G43" s="50">
        <f>C43*G39</f>
        <v>880000</v>
      </c>
      <c r="H43" s="38">
        <f>D43-E43-F43-G43</f>
        <v>1413500</v>
      </c>
      <c r="I43" s="50">
        <v>0</v>
      </c>
      <c r="J43" s="50">
        <f>SUM(E43:I43)</f>
        <v>3173500</v>
      </c>
      <c r="L43" s="1"/>
    </row>
    <row r="44" spans="1:19" x14ac:dyDescent="0.45">
      <c r="A44" s="13" t="s">
        <v>135</v>
      </c>
      <c r="B44" s="16">
        <v>50000</v>
      </c>
      <c r="C44" s="151">
        <v>110</v>
      </c>
      <c r="D44" s="156">
        <f>220000+880000+1100000+3300000+34338500</f>
        <v>39838500</v>
      </c>
      <c r="E44" s="51">
        <f>C44*E$39</f>
        <v>220000</v>
      </c>
      <c r="F44" s="51">
        <f>$C44*F$39</f>
        <v>880000</v>
      </c>
      <c r="G44" s="51">
        <f>$C44*G$39</f>
        <v>1100000</v>
      </c>
      <c r="H44" s="145">
        <f>C44*H39</f>
        <v>3300000</v>
      </c>
      <c r="I44" s="51">
        <f>D44-E44-F44-G44-H44</f>
        <v>34338500</v>
      </c>
      <c r="J44" s="51">
        <f>SUM(E44:I44)</f>
        <v>39838500</v>
      </c>
    </row>
    <row r="45" spans="1:19" x14ac:dyDescent="0.45">
      <c r="A45" s="13"/>
      <c r="B45" s="14" t="s">
        <v>139</v>
      </c>
      <c r="C45" s="52">
        <f t="shared" ref="C45:J45" si="4">SUM(C40:C44)</f>
        <v>1043</v>
      </c>
      <c r="D45" s="6">
        <f t="shared" si="4"/>
        <v>44658000</v>
      </c>
      <c r="E45" s="52">
        <f t="shared" si="4"/>
        <v>1084400</v>
      </c>
      <c r="F45" s="52">
        <f t="shared" si="4"/>
        <v>2368000</v>
      </c>
      <c r="G45" s="52">
        <f t="shared" si="4"/>
        <v>2153600</v>
      </c>
      <c r="H45" s="52">
        <f t="shared" si="4"/>
        <v>4713500</v>
      </c>
      <c r="I45" s="52">
        <f t="shared" si="4"/>
        <v>34338500</v>
      </c>
      <c r="J45" s="52">
        <f t="shared" si="4"/>
        <v>44658000</v>
      </c>
    </row>
    <row r="46" spans="1:19" x14ac:dyDescent="0.45">
      <c r="A46" s="13"/>
      <c r="B46" s="14"/>
      <c r="E46" s="14"/>
      <c r="F46" s="14"/>
      <c r="G46" s="14"/>
      <c r="H46" s="14"/>
      <c r="I46" s="14"/>
    </row>
    <row r="47" spans="1:19" x14ac:dyDescent="0.45">
      <c r="A47" s="18" t="s">
        <v>140</v>
      </c>
      <c r="B47" s="18"/>
      <c r="E47" s="14"/>
      <c r="F47" s="14"/>
      <c r="G47" s="14"/>
      <c r="H47" s="14"/>
      <c r="I47" s="14"/>
    </row>
    <row r="48" spans="1:19" x14ac:dyDescent="0.45">
      <c r="A48" s="13"/>
      <c r="B48" s="11"/>
      <c r="C48" s="12" t="s">
        <v>137</v>
      </c>
      <c r="D48" s="155" t="s">
        <v>138</v>
      </c>
      <c r="E48" s="12" t="s">
        <v>141</v>
      </c>
      <c r="F48" s="12" t="s">
        <v>142</v>
      </c>
      <c r="G48" s="14"/>
      <c r="H48" s="14"/>
      <c r="I48" s="14"/>
    </row>
    <row r="49" spans="1:12" x14ac:dyDescent="0.45">
      <c r="A49" s="13" t="s">
        <v>133</v>
      </c>
      <c r="B49" s="14">
        <f>B40</f>
        <v>2000</v>
      </c>
      <c r="C49" s="15">
        <f>C45</f>
        <v>1043</v>
      </c>
      <c r="D49" s="111">
        <f>E45</f>
        <v>1084400</v>
      </c>
      <c r="E49" s="19">
        <v>25.39</v>
      </c>
      <c r="F49" s="9">
        <f>E49*C49</f>
        <v>26481.77</v>
      </c>
      <c r="G49" s="14"/>
    </row>
    <row r="50" spans="1:12" x14ac:dyDescent="0.45">
      <c r="A50" s="13" t="s">
        <v>134</v>
      </c>
      <c r="B50" s="14">
        <f>B41</f>
        <v>8000</v>
      </c>
      <c r="D50" s="111">
        <f>F45</f>
        <v>2368000</v>
      </c>
      <c r="E50" s="19">
        <v>8.3800000000000008</v>
      </c>
      <c r="F50" s="3">
        <f>E50*(D50/1000)</f>
        <v>19843.84</v>
      </c>
      <c r="G50" s="14"/>
    </row>
    <row r="51" spans="1:12" x14ac:dyDescent="0.45">
      <c r="A51" s="13" t="s">
        <v>134</v>
      </c>
      <c r="B51" s="14">
        <f>B42</f>
        <v>10000</v>
      </c>
      <c r="D51" s="111">
        <f>G45</f>
        <v>2153600</v>
      </c>
      <c r="E51" s="19">
        <v>8.01</v>
      </c>
      <c r="F51" s="3">
        <f>E51*(D51/1000)</f>
        <v>17250.335999999999</v>
      </c>
      <c r="G51" s="14"/>
    </row>
    <row r="52" spans="1:12" x14ac:dyDescent="0.45">
      <c r="A52" s="13" t="s">
        <v>134</v>
      </c>
      <c r="B52" s="14">
        <v>10000</v>
      </c>
      <c r="D52" s="111">
        <f>H45</f>
        <v>4713500</v>
      </c>
      <c r="E52" s="19">
        <v>7.54</v>
      </c>
      <c r="F52" s="3">
        <f t="shared" ref="F52" si="5">E52*(D52/1000)</f>
        <v>35539.79</v>
      </c>
      <c r="G52" s="14"/>
    </row>
    <row r="53" spans="1:12" x14ac:dyDescent="0.45">
      <c r="A53" s="13" t="s">
        <v>135</v>
      </c>
      <c r="B53" s="16">
        <f>B44</f>
        <v>50000</v>
      </c>
      <c r="C53" s="20"/>
      <c r="D53" s="156">
        <f>I45</f>
        <v>34338500</v>
      </c>
      <c r="E53" s="134">
        <v>7.19</v>
      </c>
      <c r="F53" s="56">
        <f>E53*(D53/1000)</f>
        <v>246893.815</v>
      </c>
      <c r="G53" s="14"/>
    </row>
    <row r="54" spans="1:12" x14ac:dyDescent="0.45">
      <c r="A54" s="13"/>
      <c r="B54" s="14" t="s">
        <v>139</v>
      </c>
      <c r="C54" s="3">
        <f>SUM(C49:C53)</f>
        <v>1043</v>
      </c>
      <c r="D54" s="6">
        <f>SUM(D49:D53)</f>
        <v>44658000</v>
      </c>
      <c r="F54" s="9">
        <f>SUM(F49:F53)</f>
        <v>346009.55099999998</v>
      </c>
      <c r="G54" s="46"/>
      <c r="H54" s="14"/>
      <c r="I54" s="107"/>
    </row>
    <row r="55" spans="1:12" x14ac:dyDescent="0.45">
      <c r="A55" s="13"/>
      <c r="B55" s="14"/>
      <c r="C55" s="22"/>
      <c r="D55" s="6"/>
      <c r="F55" s="19"/>
      <c r="G55" s="14"/>
      <c r="H55" s="14"/>
      <c r="I55" s="14"/>
    </row>
    <row r="56" spans="1:12" ht="15.75" x14ac:dyDescent="0.5">
      <c r="A56" s="83" t="s">
        <v>144</v>
      </c>
    </row>
    <row r="57" spans="1:12" x14ac:dyDescent="0.45">
      <c r="E57" s="2" t="s">
        <v>133</v>
      </c>
      <c r="F57" s="2" t="s">
        <v>135</v>
      </c>
      <c r="L57" s="1"/>
    </row>
    <row r="58" spans="1:12" x14ac:dyDescent="0.45">
      <c r="B58" s="11" t="s">
        <v>136</v>
      </c>
      <c r="C58" s="12" t="s">
        <v>137</v>
      </c>
      <c r="D58" s="155" t="s">
        <v>138</v>
      </c>
      <c r="E58" s="12">
        <f>B59</f>
        <v>300000</v>
      </c>
      <c r="F58" s="12">
        <f>B60</f>
        <v>300000</v>
      </c>
      <c r="G58" s="11" t="s">
        <v>139</v>
      </c>
      <c r="L58" s="1"/>
    </row>
    <row r="59" spans="1:12" x14ac:dyDescent="0.45">
      <c r="A59" s="13" t="s">
        <v>133</v>
      </c>
      <c r="B59" s="14">
        <v>300000</v>
      </c>
      <c r="C59" s="150">
        <v>4</v>
      </c>
      <c r="D59" s="111">
        <v>201600</v>
      </c>
      <c r="E59" s="50">
        <f>D59</f>
        <v>201600</v>
      </c>
      <c r="F59" s="50">
        <v>0</v>
      </c>
      <c r="G59" s="50">
        <f>SUM(E59:F59)</f>
        <v>201600</v>
      </c>
      <c r="L59" s="1"/>
    </row>
    <row r="60" spans="1:12" x14ac:dyDescent="0.45">
      <c r="A60" s="13" t="s">
        <v>135</v>
      </c>
      <c r="B60" s="16">
        <v>300000</v>
      </c>
      <c r="C60" s="151">
        <v>3</v>
      </c>
      <c r="D60" s="156">
        <f>900000+483300</f>
        <v>1383300</v>
      </c>
      <c r="E60" s="51">
        <f>C60*E58</f>
        <v>900000</v>
      </c>
      <c r="F60" s="51">
        <f>D60-E60</f>
        <v>483300</v>
      </c>
      <c r="G60" s="51">
        <f>SUM(E60:F60)</f>
        <v>1383300</v>
      </c>
      <c r="I60" s="3"/>
      <c r="L60" s="1"/>
    </row>
    <row r="61" spans="1:12" x14ac:dyDescent="0.45">
      <c r="A61" s="13"/>
      <c r="B61" s="14" t="s">
        <v>139</v>
      </c>
      <c r="C61" s="52">
        <f>SUM(C59:C60)</f>
        <v>7</v>
      </c>
      <c r="D61" s="6">
        <f>SUM(D59:D60)</f>
        <v>1584900</v>
      </c>
      <c r="E61" s="52">
        <f>SUM(E59:E60)</f>
        <v>1101600</v>
      </c>
      <c r="F61" s="52">
        <f>SUM(F59:F60)</f>
        <v>483300</v>
      </c>
      <c r="G61" s="52">
        <f>SUM(G59:G60)</f>
        <v>1584900</v>
      </c>
      <c r="I61" s="3"/>
      <c r="L61" s="1"/>
    </row>
    <row r="62" spans="1:12" x14ac:dyDescent="0.45">
      <c r="A62" s="13"/>
      <c r="B62" s="14"/>
      <c r="E62" s="14"/>
      <c r="F62" s="14"/>
      <c r="G62" s="14"/>
      <c r="H62" s="14"/>
      <c r="I62" s="14"/>
    </row>
    <row r="63" spans="1:12" x14ac:dyDescent="0.45">
      <c r="A63" s="18" t="s">
        <v>140</v>
      </c>
      <c r="B63" s="18"/>
      <c r="E63" s="14"/>
      <c r="F63" s="14"/>
      <c r="G63" s="14"/>
      <c r="H63" s="14"/>
      <c r="I63" s="14"/>
    </row>
    <row r="64" spans="1:12" x14ac:dyDescent="0.45">
      <c r="A64" s="13"/>
      <c r="B64" s="11"/>
      <c r="C64" s="12" t="s">
        <v>137</v>
      </c>
      <c r="D64" s="155" t="s">
        <v>138</v>
      </c>
      <c r="E64" s="12" t="s">
        <v>141</v>
      </c>
      <c r="F64" s="12" t="s">
        <v>142</v>
      </c>
      <c r="G64" s="14"/>
      <c r="H64" s="14"/>
      <c r="I64" s="14"/>
    </row>
    <row r="65" spans="1:12" x14ac:dyDescent="0.45">
      <c r="A65" s="13" t="s">
        <v>133</v>
      </c>
      <c r="B65" s="14">
        <f>B59</f>
        <v>300000</v>
      </c>
      <c r="C65" s="15">
        <f>C61</f>
        <v>7</v>
      </c>
      <c r="D65" s="111">
        <f>E61</f>
        <v>1101600</v>
      </c>
      <c r="E65" s="19">
        <v>1344</v>
      </c>
      <c r="F65" s="9">
        <f>E65*C65</f>
        <v>9408</v>
      </c>
      <c r="G65" s="14"/>
    </row>
    <row r="66" spans="1:12" x14ac:dyDescent="0.45">
      <c r="A66" s="13" t="s">
        <v>135</v>
      </c>
      <c r="B66" s="16">
        <f>B60</f>
        <v>300000</v>
      </c>
      <c r="C66" s="20"/>
      <c r="D66" s="156">
        <f>F61</f>
        <v>483300</v>
      </c>
      <c r="E66" s="134">
        <v>4.4800000000000004</v>
      </c>
      <c r="F66" s="56">
        <f>E66*(D66/1000)</f>
        <v>2165.1840000000002</v>
      </c>
      <c r="G66" s="14"/>
    </row>
    <row r="67" spans="1:12" x14ac:dyDescent="0.45">
      <c r="A67" s="13"/>
      <c r="B67" s="14" t="s">
        <v>139</v>
      </c>
      <c r="C67" s="3">
        <f>SUM(C65:C66)</f>
        <v>7</v>
      </c>
      <c r="D67" s="6">
        <f>SUM(D65:D66)</f>
        <v>1584900</v>
      </c>
      <c r="F67" s="9">
        <f>SUM(F65:F66)</f>
        <v>11573.184000000001</v>
      </c>
      <c r="G67" s="46"/>
      <c r="H67" s="14"/>
      <c r="I67" s="107"/>
    </row>
    <row r="68" spans="1:12" x14ac:dyDescent="0.45">
      <c r="A68" s="13"/>
      <c r="B68" s="14"/>
      <c r="D68" s="105"/>
      <c r="E68" s="148"/>
      <c r="F68" s="6"/>
      <c r="G68" s="14"/>
      <c r="L68" s="6"/>
    </row>
    <row r="69" spans="1:12" x14ac:dyDescent="0.45">
      <c r="A69" s="13"/>
      <c r="B69" s="14"/>
      <c r="C69" s="6"/>
      <c r="D69" s="6"/>
      <c r="F69" s="149"/>
      <c r="G69" s="14"/>
      <c r="H69" s="14"/>
      <c r="I69" s="14"/>
      <c r="L69" s="6"/>
    </row>
    <row r="70" spans="1:12" x14ac:dyDescent="0.45">
      <c r="A70" s="13"/>
      <c r="B70" s="14"/>
      <c r="C70" s="6"/>
      <c r="D70" s="6"/>
      <c r="F70" s="149"/>
      <c r="G70" s="14"/>
      <c r="H70" s="14"/>
      <c r="I70" s="14"/>
      <c r="L70" s="6"/>
    </row>
    <row r="71" spans="1:12" ht="15.75" x14ac:dyDescent="0.5">
      <c r="A71" s="83"/>
      <c r="D71" s="6"/>
      <c r="L71" s="6"/>
    </row>
    <row r="72" spans="1:12" x14ac:dyDescent="0.45">
      <c r="D72" s="6"/>
      <c r="E72" s="2"/>
      <c r="F72" s="2"/>
      <c r="G72" s="2"/>
      <c r="H72" s="2"/>
      <c r="L72" s="6"/>
    </row>
    <row r="73" spans="1:12" x14ac:dyDescent="0.45">
      <c r="B73" s="2"/>
      <c r="C73" s="146"/>
      <c r="D73" s="157"/>
      <c r="E73" s="146"/>
      <c r="F73" s="146"/>
      <c r="G73" s="146"/>
      <c r="H73" s="146"/>
      <c r="I73" s="2"/>
      <c r="L73" s="6"/>
    </row>
    <row r="74" spans="1:12" x14ac:dyDescent="0.45">
      <c r="A74" s="13"/>
      <c r="B74" s="14"/>
      <c r="C74" s="147"/>
      <c r="D74" s="105"/>
      <c r="E74" s="147"/>
      <c r="F74" s="147"/>
      <c r="G74" s="147"/>
      <c r="H74" s="147"/>
      <c r="I74" s="147"/>
      <c r="L74" s="6"/>
    </row>
    <row r="75" spans="1:12" x14ac:dyDescent="0.45">
      <c r="A75" s="13"/>
      <c r="B75" s="14"/>
      <c r="C75" s="147"/>
      <c r="D75" s="105"/>
      <c r="E75" s="147"/>
      <c r="F75" s="147"/>
      <c r="G75" s="147"/>
      <c r="H75" s="147"/>
      <c r="I75" s="147"/>
      <c r="L75" s="6"/>
    </row>
    <row r="76" spans="1:12" x14ac:dyDescent="0.45">
      <c r="A76" s="13"/>
      <c r="B76" s="14"/>
      <c r="C76" s="147"/>
      <c r="D76" s="105"/>
      <c r="E76" s="147"/>
      <c r="F76" s="147"/>
      <c r="G76" s="147"/>
      <c r="H76" s="147"/>
      <c r="I76" s="147"/>
      <c r="L76" s="6"/>
    </row>
    <row r="77" spans="1:12" x14ac:dyDescent="0.45">
      <c r="A77" s="13"/>
      <c r="B77" s="14"/>
      <c r="C77" s="147"/>
      <c r="D77" s="105"/>
      <c r="E77" s="147"/>
      <c r="F77" s="147"/>
      <c r="G77" s="147"/>
      <c r="H77" s="147"/>
      <c r="I77" s="147"/>
      <c r="L77" s="6"/>
    </row>
    <row r="78" spans="1:12" x14ac:dyDescent="0.45">
      <c r="A78" s="13"/>
      <c r="B78" s="14"/>
      <c r="C78" s="52"/>
      <c r="D78" s="6"/>
      <c r="E78" s="52"/>
      <c r="F78" s="52"/>
      <c r="G78" s="52"/>
      <c r="H78" s="52"/>
      <c r="I78" s="52"/>
      <c r="L78" s="6"/>
    </row>
    <row r="79" spans="1:12" x14ac:dyDescent="0.45">
      <c r="A79" s="13"/>
      <c r="B79" s="14"/>
      <c r="D79" s="6"/>
      <c r="E79" s="14"/>
      <c r="F79" s="14"/>
      <c r="G79" s="14"/>
      <c r="H79" s="14"/>
      <c r="I79" s="14"/>
      <c r="L79" s="6"/>
    </row>
    <row r="80" spans="1:12" x14ac:dyDescent="0.45">
      <c r="A80" s="18"/>
      <c r="B80" s="18"/>
      <c r="D80" s="6"/>
      <c r="E80" s="14"/>
      <c r="F80" s="14"/>
      <c r="G80" s="14"/>
      <c r="H80" s="14"/>
      <c r="I80" s="14"/>
      <c r="L80" s="6"/>
    </row>
    <row r="81" spans="1:12" x14ac:dyDescent="0.45">
      <c r="A81" s="13"/>
      <c r="B81" s="2"/>
      <c r="C81" s="146"/>
      <c r="D81" s="157"/>
      <c r="E81" s="146"/>
      <c r="F81" s="146"/>
      <c r="G81" s="14"/>
      <c r="H81" s="14"/>
      <c r="I81" s="14"/>
      <c r="L81" s="6"/>
    </row>
    <row r="82" spans="1:12" x14ac:dyDescent="0.45">
      <c r="A82" s="13"/>
      <c r="B82" s="14"/>
      <c r="C82" s="52"/>
      <c r="D82" s="105"/>
      <c r="E82" s="148"/>
      <c r="F82" s="149"/>
      <c r="G82" s="14"/>
      <c r="L82" s="6"/>
    </row>
    <row r="83" spans="1:12" x14ac:dyDescent="0.45">
      <c r="A83" s="13"/>
      <c r="B83" s="14"/>
      <c r="C83" s="52"/>
      <c r="D83" s="105"/>
      <c r="E83" s="148"/>
      <c r="F83" s="149"/>
      <c r="G83" s="14"/>
      <c r="L83" s="6"/>
    </row>
    <row r="84" spans="1:12" x14ac:dyDescent="0.45">
      <c r="A84" s="13"/>
      <c r="B84" s="14"/>
      <c r="C84" s="52"/>
      <c r="D84" s="105"/>
      <c r="E84" s="148"/>
      <c r="F84" s="149"/>
      <c r="G84" s="14"/>
      <c r="L84" s="6"/>
    </row>
    <row r="85" spans="1:12" x14ac:dyDescent="0.45">
      <c r="A85" s="13"/>
      <c r="B85" s="14"/>
      <c r="D85" s="105"/>
      <c r="E85" s="148"/>
      <c r="F85" s="6"/>
      <c r="G85" s="14"/>
      <c r="L85" s="6"/>
    </row>
    <row r="86" spans="1:12" x14ac:dyDescent="0.45">
      <c r="A86" s="13"/>
      <c r="B86" s="14"/>
      <c r="C86" s="6"/>
      <c r="D86" s="6"/>
      <c r="F86" s="149"/>
      <c r="G86" s="14"/>
      <c r="H86" s="14"/>
      <c r="I86" s="14"/>
      <c r="L86" s="6"/>
    </row>
    <row r="87" spans="1:12" x14ac:dyDescent="0.45">
      <c r="A87" s="13"/>
      <c r="B87" s="14"/>
      <c r="C87" s="22"/>
      <c r="D87" s="6"/>
      <c r="F87" s="148"/>
      <c r="G87" s="14"/>
      <c r="H87" s="14"/>
      <c r="I87" s="14"/>
      <c r="L87" s="6"/>
    </row>
    <row r="88" spans="1:12" ht="15.75" x14ac:dyDescent="0.5">
      <c r="A88" s="83"/>
      <c r="D88" s="6"/>
      <c r="L88" s="6"/>
    </row>
    <row r="89" spans="1:12" x14ac:dyDescent="0.45">
      <c r="D89" s="6"/>
      <c r="E89" s="2"/>
      <c r="F89" s="2"/>
      <c r="L89" s="6"/>
    </row>
    <row r="90" spans="1:12" x14ac:dyDescent="0.45">
      <c r="B90" s="2"/>
      <c r="C90" s="146"/>
      <c r="D90" s="157"/>
      <c r="E90" s="146"/>
      <c r="F90" s="146"/>
      <c r="G90" s="2"/>
      <c r="L90" s="6"/>
    </row>
    <row r="91" spans="1:12" x14ac:dyDescent="0.45">
      <c r="A91" s="13"/>
      <c r="B91" s="14"/>
      <c r="C91" s="147"/>
      <c r="D91" s="105"/>
      <c r="E91" s="147"/>
      <c r="F91" s="147"/>
      <c r="G91" s="147"/>
      <c r="L91" s="6"/>
    </row>
    <row r="92" spans="1:12" x14ac:dyDescent="0.45">
      <c r="A92" s="13"/>
      <c r="B92" s="14"/>
      <c r="C92" s="147"/>
      <c r="D92" s="105"/>
      <c r="E92" s="147"/>
      <c r="F92" s="147"/>
      <c r="G92" s="147"/>
      <c r="H92" s="6"/>
      <c r="I92" s="6"/>
      <c r="L92" s="6"/>
    </row>
    <row r="93" spans="1:12" x14ac:dyDescent="0.45">
      <c r="A93" s="13"/>
      <c r="B93" s="14"/>
      <c r="C93" s="6"/>
      <c r="D93" s="6"/>
      <c r="E93" s="52"/>
      <c r="F93" s="52"/>
      <c r="G93" s="52"/>
      <c r="L93" s="6"/>
    </row>
    <row r="94" spans="1:12" x14ac:dyDescent="0.45">
      <c r="A94" s="13"/>
      <c r="B94" s="14"/>
      <c r="D94" s="6"/>
      <c r="E94" s="14"/>
      <c r="F94" s="14"/>
      <c r="G94" s="14"/>
      <c r="H94" s="14"/>
      <c r="I94" s="14"/>
      <c r="L94" s="6"/>
    </row>
    <row r="95" spans="1:12" x14ac:dyDescent="0.45">
      <c r="A95" s="18"/>
      <c r="B95" s="18"/>
      <c r="D95" s="6"/>
      <c r="E95" s="14"/>
      <c r="F95" s="14"/>
      <c r="G95" s="14"/>
      <c r="H95" s="14"/>
      <c r="I95" s="14"/>
      <c r="L95" s="6"/>
    </row>
    <row r="96" spans="1:12" x14ac:dyDescent="0.45">
      <c r="A96" s="13"/>
      <c r="B96" s="2"/>
      <c r="C96" s="146"/>
      <c r="D96" s="157"/>
      <c r="E96" s="146"/>
      <c r="F96" s="146"/>
      <c r="G96" s="14"/>
      <c r="H96" s="14"/>
      <c r="I96" s="14"/>
      <c r="L96" s="6"/>
    </row>
    <row r="97" spans="1:12" x14ac:dyDescent="0.45">
      <c r="A97" s="13"/>
      <c r="B97" s="14"/>
      <c r="C97" s="52"/>
      <c r="D97" s="105"/>
      <c r="E97" s="148"/>
      <c r="F97" s="149"/>
      <c r="G97" s="14"/>
      <c r="H97" s="14"/>
      <c r="I97" s="14"/>
      <c r="L97" s="6"/>
    </row>
    <row r="98" spans="1:12" x14ac:dyDescent="0.45">
      <c r="A98" s="13"/>
      <c r="B98" s="14"/>
      <c r="C98" s="6"/>
      <c r="D98" s="105"/>
      <c r="E98" s="148"/>
      <c r="F98" s="6"/>
      <c r="G98" s="14"/>
      <c r="H98" s="14"/>
      <c r="I98" s="14"/>
      <c r="L98" s="6"/>
    </row>
    <row r="99" spans="1:12" x14ac:dyDescent="0.45">
      <c r="A99" s="13"/>
      <c r="B99" s="14"/>
      <c r="C99" s="6"/>
      <c r="D99" s="6"/>
      <c r="F99" s="149"/>
      <c r="G99" s="14"/>
      <c r="H99" s="14"/>
      <c r="I99" s="14"/>
      <c r="L99" s="6"/>
    </row>
    <row r="100" spans="1:12" x14ac:dyDescent="0.45">
      <c r="D100" s="6"/>
      <c r="L100" s="6"/>
    </row>
    <row r="101" spans="1:12" x14ac:dyDescent="0.45">
      <c r="D101" s="6"/>
      <c r="L101" s="6"/>
    </row>
    <row r="102" spans="1:12" x14ac:dyDescent="0.45">
      <c r="D102" s="6"/>
      <c r="L102" s="6"/>
    </row>
    <row r="103" spans="1:12" x14ac:dyDescent="0.45">
      <c r="D103" s="6"/>
      <c r="L103" s="6"/>
    </row>
    <row r="104" spans="1:12" x14ac:dyDescent="0.45">
      <c r="D104" s="6"/>
      <c r="L104" s="6"/>
    </row>
  </sheetData>
  <mergeCells count="1">
    <mergeCell ref="A2:I2"/>
  </mergeCells>
  <printOptions horizontalCentered="1"/>
  <pageMargins left="0.85" right="0.6" top="0.9" bottom="1" header="0.3" footer="0.3"/>
  <pageSetup scale="70" orientation="portrait" horizontalDpi="4294967293" r:id="rId1"/>
  <rowBreaks count="1" manualBreakCount="1">
    <brk id="53" max="10" man="1"/>
  </rowBreaks>
  <ignoredErrors>
    <ignoredError sqref="G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U33"/>
  <sheetViews>
    <sheetView showGridLines="0" workbookViewId="0">
      <selection activeCell="B2" sqref="B2:O2"/>
    </sheetView>
  </sheetViews>
  <sheetFormatPr defaultColWidth="8.88671875" defaultRowHeight="15.75" outlineLevelRow="1" x14ac:dyDescent="0.5"/>
  <cols>
    <col min="1" max="1" width="2.109375" style="27" customWidth="1"/>
    <col min="2" max="2" width="1.109375" style="27" customWidth="1"/>
    <col min="3" max="3" width="4.77734375" style="27" customWidth="1"/>
    <col min="4" max="4" width="6.77734375" style="27" customWidth="1"/>
    <col min="5" max="5" width="6.33203125" style="27" customWidth="1"/>
    <col min="6" max="6" width="8" style="27" customWidth="1"/>
    <col min="7" max="7" width="13.33203125" style="27" customWidth="1"/>
    <col min="8" max="8" width="1.21875" style="27" customWidth="1"/>
    <col min="9" max="9" width="4.77734375" style="27" customWidth="1"/>
    <col min="10" max="10" width="7" style="27" customWidth="1"/>
    <col min="11" max="11" width="6.33203125" style="27" customWidth="1"/>
    <col min="12" max="12" width="8.33203125" style="27" customWidth="1"/>
    <col min="13" max="13" width="13.33203125" style="27" customWidth="1"/>
    <col min="14" max="14" width="8.5546875" style="27" bestFit="1" customWidth="1"/>
    <col min="15" max="15" width="6.5546875" style="27" bestFit="1" customWidth="1"/>
    <col min="16" max="16" width="2.6640625" style="27" customWidth="1"/>
    <col min="17" max="207" width="9.6640625" style="27" customWidth="1"/>
    <col min="208" max="16384" width="8.88671875" style="27"/>
  </cols>
  <sheetData>
    <row r="2" spans="2:18" ht="18" x14ac:dyDescent="0.55000000000000004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2:18" ht="18" hidden="1" x14ac:dyDescent="0.55000000000000004">
      <c r="B3" s="39"/>
      <c r="C3" s="215" t="s">
        <v>145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7"/>
    </row>
    <row r="4" spans="2:18" ht="18" hidden="1" x14ac:dyDescent="0.55000000000000004">
      <c r="B4" s="39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20"/>
      <c r="O4" s="221"/>
    </row>
    <row r="5" spans="2:18" ht="18" x14ac:dyDescent="0.55000000000000004">
      <c r="B5" s="39"/>
      <c r="C5" s="215" t="s">
        <v>146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20"/>
      <c r="O5" s="221"/>
    </row>
    <row r="6" spans="2:18" ht="18" x14ac:dyDescent="0.55000000000000004">
      <c r="B6" s="39"/>
      <c r="C6" s="215" t="s">
        <v>1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20"/>
      <c r="O6" s="221"/>
      <c r="P6" s="84"/>
      <c r="Q6" s="84"/>
      <c r="R6" s="84"/>
    </row>
    <row r="7" spans="2:18" ht="18" x14ac:dyDescent="0.5">
      <c r="B7" s="3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22"/>
      <c r="O7" s="223"/>
      <c r="P7" s="84"/>
      <c r="Q7" s="84"/>
      <c r="R7" s="84"/>
    </row>
    <row r="8" spans="2:18" x14ac:dyDescent="0.5">
      <c r="B8" s="4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79"/>
    </row>
    <row r="9" spans="2:18" x14ac:dyDescent="0.5">
      <c r="B9" s="39"/>
      <c r="C9" s="1"/>
      <c r="D9" s="1"/>
      <c r="E9" s="1"/>
      <c r="F9" s="1"/>
      <c r="G9" s="74"/>
      <c r="H9" s="39"/>
      <c r="I9" s="1"/>
      <c r="J9" s="1"/>
      <c r="K9" s="1"/>
      <c r="L9" s="1"/>
      <c r="M9" s="74"/>
      <c r="N9" s="39"/>
      <c r="O9" s="74"/>
    </row>
    <row r="10" spans="2:18" x14ac:dyDescent="0.5">
      <c r="B10" s="39"/>
      <c r="C10" s="218" t="s">
        <v>147</v>
      </c>
      <c r="D10" s="218"/>
      <c r="E10" s="218"/>
      <c r="F10" s="218"/>
      <c r="G10" s="219"/>
      <c r="H10" s="1"/>
      <c r="I10" s="218" t="s">
        <v>148</v>
      </c>
      <c r="J10" s="218"/>
      <c r="K10" s="218"/>
      <c r="L10" s="218"/>
      <c r="M10" s="219"/>
      <c r="N10" s="193" t="s">
        <v>149</v>
      </c>
      <c r="O10" s="187" t="s">
        <v>150</v>
      </c>
    </row>
    <row r="11" spans="2:18" x14ac:dyDescent="0.5">
      <c r="B11" s="39"/>
      <c r="C11" s="1"/>
      <c r="D11" s="1"/>
      <c r="E11" s="1"/>
      <c r="F11" s="1"/>
      <c r="G11" s="74"/>
      <c r="H11" s="1"/>
      <c r="I11" s="1"/>
      <c r="J11" s="1"/>
      <c r="K11" s="1"/>
      <c r="L11" s="1"/>
      <c r="M11" s="74"/>
      <c r="N11" s="39"/>
      <c r="O11" s="74"/>
    </row>
    <row r="12" spans="2:18" x14ac:dyDescent="0.5">
      <c r="B12" s="39"/>
      <c r="C12" s="10" t="s">
        <v>151</v>
      </c>
      <c r="D12" s="1"/>
      <c r="E12" s="1"/>
      <c r="F12" s="1"/>
      <c r="G12" s="74"/>
      <c r="H12" s="1"/>
      <c r="I12" s="10" t="str">
        <f>C12</f>
        <v>MONTHLY WATER RATES</v>
      </c>
      <c r="J12" s="1"/>
      <c r="K12" s="1"/>
      <c r="L12" s="80"/>
      <c r="M12" s="74"/>
      <c r="N12" s="39"/>
      <c r="O12" s="74"/>
    </row>
    <row r="13" spans="2:18" outlineLevel="1" x14ac:dyDescent="0.5">
      <c r="B13" s="39"/>
      <c r="C13" s="13" t="s">
        <v>152</v>
      </c>
      <c r="D13" s="75">
        <v>2000</v>
      </c>
      <c r="E13" s="1" t="s">
        <v>153</v>
      </c>
      <c r="F13" s="76">
        <v>25.39</v>
      </c>
      <c r="G13" s="74" t="s">
        <v>154</v>
      </c>
      <c r="H13" s="1"/>
      <c r="I13" s="13" t="s">
        <v>152</v>
      </c>
      <c r="J13" s="75">
        <v>2000</v>
      </c>
      <c r="K13" s="1" t="s">
        <v>153</v>
      </c>
      <c r="L13" s="76">
        <f>ROUND(F13*(1+(SAO!$H$50)),2)</f>
        <v>30.33</v>
      </c>
      <c r="M13" s="74" t="s">
        <v>154</v>
      </c>
      <c r="N13" s="194">
        <f>L13-F13</f>
        <v>4.9399999999999977</v>
      </c>
      <c r="O13" s="195">
        <f>N13/F13</f>
        <v>0.19456478928712082</v>
      </c>
      <c r="R13" s="93"/>
    </row>
    <row r="14" spans="2:18" outlineLevel="1" x14ac:dyDescent="0.5">
      <c r="B14" s="39"/>
      <c r="C14" s="13" t="s">
        <v>155</v>
      </c>
      <c r="D14" s="75">
        <v>8000</v>
      </c>
      <c r="E14" s="1" t="s">
        <v>153</v>
      </c>
      <c r="F14" s="77">
        <v>8.3800000000000008</v>
      </c>
      <c r="G14" s="74" t="s">
        <v>156</v>
      </c>
      <c r="H14" s="1"/>
      <c r="I14" s="13" t="s">
        <v>155</v>
      </c>
      <c r="J14" s="75">
        <v>8000</v>
      </c>
      <c r="K14" s="1" t="s">
        <v>153</v>
      </c>
      <c r="L14" s="77">
        <f>ROUND(F14*(1+(SAO!$H$50)),2)</f>
        <v>10.01</v>
      </c>
      <c r="M14" s="74" t="s">
        <v>156</v>
      </c>
      <c r="N14" s="194">
        <f t="shared" ref="N14:N17" si="0">L14-F14</f>
        <v>1.629999999999999</v>
      </c>
      <c r="O14" s="195">
        <f t="shared" ref="O14:O17" si="1">N14/F14</f>
        <v>0.19451073985680178</v>
      </c>
      <c r="R14" s="108"/>
    </row>
    <row r="15" spans="2:18" outlineLevel="1" x14ac:dyDescent="0.5">
      <c r="B15" s="39"/>
      <c r="C15" s="13" t="s">
        <v>155</v>
      </c>
      <c r="D15" s="75">
        <v>10000</v>
      </c>
      <c r="E15" s="1" t="s">
        <v>153</v>
      </c>
      <c r="F15" s="77">
        <v>8.01</v>
      </c>
      <c r="G15" s="74" t="s">
        <v>156</v>
      </c>
      <c r="H15" s="1"/>
      <c r="I15" s="13" t="s">
        <v>155</v>
      </c>
      <c r="J15" s="75">
        <v>10000</v>
      </c>
      <c r="K15" s="1" t="s">
        <v>153</v>
      </c>
      <c r="L15" s="77">
        <f>ROUND(F15*(1+(SAO!$H$50)),2)</f>
        <v>9.57</v>
      </c>
      <c r="M15" s="74" t="s">
        <v>156</v>
      </c>
      <c r="N15" s="194">
        <f t="shared" si="0"/>
        <v>1.5600000000000005</v>
      </c>
      <c r="O15" s="195">
        <f t="shared" si="1"/>
        <v>0.19475655430711616</v>
      </c>
      <c r="R15" s="108"/>
    </row>
    <row r="16" spans="2:18" outlineLevel="1" x14ac:dyDescent="0.5">
      <c r="B16" s="39"/>
      <c r="C16" s="13" t="s">
        <v>155</v>
      </c>
      <c r="D16" s="75">
        <v>30000</v>
      </c>
      <c r="E16" s="1" t="s">
        <v>153</v>
      </c>
      <c r="F16" s="77">
        <v>7.54</v>
      </c>
      <c r="G16" s="74" t="s">
        <v>156</v>
      </c>
      <c r="H16" s="1"/>
      <c r="I16" s="13" t="s">
        <v>155</v>
      </c>
      <c r="J16" s="75">
        <v>30000</v>
      </c>
      <c r="K16" s="1" t="s">
        <v>153</v>
      </c>
      <c r="L16" s="77">
        <f>ROUND(F16*(1+(SAO!$H$50)),2)</f>
        <v>9.01</v>
      </c>
      <c r="M16" s="74" t="s">
        <v>156</v>
      </c>
      <c r="N16" s="194">
        <f t="shared" si="0"/>
        <v>1.4699999999999998</v>
      </c>
      <c r="O16" s="195">
        <f t="shared" si="1"/>
        <v>0.19496021220159149</v>
      </c>
      <c r="R16" s="108"/>
    </row>
    <row r="17" spans="2:21" outlineLevel="1" x14ac:dyDescent="0.5">
      <c r="B17" s="39"/>
      <c r="C17" s="13" t="s">
        <v>157</v>
      </c>
      <c r="D17" s="75">
        <v>50000</v>
      </c>
      <c r="E17" s="1" t="s">
        <v>153</v>
      </c>
      <c r="F17" s="77">
        <v>7.19</v>
      </c>
      <c r="G17" s="74" t="s">
        <v>156</v>
      </c>
      <c r="H17" s="1"/>
      <c r="I17" s="13" t="s">
        <v>157</v>
      </c>
      <c r="J17" s="75">
        <v>50000</v>
      </c>
      <c r="K17" s="1" t="s">
        <v>153</v>
      </c>
      <c r="L17" s="77">
        <f>ROUND(F17*(1+(SAO!$H$50)),2)</f>
        <v>8.59</v>
      </c>
      <c r="M17" s="74" t="s">
        <v>156</v>
      </c>
      <c r="N17" s="194">
        <f t="shared" si="0"/>
        <v>1.3999999999999995</v>
      </c>
      <c r="O17" s="195">
        <f t="shared" si="1"/>
        <v>0.19471488178025026</v>
      </c>
      <c r="R17" s="108"/>
    </row>
    <row r="18" spans="2:21" outlineLevel="1" x14ac:dyDescent="0.5">
      <c r="B18" s="39"/>
      <c r="C18" s="75"/>
      <c r="D18" s="1"/>
      <c r="E18" s="1"/>
      <c r="F18" s="1"/>
      <c r="G18" s="74"/>
      <c r="H18" s="1"/>
      <c r="I18" s="75"/>
      <c r="J18" s="1"/>
      <c r="K18" s="1"/>
      <c r="L18" s="1"/>
      <c r="M18" s="74"/>
      <c r="N18" s="39"/>
      <c r="O18" s="74"/>
    </row>
    <row r="19" spans="2:21" x14ac:dyDescent="0.5">
      <c r="B19" s="39"/>
      <c r="C19" s="75"/>
      <c r="D19" s="1"/>
      <c r="E19" s="1"/>
      <c r="F19" s="1"/>
      <c r="G19" s="74"/>
      <c r="H19" s="1"/>
      <c r="I19" s="75"/>
      <c r="J19" s="1"/>
      <c r="K19" s="1"/>
      <c r="L19" s="1"/>
      <c r="M19" s="74"/>
      <c r="N19" s="39"/>
      <c r="O19" s="74"/>
    </row>
    <row r="20" spans="2:21" x14ac:dyDescent="0.5">
      <c r="B20" s="39"/>
      <c r="C20" s="10" t="s">
        <v>144</v>
      </c>
      <c r="D20" s="1"/>
      <c r="E20" s="1"/>
      <c r="F20" s="1"/>
      <c r="G20" s="74"/>
      <c r="H20" s="1"/>
      <c r="I20" s="10" t="str">
        <f>C20</f>
        <v>WHOLESALE</v>
      </c>
      <c r="J20" s="1"/>
      <c r="K20" s="1"/>
      <c r="L20" s="1"/>
      <c r="M20" s="74"/>
      <c r="N20" s="39"/>
      <c r="O20" s="74"/>
    </row>
    <row r="21" spans="2:21" x14ac:dyDescent="0.5">
      <c r="B21" s="39"/>
      <c r="C21" s="13" t="s">
        <v>152</v>
      </c>
      <c r="D21" s="75">
        <v>300000</v>
      </c>
      <c r="E21" s="1" t="s">
        <v>153</v>
      </c>
      <c r="F21" s="76" t="s">
        <v>158</v>
      </c>
      <c r="G21" s="74" t="s">
        <v>154</v>
      </c>
      <c r="H21" s="1"/>
      <c r="I21" s="13" t="s">
        <v>152</v>
      </c>
      <c r="J21" s="75">
        <v>300000</v>
      </c>
      <c r="K21" s="1" t="s">
        <v>153</v>
      </c>
      <c r="L21" s="76">
        <f>PropBA!E65</f>
        <v>1605.5423999999998</v>
      </c>
      <c r="M21" s="74" t="s">
        <v>154</v>
      </c>
      <c r="N21" s="194" t="s">
        <v>158</v>
      </c>
      <c r="O21" s="195" t="s">
        <v>158</v>
      </c>
      <c r="P21" s="93"/>
      <c r="R21" s="93"/>
    </row>
    <row r="22" spans="2:21" x14ac:dyDescent="0.5">
      <c r="B22" s="39"/>
      <c r="C22" s="13" t="s">
        <v>157</v>
      </c>
      <c r="D22" s="75">
        <v>300000</v>
      </c>
      <c r="E22" s="1" t="s">
        <v>153</v>
      </c>
      <c r="F22" s="77" t="s">
        <v>158</v>
      </c>
      <c r="G22" s="74" t="s">
        <v>156</v>
      </c>
      <c r="H22" s="1"/>
      <c r="I22" s="13" t="s">
        <v>157</v>
      </c>
      <c r="J22" s="75">
        <v>300000</v>
      </c>
      <c r="K22" s="1" t="s">
        <v>153</v>
      </c>
      <c r="L22" s="77">
        <f>PropBA!E66</f>
        <v>5.3518080000000001</v>
      </c>
      <c r="M22" s="74" t="s">
        <v>156</v>
      </c>
      <c r="N22" s="194" t="s">
        <v>158</v>
      </c>
      <c r="O22" s="195" t="s">
        <v>158</v>
      </c>
      <c r="R22" s="108"/>
    </row>
    <row r="23" spans="2:21" x14ac:dyDescent="0.5">
      <c r="B23" s="39"/>
      <c r="C23" s="13"/>
      <c r="D23" s="75"/>
      <c r="E23" s="1"/>
      <c r="F23" s="77"/>
      <c r="G23" s="74"/>
      <c r="H23" s="1"/>
      <c r="I23" s="13"/>
      <c r="J23" s="75"/>
      <c r="K23" s="1"/>
      <c r="L23" s="77"/>
      <c r="M23" s="74"/>
      <c r="N23" s="194"/>
      <c r="O23" s="195"/>
      <c r="R23" s="108"/>
    </row>
    <row r="24" spans="2:21" x14ac:dyDescent="0.5">
      <c r="B24" s="39"/>
      <c r="C24" s="10" t="s">
        <v>159</v>
      </c>
      <c r="D24" s="75"/>
      <c r="E24" s="1"/>
      <c r="F24" s="77"/>
      <c r="G24" s="74"/>
      <c r="H24" s="1"/>
      <c r="I24" s="10" t="s">
        <v>159</v>
      </c>
      <c r="J24" s="75"/>
      <c r="K24" s="1"/>
      <c r="L24" s="77"/>
      <c r="M24" s="74"/>
      <c r="N24" s="194"/>
      <c r="O24" s="195"/>
      <c r="R24" s="108"/>
    </row>
    <row r="25" spans="2:21" ht="8.25" customHeight="1" x14ac:dyDescent="0.5">
      <c r="B25" s="39"/>
      <c r="C25" s="10"/>
      <c r="D25" s="75"/>
      <c r="E25" s="1"/>
      <c r="F25" s="77"/>
      <c r="G25" s="74"/>
      <c r="H25" s="1"/>
      <c r="I25" s="10"/>
      <c r="J25" s="75"/>
      <c r="K25" s="1"/>
      <c r="L25" s="77"/>
      <c r="M25" s="74"/>
      <c r="N25" s="194"/>
      <c r="O25" s="195"/>
      <c r="R25" s="108"/>
    </row>
    <row r="26" spans="2:21" x14ac:dyDescent="0.5">
      <c r="B26" s="39"/>
      <c r="C26" s="13"/>
      <c r="D26" s="75" t="s">
        <v>160</v>
      </c>
      <c r="E26" s="1"/>
      <c r="F26" s="77"/>
      <c r="G26" s="74"/>
      <c r="H26" s="1"/>
      <c r="I26" s="208" t="s">
        <v>161</v>
      </c>
      <c r="J26" s="75"/>
      <c r="K26" s="1"/>
      <c r="L26" s="77"/>
      <c r="M26" s="74"/>
      <c r="N26" s="194" t="s">
        <v>158</v>
      </c>
      <c r="O26" s="195" t="s">
        <v>158</v>
      </c>
      <c r="R26" s="108"/>
    </row>
    <row r="27" spans="2:21" x14ac:dyDescent="0.5">
      <c r="B27" s="40"/>
      <c r="C27" s="78"/>
      <c r="D27" s="20"/>
      <c r="E27" s="20"/>
      <c r="F27" s="20"/>
      <c r="G27" s="79"/>
      <c r="H27" s="20"/>
      <c r="I27" s="20"/>
      <c r="J27" s="20"/>
      <c r="K27" s="20"/>
      <c r="L27" s="20"/>
      <c r="M27" s="79"/>
      <c r="N27" s="40"/>
      <c r="O27" s="79"/>
    </row>
    <row r="28" spans="2:21" x14ac:dyDescent="0.5">
      <c r="C28" s="65"/>
    </row>
    <row r="29" spans="2:21" x14ac:dyDescent="0.5">
      <c r="C29" s="65"/>
      <c r="Q29" s="1"/>
      <c r="R29" s="1"/>
      <c r="S29" s="80"/>
      <c r="T29" s="80"/>
      <c r="U29" s="80"/>
    </row>
    <row r="30" spans="2:21" x14ac:dyDescent="0.5">
      <c r="C30" s="65"/>
      <c r="Q30" s="35"/>
      <c r="R30" s="1"/>
      <c r="S30" s="81"/>
      <c r="T30" s="81"/>
      <c r="U30" s="82"/>
    </row>
    <row r="31" spans="2:21" x14ac:dyDescent="0.5">
      <c r="C31" s="65"/>
      <c r="Q31" s="35"/>
      <c r="R31" s="1"/>
      <c r="S31" s="90"/>
      <c r="T31" s="90"/>
      <c r="U31" s="82"/>
    </row>
    <row r="32" spans="2:21" x14ac:dyDescent="0.5">
      <c r="C32" s="65"/>
      <c r="Q32" s="35"/>
      <c r="R32" s="1"/>
      <c r="S32" s="90"/>
      <c r="T32" s="90"/>
      <c r="U32" s="82"/>
    </row>
    <row r="33" spans="16:21" x14ac:dyDescent="0.5">
      <c r="P33" s="65"/>
      <c r="Q33" s="35"/>
      <c r="R33" s="1"/>
      <c r="S33" s="90"/>
      <c r="T33" s="90"/>
      <c r="U33" s="82"/>
    </row>
  </sheetData>
  <mergeCells count="8">
    <mergeCell ref="B2:O2"/>
    <mergeCell ref="C3:O3"/>
    <mergeCell ref="C10:G10"/>
    <mergeCell ref="I10:M10"/>
    <mergeCell ref="C4:O4"/>
    <mergeCell ref="C5:O5"/>
    <mergeCell ref="C6:O6"/>
    <mergeCell ref="C7:O7"/>
  </mergeCells>
  <printOptions horizontalCentered="1"/>
  <pageMargins left="0.55000000000000004" right="0.55000000000000004" top="1.7" bottom="0.5" header="0" footer="0"/>
  <pageSetup scale="78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6"/>
  <sheetViews>
    <sheetView showGridLines="0" workbookViewId="0">
      <selection activeCell="B2" sqref="B2:H55"/>
    </sheetView>
  </sheetViews>
  <sheetFormatPr defaultRowHeight="15" x14ac:dyDescent="0.4"/>
  <cols>
    <col min="1" max="1" width="2.33203125" customWidth="1"/>
    <col min="2" max="2" width="1.77734375" customWidth="1"/>
    <col min="3" max="7" width="11.77734375" customWidth="1"/>
    <col min="8" max="9" width="1.77734375" customWidth="1"/>
    <col min="13" max="13" width="1.77734375" customWidth="1"/>
    <col min="14" max="19" width="9.77734375" customWidth="1"/>
    <col min="20" max="20" width="1.77734375" customWidth="1"/>
  </cols>
  <sheetData>
    <row r="1" spans="1:11" ht="15.75" x14ac:dyDescent="0.5">
      <c r="B1" s="27"/>
      <c r="C1" s="27"/>
      <c r="D1" s="27"/>
      <c r="E1" s="27"/>
      <c r="F1" s="27"/>
      <c r="G1" s="27"/>
      <c r="H1" s="27"/>
    </row>
    <row r="2" spans="1:11" ht="18" x14ac:dyDescent="0.55000000000000004">
      <c r="B2" s="212" t="s">
        <v>162</v>
      </c>
      <c r="C2" s="213"/>
      <c r="D2" s="213"/>
      <c r="E2" s="213"/>
      <c r="F2" s="213"/>
      <c r="G2" s="213"/>
      <c r="H2" s="214"/>
    </row>
    <row r="3" spans="1:11" ht="18" hidden="1" x14ac:dyDescent="0.55000000000000004">
      <c r="B3" s="69"/>
      <c r="C3" s="215" t="s">
        <v>163</v>
      </c>
      <c r="D3" s="215"/>
      <c r="E3" s="215"/>
      <c r="F3" s="215"/>
      <c r="G3" s="215"/>
      <c r="H3" s="70"/>
    </row>
    <row r="4" spans="1:11" ht="18" x14ac:dyDescent="0.55000000000000004">
      <c r="A4" s="27"/>
      <c r="B4" s="69"/>
      <c r="C4" s="215" t="s">
        <v>164</v>
      </c>
      <c r="D4" s="215"/>
      <c r="E4" s="215"/>
      <c r="F4" s="215"/>
      <c r="G4" s="215"/>
      <c r="H4" s="70"/>
      <c r="I4" s="27"/>
    </row>
    <row r="5" spans="1:11" ht="18" x14ac:dyDescent="0.55000000000000004">
      <c r="A5" s="27"/>
      <c r="B5" s="69"/>
      <c r="C5" s="215" t="s">
        <v>1</v>
      </c>
      <c r="D5" s="215"/>
      <c r="E5" s="215"/>
      <c r="F5" s="215"/>
      <c r="G5" s="215"/>
      <c r="H5" s="70"/>
      <c r="I5" s="27"/>
    </row>
    <row r="6" spans="1:11" ht="15.75" x14ac:dyDescent="0.5">
      <c r="A6" s="27"/>
      <c r="B6" s="71"/>
      <c r="C6" s="72"/>
      <c r="D6" s="72"/>
      <c r="E6" s="72"/>
      <c r="F6" s="72"/>
      <c r="G6" s="72"/>
      <c r="H6" s="73"/>
      <c r="I6" s="27"/>
    </row>
    <row r="7" spans="1:11" ht="15.75" x14ac:dyDescent="0.5">
      <c r="A7" s="27"/>
      <c r="B7" s="57"/>
      <c r="C7" s="58"/>
      <c r="D7" s="94"/>
      <c r="E7" s="57"/>
      <c r="F7" s="58"/>
      <c r="G7" s="58"/>
      <c r="H7" s="59"/>
      <c r="I7" s="27"/>
    </row>
    <row r="8" spans="1:11" ht="17.649999999999999" x14ac:dyDescent="0.75">
      <c r="A8" s="27"/>
      <c r="B8" s="60"/>
      <c r="C8" s="63" t="s">
        <v>165</v>
      </c>
      <c r="D8" s="95" t="s">
        <v>166</v>
      </c>
      <c r="E8" s="225" t="s">
        <v>167</v>
      </c>
      <c r="F8" s="226"/>
      <c r="G8" s="226"/>
      <c r="H8" s="66"/>
      <c r="I8" s="27"/>
    </row>
    <row r="9" spans="1:11" ht="17.649999999999999" x14ac:dyDescent="0.75">
      <c r="A9" s="27"/>
      <c r="B9" s="60"/>
      <c r="C9" s="63" t="s">
        <v>168</v>
      </c>
      <c r="D9" s="95" t="s">
        <v>169</v>
      </c>
      <c r="E9" s="100" t="s">
        <v>169</v>
      </c>
      <c r="F9" s="101" t="s">
        <v>170</v>
      </c>
      <c r="G9" s="101" t="s">
        <v>171</v>
      </c>
      <c r="H9" s="99"/>
      <c r="I9" s="27"/>
    </row>
    <row r="10" spans="1:11" ht="17.649999999999999" x14ac:dyDescent="0.75">
      <c r="A10" s="27"/>
      <c r="B10" s="60"/>
      <c r="C10" s="63"/>
      <c r="D10" s="95"/>
      <c r="E10" s="100"/>
      <c r="F10" s="101"/>
      <c r="G10" s="101"/>
      <c r="H10" s="99"/>
      <c r="I10" s="27"/>
    </row>
    <row r="11" spans="1:11" ht="17.649999999999999" hidden="1" x14ac:dyDescent="0.75">
      <c r="B11" s="60"/>
      <c r="C11" s="224" t="s">
        <v>172</v>
      </c>
      <c r="D11" s="224"/>
      <c r="E11" s="224"/>
      <c r="F11" s="224"/>
      <c r="G11" s="224"/>
      <c r="H11" s="66"/>
    </row>
    <row r="12" spans="1:11" ht="15.4" hidden="1" x14ac:dyDescent="0.45">
      <c r="B12" s="60"/>
      <c r="C12" s="52">
        <v>2000</v>
      </c>
      <c r="D12" s="96">
        <f>Rates!F13</f>
        <v>25.39</v>
      </c>
      <c r="E12" s="7">
        <f>Rates!L13</f>
        <v>30.33</v>
      </c>
      <c r="F12" s="4">
        <f>(E12-D12)</f>
        <v>4.9399999999999977</v>
      </c>
      <c r="G12" s="141">
        <f>F12/D12</f>
        <v>0.19456478928712082</v>
      </c>
      <c r="H12" s="67"/>
      <c r="K12" s="137"/>
    </row>
    <row r="13" spans="1:11" ht="15.4" hidden="1" x14ac:dyDescent="0.45">
      <c r="B13" s="60"/>
      <c r="C13" s="147">
        <v>4000</v>
      </c>
      <c r="D13" s="162">
        <f>Rates!F13+(2*Rates!F14)</f>
        <v>42.150000000000006</v>
      </c>
      <c r="E13" s="163">
        <f>Rates!L13+(2*Rates!L14)</f>
        <v>50.349999999999994</v>
      </c>
      <c r="F13" s="142">
        <f t="shared" ref="F13" si="0">(E13-D13)</f>
        <v>8.1999999999999886</v>
      </c>
      <c r="G13" s="141">
        <f t="shared" ref="G13" si="1">F13/D13</f>
        <v>0.19454329774614443</v>
      </c>
      <c r="H13" s="67"/>
      <c r="K13" s="137"/>
    </row>
    <row r="14" spans="1:11" ht="15.4" hidden="1" x14ac:dyDescent="0.45">
      <c r="B14" s="60"/>
      <c r="C14" s="68">
        <v>6000</v>
      </c>
      <c r="D14" s="97">
        <f>Rates!F13+(2*Rates!F14)+(2*Rates!F15)</f>
        <v>58.17</v>
      </c>
      <c r="E14" s="161">
        <f>Rates!L13+(2*Rates!L14)+(2*Rates!L15)</f>
        <v>69.489999999999995</v>
      </c>
      <c r="F14" s="164">
        <f t="shared" ref="F14" si="2">(E14-D14)</f>
        <v>11.319999999999993</v>
      </c>
      <c r="G14" s="165">
        <f t="shared" ref="G14" si="3">F14/D14</f>
        <v>0.19460202853704647</v>
      </c>
      <c r="H14" s="67"/>
      <c r="K14" s="137"/>
    </row>
    <row r="15" spans="1:11" ht="15.4" hidden="1" x14ac:dyDescent="0.45">
      <c r="B15" s="60"/>
      <c r="C15" s="52">
        <v>10000</v>
      </c>
      <c r="D15" s="98">
        <f>Rates!F13+2*Rates!F14+2*Rates!F15+4*Rates!F16</f>
        <v>88.33</v>
      </c>
      <c r="E15" s="64">
        <f>Rates!L13+2*Rates!L14+2*Rates!L15+4*Rates!L16</f>
        <v>105.53</v>
      </c>
      <c r="F15" s="142">
        <f t="shared" ref="F15" si="4">(E15-D15)</f>
        <v>17.200000000000003</v>
      </c>
      <c r="G15" s="141">
        <f t="shared" ref="G15" si="5">F15/D15</f>
        <v>0.1947243292199706</v>
      </c>
      <c r="H15" s="67"/>
      <c r="K15" s="137"/>
    </row>
    <row r="16" spans="1:11" ht="15.4" hidden="1" x14ac:dyDescent="0.45">
      <c r="B16" s="60"/>
      <c r="C16" s="52">
        <v>16000</v>
      </c>
      <c r="D16" s="98">
        <f>Rates!F13+(2*Rates!F14)+(2*Rates!F15)+(10*Rates!F16)</f>
        <v>133.57</v>
      </c>
      <c r="E16" s="64">
        <f>Rates!L13+(2*Rates!L14)+(2*Rates!L15)+(10*Rates!L16)</f>
        <v>159.58999999999997</v>
      </c>
      <c r="F16" s="142">
        <f t="shared" ref="F16" si="6">(E16-D16)</f>
        <v>26.019999999999982</v>
      </c>
      <c r="G16" s="141">
        <f t="shared" ref="G16" si="7">F16/D16</f>
        <v>0.19480422250505341</v>
      </c>
      <c r="H16" s="67"/>
      <c r="K16" s="137"/>
    </row>
    <row r="17" spans="2:11" ht="15.4" hidden="1" x14ac:dyDescent="0.45">
      <c r="B17" s="60"/>
      <c r="C17" s="52">
        <v>20000</v>
      </c>
      <c r="D17" s="98">
        <f>Rates!F13+(2*Rates!F14)+(2*Rates!F15)+(14*Rates!F16)</f>
        <v>163.73000000000002</v>
      </c>
      <c r="E17" s="64">
        <f>Rates!L13+(2*Rates!L14)+(2*Rates!L15)+(14*Rates!L16)</f>
        <v>195.63</v>
      </c>
      <c r="F17" s="142">
        <f t="shared" ref="F17" si="8">(E17-D17)</f>
        <v>31.899999999999977</v>
      </c>
      <c r="G17" s="141">
        <f t="shared" ref="G17" si="9">F17/D17</f>
        <v>0.19483295669700099</v>
      </c>
      <c r="H17" s="67"/>
      <c r="K17" s="137"/>
    </row>
    <row r="18" spans="2:11" ht="15.4" hidden="1" x14ac:dyDescent="0.45">
      <c r="B18" s="60"/>
      <c r="C18" s="52">
        <v>24000</v>
      </c>
      <c r="D18" s="98" t="e">
        <f>Rates!F13+(2*Rates!F14)+(2*Rates!F15)+(10*Rates!F16)+(8*Rates!#REF!)</f>
        <v>#REF!</v>
      </c>
      <c r="E18" s="64" t="e">
        <f>Rates!L13+(2*Rates!L14)+(2*Rates!L15)+(10*Rates!L16)+(8*Rates!#REF!)</f>
        <v>#REF!</v>
      </c>
      <c r="F18" s="142" t="e">
        <f t="shared" ref="F18:F19" si="10">(E18-D18)</f>
        <v>#REF!</v>
      </c>
      <c r="G18" s="141" t="e">
        <f t="shared" ref="G18:G19" si="11">F18/D18</f>
        <v>#REF!</v>
      </c>
      <c r="H18" s="67"/>
      <c r="K18" s="137"/>
    </row>
    <row r="19" spans="2:11" ht="15.4" hidden="1" x14ac:dyDescent="0.45">
      <c r="B19" s="60"/>
      <c r="C19" s="52">
        <v>50000</v>
      </c>
      <c r="D19" s="98" t="e">
        <f>Rates!F13+(2*Rates!F14)+(2*Rates!F15)+(10*Rates!F16)+(8*Rates!#REF!)+(26*Rates!F17)</f>
        <v>#REF!</v>
      </c>
      <c r="E19" s="64" t="e">
        <f>Rates!L13+(2*Rates!L14)+(2*Rates!L15)+(10*Rates!L16)+(8*Rates!#REF!)+(26*Rates!L17)</f>
        <v>#REF!</v>
      </c>
      <c r="F19" s="142" t="e">
        <f t="shared" si="10"/>
        <v>#REF!</v>
      </c>
      <c r="G19" s="141" t="e">
        <f t="shared" si="11"/>
        <v>#REF!</v>
      </c>
      <c r="H19" s="67"/>
      <c r="K19" s="137"/>
    </row>
    <row r="20" spans="2:11" ht="15.4" hidden="1" x14ac:dyDescent="0.45">
      <c r="B20" s="60"/>
      <c r="C20" s="52">
        <v>120000</v>
      </c>
      <c r="D20" s="98" t="e">
        <f>Rates!F13+(2*Rates!F14)+(2*Rates!F15)+(10*Rates!F16)+(8*Rates!#REF!)+(96*Rates!F17)</f>
        <v>#REF!</v>
      </c>
      <c r="E20" s="64" t="e">
        <f>Rates!L13+(2*Rates!L14)+(2*Rates!L15)+(10*Rates!L16)+(8*Rates!#REF!)+(96*Rates!L17)</f>
        <v>#REF!</v>
      </c>
      <c r="F20" s="142" t="e">
        <f t="shared" ref="F20" si="12">(E20-D20)</f>
        <v>#REF!</v>
      </c>
      <c r="G20" s="141" t="e">
        <f t="shared" ref="G20" si="13">F20/D20</f>
        <v>#REF!</v>
      </c>
      <c r="H20" s="67"/>
      <c r="K20" s="137"/>
    </row>
    <row r="21" spans="2:11" ht="15.4" hidden="1" x14ac:dyDescent="0.45">
      <c r="B21" s="60"/>
      <c r="C21" s="52"/>
      <c r="D21" s="64"/>
      <c r="E21" s="64"/>
      <c r="F21" s="64"/>
      <c r="G21" s="64"/>
      <c r="H21" s="67"/>
    </row>
    <row r="22" spans="2:11" ht="17.649999999999999" hidden="1" x14ac:dyDescent="0.75">
      <c r="B22" s="60"/>
      <c r="C22" s="224" t="s">
        <v>173</v>
      </c>
      <c r="D22" s="224"/>
      <c r="E22" s="224"/>
      <c r="F22" s="224"/>
      <c r="G22" s="224"/>
      <c r="H22" s="67"/>
    </row>
    <row r="23" spans="2:11" ht="15.4" hidden="1" x14ac:dyDescent="0.45">
      <c r="B23" s="60"/>
      <c r="C23" s="52">
        <v>2000</v>
      </c>
      <c r="D23" s="96" t="e">
        <f>Rates!#REF!</f>
        <v>#REF!</v>
      </c>
      <c r="E23" s="7" t="e">
        <f>Rates!#REF!</f>
        <v>#REF!</v>
      </c>
      <c r="F23" s="4" t="e">
        <f>(E23-D23)</f>
        <v>#REF!</v>
      </c>
      <c r="G23" s="141" t="e">
        <f>F23/D23</f>
        <v>#REF!</v>
      </c>
      <c r="H23" s="67"/>
    </row>
    <row r="24" spans="2:11" ht="15.4" hidden="1" x14ac:dyDescent="0.45">
      <c r="B24" s="60"/>
      <c r="C24" s="147">
        <v>4000</v>
      </c>
      <c r="D24" s="162" t="e">
        <f>Rates!#REF!</f>
        <v>#REF!</v>
      </c>
      <c r="E24" s="163" t="e">
        <f>Rates!#REF!</f>
        <v>#REF!</v>
      </c>
      <c r="F24" s="142" t="e">
        <f t="shared" ref="F24:F30" si="14">(E24-D24)</f>
        <v>#REF!</v>
      </c>
      <c r="G24" s="141" t="e">
        <f t="shared" ref="G24:G30" si="15">F24/D24</f>
        <v>#REF!</v>
      </c>
      <c r="H24" s="67"/>
    </row>
    <row r="25" spans="2:11" ht="15.4" hidden="1" x14ac:dyDescent="0.45">
      <c r="B25" s="60"/>
      <c r="C25" s="147">
        <v>6000</v>
      </c>
      <c r="D25" s="162" t="e">
        <f>Rates!#REF!</f>
        <v>#REF!</v>
      </c>
      <c r="E25" s="163" t="e">
        <f>Rates!#REF!</f>
        <v>#REF!</v>
      </c>
      <c r="F25" s="166" t="e">
        <f t="shared" si="14"/>
        <v>#REF!</v>
      </c>
      <c r="G25" s="167" t="e">
        <f t="shared" si="15"/>
        <v>#REF!</v>
      </c>
      <c r="H25" s="67"/>
    </row>
    <row r="26" spans="2:11" ht="15.4" hidden="1" x14ac:dyDescent="0.45">
      <c r="B26" s="60"/>
      <c r="C26" s="52">
        <v>10000</v>
      </c>
      <c r="D26" s="98" t="e">
        <f>Rates!#REF!</f>
        <v>#REF!</v>
      </c>
      <c r="E26" s="64" t="e">
        <f>Rates!#REF!</f>
        <v>#REF!</v>
      </c>
      <c r="F26" s="142" t="e">
        <f t="shared" si="14"/>
        <v>#REF!</v>
      </c>
      <c r="G26" s="141" t="e">
        <f t="shared" si="15"/>
        <v>#REF!</v>
      </c>
      <c r="H26" s="67"/>
    </row>
    <row r="27" spans="2:11" ht="15.4" hidden="1" x14ac:dyDescent="0.45">
      <c r="B27" s="60"/>
      <c r="C27" s="52">
        <v>16000</v>
      </c>
      <c r="D27" s="98" t="e">
        <f>Rates!#REF!+6*Rates!#REF!</f>
        <v>#REF!</v>
      </c>
      <c r="E27" s="64" t="e">
        <f>Rates!#REF!+6*Rates!#REF!</f>
        <v>#REF!</v>
      </c>
      <c r="F27" s="142" t="e">
        <f t="shared" si="14"/>
        <v>#REF!</v>
      </c>
      <c r="G27" s="141" t="e">
        <f t="shared" si="15"/>
        <v>#REF!</v>
      </c>
      <c r="H27" s="67"/>
    </row>
    <row r="28" spans="2:11" ht="15.4" hidden="1" x14ac:dyDescent="0.45">
      <c r="B28" s="60"/>
      <c r="C28" s="147">
        <v>20000</v>
      </c>
      <c r="D28" s="162" t="e">
        <f>Rates!#REF!+6*Rates!#REF!+4*Rates!#REF!</f>
        <v>#REF!</v>
      </c>
      <c r="E28" s="163" t="e">
        <f>Rates!#REF!+6*Rates!#REF!+4*Rates!#REF!</f>
        <v>#REF!</v>
      </c>
      <c r="F28" s="166" t="e">
        <f t="shared" ref="F28" si="16">(E28-D28)</f>
        <v>#REF!</v>
      </c>
      <c r="G28" s="167" t="e">
        <f t="shared" ref="G28" si="17">F28/D28</f>
        <v>#REF!</v>
      </c>
      <c r="H28" s="67"/>
    </row>
    <row r="29" spans="2:11" ht="15.4" hidden="1" x14ac:dyDescent="0.45">
      <c r="B29" s="60"/>
      <c r="C29" s="52">
        <v>24000</v>
      </c>
      <c r="D29" s="98" t="e">
        <f>Rates!#REF!+6*Rates!#REF!+8*Rates!#REF!</f>
        <v>#REF!</v>
      </c>
      <c r="E29" s="64" t="e">
        <f>Rates!#REF!+6*Rates!#REF!+8*Rates!#REF!</f>
        <v>#REF!</v>
      </c>
      <c r="F29" s="142" t="e">
        <f t="shared" si="14"/>
        <v>#REF!</v>
      </c>
      <c r="G29" s="141" t="e">
        <f t="shared" si="15"/>
        <v>#REF!</v>
      </c>
      <c r="H29" s="67"/>
    </row>
    <row r="30" spans="2:11" ht="15.4" hidden="1" x14ac:dyDescent="0.45">
      <c r="B30" s="60"/>
      <c r="C30" s="52">
        <v>50000</v>
      </c>
      <c r="D30" s="98" t="e">
        <f>Rates!#REF!+6*Rates!#REF!+8*Rates!#REF!+26*Rates!#REF!</f>
        <v>#REF!</v>
      </c>
      <c r="E30" s="64" t="e">
        <f>Rates!#REF!+6*Rates!#REF!+8*Rates!#REF!+26*Rates!#REF!</f>
        <v>#REF!</v>
      </c>
      <c r="F30" s="142" t="e">
        <f t="shared" si="14"/>
        <v>#REF!</v>
      </c>
      <c r="G30" s="141" t="e">
        <f t="shared" si="15"/>
        <v>#REF!</v>
      </c>
      <c r="H30" s="67"/>
    </row>
    <row r="31" spans="2:11" ht="15.4" hidden="1" x14ac:dyDescent="0.45">
      <c r="B31" s="60"/>
      <c r="C31" s="52">
        <v>120000</v>
      </c>
      <c r="D31" s="98" t="e">
        <f>Rates!#REF!+6*Rates!#REF!+8*Rates!#REF!+96*Rates!#REF!</f>
        <v>#REF!</v>
      </c>
      <c r="E31" s="64" t="e">
        <f>Rates!#REF!+6*Rates!#REF!+8*Rates!#REF!+96*Rates!#REF!</f>
        <v>#REF!</v>
      </c>
      <c r="F31" s="142" t="e">
        <f t="shared" ref="F31" si="18">(E31-D31)</f>
        <v>#REF!</v>
      </c>
      <c r="G31" s="141" t="e">
        <f t="shared" ref="G31" si="19">F31/D31</f>
        <v>#REF!</v>
      </c>
      <c r="H31" s="67"/>
    </row>
    <row r="32" spans="2:11" ht="15.4" hidden="1" x14ac:dyDescent="0.45">
      <c r="B32" s="60"/>
      <c r="C32" s="52"/>
      <c r="D32" s="64"/>
      <c r="E32" s="64"/>
      <c r="F32" s="142"/>
      <c r="G32" s="141"/>
      <c r="H32" s="67"/>
    </row>
    <row r="33" spans="2:15" ht="17.649999999999999" hidden="1" x14ac:dyDescent="0.75">
      <c r="B33" s="60"/>
      <c r="C33" s="224" t="s">
        <v>174</v>
      </c>
      <c r="D33" s="224"/>
      <c r="E33" s="224"/>
      <c r="F33" s="224"/>
      <c r="G33" s="224"/>
      <c r="H33" s="67"/>
    </row>
    <row r="34" spans="2:15" ht="15.4" hidden="1" x14ac:dyDescent="0.45">
      <c r="B34" s="60"/>
      <c r="C34" s="52">
        <v>2000</v>
      </c>
      <c r="D34" s="96" t="str">
        <f>Rates!F21</f>
        <v>N/A</v>
      </c>
      <c r="E34" s="7">
        <f>Rates!L21</f>
        <v>1605.5423999999998</v>
      </c>
      <c r="F34" s="4" t="e">
        <f>(E34-D34)</f>
        <v>#VALUE!</v>
      </c>
      <c r="G34" s="141" t="e">
        <f>F34/D34</f>
        <v>#VALUE!</v>
      </c>
      <c r="H34" s="67"/>
    </row>
    <row r="35" spans="2:15" ht="15.4" hidden="1" x14ac:dyDescent="0.45">
      <c r="B35" s="60"/>
      <c r="C35" s="147">
        <v>4000</v>
      </c>
      <c r="D35" s="162" t="str">
        <f>Rates!F21</f>
        <v>N/A</v>
      </c>
      <c r="E35" s="163">
        <f>Rates!L21</f>
        <v>1605.5423999999998</v>
      </c>
      <c r="F35" s="142" t="e">
        <f t="shared" ref="F35:F40" si="20">(E35-D35)</f>
        <v>#VALUE!</v>
      </c>
      <c r="G35" s="141" t="e">
        <f t="shared" ref="G35:G40" si="21">F35/D35</f>
        <v>#VALUE!</v>
      </c>
      <c r="H35" s="67"/>
    </row>
    <row r="36" spans="2:15" ht="15.4" hidden="1" x14ac:dyDescent="0.45">
      <c r="B36" s="60"/>
      <c r="C36" s="147">
        <v>6000</v>
      </c>
      <c r="D36" s="162" t="str">
        <f>Rates!F21</f>
        <v>N/A</v>
      </c>
      <c r="E36" s="163">
        <f>Rates!L21</f>
        <v>1605.5423999999998</v>
      </c>
      <c r="F36" s="166" t="e">
        <f t="shared" si="20"/>
        <v>#VALUE!</v>
      </c>
      <c r="G36" s="167" t="e">
        <f t="shared" si="21"/>
        <v>#VALUE!</v>
      </c>
      <c r="H36" s="67"/>
    </row>
    <row r="37" spans="2:15" ht="15.4" hidden="1" x14ac:dyDescent="0.45">
      <c r="B37" s="60"/>
      <c r="C37" s="52">
        <v>10000</v>
      </c>
      <c r="D37" s="169" t="str">
        <f>Rates!F21</f>
        <v>N/A</v>
      </c>
      <c r="E37" s="163">
        <f>Rates!L21</f>
        <v>1605.5423999999998</v>
      </c>
      <c r="F37" s="142" t="e">
        <f t="shared" si="20"/>
        <v>#VALUE!</v>
      </c>
      <c r="G37" s="141" t="e">
        <f t="shared" si="21"/>
        <v>#VALUE!</v>
      </c>
      <c r="H37" s="67"/>
    </row>
    <row r="38" spans="2:15" ht="15.4" hidden="1" x14ac:dyDescent="0.45">
      <c r="B38" s="60"/>
      <c r="C38" s="52">
        <v>16000</v>
      </c>
      <c r="D38" s="169" t="str">
        <f>Rates!F21</f>
        <v>N/A</v>
      </c>
      <c r="E38" s="163">
        <f>Rates!L21</f>
        <v>1605.5423999999998</v>
      </c>
      <c r="F38" s="142" t="e">
        <f t="shared" si="20"/>
        <v>#VALUE!</v>
      </c>
      <c r="G38" s="141" t="e">
        <f t="shared" si="21"/>
        <v>#VALUE!</v>
      </c>
      <c r="H38" s="67"/>
    </row>
    <row r="39" spans="2:15" ht="15.4" hidden="1" x14ac:dyDescent="0.45">
      <c r="B39" s="60"/>
      <c r="C39" s="52">
        <v>24000</v>
      </c>
      <c r="D39" s="169" t="str">
        <f>Rates!F21</f>
        <v>N/A</v>
      </c>
      <c r="E39" s="163">
        <f>Rates!L21</f>
        <v>1605.5423999999998</v>
      </c>
      <c r="F39" s="142" t="e">
        <f t="shared" si="20"/>
        <v>#VALUE!</v>
      </c>
      <c r="G39" s="141" t="e">
        <f t="shared" si="21"/>
        <v>#VALUE!</v>
      </c>
      <c r="H39" s="67"/>
    </row>
    <row r="40" spans="2:15" ht="15.4" hidden="1" x14ac:dyDescent="0.45">
      <c r="B40" s="60"/>
      <c r="C40" s="52">
        <v>50000</v>
      </c>
      <c r="D40" s="98" t="e">
        <f>Rates!F21+26*Rates!F22</f>
        <v>#VALUE!</v>
      </c>
      <c r="E40" s="64">
        <f>Rates!L21+26*Rates!L22</f>
        <v>1744.6894079999997</v>
      </c>
      <c r="F40" s="142" t="e">
        <f t="shared" si="20"/>
        <v>#VALUE!</v>
      </c>
      <c r="G40" s="141" t="e">
        <f t="shared" si="21"/>
        <v>#VALUE!</v>
      </c>
      <c r="H40" s="67"/>
    </row>
    <row r="41" spans="2:15" ht="15.4" hidden="1" x14ac:dyDescent="0.45">
      <c r="B41" s="60"/>
      <c r="C41" s="147">
        <v>120000</v>
      </c>
      <c r="D41" s="162" t="e">
        <f>Rates!F21+96*Rates!F22</f>
        <v>#VALUE!</v>
      </c>
      <c r="E41" s="163">
        <f>Rates!L21+96*Rates!L22</f>
        <v>2119.3159679999999</v>
      </c>
      <c r="F41" s="166" t="e">
        <f t="shared" ref="F41" si="22">(E41-D41)</f>
        <v>#VALUE!</v>
      </c>
      <c r="G41" s="167" t="e">
        <f t="shared" ref="G41" si="23">F41/D41</f>
        <v>#VALUE!</v>
      </c>
      <c r="H41" s="67"/>
    </row>
    <row r="42" spans="2:15" ht="15.4" hidden="1" x14ac:dyDescent="0.45">
      <c r="B42" s="60"/>
      <c r="C42" s="52"/>
      <c r="D42" s="64"/>
      <c r="E42" s="64"/>
      <c r="F42" s="142"/>
      <c r="G42" s="141"/>
      <c r="H42" s="67"/>
    </row>
    <row r="43" spans="2:15" ht="17.649999999999999" x14ac:dyDescent="0.75">
      <c r="B43" s="60"/>
      <c r="C43" s="224" t="s">
        <v>175</v>
      </c>
      <c r="D43" s="224"/>
      <c r="E43" s="224"/>
      <c r="F43" s="224"/>
      <c r="G43" s="224"/>
      <c r="H43" s="67"/>
    </row>
    <row r="44" spans="2:15" ht="15.4" x14ac:dyDescent="0.45">
      <c r="B44" s="60"/>
      <c r="C44" s="52">
        <v>2000</v>
      </c>
      <c r="D44" s="96">
        <f>Rates!F13</f>
        <v>25.39</v>
      </c>
      <c r="E44" s="4">
        <f>Rates!L13+1.1</f>
        <v>31.43</v>
      </c>
      <c r="F44" s="4">
        <f t="shared" ref="F44:F47" si="24">(E44-D44)</f>
        <v>6.0399999999999991</v>
      </c>
      <c r="G44" s="141">
        <f t="shared" ref="G44:G47" si="25">F44/D44</f>
        <v>0.23788893265064984</v>
      </c>
      <c r="H44" s="67"/>
      <c r="J44" s="138"/>
      <c r="K44" s="137"/>
    </row>
    <row r="45" spans="2:15" ht="15.4" x14ac:dyDescent="0.45">
      <c r="B45" s="60"/>
      <c r="C45" s="68">
        <v>4000</v>
      </c>
      <c r="D45" s="97">
        <f>D44+Rates!F14+Rates!F14</f>
        <v>42.150000000000006</v>
      </c>
      <c r="E45" s="206">
        <f>E44+(Rates!L14*2)</f>
        <v>51.45</v>
      </c>
      <c r="F45" s="168">
        <f t="shared" si="24"/>
        <v>9.2999999999999972</v>
      </c>
      <c r="G45" s="165">
        <f t="shared" si="25"/>
        <v>0.22064056939501769</v>
      </c>
      <c r="H45" s="67"/>
      <c r="J45" s="138"/>
      <c r="K45" s="137"/>
      <c r="N45" s="139"/>
      <c r="O45" s="140"/>
    </row>
    <row r="46" spans="2:15" ht="15.4" x14ac:dyDescent="0.45">
      <c r="B46" s="60"/>
      <c r="C46" s="147">
        <v>6000</v>
      </c>
      <c r="D46" s="162">
        <f>D44+Rates!F14+Rates!F14+Rates!F14+Rates!F14</f>
        <v>58.910000000000011</v>
      </c>
      <c r="E46" s="163">
        <f>E44+(Rates!L14*4)</f>
        <v>71.47</v>
      </c>
      <c r="F46" s="170">
        <f t="shared" si="24"/>
        <v>12.559999999999988</v>
      </c>
      <c r="G46" s="167">
        <f t="shared" si="25"/>
        <v>0.21320658631811212</v>
      </c>
      <c r="H46" s="67"/>
      <c r="J46" s="138"/>
      <c r="K46" s="137"/>
    </row>
    <row r="47" spans="2:15" ht="15.4" x14ac:dyDescent="0.45">
      <c r="B47" s="60"/>
      <c r="C47" s="52">
        <v>10000</v>
      </c>
      <c r="D47" s="98">
        <f>D44+Rates!F14+Rates!F14+Rates!F14+Rates!F14+Rates!F14+Rates!F14+Rates!F14+Rates!F14</f>
        <v>92.429999999999993</v>
      </c>
      <c r="E47" s="64">
        <f>E44+(Rates!L14*8)</f>
        <v>111.50999999999999</v>
      </c>
      <c r="F47" s="4">
        <f t="shared" si="24"/>
        <v>19.079999999999998</v>
      </c>
      <c r="G47" s="141">
        <f t="shared" si="25"/>
        <v>0.20642648490749757</v>
      </c>
      <c r="H47" s="67"/>
      <c r="J47" s="138"/>
      <c r="K47" s="137"/>
    </row>
    <row r="48" spans="2:15" ht="15.4" x14ac:dyDescent="0.45">
      <c r="B48" s="60"/>
      <c r="C48" s="52">
        <v>16000</v>
      </c>
      <c r="D48" s="98">
        <f>D47+(Rates!F15*6)</f>
        <v>140.49</v>
      </c>
      <c r="E48" s="64">
        <f>E47+(Rates!L15*6)</f>
        <v>168.93</v>
      </c>
      <c r="F48" s="4">
        <f t="shared" ref="F48:F51" si="26">(E48-D48)</f>
        <v>28.439999999999998</v>
      </c>
      <c r="G48" s="141">
        <f t="shared" ref="G48:G51" si="27">F48/D48</f>
        <v>0.20243433696348492</v>
      </c>
      <c r="H48" s="67"/>
      <c r="J48" s="138"/>
      <c r="K48" s="137"/>
    </row>
    <row r="49" spans="2:11" ht="15.4" x14ac:dyDescent="0.45">
      <c r="B49" s="60"/>
      <c r="C49" s="147">
        <v>20000</v>
      </c>
      <c r="D49" s="162">
        <f>D47+(Rates!F15*10)</f>
        <v>172.52999999999997</v>
      </c>
      <c r="E49" s="163">
        <f>E47+(Rates!L15*10)</f>
        <v>207.20999999999998</v>
      </c>
      <c r="F49" s="170">
        <f t="shared" ref="F49" si="28">(E49-D49)</f>
        <v>34.680000000000007</v>
      </c>
      <c r="G49" s="167">
        <f t="shared" ref="G49" si="29">F49/D49</f>
        <v>0.20100852025734661</v>
      </c>
      <c r="H49" s="67"/>
      <c r="J49" s="138"/>
      <c r="K49" s="137"/>
    </row>
    <row r="50" spans="2:11" ht="15.4" x14ac:dyDescent="0.45">
      <c r="B50" s="60"/>
      <c r="C50" s="147">
        <v>24000</v>
      </c>
      <c r="D50" s="162">
        <f>D49+(Rates!F16*4)</f>
        <v>202.68999999999997</v>
      </c>
      <c r="E50" s="163">
        <f>E49+(Rates!L16*4)</f>
        <v>243.24999999999997</v>
      </c>
      <c r="F50" s="170">
        <f t="shared" si="26"/>
        <v>40.56</v>
      </c>
      <c r="G50" s="167">
        <f t="shared" si="27"/>
        <v>0.20010854013518184</v>
      </c>
      <c r="H50" s="67"/>
      <c r="J50" s="138"/>
      <c r="K50" s="137"/>
    </row>
    <row r="51" spans="2:11" ht="15.4" x14ac:dyDescent="0.45">
      <c r="B51" s="60"/>
      <c r="C51" s="147">
        <v>50000</v>
      </c>
      <c r="D51" s="162">
        <f>D49+(Rates!F16*30)</f>
        <v>398.72999999999996</v>
      </c>
      <c r="E51" s="163">
        <f>E49+(Rates!L16*30)</f>
        <v>477.51</v>
      </c>
      <c r="F51" s="170">
        <f t="shared" si="26"/>
        <v>78.78000000000003</v>
      </c>
      <c r="G51" s="167">
        <f t="shared" si="27"/>
        <v>0.19757730795275008</v>
      </c>
      <c r="H51" s="67"/>
      <c r="J51" s="138"/>
      <c r="K51" s="137"/>
    </row>
    <row r="52" spans="2:11" ht="15.4" x14ac:dyDescent="0.45">
      <c r="B52" s="60"/>
      <c r="C52" s="147">
        <v>120000</v>
      </c>
      <c r="D52" s="162">
        <f>D51+(Rates!F17*60)</f>
        <v>830.13</v>
      </c>
      <c r="E52" s="163">
        <f>E51+(Rates!L17*60)</f>
        <v>992.91</v>
      </c>
      <c r="F52" s="170">
        <f t="shared" ref="F52" si="30">(E52-D52)</f>
        <v>162.77999999999997</v>
      </c>
      <c r="G52" s="167">
        <f t="shared" ref="G52" si="31">F52/D52</f>
        <v>0.19608976907231393</v>
      </c>
      <c r="H52" s="67"/>
      <c r="J52" s="138"/>
      <c r="K52" s="137"/>
    </row>
    <row r="53" spans="2:11" ht="15.4" x14ac:dyDescent="0.45">
      <c r="B53" s="61"/>
      <c r="C53" s="17"/>
      <c r="D53" s="21"/>
      <c r="E53" s="21"/>
      <c r="F53" s="21"/>
      <c r="G53" s="21"/>
      <c r="H53" s="62"/>
    </row>
    <row r="55" spans="2:11" ht="15.4" x14ac:dyDescent="0.45">
      <c r="D55" s="89" t="s">
        <v>176</v>
      </c>
    </row>
    <row r="56" spans="2:11" ht="15.4" x14ac:dyDescent="0.45">
      <c r="D56" s="89"/>
    </row>
  </sheetData>
  <mergeCells count="9">
    <mergeCell ref="B2:H2"/>
    <mergeCell ref="C11:G11"/>
    <mergeCell ref="C43:G43"/>
    <mergeCell ref="C3:G3"/>
    <mergeCell ref="C4:G4"/>
    <mergeCell ref="C5:G5"/>
    <mergeCell ref="E8:G8"/>
    <mergeCell ref="C22:G22"/>
    <mergeCell ref="C33:G33"/>
  </mergeCells>
  <printOptions horizontalCentered="1"/>
  <pageMargins left="0.45" right="0.45" top="1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23"/>
  <sheetViews>
    <sheetView showGridLines="0" topLeftCell="A35" zoomScaleNormal="100" workbookViewId="0">
      <selection activeCell="E66" sqref="E66"/>
    </sheetView>
  </sheetViews>
  <sheetFormatPr defaultColWidth="8.88671875" defaultRowHeight="14.25" x14ac:dyDescent="0.45"/>
  <cols>
    <col min="1" max="1" width="8.44140625" style="1" customWidth="1"/>
    <col min="2" max="2" width="8.6640625" style="1" customWidth="1"/>
    <col min="3" max="3" width="8" style="1" customWidth="1"/>
    <col min="4" max="4" width="11.5546875" style="3" customWidth="1"/>
    <col min="5" max="5" width="9.77734375" style="1" customWidth="1"/>
    <col min="6" max="6" width="10.33203125" style="1" customWidth="1"/>
    <col min="7" max="7" width="9.5546875" style="1" bestFit="1" customWidth="1"/>
    <col min="8" max="8" width="10.21875" style="1" customWidth="1"/>
    <col min="9" max="9" width="9.77734375" style="1" customWidth="1"/>
    <col min="10" max="11" width="9.88671875" style="1" bestFit="1" customWidth="1"/>
    <col min="12" max="12" width="10.5546875" style="3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" x14ac:dyDescent="0.55000000000000004">
      <c r="A1" s="48" t="s">
        <v>177</v>
      </c>
      <c r="B1" s="8"/>
      <c r="C1" s="8"/>
      <c r="D1" s="154"/>
      <c r="E1" s="8"/>
      <c r="F1" s="8"/>
      <c r="G1" s="8"/>
      <c r="H1" s="8"/>
      <c r="I1" s="8"/>
    </row>
    <row r="2" spans="1:17" ht="18" x14ac:dyDescent="0.45">
      <c r="A2" s="210" t="s">
        <v>1</v>
      </c>
      <c r="B2" s="210"/>
      <c r="C2" s="210"/>
      <c r="D2" s="210"/>
      <c r="E2" s="210"/>
      <c r="F2" s="210"/>
      <c r="G2" s="210"/>
      <c r="H2" s="210"/>
      <c r="I2" s="210"/>
    </row>
    <row r="3" spans="1:17" x14ac:dyDescent="0.45">
      <c r="M3" s="3"/>
      <c r="Q3" s="3"/>
    </row>
    <row r="4" spans="1:17" ht="16.5" x14ac:dyDescent="0.75">
      <c r="C4" s="53" t="s">
        <v>123</v>
      </c>
      <c r="M4" s="49"/>
      <c r="Q4" s="85"/>
    </row>
    <row r="5" spans="1:17" x14ac:dyDescent="0.45">
      <c r="C5" s="87"/>
      <c r="D5" s="56"/>
      <c r="E5" s="11" t="s">
        <v>124</v>
      </c>
      <c r="F5" s="11" t="s">
        <v>125</v>
      </c>
      <c r="G5" s="11" t="s">
        <v>126</v>
      </c>
      <c r="H5" s="2"/>
      <c r="J5" s="88"/>
      <c r="K5" s="3"/>
      <c r="L5" s="88"/>
      <c r="M5" s="3"/>
      <c r="Q5" s="38"/>
    </row>
    <row r="6" spans="1:17" x14ac:dyDescent="0.45">
      <c r="C6" s="1" t="str">
        <f>ExBA!C6</f>
        <v>RESIDENTIAL METERS</v>
      </c>
      <c r="E6" s="3">
        <f>C26</f>
        <v>23679</v>
      </c>
      <c r="F6" s="44">
        <f>D26</f>
        <v>86206100</v>
      </c>
      <c r="G6" s="46">
        <f>F35</f>
        <v>1183698.973</v>
      </c>
      <c r="H6" s="46"/>
      <c r="J6" s="88"/>
      <c r="K6" s="207">
        <v>0.1946</v>
      </c>
    </row>
    <row r="7" spans="1:17" x14ac:dyDescent="0.45">
      <c r="C7" s="1" t="str">
        <f>ExBA!C7</f>
        <v>COMMERCIAL METERS</v>
      </c>
      <c r="E7" s="3">
        <f>C45</f>
        <v>1043</v>
      </c>
      <c r="F7" s="44">
        <f>D45</f>
        <v>44658000</v>
      </c>
      <c r="G7" s="3">
        <f>F54</f>
        <v>413343.00962459994</v>
      </c>
      <c r="H7" s="3"/>
      <c r="J7" s="88"/>
      <c r="K7" s="3"/>
    </row>
    <row r="8" spans="1:17" x14ac:dyDescent="0.45">
      <c r="C8" s="1" t="str">
        <f>ExBA!C8</f>
        <v>WHOLESALE</v>
      </c>
      <c r="E8" s="56">
        <f>C61</f>
        <v>7</v>
      </c>
      <c r="F8" s="153">
        <f>D61</f>
        <v>1584900</v>
      </c>
      <c r="G8" s="56">
        <f>F67</f>
        <v>13825.325606399998</v>
      </c>
      <c r="H8" s="3"/>
      <c r="J8" s="88"/>
      <c r="K8" s="3"/>
    </row>
    <row r="9" spans="1:17" x14ac:dyDescent="0.45">
      <c r="C9" s="1" t="s">
        <v>127</v>
      </c>
      <c r="E9" s="38">
        <f>SUM(E6:E8)</f>
        <v>24729</v>
      </c>
      <c r="F9" s="6">
        <f>SUM(F6:F8)</f>
        <v>132449000</v>
      </c>
      <c r="G9" s="5">
        <f>SUM(G6:G8)</f>
        <v>1610867.3082309999</v>
      </c>
      <c r="H9" s="5"/>
      <c r="J9" s="88"/>
      <c r="K9" s="38"/>
      <c r="M9" s="45"/>
    </row>
    <row r="10" spans="1:17" x14ac:dyDescent="0.45">
      <c r="C10" s="1" t="s">
        <v>128</v>
      </c>
      <c r="E10" s="38"/>
      <c r="F10" s="6"/>
      <c r="G10" s="106">
        <f>ExBA!G10</f>
        <v>-10889</v>
      </c>
      <c r="H10" s="5"/>
      <c r="J10" s="88"/>
      <c r="K10" s="38"/>
      <c r="M10" s="45"/>
    </row>
    <row r="11" spans="1:17" x14ac:dyDescent="0.45">
      <c r="C11" s="1" t="s">
        <v>129</v>
      </c>
      <c r="E11" s="38"/>
      <c r="F11" s="6"/>
      <c r="G11" s="5">
        <f>G9+G10</f>
        <v>1599978.3082309999</v>
      </c>
      <c r="H11" s="5"/>
      <c r="I11" s="49"/>
      <c r="J11" s="158"/>
      <c r="K11" s="38"/>
      <c r="M11" s="45"/>
    </row>
    <row r="12" spans="1:17" x14ac:dyDescent="0.45">
      <c r="C12" s="1" t="s">
        <v>178</v>
      </c>
      <c r="E12" s="38"/>
      <c r="F12" s="6"/>
      <c r="G12" s="106">
        <f>-SAO!H47</f>
        <v>-1586410.0709426622</v>
      </c>
      <c r="H12" s="5"/>
      <c r="J12" s="88"/>
      <c r="K12" s="45"/>
    </row>
    <row r="13" spans="1:17" x14ac:dyDescent="0.45">
      <c r="C13" s="1" t="s">
        <v>179</v>
      </c>
      <c r="D13" s="111"/>
      <c r="F13" s="86"/>
      <c r="G13" s="49">
        <f>G11+G12</f>
        <v>13568.237288337667</v>
      </c>
      <c r="H13" s="159">
        <f>G13/G12</f>
        <v>-8.552793213343176E-3</v>
      </c>
      <c r="I13" s="49"/>
      <c r="J13" s="88"/>
      <c r="O13" s="38"/>
    </row>
    <row r="14" spans="1:17" x14ac:dyDescent="0.45">
      <c r="D14" s="111"/>
      <c r="F14" s="86"/>
      <c r="G14" s="105"/>
      <c r="I14" s="49"/>
      <c r="J14" s="88"/>
    </row>
    <row r="15" spans="1:17" x14ac:dyDescent="0.45">
      <c r="D15" s="111"/>
      <c r="F15" s="86"/>
      <c r="G15" s="111"/>
      <c r="I15" s="49"/>
      <c r="L15" s="103"/>
    </row>
    <row r="16" spans="1:17" x14ac:dyDescent="0.45">
      <c r="F16" s="104"/>
      <c r="G16" s="49"/>
    </row>
    <row r="17" spans="1:19" x14ac:dyDescent="0.45">
      <c r="F17" s="49"/>
      <c r="G17" s="49"/>
    </row>
    <row r="18" spans="1:19" ht="15.75" x14ac:dyDescent="0.5">
      <c r="A18" s="83" t="str">
        <f>ExBA!A18</f>
        <v>RESIDENTIAL METERS</v>
      </c>
      <c r="N18"/>
      <c r="O18"/>
      <c r="P18"/>
      <c r="Q18"/>
      <c r="R18"/>
      <c r="S18"/>
    </row>
    <row r="19" spans="1:19" ht="15.4" x14ac:dyDescent="0.45">
      <c r="E19" s="2" t="s">
        <v>133</v>
      </c>
      <c r="F19" s="2" t="s">
        <v>134</v>
      </c>
      <c r="G19" s="2" t="s">
        <v>134</v>
      </c>
      <c r="H19" s="2" t="s">
        <v>134</v>
      </c>
      <c r="I19" s="2" t="s">
        <v>135</v>
      </c>
      <c r="L19"/>
      <c r="M19"/>
      <c r="N19"/>
      <c r="O19"/>
      <c r="P19"/>
      <c r="Q19"/>
    </row>
    <row r="20" spans="1:19" ht="15.4" x14ac:dyDescent="0.45">
      <c r="B20" s="11" t="s">
        <v>136</v>
      </c>
      <c r="C20" s="12" t="s">
        <v>137</v>
      </c>
      <c r="D20" s="155" t="s">
        <v>138</v>
      </c>
      <c r="E20" s="12">
        <f>B21</f>
        <v>2000</v>
      </c>
      <c r="F20" s="12">
        <f>B22</f>
        <v>8000</v>
      </c>
      <c r="G20" s="12">
        <f>B23</f>
        <v>10000</v>
      </c>
      <c r="H20" s="12">
        <f>B24</f>
        <v>30000</v>
      </c>
      <c r="I20" s="12">
        <f>B25</f>
        <v>50000</v>
      </c>
      <c r="J20" s="11" t="s">
        <v>139</v>
      </c>
      <c r="L20"/>
      <c r="M20"/>
      <c r="N20"/>
      <c r="O20"/>
      <c r="P20"/>
      <c r="Q20"/>
    </row>
    <row r="21" spans="1:19" ht="15.4" x14ac:dyDescent="0.45">
      <c r="A21" s="13" t="s">
        <v>133</v>
      </c>
      <c r="B21" s="14">
        <v>2000</v>
      </c>
      <c r="C21" s="150">
        <f>ExBA!C21</f>
        <v>8061</v>
      </c>
      <c r="D21" s="111">
        <f>ExBA!D21</f>
        <v>7965800</v>
      </c>
      <c r="E21" s="50">
        <f>D21</f>
        <v>7965800</v>
      </c>
      <c r="F21" s="50">
        <v>0</v>
      </c>
      <c r="G21" s="50">
        <v>0</v>
      </c>
      <c r="H21" s="50">
        <v>0</v>
      </c>
      <c r="I21" s="50">
        <v>0</v>
      </c>
      <c r="J21" s="50">
        <f>SUM(E21:I21)</f>
        <v>7965800</v>
      </c>
      <c r="L21"/>
      <c r="M21"/>
      <c r="N21"/>
      <c r="O21"/>
      <c r="P21"/>
      <c r="Q21"/>
    </row>
    <row r="22" spans="1:19" ht="15.4" x14ac:dyDescent="0.45">
      <c r="A22" s="13" t="s">
        <v>134</v>
      </c>
      <c r="B22" s="14">
        <v>8000</v>
      </c>
      <c r="C22" s="150">
        <f>ExBA!C22</f>
        <v>14750</v>
      </c>
      <c r="D22" s="111">
        <f>ExBA!D22</f>
        <v>62658300</v>
      </c>
      <c r="E22" s="50">
        <f>C22*E$20</f>
        <v>29500000</v>
      </c>
      <c r="F22" s="50">
        <f>D22-E22</f>
        <v>33158300</v>
      </c>
      <c r="G22" s="50">
        <v>0</v>
      </c>
      <c r="H22" s="50">
        <v>0</v>
      </c>
      <c r="I22" s="50">
        <v>0</v>
      </c>
      <c r="J22" s="50">
        <f>SUM(E22:I22)</f>
        <v>62658300</v>
      </c>
      <c r="L22"/>
      <c r="M22"/>
      <c r="N22"/>
      <c r="O22"/>
      <c r="P22"/>
      <c r="Q22"/>
    </row>
    <row r="23" spans="1:19" ht="15.4" x14ac:dyDescent="0.45">
      <c r="A23" s="13" t="s">
        <v>134</v>
      </c>
      <c r="B23" s="14">
        <v>10000</v>
      </c>
      <c r="C23" s="150">
        <f>ExBA!C23</f>
        <v>676</v>
      </c>
      <c r="D23" s="111">
        <f>ExBA!D23</f>
        <v>8921200</v>
      </c>
      <c r="E23" s="50">
        <f>C23*E$20</f>
        <v>1352000</v>
      </c>
      <c r="F23" s="50">
        <f>$C23*F$20</f>
        <v>5408000</v>
      </c>
      <c r="G23" s="50">
        <f>D23-(F23+E23)</f>
        <v>2161200</v>
      </c>
      <c r="H23" s="50">
        <v>0</v>
      </c>
      <c r="I23" s="50">
        <v>0</v>
      </c>
      <c r="J23" s="50">
        <f>SUM(E23:I23)</f>
        <v>8921200</v>
      </c>
      <c r="L23"/>
      <c r="M23"/>
      <c r="N23"/>
      <c r="O23"/>
      <c r="P23"/>
      <c r="Q23"/>
    </row>
    <row r="24" spans="1:19" ht="15.4" x14ac:dyDescent="0.45">
      <c r="A24" s="13" t="s">
        <v>134</v>
      </c>
      <c r="B24" s="14">
        <v>30000</v>
      </c>
      <c r="C24" s="150">
        <f>ExBA!C24</f>
        <v>167</v>
      </c>
      <c r="D24" s="111">
        <f>ExBA!D24</f>
        <v>4502200</v>
      </c>
      <c r="E24" s="50">
        <f t="shared" ref="E24" si="0">C24*E$20</f>
        <v>334000</v>
      </c>
      <c r="F24" s="50">
        <f t="shared" ref="F24" si="1">$C24*F$20</f>
        <v>1336000</v>
      </c>
      <c r="G24" s="50">
        <f>C24*G20</f>
        <v>1670000</v>
      </c>
      <c r="H24" s="38">
        <f>D24-E24-F24-G24</f>
        <v>1162200</v>
      </c>
      <c r="I24" s="50">
        <v>0</v>
      </c>
      <c r="J24" s="50">
        <f>SUM(E24:I24)</f>
        <v>4502200</v>
      </c>
      <c r="L24"/>
      <c r="M24"/>
      <c r="N24"/>
      <c r="O24"/>
      <c r="P24"/>
      <c r="Q24"/>
    </row>
    <row r="25" spans="1:19" ht="15.4" x14ac:dyDescent="0.45">
      <c r="A25" s="13" t="s">
        <v>135</v>
      </c>
      <c r="B25" s="16">
        <v>50000</v>
      </c>
      <c r="C25" s="151">
        <f>ExBA!C25</f>
        <v>25</v>
      </c>
      <c r="D25" s="156">
        <f>ExBA!D25</f>
        <v>2158600</v>
      </c>
      <c r="E25" s="51">
        <f>C25*E$20</f>
        <v>50000</v>
      </c>
      <c r="F25" s="51">
        <f>$C25*F$20</f>
        <v>200000</v>
      </c>
      <c r="G25" s="51">
        <f>$C25*G$20</f>
        <v>250000</v>
      </c>
      <c r="H25" s="145">
        <f>C25*H20</f>
        <v>750000</v>
      </c>
      <c r="I25" s="51">
        <f>D25-E25-F25-G25-H25</f>
        <v>908600</v>
      </c>
      <c r="J25" s="51">
        <f>SUM(E25:I25)</f>
        <v>2158600</v>
      </c>
      <c r="L25"/>
      <c r="M25"/>
      <c r="N25"/>
      <c r="O25"/>
      <c r="P25"/>
      <c r="Q25"/>
    </row>
    <row r="26" spans="1:19" ht="15.4" x14ac:dyDescent="0.45">
      <c r="A26" s="13"/>
      <c r="B26" s="14" t="s">
        <v>139</v>
      </c>
      <c r="C26" s="52">
        <f t="shared" ref="C26:J26" si="2">SUM(C21:C25)</f>
        <v>23679</v>
      </c>
      <c r="D26" s="6">
        <f t="shared" si="2"/>
        <v>86206100</v>
      </c>
      <c r="E26" s="52">
        <f t="shared" si="2"/>
        <v>39201800</v>
      </c>
      <c r="F26" s="52">
        <f t="shared" si="2"/>
        <v>40102300</v>
      </c>
      <c r="G26" s="52">
        <f t="shared" si="2"/>
        <v>4081200</v>
      </c>
      <c r="H26" s="52">
        <f t="shared" si="2"/>
        <v>1912200</v>
      </c>
      <c r="I26" s="52">
        <f t="shared" si="2"/>
        <v>908600</v>
      </c>
      <c r="J26" s="52">
        <f t="shared" si="2"/>
        <v>86206100</v>
      </c>
      <c r="K26" s="3"/>
      <c r="L26"/>
      <c r="M26"/>
      <c r="N26"/>
      <c r="O26"/>
      <c r="P26"/>
      <c r="Q26"/>
    </row>
    <row r="27" spans="1:19" ht="15.4" x14ac:dyDescent="0.45">
      <c r="A27" s="13"/>
      <c r="B27" s="14"/>
      <c r="E27" s="14"/>
      <c r="F27" s="14"/>
      <c r="G27" s="14"/>
      <c r="H27" s="14"/>
      <c r="I27" s="14"/>
      <c r="N27"/>
      <c r="O27"/>
      <c r="P27"/>
      <c r="Q27"/>
      <c r="R27"/>
      <c r="S27"/>
    </row>
    <row r="28" spans="1:19" ht="15.4" x14ac:dyDescent="0.45">
      <c r="A28" s="18" t="s">
        <v>140</v>
      </c>
      <c r="B28" s="18"/>
      <c r="E28" s="14"/>
      <c r="F28" s="14"/>
      <c r="G28" s="14"/>
      <c r="H28" s="14"/>
      <c r="I28" s="14"/>
      <c r="N28"/>
      <c r="O28"/>
      <c r="P28"/>
      <c r="Q28"/>
      <c r="R28"/>
      <c r="S28"/>
    </row>
    <row r="29" spans="1:19" ht="15.4" x14ac:dyDescent="0.45">
      <c r="A29" s="13"/>
      <c r="B29" s="11"/>
      <c r="C29" s="12" t="s">
        <v>137</v>
      </c>
      <c r="D29" s="155" t="s">
        <v>138</v>
      </c>
      <c r="E29" s="12" t="s">
        <v>141</v>
      </c>
      <c r="F29" s="12" t="s">
        <v>142</v>
      </c>
      <c r="G29" s="14"/>
      <c r="H29" s="14"/>
      <c r="I29" s="14"/>
      <c r="N29"/>
      <c r="O29"/>
      <c r="P29"/>
      <c r="Q29"/>
      <c r="R29"/>
      <c r="S29"/>
    </row>
    <row r="30" spans="1:19" ht="15.4" x14ac:dyDescent="0.45">
      <c r="A30" s="13" t="s">
        <v>133</v>
      </c>
      <c r="B30" s="14">
        <f>B21</f>
        <v>2000</v>
      </c>
      <c r="C30" s="15">
        <f>C26</f>
        <v>23679</v>
      </c>
      <c r="D30" s="111">
        <f>E26</f>
        <v>39201800</v>
      </c>
      <c r="E30" s="19">
        <f>Rates!L13</f>
        <v>30.33</v>
      </c>
      <c r="F30" s="9">
        <f>E30*C30</f>
        <v>718184.07</v>
      </c>
      <c r="G30" s="49"/>
      <c r="H30" s="49"/>
      <c r="I30" s="158"/>
      <c r="N30"/>
      <c r="O30"/>
      <c r="P30"/>
      <c r="Q30"/>
      <c r="R30"/>
      <c r="S30"/>
    </row>
    <row r="31" spans="1:19" ht="15.4" x14ac:dyDescent="0.45">
      <c r="A31" s="13" t="s">
        <v>134</v>
      </c>
      <c r="B31" s="14">
        <f>B22</f>
        <v>8000</v>
      </c>
      <c r="D31" s="111">
        <f>F26</f>
        <v>40102300</v>
      </c>
      <c r="E31" s="19">
        <f>Rates!L14</f>
        <v>10.01</v>
      </c>
      <c r="F31" s="3">
        <f>E31*(D31/1000)</f>
        <v>401424.02300000004</v>
      </c>
      <c r="G31" s="38"/>
      <c r="H31" s="49"/>
      <c r="I31" s="158"/>
      <c r="N31"/>
      <c r="O31"/>
      <c r="P31"/>
      <c r="Q31"/>
      <c r="R31"/>
      <c r="S31"/>
    </row>
    <row r="32" spans="1:19" ht="15.4" x14ac:dyDescent="0.45">
      <c r="A32" s="13" t="s">
        <v>134</v>
      </c>
      <c r="B32" s="14">
        <f>B23</f>
        <v>10000</v>
      </c>
      <c r="D32" s="111">
        <f>G26</f>
        <v>4081200</v>
      </c>
      <c r="E32" s="19">
        <f>Rates!L15</f>
        <v>9.57</v>
      </c>
      <c r="F32" s="3">
        <f>E32*(D32/1000)</f>
        <v>39057.084000000003</v>
      </c>
      <c r="G32" s="38"/>
      <c r="H32" s="49"/>
      <c r="I32" s="158"/>
      <c r="N32"/>
      <c r="O32"/>
      <c r="P32"/>
      <c r="Q32"/>
      <c r="R32"/>
      <c r="S32"/>
    </row>
    <row r="33" spans="1:19" ht="15.4" x14ac:dyDescent="0.45">
      <c r="A33" s="13" t="s">
        <v>134</v>
      </c>
      <c r="B33" s="14">
        <v>10000</v>
      </c>
      <c r="D33" s="111">
        <f>H26</f>
        <v>1912200</v>
      </c>
      <c r="E33" s="19">
        <f>Rates!L16</f>
        <v>9.01</v>
      </c>
      <c r="F33" s="3">
        <f t="shared" ref="F33" si="3">E33*(D33/1000)</f>
        <v>17228.921999999999</v>
      </c>
      <c r="G33" s="38"/>
      <c r="H33" s="49"/>
      <c r="I33" s="158"/>
      <c r="N33"/>
      <c r="O33"/>
      <c r="P33"/>
      <c r="Q33"/>
      <c r="R33"/>
      <c r="S33"/>
    </row>
    <row r="34" spans="1:19" x14ac:dyDescent="0.45">
      <c r="A34" s="13" t="s">
        <v>135</v>
      </c>
      <c r="B34" s="16">
        <f>B25</f>
        <v>50000</v>
      </c>
      <c r="C34" s="20"/>
      <c r="D34" s="156">
        <f>I26</f>
        <v>908600</v>
      </c>
      <c r="E34" s="134">
        <f>Rates!L17</f>
        <v>8.59</v>
      </c>
      <c r="F34" s="56">
        <f>E34*(D34/1000)</f>
        <v>7804.8739999999998</v>
      </c>
      <c r="G34" s="38"/>
      <c r="H34" s="49"/>
      <c r="I34" s="158"/>
      <c r="Q34" s="3">
        <f>Q27/12</f>
        <v>0</v>
      </c>
    </row>
    <row r="35" spans="1:19" x14ac:dyDescent="0.45">
      <c r="A35" s="13"/>
      <c r="B35" s="14" t="s">
        <v>139</v>
      </c>
      <c r="C35" s="3">
        <f>SUM(C30:C34)</f>
        <v>23679</v>
      </c>
      <c r="D35" s="6">
        <f>SUM(D30:D34)</f>
        <v>86206100</v>
      </c>
      <c r="F35" s="9">
        <f>SUM(F30:F34)</f>
        <v>1183698.973</v>
      </c>
      <c r="G35" s="5"/>
      <c r="H35" s="49"/>
      <c r="I35" s="158"/>
    </row>
    <row r="36" spans="1:19" x14ac:dyDescent="0.45">
      <c r="A36" s="13"/>
      <c r="B36" s="14"/>
      <c r="C36" s="3"/>
      <c r="D36" s="6"/>
      <c r="F36" s="9"/>
      <c r="G36" s="14"/>
      <c r="H36" s="14"/>
      <c r="I36" s="14"/>
    </row>
    <row r="37" spans="1:19" ht="15.75" x14ac:dyDescent="0.5">
      <c r="A37" s="83" t="str">
        <f>ExBA!A37</f>
        <v>COMMERCIAL METERS</v>
      </c>
    </row>
    <row r="38" spans="1:19" x14ac:dyDescent="0.45">
      <c r="E38" s="2" t="s">
        <v>133</v>
      </c>
      <c r="F38" s="2" t="s">
        <v>134</v>
      </c>
      <c r="G38" s="2" t="s">
        <v>134</v>
      </c>
      <c r="H38" s="2" t="s">
        <v>134</v>
      </c>
      <c r="I38" s="2" t="s">
        <v>135</v>
      </c>
      <c r="L38" s="1"/>
    </row>
    <row r="39" spans="1:19" x14ac:dyDescent="0.45">
      <c r="B39" s="11" t="s">
        <v>136</v>
      </c>
      <c r="C39" s="12" t="s">
        <v>137</v>
      </c>
      <c r="D39" s="155" t="s">
        <v>138</v>
      </c>
      <c r="E39" s="12">
        <f>B40</f>
        <v>2000</v>
      </c>
      <c r="F39" s="12">
        <f>B41</f>
        <v>8000</v>
      </c>
      <c r="G39" s="12">
        <f>B42</f>
        <v>10000</v>
      </c>
      <c r="H39" s="155">
        <v>30000</v>
      </c>
      <c r="I39" s="12">
        <f>B44</f>
        <v>50000</v>
      </c>
      <c r="J39" s="11" t="s">
        <v>139</v>
      </c>
      <c r="L39" s="1"/>
    </row>
    <row r="40" spans="1:19" x14ac:dyDescent="0.45">
      <c r="A40" s="13" t="s">
        <v>133</v>
      </c>
      <c r="B40" s="14">
        <v>2000</v>
      </c>
      <c r="C40" s="150">
        <f>ExBA!C40</f>
        <v>633</v>
      </c>
      <c r="D40" s="150">
        <f>ExBA!D40</f>
        <v>264400</v>
      </c>
      <c r="E40" s="50">
        <f>D40</f>
        <v>264400</v>
      </c>
      <c r="F40" s="50">
        <v>0</v>
      </c>
      <c r="G40" s="50">
        <v>0</v>
      </c>
      <c r="H40" s="88">
        <v>0</v>
      </c>
      <c r="I40" s="50">
        <v>0</v>
      </c>
      <c r="J40" s="50">
        <f>SUM(E40:I40)</f>
        <v>264400</v>
      </c>
      <c r="L40" s="1"/>
    </row>
    <row r="41" spans="1:19" x14ac:dyDescent="0.45">
      <c r="A41" s="13" t="s">
        <v>134</v>
      </c>
      <c r="B41" s="14">
        <v>8000</v>
      </c>
      <c r="C41" s="150">
        <f>ExBA!C41</f>
        <v>173</v>
      </c>
      <c r="D41" s="150">
        <f>ExBA!D41</f>
        <v>818000</v>
      </c>
      <c r="E41" s="50">
        <f>C41*E39</f>
        <v>346000</v>
      </c>
      <c r="F41" s="50">
        <f>D41-E41</f>
        <v>472000</v>
      </c>
      <c r="G41" s="50">
        <v>0</v>
      </c>
      <c r="H41" s="88">
        <v>0</v>
      </c>
      <c r="I41" s="50">
        <v>0</v>
      </c>
      <c r="J41" s="50">
        <f>SUM(E41:I41)</f>
        <v>818000</v>
      </c>
      <c r="L41" s="1"/>
    </row>
    <row r="42" spans="1:19" x14ac:dyDescent="0.45">
      <c r="A42" s="13" t="s">
        <v>134</v>
      </c>
      <c r="B42" s="14">
        <v>10000</v>
      </c>
      <c r="C42" s="150">
        <f>ExBA!C42</f>
        <v>39</v>
      </c>
      <c r="D42" s="150">
        <f>ExBA!D42</f>
        <v>563600</v>
      </c>
      <c r="E42" s="50">
        <f>C42*E39</f>
        <v>78000</v>
      </c>
      <c r="F42" s="50">
        <f>C42*F39</f>
        <v>312000</v>
      </c>
      <c r="G42" s="50">
        <f>D42-E42-F42</f>
        <v>173600</v>
      </c>
      <c r="H42" s="88">
        <v>0</v>
      </c>
      <c r="I42" s="50">
        <v>0</v>
      </c>
      <c r="J42" s="50">
        <f>SUM(E42:I42)</f>
        <v>563600</v>
      </c>
      <c r="L42" s="1"/>
    </row>
    <row r="43" spans="1:19" x14ac:dyDescent="0.45">
      <c r="A43" s="13" t="s">
        <v>134</v>
      </c>
      <c r="B43" s="14">
        <v>30000</v>
      </c>
      <c r="C43" s="150">
        <f>ExBA!C43</f>
        <v>88</v>
      </c>
      <c r="D43" s="150">
        <f>ExBA!D43</f>
        <v>3173500</v>
      </c>
      <c r="E43" s="50">
        <f>C43*E39</f>
        <v>176000</v>
      </c>
      <c r="F43" s="50">
        <f>C43*F39</f>
        <v>704000</v>
      </c>
      <c r="G43" s="50">
        <f>C43*G39</f>
        <v>880000</v>
      </c>
      <c r="H43" s="38">
        <f>D43-E43-F43-G43</f>
        <v>1413500</v>
      </c>
      <c r="I43" s="50">
        <v>0</v>
      </c>
      <c r="J43" s="50">
        <f>SUM(E43:I43)</f>
        <v>3173500</v>
      </c>
      <c r="L43" s="1"/>
    </row>
    <row r="44" spans="1:19" x14ac:dyDescent="0.45">
      <c r="A44" s="13" t="s">
        <v>135</v>
      </c>
      <c r="B44" s="16">
        <v>50000</v>
      </c>
      <c r="C44" s="151">
        <f>ExBA!C44</f>
        <v>110</v>
      </c>
      <c r="D44" s="151">
        <f>ExBA!D44</f>
        <v>39838500</v>
      </c>
      <c r="E44" s="51">
        <f>$C44*E$39</f>
        <v>220000</v>
      </c>
      <c r="F44" s="51">
        <f>C44*F39</f>
        <v>880000</v>
      </c>
      <c r="G44" s="51">
        <f>C44*G39</f>
        <v>1100000</v>
      </c>
      <c r="H44" s="145">
        <f>C44*H39</f>
        <v>3300000</v>
      </c>
      <c r="I44" s="51">
        <f>D44-E44-F44-G44-H44</f>
        <v>34338500</v>
      </c>
      <c r="J44" s="51">
        <f>SUM(E44:I44)</f>
        <v>39838500</v>
      </c>
      <c r="L44" s="1"/>
    </row>
    <row r="45" spans="1:19" x14ac:dyDescent="0.45">
      <c r="A45" s="13"/>
      <c r="B45" s="14"/>
      <c r="C45" s="152">
        <f>SUM(C40:C44)</f>
        <v>1043</v>
      </c>
      <c r="D45" s="6">
        <f>SUM(D40:D44)</f>
        <v>44658000</v>
      </c>
      <c r="E45" s="52">
        <f>SUM(E40:E44)</f>
        <v>1084400</v>
      </c>
      <c r="F45" s="52">
        <f t="shared" ref="F45:G45" si="4">SUM(F40:F44)</f>
        <v>2368000</v>
      </c>
      <c r="G45" s="52">
        <f t="shared" si="4"/>
        <v>2153600</v>
      </c>
      <c r="H45" s="38">
        <f>SUM(H40:H44)</f>
        <v>4713500</v>
      </c>
      <c r="I45" s="52">
        <f>SUM(I40:I44)</f>
        <v>34338500</v>
      </c>
      <c r="J45" s="52">
        <f>SUM(J40:J44)</f>
        <v>44658000</v>
      </c>
    </row>
    <row r="46" spans="1:19" x14ac:dyDescent="0.45">
      <c r="A46" s="13"/>
      <c r="B46" s="14"/>
      <c r="E46" s="14"/>
      <c r="F46" s="14"/>
      <c r="G46" s="14"/>
      <c r="H46" s="14"/>
      <c r="I46" s="14"/>
    </row>
    <row r="47" spans="1:19" x14ac:dyDescent="0.45">
      <c r="A47" s="18" t="s">
        <v>140</v>
      </c>
      <c r="B47" s="18"/>
      <c r="E47" s="14"/>
      <c r="F47" s="14"/>
      <c r="G47" s="14"/>
      <c r="H47" s="14"/>
      <c r="I47" s="14"/>
    </row>
    <row r="48" spans="1:19" x14ac:dyDescent="0.45">
      <c r="A48" s="13"/>
      <c r="B48" s="11"/>
      <c r="C48" s="12" t="s">
        <v>137</v>
      </c>
      <c r="D48" s="155" t="s">
        <v>138</v>
      </c>
      <c r="E48" s="12" t="s">
        <v>141</v>
      </c>
      <c r="F48" s="12" t="s">
        <v>142</v>
      </c>
      <c r="G48" s="14"/>
      <c r="H48" s="14"/>
      <c r="I48" s="14"/>
    </row>
    <row r="49" spans="1:12" x14ac:dyDescent="0.45">
      <c r="A49" s="13" t="s">
        <v>133</v>
      </c>
      <c r="B49" s="14">
        <f>B40</f>
        <v>2000</v>
      </c>
      <c r="C49" s="15">
        <f>C45</f>
        <v>1043</v>
      </c>
      <c r="D49" s="111">
        <f>E45</f>
        <v>1084400</v>
      </c>
      <c r="E49" s="19">
        <f>ExBA!E49*(1+PropBA!$K$6)</f>
        <v>30.330893999999997</v>
      </c>
      <c r="F49" s="9">
        <f>E49*C49</f>
        <v>31635.122441999996</v>
      </c>
      <c r="G49" s="49"/>
      <c r="H49" s="49"/>
      <c r="I49" s="158"/>
    </row>
    <row r="50" spans="1:12" x14ac:dyDescent="0.45">
      <c r="A50" s="13" t="s">
        <v>134</v>
      </c>
      <c r="B50" s="14">
        <v>8000</v>
      </c>
      <c r="C50" s="15"/>
      <c r="D50" s="111">
        <f>F45</f>
        <v>2368000</v>
      </c>
      <c r="E50" s="19">
        <f>ExBA!E50*(1+PropBA!$K$6)</f>
        <v>10.010748</v>
      </c>
      <c r="F50" s="6">
        <f t="shared" ref="F50:F52" si="5">E50*(D50/1000)</f>
        <v>23705.451263999999</v>
      </c>
      <c r="G50" s="38"/>
      <c r="H50" s="49"/>
      <c r="I50" s="158"/>
    </row>
    <row r="51" spans="1:12" x14ac:dyDescent="0.45">
      <c r="A51" s="13" t="s">
        <v>134</v>
      </c>
      <c r="B51" s="14">
        <v>10000</v>
      </c>
      <c r="C51" s="15"/>
      <c r="D51" s="111">
        <f>G45</f>
        <v>2153600</v>
      </c>
      <c r="E51" s="19">
        <f>ExBA!E51*(1+PropBA!$K$6)</f>
        <v>9.5687459999999991</v>
      </c>
      <c r="F51" s="6">
        <f t="shared" si="5"/>
        <v>20607.251385599997</v>
      </c>
      <c r="G51" s="38"/>
      <c r="H51" s="49"/>
      <c r="I51" s="158"/>
    </row>
    <row r="52" spans="1:12" x14ac:dyDescent="0.45">
      <c r="A52" s="13" t="s">
        <v>134</v>
      </c>
      <c r="B52" s="14">
        <v>30000</v>
      </c>
      <c r="C52" s="15"/>
      <c r="D52" s="111">
        <f>H45</f>
        <v>4713500</v>
      </c>
      <c r="E52" s="19">
        <f>ExBA!E52*(1+PropBA!$K$6)</f>
        <v>9.0072839999999985</v>
      </c>
      <c r="F52" s="6">
        <f t="shared" si="5"/>
        <v>42455.833133999993</v>
      </c>
      <c r="G52" s="38"/>
      <c r="H52" s="49"/>
      <c r="I52" s="158"/>
    </row>
    <row r="53" spans="1:12" x14ac:dyDescent="0.45">
      <c r="A53" s="13" t="s">
        <v>135</v>
      </c>
      <c r="B53" s="16">
        <f>B44</f>
        <v>50000</v>
      </c>
      <c r="C53" s="20"/>
      <c r="D53" s="156">
        <f>I45</f>
        <v>34338500</v>
      </c>
      <c r="E53" s="134">
        <f>ExBA!E53*(1+PropBA!$K$6)</f>
        <v>8.5891739999999999</v>
      </c>
      <c r="F53" s="56">
        <f>E53*(D53/1000)</f>
        <v>294939.35139899998</v>
      </c>
      <c r="G53" s="38"/>
      <c r="H53" s="49"/>
      <c r="I53" s="158"/>
    </row>
    <row r="54" spans="1:12" x14ac:dyDescent="0.45">
      <c r="A54" s="13"/>
      <c r="B54" s="14" t="s">
        <v>139</v>
      </c>
      <c r="C54" s="3">
        <f>SUM(C49:C53)</f>
        <v>1043</v>
      </c>
      <c r="D54" s="6">
        <f>SUM(D49:D53)</f>
        <v>44658000</v>
      </c>
      <c r="F54" s="9">
        <f>SUM(F49:F53)</f>
        <v>413343.00962459994</v>
      </c>
      <c r="G54" s="46"/>
      <c r="H54" s="49"/>
      <c r="I54" s="158"/>
    </row>
    <row r="55" spans="1:12" x14ac:dyDescent="0.45">
      <c r="A55" s="13"/>
      <c r="B55" s="14"/>
      <c r="C55" s="22"/>
      <c r="D55" s="6"/>
      <c r="F55" s="19"/>
      <c r="G55" s="14"/>
      <c r="H55" s="14"/>
      <c r="I55" s="14"/>
    </row>
    <row r="56" spans="1:12" ht="15.75" x14ac:dyDescent="0.5">
      <c r="A56" s="83" t="str">
        <f>ExBA!A56</f>
        <v>WHOLESALE</v>
      </c>
    </row>
    <row r="57" spans="1:12" x14ac:dyDescent="0.45">
      <c r="E57" s="2" t="s">
        <v>133</v>
      </c>
      <c r="F57" s="2" t="s">
        <v>135</v>
      </c>
      <c r="K57" s="3"/>
      <c r="L57" s="1"/>
    </row>
    <row r="58" spans="1:12" x14ac:dyDescent="0.45">
      <c r="B58" s="11" t="s">
        <v>136</v>
      </c>
      <c r="C58" s="12" t="s">
        <v>137</v>
      </c>
      <c r="D58" s="155" t="s">
        <v>138</v>
      </c>
      <c r="E58" s="12">
        <f>B59</f>
        <v>300000</v>
      </c>
      <c r="F58" s="12">
        <f>B60</f>
        <v>300000</v>
      </c>
      <c r="G58" s="11" t="s">
        <v>139</v>
      </c>
      <c r="L58" s="1"/>
    </row>
    <row r="59" spans="1:12" x14ac:dyDescent="0.45">
      <c r="A59" s="13" t="s">
        <v>133</v>
      </c>
      <c r="B59" s="14">
        <v>300000</v>
      </c>
      <c r="C59" s="150">
        <f>ExBA!C59</f>
        <v>4</v>
      </c>
      <c r="D59" s="150">
        <f>ExBA!D59</f>
        <v>201600</v>
      </c>
      <c r="E59" s="50">
        <f>D59</f>
        <v>201600</v>
      </c>
      <c r="F59" s="50">
        <v>0</v>
      </c>
      <c r="G59" s="50">
        <f>SUM(E59:F59)</f>
        <v>201600</v>
      </c>
      <c r="K59" s="55"/>
      <c r="L59" s="1"/>
    </row>
    <row r="60" spans="1:12" x14ac:dyDescent="0.45">
      <c r="A60" s="13" t="s">
        <v>135</v>
      </c>
      <c r="B60" s="16">
        <v>300000</v>
      </c>
      <c r="C60" s="151">
        <f>ExBA!C60</f>
        <v>3</v>
      </c>
      <c r="D60" s="151">
        <f>ExBA!D60</f>
        <v>1383300</v>
      </c>
      <c r="E60" s="51">
        <f>$C60*E$58</f>
        <v>900000</v>
      </c>
      <c r="F60" s="51">
        <f>D60-E60</f>
        <v>483300</v>
      </c>
      <c r="G60" s="51">
        <f>SUM(E60:F60)</f>
        <v>1383300</v>
      </c>
      <c r="H60" s="3"/>
      <c r="I60" s="3"/>
      <c r="K60" s="2"/>
      <c r="L60" s="1"/>
    </row>
    <row r="61" spans="1:12" x14ac:dyDescent="0.45">
      <c r="A61" s="13"/>
      <c r="B61" s="14"/>
      <c r="C61" s="3">
        <f>SUM(C59:C60)</f>
        <v>7</v>
      </c>
      <c r="D61" s="6">
        <f>SUM(D59:D60)</f>
        <v>1584900</v>
      </c>
      <c r="E61" s="52">
        <f>SUM(E59:E60)</f>
        <v>1101600</v>
      </c>
      <c r="F61" s="52">
        <f>SUM(F59:F60)</f>
        <v>483300</v>
      </c>
      <c r="G61" s="52">
        <f>SUM(G59:G60)</f>
        <v>1584900</v>
      </c>
    </row>
    <row r="62" spans="1:12" x14ac:dyDescent="0.45">
      <c r="A62" s="13"/>
      <c r="B62" s="14"/>
      <c r="E62" s="14"/>
      <c r="F62" s="14"/>
      <c r="G62" s="14"/>
      <c r="H62" s="14"/>
      <c r="I62" s="14"/>
    </row>
    <row r="63" spans="1:12" x14ac:dyDescent="0.45">
      <c r="A63" s="18" t="s">
        <v>140</v>
      </c>
      <c r="B63" s="18"/>
      <c r="E63" s="14"/>
      <c r="F63" s="14"/>
      <c r="G63" s="14"/>
      <c r="H63" s="14"/>
      <c r="I63" s="14"/>
    </row>
    <row r="64" spans="1:12" x14ac:dyDescent="0.45">
      <c r="A64" s="13"/>
      <c r="B64" s="11"/>
      <c r="C64" s="12" t="s">
        <v>137</v>
      </c>
      <c r="D64" s="155" t="s">
        <v>138</v>
      </c>
      <c r="E64" s="12" t="s">
        <v>141</v>
      </c>
      <c r="F64" s="12" t="s">
        <v>142</v>
      </c>
      <c r="G64" s="14"/>
      <c r="H64" s="14"/>
      <c r="I64" s="14"/>
    </row>
    <row r="65" spans="1:12" x14ac:dyDescent="0.45">
      <c r="A65" s="13" t="s">
        <v>133</v>
      </c>
      <c r="B65" s="14">
        <f>B59</f>
        <v>300000</v>
      </c>
      <c r="C65" s="15">
        <f>C61</f>
        <v>7</v>
      </c>
      <c r="D65" s="111">
        <f>E61</f>
        <v>1101600</v>
      </c>
      <c r="E65" s="19">
        <f>ExBA!E65*(1+PropBA!$K$6)</f>
        <v>1605.5423999999998</v>
      </c>
      <c r="F65" s="9">
        <f>C65*E65</f>
        <v>11238.796799999998</v>
      </c>
      <c r="G65" s="49"/>
      <c r="H65" s="49"/>
      <c r="I65" s="158"/>
    </row>
    <row r="66" spans="1:12" x14ac:dyDescent="0.45">
      <c r="A66" s="13" t="s">
        <v>135</v>
      </c>
      <c r="B66" s="16">
        <f>B60</f>
        <v>300000</v>
      </c>
      <c r="C66" s="56"/>
      <c r="D66" s="156">
        <f>F61</f>
        <v>483300</v>
      </c>
      <c r="E66" s="134">
        <f>ExBA!E66*(1+PropBA!$K$6)</f>
        <v>5.3518080000000001</v>
      </c>
      <c r="F66" s="56">
        <f t="shared" ref="F66" si="6">E66*(D66/1000)</f>
        <v>2586.5288064000001</v>
      </c>
      <c r="G66" s="38"/>
      <c r="H66" s="49"/>
      <c r="I66" s="158"/>
    </row>
    <row r="67" spans="1:12" x14ac:dyDescent="0.45">
      <c r="A67" s="13"/>
      <c r="B67" s="14" t="s">
        <v>139</v>
      </c>
      <c r="C67" s="3">
        <f>SUM(C65:C66)</f>
        <v>7</v>
      </c>
      <c r="D67" s="6">
        <f>SUM(D65:D66)</f>
        <v>1584900</v>
      </c>
      <c r="F67" s="9">
        <f>SUM(F65:F66)</f>
        <v>13825.325606399998</v>
      </c>
      <c r="G67" s="46"/>
      <c r="H67" s="49"/>
      <c r="I67" s="158"/>
    </row>
    <row r="68" spans="1:12" x14ac:dyDescent="0.45">
      <c r="A68" s="13"/>
      <c r="B68" s="14"/>
      <c r="C68" s="22"/>
      <c r="D68" s="6"/>
      <c r="F68" s="19"/>
      <c r="G68" s="14"/>
      <c r="H68" s="14"/>
      <c r="I68" s="14"/>
    </row>
    <row r="69" spans="1:12" ht="15.75" x14ac:dyDescent="0.5">
      <c r="A69" s="83"/>
      <c r="D69" s="6"/>
      <c r="F69" s="49">
        <f>F35+F54+F67</f>
        <v>1610867.3082309999</v>
      </c>
      <c r="G69" s="49"/>
      <c r="H69" s="49"/>
      <c r="I69" s="158"/>
      <c r="L69" s="6"/>
    </row>
    <row r="70" spans="1:12" x14ac:dyDescent="0.45">
      <c r="D70" s="6"/>
      <c r="E70" s="2"/>
      <c r="F70" s="2"/>
      <c r="G70" s="2"/>
      <c r="H70" s="2"/>
      <c r="I70" s="2"/>
      <c r="J70" s="2"/>
      <c r="L70" s="6"/>
    </row>
    <row r="71" spans="1:12" x14ac:dyDescent="0.45">
      <c r="B71" s="2"/>
      <c r="C71" s="146"/>
      <c r="D71" s="157"/>
      <c r="E71" s="146"/>
      <c r="F71" s="146"/>
      <c r="G71" s="146"/>
      <c r="H71" s="146"/>
      <c r="I71" s="146"/>
      <c r="J71" s="146"/>
      <c r="K71" s="2"/>
      <c r="L71" s="6"/>
    </row>
    <row r="72" spans="1:12" x14ac:dyDescent="0.45">
      <c r="A72" s="13"/>
      <c r="B72" s="14"/>
      <c r="C72" s="147"/>
      <c r="D72" s="105"/>
      <c r="E72" s="147"/>
      <c r="F72" s="147"/>
      <c r="G72" s="147"/>
      <c r="H72" s="147"/>
      <c r="I72" s="147"/>
      <c r="J72" s="147"/>
      <c r="K72" s="147"/>
      <c r="L72" s="6"/>
    </row>
    <row r="73" spans="1:12" x14ac:dyDescent="0.45">
      <c r="A73" s="13"/>
      <c r="B73" s="14"/>
      <c r="C73" s="147"/>
      <c r="D73" s="105"/>
      <c r="E73" s="147"/>
      <c r="F73" s="147"/>
      <c r="G73" s="147"/>
      <c r="H73" s="147"/>
      <c r="I73" s="147"/>
      <c r="J73" s="147"/>
      <c r="K73" s="147"/>
      <c r="L73" s="6"/>
    </row>
    <row r="74" spans="1:12" x14ac:dyDescent="0.45">
      <c r="A74" s="13"/>
      <c r="B74" s="14"/>
      <c r="C74" s="147"/>
      <c r="D74" s="105"/>
      <c r="E74" s="147"/>
      <c r="F74" s="147"/>
      <c r="G74" s="147"/>
      <c r="H74" s="147"/>
      <c r="I74" s="147"/>
      <c r="J74" s="147"/>
      <c r="K74" s="147"/>
      <c r="L74" s="6"/>
    </row>
    <row r="75" spans="1:12" x14ac:dyDescent="0.45">
      <c r="A75" s="13"/>
      <c r="B75" s="14"/>
      <c r="C75" s="147"/>
      <c r="D75" s="105"/>
      <c r="E75" s="147"/>
      <c r="F75" s="147"/>
      <c r="G75" s="147"/>
      <c r="H75" s="38"/>
      <c r="I75" s="147"/>
      <c r="J75" s="147"/>
      <c r="K75" s="147"/>
      <c r="L75" s="6"/>
    </row>
    <row r="76" spans="1:12" x14ac:dyDescent="0.45">
      <c r="A76" s="13"/>
      <c r="B76" s="14"/>
      <c r="C76" s="147"/>
      <c r="D76" s="105"/>
      <c r="E76" s="147"/>
      <c r="F76" s="147"/>
      <c r="G76" s="147"/>
      <c r="H76" s="38"/>
      <c r="I76" s="38"/>
      <c r="J76" s="147"/>
      <c r="K76" s="147"/>
      <c r="L76" s="6"/>
    </row>
    <row r="77" spans="1:12" x14ac:dyDescent="0.45">
      <c r="A77" s="13"/>
      <c r="B77" s="14"/>
      <c r="C77" s="147"/>
      <c r="D77" s="105"/>
      <c r="E77" s="147"/>
      <c r="F77" s="147"/>
      <c r="G77" s="147"/>
      <c r="H77" s="38"/>
      <c r="I77" s="38"/>
      <c r="J77" s="147"/>
      <c r="K77" s="147"/>
      <c r="L77" s="6"/>
    </row>
    <row r="78" spans="1:12" x14ac:dyDescent="0.45">
      <c r="A78" s="13"/>
      <c r="B78" s="14"/>
      <c r="C78" s="52"/>
      <c r="D78" s="6"/>
      <c r="E78" s="52"/>
      <c r="F78" s="52"/>
      <c r="G78" s="52"/>
      <c r="H78" s="52"/>
      <c r="I78" s="52"/>
      <c r="J78" s="52"/>
      <c r="K78" s="52"/>
      <c r="L78" s="6"/>
    </row>
    <row r="79" spans="1:12" x14ac:dyDescent="0.45">
      <c r="A79" s="13"/>
      <c r="B79" s="14"/>
      <c r="D79" s="6"/>
      <c r="E79" s="14"/>
      <c r="F79" s="14"/>
      <c r="G79" s="14"/>
      <c r="H79" s="14"/>
      <c r="I79" s="14"/>
      <c r="L79" s="6"/>
    </row>
    <row r="80" spans="1:12" x14ac:dyDescent="0.45">
      <c r="A80" s="18"/>
      <c r="B80" s="18"/>
      <c r="D80" s="6"/>
      <c r="E80" s="14"/>
      <c r="F80" s="14"/>
      <c r="G80" s="14"/>
      <c r="H80" s="14"/>
      <c r="I80" s="14"/>
      <c r="L80" s="6"/>
    </row>
    <row r="81" spans="1:12" x14ac:dyDescent="0.45">
      <c r="A81" s="13"/>
      <c r="B81" s="2"/>
      <c r="C81" s="146"/>
      <c r="D81" s="157"/>
      <c r="E81" s="146"/>
      <c r="F81" s="146"/>
      <c r="G81" s="14"/>
      <c r="H81" s="14"/>
      <c r="I81" s="14"/>
      <c r="L81" s="6"/>
    </row>
    <row r="82" spans="1:12" x14ac:dyDescent="0.45">
      <c r="A82" s="13"/>
      <c r="B82" s="14"/>
      <c r="C82" s="52"/>
      <c r="D82" s="105"/>
      <c r="E82" s="148"/>
      <c r="F82" s="149"/>
      <c r="G82" s="14"/>
      <c r="L82" s="6"/>
    </row>
    <row r="83" spans="1:12" x14ac:dyDescent="0.45">
      <c r="A83" s="13"/>
      <c r="B83" s="14"/>
      <c r="D83" s="105"/>
      <c r="E83" s="148"/>
      <c r="F83" s="6"/>
      <c r="G83" s="14"/>
      <c r="L83" s="6"/>
    </row>
    <row r="84" spans="1:12" x14ac:dyDescent="0.45">
      <c r="A84" s="13"/>
      <c r="B84" s="14"/>
      <c r="D84" s="105"/>
      <c r="E84" s="148"/>
      <c r="F84" s="6"/>
      <c r="G84" s="14"/>
      <c r="L84" s="6"/>
    </row>
    <row r="85" spans="1:12" x14ac:dyDescent="0.45">
      <c r="A85" s="13"/>
      <c r="B85" s="14"/>
      <c r="D85" s="105"/>
      <c r="E85" s="148"/>
      <c r="F85" s="6"/>
      <c r="G85" s="14"/>
      <c r="L85" s="6"/>
    </row>
    <row r="86" spans="1:12" x14ac:dyDescent="0.45">
      <c r="A86" s="13"/>
      <c r="B86" s="14"/>
      <c r="D86" s="105"/>
      <c r="E86" s="148"/>
      <c r="F86" s="6"/>
      <c r="G86" s="14"/>
      <c r="L86" s="6"/>
    </row>
    <row r="87" spans="1:12" x14ac:dyDescent="0.45">
      <c r="A87" s="13"/>
      <c r="B87" s="14"/>
      <c r="D87" s="105"/>
      <c r="E87" s="148"/>
      <c r="F87" s="6"/>
      <c r="G87" s="14"/>
      <c r="L87" s="6"/>
    </row>
    <row r="88" spans="1:12" x14ac:dyDescent="0.45">
      <c r="A88" s="13"/>
      <c r="B88" s="14"/>
      <c r="C88" s="6"/>
      <c r="D88" s="6"/>
      <c r="F88" s="149"/>
      <c r="G88" s="14"/>
      <c r="H88" s="14"/>
      <c r="I88" s="14"/>
      <c r="L88" s="6"/>
    </row>
    <row r="89" spans="1:12" x14ac:dyDescent="0.45">
      <c r="A89" s="13"/>
      <c r="B89" s="14"/>
      <c r="C89" s="6"/>
      <c r="D89" s="6"/>
      <c r="F89" s="149"/>
      <c r="G89" s="14"/>
      <c r="H89" s="14"/>
      <c r="I89" s="14"/>
      <c r="L89" s="6"/>
    </row>
    <row r="90" spans="1:12" ht="15.75" x14ac:dyDescent="0.5">
      <c r="A90" s="83"/>
      <c r="D90" s="6"/>
      <c r="L90" s="6"/>
    </row>
    <row r="91" spans="1:12" x14ac:dyDescent="0.45">
      <c r="D91" s="6"/>
      <c r="E91" s="2"/>
      <c r="F91" s="2"/>
      <c r="G91" s="2"/>
      <c r="H91" s="2"/>
      <c r="L91" s="6"/>
    </row>
    <row r="92" spans="1:12" x14ac:dyDescent="0.45">
      <c r="B92" s="2"/>
      <c r="C92" s="146"/>
      <c r="D92" s="157"/>
      <c r="E92" s="146"/>
      <c r="F92" s="146"/>
      <c r="G92" s="146"/>
      <c r="H92" s="146"/>
      <c r="I92" s="2"/>
      <c r="L92" s="6"/>
    </row>
    <row r="93" spans="1:12" x14ac:dyDescent="0.45">
      <c r="A93" s="13"/>
      <c r="B93" s="14"/>
      <c r="C93" s="147"/>
      <c r="D93" s="105"/>
      <c r="E93" s="147"/>
      <c r="F93" s="147"/>
      <c r="G93" s="147"/>
      <c r="H93" s="147"/>
      <c r="I93" s="147"/>
      <c r="L93" s="6"/>
    </row>
    <row r="94" spans="1:12" x14ac:dyDescent="0.45">
      <c r="A94" s="13"/>
      <c r="B94" s="14"/>
      <c r="C94" s="147"/>
      <c r="D94" s="105"/>
      <c r="E94" s="147"/>
      <c r="F94" s="147"/>
      <c r="G94" s="147"/>
      <c r="H94" s="147"/>
      <c r="I94" s="147"/>
      <c r="L94" s="6"/>
    </row>
    <row r="95" spans="1:12" x14ac:dyDescent="0.45">
      <c r="A95" s="13"/>
      <c r="B95" s="14"/>
      <c r="C95" s="147"/>
      <c r="D95" s="105"/>
      <c r="E95" s="147"/>
      <c r="F95" s="147"/>
      <c r="G95" s="147"/>
      <c r="H95" s="147"/>
      <c r="I95" s="147"/>
      <c r="L95" s="6"/>
    </row>
    <row r="96" spans="1:12" x14ac:dyDescent="0.45">
      <c r="A96" s="13"/>
      <c r="B96" s="14"/>
      <c r="C96" s="147"/>
      <c r="D96" s="105"/>
      <c r="E96" s="147"/>
      <c r="F96" s="147"/>
      <c r="G96" s="147"/>
      <c r="H96" s="147"/>
      <c r="I96" s="147"/>
      <c r="L96" s="6"/>
    </row>
    <row r="97" spans="1:12" x14ac:dyDescent="0.45">
      <c r="A97" s="13"/>
      <c r="B97" s="14"/>
      <c r="C97" s="52"/>
      <c r="D97" s="6"/>
      <c r="E97" s="52"/>
      <c r="F97" s="52"/>
      <c r="G97" s="52"/>
      <c r="H97" s="52"/>
      <c r="I97" s="52"/>
      <c r="L97" s="6"/>
    </row>
    <row r="98" spans="1:12" x14ac:dyDescent="0.45">
      <c r="A98" s="13"/>
      <c r="B98" s="14"/>
      <c r="D98" s="6"/>
      <c r="E98" s="14"/>
      <c r="F98" s="14"/>
      <c r="G98" s="14"/>
      <c r="H98" s="14"/>
      <c r="I98" s="14"/>
      <c r="L98" s="6"/>
    </row>
    <row r="99" spans="1:12" x14ac:dyDescent="0.45">
      <c r="A99" s="18"/>
      <c r="B99" s="18"/>
      <c r="D99" s="6"/>
      <c r="E99" s="14"/>
      <c r="F99" s="14"/>
      <c r="G99" s="14"/>
      <c r="H99" s="14"/>
      <c r="I99" s="14"/>
      <c r="L99" s="6"/>
    </row>
    <row r="100" spans="1:12" x14ac:dyDescent="0.45">
      <c r="A100" s="13"/>
      <c r="B100" s="2"/>
      <c r="C100" s="146"/>
      <c r="D100" s="157"/>
      <c r="E100" s="146"/>
      <c r="F100" s="146"/>
      <c r="G100" s="14"/>
      <c r="H100" s="14"/>
      <c r="I100" s="14"/>
      <c r="L100" s="6"/>
    </row>
    <row r="101" spans="1:12" x14ac:dyDescent="0.45">
      <c r="A101" s="13"/>
      <c r="B101" s="14"/>
      <c r="C101" s="52"/>
      <c r="D101" s="105"/>
      <c r="E101" s="148"/>
      <c r="F101" s="149"/>
      <c r="G101" s="14"/>
      <c r="L101" s="6"/>
    </row>
    <row r="102" spans="1:12" x14ac:dyDescent="0.45">
      <c r="A102" s="13"/>
      <c r="B102" s="14"/>
      <c r="C102" s="52"/>
      <c r="D102" s="105"/>
      <c r="E102" s="148"/>
      <c r="F102" s="149"/>
      <c r="G102" s="14"/>
      <c r="L102" s="6"/>
    </row>
    <row r="103" spans="1:12" x14ac:dyDescent="0.45">
      <c r="A103" s="13"/>
      <c r="B103" s="14"/>
      <c r="C103" s="52"/>
      <c r="D103" s="105"/>
      <c r="E103" s="148"/>
      <c r="F103" s="149"/>
      <c r="G103" s="14"/>
      <c r="L103" s="6"/>
    </row>
    <row r="104" spans="1:12" x14ac:dyDescent="0.45">
      <c r="A104" s="13"/>
      <c r="B104" s="14"/>
      <c r="D104" s="105"/>
      <c r="E104" s="148"/>
      <c r="F104" s="6"/>
      <c r="G104" s="14"/>
      <c r="L104" s="6"/>
    </row>
    <row r="105" spans="1:12" x14ac:dyDescent="0.45">
      <c r="A105" s="13"/>
      <c r="B105" s="14"/>
      <c r="C105" s="6"/>
      <c r="D105" s="6"/>
      <c r="F105" s="149"/>
      <c r="G105" s="14"/>
      <c r="H105" s="14"/>
      <c r="I105" s="14"/>
      <c r="L105" s="6"/>
    </row>
    <row r="106" spans="1:12" x14ac:dyDescent="0.45">
      <c r="A106" s="13"/>
      <c r="B106" s="14"/>
      <c r="C106" s="22"/>
      <c r="D106" s="6"/>
      <c r="F106" s="148"/>
      <c r="G106" s="14"/>
      <c r="H106" s="14"/>
      <c r="I106" s="14"/>
      <c r="L106" s="6"/>
    </row>
    <row r="107" spans="1:12" ht="15.75" x14ac:dyDescent="0.5">
      <c r="A107" s="83"/>
      <c r="D107" s="6"/>
      <c r="L107" s="6"/>
    </row>
    <row r="108" spans="1:12" x14ac:dyDescent="0.45">
      <c r="D108" s="6"/>
      <c r="E108" s="2"/>
      <c r="F108" s="2"/>
      <c r="L108" s="6"/>
    </row>
    <row r="109" spans="1:12" x14ac:dyDescent="0.45">
      <c r="B109" s="2"/>
      <c r="C109" s="146"/>
      <c r="D109" s="157"/>
      <c r="E109" s="146"/>
      <c r="F109" s="146"/>
      <c r="G109" s="2"/>
      <c r="L109" s="6"/>
    </row>
    <row r="110" spans="1:12" x14ac:dyDescent="0.45">
      <c r="A110" s="13"/>
      <c r="B110" s="14"/>
      <c r="C110" s="147"/>
      <c r="D110" s="105"/>
      <c r="E110" s="147"/>
      <c r="F110" s="147"/>
      <c r="G110" s="147"/>
      <c r="L110" s="6"/>
    </row>
    <row r="111" spans="1:12" x14ac:dyDescent="0.45">
      <c r="A111" s="13"/>
      <c r="B111" s="14"/>
      <c r="C111" s="147"/>
      <c r="D111" s="105"/>
      <c r="E111" s="147"/>
      <c r="F111" s="147"/>
      <c r="G111" s="147"/>
      <c r="H111" s="6"/>
      <c r="I111" s="6"/>
      <c r="L111" s="6"/>
    </row>
    <row r="112" spans="1:12" x14ac:dyDescent="0.45">
      <c r="A112" s="13"/>
      <c r="B112" s="14"/>
      <c r="C112" s="6"/>
      <c r="D112" s="6"/>
      <c r="E112" s="52"/>
      <c r="F112" s="52"/>
      <c r="G112" s="52"/>
      <c r="L112" s="6"/>
    </row>
    <row r="113" spans="1:12" x14ac:dyDescent="0.45">
      <c r="A113" s="13"/>
      <c r="B113" s="14"/>
      <c r="D113" s="6"/>
      <c r="E113" s="14"/>
      <c r="F113" s="14"/>
      <c r="G113" s="14"/>
      <c r="H113" s="14"/>
      <c r="I113" s="14"/>
      <c r="L113" s="6"/>
    </row>
    <row r="114" spans="1:12" x14ac:dyDescent="0.45">
      <c r="A114" s="18"/>
      <c r="B114" s="18"/>
      <c r="D114" s="6"/>
      <c r="E114" s="14"/>
      <c r="F114" s="14"/>
      <c r="G114" s="14"/>
      <c r="H114" s="14"/>
      <c r="I114" s="14"/>
      <c r="L114" s="6"/>
    </row>
    <row r="115" spans="1:12" x14ac:dyDescent="0.45">
      <c r="A115" s="13"/>
      <c r="B115" s="2"/>
      <c r="C115" s="146"/>
      <c r="D115" s="157"/>
      <c r="E115" s="146"/>
      <c r="F115" s="146"/>
      <c r="G115" s="14"/>
      <c r="H115" s="14"/>
      <c r="I115" s="14"/>
      <c r="L115" s="6"/>
    </row>
    <row r="116" spans="1:12" x14ac:dyDescent="0.45">
      <c r="A116" s="13"/>
      <c r="B116" s="14"/>
      <c r="C116" s="52"/>
      <c r="D116" s="105"/>
      <c r="E116" s="148"/>
      <c r="F116" s="149"/>
      <c r="G116" s="14"/>
      <c r="H116" s="14"/>
      <c r="I116" s="14"/>
      <c r="L116" s="6"/>
    </row>
    <row r="117" spans="1:12" x14ac:dyDescent="0.45">
      <c r="A117" s="13"/>
      <c r="B117" s="14"/>
      <c r="C117" s="6"/>
      <c r="D117" s="105"/>
      <c r="E117" s="148"/>
      <c r="F117" s="6"/>
      <c r="G117" s="14"/>
      <c r="H117" s="14"/>
      <c r="I117" s="14"/>
      <c r="L117" s="6"/>
    </row>
    <row r="118" spans="1:12" x14ac:dyDescent="0.45">
      <c r="A118" s="13"/>
      <c r="B118" s="14"/>
      <c r="C118" s="6"/>
      <c r="D118" s="6"/>
      <c r="F118" s="149"/>
      <c r="G118" s="14"/>
      <c r="H118" s="14"/>
      <c r="I118" s="14"/>
      <c r="L118" s="6"/>
    </row>
    <row r="119" spans="1:12" x14ac:dyDescent="0.45">
      <c r="D119" s="6"/>
      <c r="L119" s="6"/>
    </row>
    <row r="120" spans="1:12" x14ac:dyDescent="0.45">
      <c r="D120" s="6"/>
      <c r="L120" s="6"/>
    </row>
    <row r="121" spans="1:12" x14ac:dyDescent="0.45">
      <c r="D121" s="6"/>
      <c r="L121" s="6"/>
    </row>
    <row r="122" spans="1:12" x14ac:dyDescent="0.45">
      <c r="D122" s="6"/>
      <c r="L122" s="6"/>
    </row>
    <row r="123" spans="1:12" x14ac:dyDescent="0.45">
      <c r="D123" s="6"/>
      <c r="L123" s="6"/>
    </row>
  </sheetData>
  <mergeCells count="1">
    <mergeCell ref="A2:I2"/>
  </mergeCells>
  <printOptions horizontalCentered="1"/>
  <pageMargins left="0.85" right="0.6" top="1" bottom="1" header="0.3" footer="0.3"/>
  <pageSetup scale="63" orientation="portrait" horizontalDpi="4294967293" r:id="rId1"/>
  <ignoredErrors>
    <ignoredError sqref="G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FDD35-5E01-4CDE-A142-A47D2C79E806}">
  <dimension ref="B2:M29"/>
  <sheetViews>
    <sheetView showGridLines="0" workbookViewId="0">
      <selection activeCell="K41" sqref="K41"/>
    </sheetView>
  </sheetViews>
  <sheetFormatPr defaultRowHeight="15.4" x14ac:dyDescent="0.45"/>
  <cols>
    <col min="2" max="2" width="9.88671875" customWidth="1"/>
    <col min="3" max="3" width="9.44140625" customWidth="1"/>
    <col min="4" max="4" width="5.5546875" bestFit="1" customWidth="1"/>
    <col min="5" max="5" width="7" bestFit="1" customWidth="1"/>
    <col min="6" max="6" width="7.77734375" customWidth="1"/>
    <col min="7" max="7" width="5.5546875" customWidth="1"/>
    <col min="8" max="8" width="7.44140625" bestFit="1" customWidth="1"/>
    <col min="10" max="10" width="5.5546875" customWidth="1"/>
    <col min="11" max="11" width="7" style="1" bestFit="1" customWidth="1"/>
    <col min="12" max="12" width="7.5546875" style="1" customWidth="1"/>
  </cols>
  <sheetData>
    <row r="2" spans="2:12" ht="15" customHeight="1" x14ac:dyDescent="0.45"/>
    <row r="3" spans="2:12" ht="15" customHeight="1" x14ac:dyDescent="0.5">
      <c r="B3" s="227" t="s">
        <v>151</v>
      </c>
      <c r="C3" s="227"/>
      <c r="D3" s="227"/>
      <c r="E3" s="227"/>
      <c r="F3" s="227"/>
      <c r="G3" s="227"/>
      <c r="H3" s="228"/>
      <c r="I3" s="228"/>
      <c r="J3" s="228"/>
      <c r="K3" s="228"/>
      <c r="L3" s="228"/>
    </row>
    <row r="4" spans="2:12" ht="15" customHeight="1" x14ac:dyDescent="0.5">
      <c r="B4" s="160"/>
      <c r="C4" s="160"/>
      <c r="D4" s="160"/>
      <c r="E4" s="160"/>
      <c r="F4" s="160"/>
      <c r="G4" s="160"/>
      <c r="K4" s="171" t="s">
        <v>180</v>
      </c>
      <c r="L4" s="171" t="s">
        <v>181</v>
      </c>
    </row>
    <row r="5" spans="2:12" ht="15" customHeight="1" x14ac:dyDescent="0.45">
      <c r="B5" s="218" t="s">
        <v>182</v>
      </c>
      <c r="C5" s="218"/>
      <c r="D5" s="218"/>
      <c r="E5" s="218" t="s">
        <v>183</v>
      </c>
      <c r="F5" s="229"/>
      <c r="G5" s="229"/>
      <c r="H5" s="218" t="s">
        <v>184</v>
      </c>
      <c r="I5" s="218"/>
      <c r="J5" s="218"/>
      <c r="K5" s="53" t="s">
        <v>185</v>
      </c>
      <c r="L5" s="53" t="s">
        <v>185</v>
      </c>
    </row>
    <row r="6" spans="2:12" ht="15" customHeight="1" x14ac:dyDescent="0.5">
      <c r="B6" s="13" t="s">
        <v>152</v>
      </c>
      <c r="C6" s="75">
        <v>2000</v>
      </c>
      <c r="D6" s="1" t="s">
        <v>153</v>
      </c>
      <c r="E6" s="76">
        <v>27.48</v>
      </c>
      <c r="F6" s="74" t="s">
        <v>154</v>
      </c>
      <c r="G6" s="160"/>
      <c r="H6" s="81">
        <v>30.86</v>
      </c>
      <c r="I6" s="1" t="s">
        <v>154</v>
      </c>
      <c r="K6" s="81">
        <f>H6-E6</f>
        <v>3.379999999999999</v>
      </c>
      <c r="L6" s="107">
        <f>K6/E6</f>
        <v>0.12299854439592427</v>
      </c>
    </row>
    <row r="7" spans="2:12" ht="15" customHeight="1" x14ac:dyDescent="0.5">
      <c r="B7" s="13" t="s">
        <v>155</v>
      </c>
      <c r="C7" s="75">
        <v>2000</v>
      </c>
      <c r="D7" s="1" t="s">
        <v>153</v>
      </c>
      <c r="E7" s="77">
        <v>8.09</v>
      </c>
      <c r="F7" s="74" t="s">
        <v>156</v>
      </c>
      <c r="G7" s="160"/>
      <c r="H7" s="45">
        <v>9.09</v>
      </c>
      <c r="I7" s="1" t="s">
        <v>156</v>
      </c>
      <c r="K7" s="45">
        <f t="shared" ref="K7:K11" si="0">H7-E7</f>
        <v>1</v>
      </c>
      <c r="L7" s="107">
        <f t="shared" ref="L7:L11" si="1">K7/E7</f>
        <v>0.12360939431396786</v>
      </c>
    </row>
    <row r="8" spans="2:12" ht="15" customHeight="1" x14ac:dyDescent="0.5">
      <c r="B8" s="13" t="s">
        <v>155</v>
      </c>
      <c r="C8" s="75">
        <v>2000</v>
      </c>
      <c r="D8" s="1" t="s">
        <v>153</v>
      </c>
      <c r="E8" s="77">
        <v>7.99</v>
      </c>
      <c r="F8" s="74" t="s">
        <v>156</v>
      </c>
      <c r="G8" s="160"/>
      <c r="H8" s="45">
        <v>8.9700000000000006</v>
      </c>
      <c r="I8" s="1" t="s">
        <v>156</v>
      </c>
      <c r="K8" s="45">
        <f t="shared" si="0"/>
        <v>0.98000000000000043</v>
      </c>
      <c r="L8" s="107">
        <f t="shared" si="1"/>
        <v>0.12265331664580731</v>
      </c>
    </row>
    <row r="9" spans="2:12" ht="15" customHeight="1" x14ac:dyDescent="0.5">
      <c r="B9" s="13" t="s">
        <v>155</v>
      </c>
      <c r="C9" s="75">
        <v>10000</v>
      </c>
      <c r="D9" s="1" t="s">
        <v>153</v>
      </c>
      <c r="E9" s="77">
        <v>7.89</v>
      </c>
      <c r="F9" s="74" t="s">
        <v>156</v>
      </c>
      <c r="G9" s="160"/>
      <c r="H9" s="45">
        <v>8.86</v>
      </c>
      <c r="I9" s="1" t="s">
        <v>156</v>
      </c>
      <c r="K9" s="45">
        <f t="shared" si="0"/>
        <v>0.96999999999999975</v>
      </c>
      <c r="L9" s="107">
        <f t="shared" si="1"/>
        <v>0.12294043092522178</v>
      </c>
    </row>
    <row r="10" spans="2:12" ht="15" customHeight="1" x14ac:dyDescent="0.5">
      <c r="B10" s="13" t="s">
        <v>155</v>
      </c>
      <c r="C10" s="75">
        <v>8000</v>
      </c>
      <c r="D10" s="1" t="s">
        <v>153</v>
      </c>
      <c r="E10" s="77">
        <v>7.79</v>
      </c>
      <c r="F10" s="74" t="s">
        <v>156</v>
      </c>
      <c r="G10" s="160"/>
      <c r="H10" s="45">
        <v>8.75</v>
      </c>
      <c r="I10" s="1" t="s">
        <v>156</v>
      </c>
      <c r="K10" s="45">
        <f t="shared" si="0"/>
        <v>0.96</v>
      </c>
      <c r="L10" s="107">
        <f t="shared" si="1"/>
        <v>0.1232349165596919</v>
      </c>
    </row>
    <row r="11" spans="2:12" ht="15" customHeight="1" x14ac:dyDescent="0.5">
      <c r="B11" s="13" t="s">
        <v>157</v>
      </c>
      <c r="C11" s="75">
        <v>24000</v>
      </c>
      <c r="D11" s="1" t="s">
        <v>153</v>
      </c>
      <c r="E11" s="77">
        <v>7.69</v>
      </c>
      <c r="F11" s="74" t="s">
        <v>156</v>
      </c>
      <c r="G11" s="160"/>
      <c r="H11" s="45">
        <v>8.64</v>
      </c>
      <c r="I11" s="1" t="s">
        <v>156</v>
      </c>
      <c r="K11" s="45">
        <f t="shared" si="0"/>
        <v>0.95000000000000018</v>
      </c>
      <c r="L11" s="107">
        <f t="shared" si="1"/>
        <v>0.12353706111833551</v>
      </c>
    </row>
    <row r="12" spans="2:12" ht="15" customHeight="1" x14ac:dyDescent="0.5">
      <c r="B12" s="75"/>
      <c r="C12" s="1"/>
      <c r="D12" s="1"/>
      <c r="E12" s="1"/>
      <c r="F12" s="1"/>
      <c r="G12" s="160"/>
      <c r="H12" s="1"/>
      <c r="I12" s="1"/>
    </row>
    <row r="13" spans="2:12" ht="15" customHeight="1" x14ac:dyDescent="0.5">
      <c r="B13" s="218" t="s">
        <v>186</v>
      </c>
      <c r="C13" s="218"/>
      <c r="D13" s="218"/>
      <c r="E13" s="1"/>
      <c r="F13" s="1"/>
      <c r="G13" s="160"/>
      <c r="H13" s="1"/>
      <c r="I13" s="1"/>
    </row>
    <row r="14" spans="2:12" ht="15" customHeight="1" x14ac:dyDescent="0.5">
      <c r="B14" s="13" t="s">
        <v>152</v>
      </c>
      <c r="C14" s="75">
        <v>10000</v>
      </c>
      <c r="D14" s="1" t="s">
        <v>153</v>
      </c>
      <c r="E14" s="76">
        <v>91.2</v>
      </c>
      <c r="F14" s="74" t="s">
        <v>154</v>
      </c>
      <c r="G14" s="160"/>
      <c r="H14" s="81">
        <v>102.42</v>
      </c>
      <c r="I14" s="1" t="s">
        <v>154</v>
      </c>
      <c r="K14" s="81">
        <f>H14-E14</f>
        <v>11.219999999999999</v>
      </c>
      <c r="L14" s="107">
        <f>K14/E14</f>
        <v>0.12302631578947366</v>
      </c>
    </row>
    <row r="15" spans="2:12" ht="15" customHeight="1" x14ac:dyDescent="0.5">
      <c r="B15" s="13" t="s">
        <v>155</v>
      </c>
      <c r="C15" s="75">
        <v>6000</v>
      </c>
      <c r="D15" s="1" t="s">
        <v>153</v>
      </c>
      <c r="E15" s="143">
        <v>7.89</v>
      </c>
      <c r="F15" s="74" t="s">
        <v>156</v>
      </c>
      <c r="G15" s="160"/>
      <c r="H15" s="45">
        <v>8.86</v>
      </c>
      <c r="I15" s="1" t="s">
        <v>156</v>
      </c>
      <c r="K15" s="45">
        <f t="shared" ref="K15:K17" si="2">H15-E15</f>
        <v>0.96999999999999975</v>
      </c>
      <c r="L15" s="107">
        <f t="shared" ref="L15:L17" si="3">K15/E15</f>
        <v>0.12294043092522178</v>
      </c>
    </row>
    <row r="16" spans="2:12" ht="15" customHeight="1" x14ac:dyDescent="0.5">
      <c r="B16" s="13" t="s">
        <v>155</v>
      </c>
      <c r="C16" s="75">
        <v>8000</v>
      </c>
      <c r="D16" s="1" t="s">
        <v>153</v>
      </c>
      <c r="E16" s="143">
        <v>7.79</v>
      </c>
      <c r="F16" s="74" t="s">
        <v>156</v>
      </c>
      <c r="G16" s="160"/>
      <c r="H16" s="45">
        <v>8.75</v>
      </c>
      <c r="I16" s="1" t="s">
        <v>156</v>
      </c>
      <c r="K16" s="45">
        <f t="shared" si="2"/>
        <v>0.96</v>
      </c>
      <c r="L16" s="107">
        <f t="shared" si="3"/>
        <v>0.1232349165596919</v>
      </c>
    </row>
    <row r="17" spans="2:13" ht="15" customHeight="1" x14ac:dyDescent="0.5">
      <c r="B17" s="13" t="s">
        <v>157</v>
      </c>
      <c r="C17" s="75">
        <v>24000</v>
      </c>
      <c r="D17" s="1" t="s">
        <v>153</v>
      </c>
      <c r="E17" s="77">
        <v>7.69</v>
      </c>
      <c r="F17" s="74" t="s">
        <v>156</v>
      </c>
      <c r="G17" s="160"/>
      <c r="H17" s="45">
        <v>8.64</v>
      </c>
      <c r="I17" s="1" t="s">
        <v>156</v>
      </c>
      <c r="K17" s="45">
        <f t="shared" si="2"/>
        <v>0.95000000000000018</v>
      </c>
      <c r="L17" s="107">
        <f t="shared" si="3"/>
        <v>0.12353706111833551</v>
      </c>
    </row>
    <row r="18" spans="2:13" ht="15" customHeight="1" x14ac:dyDescent="0.5">
      <c r="B18" s="75"/>
      <c r="C18" s="1"/>
      <c r="D18" s="1"/>
      <c r="E18" s="1"/>
      <c r="F18" s="1"/>
      <c r="G18" s="160"/>
      <c r="H18" s="1"/>
      <c r="I18" s="1"/>
    </row>
    <row r="19" spans="2:13" ht="15" customHeight="1" x14ac:dyDescent="0.5">
      <c r="B19" s="218" t="s">
        <v>187</v>
      </c>
      <c r="C19" s="218"/>
      <c r="D19" s="218"/>
      <c r="E19" s="1"/>
      <c r="F19" s="1"/>
      <c r="G19" s="160"/>
      <c r="H19" s="1"/>
      <c r="I19" s="1"/>
    </row>
    <row r="20" spans="2:13" ht="15" customHeight="1" x14ac:dyDescent="0.5">
      <c r="B20" s="13" t="s">
        <v>152</v>
      </c>
      <c r="C20" s="75">
        <v>24000</v>
      </c>
      <c r="D20" s="1" t="s">
        <v>153</v>
      </c>
      <c r="E20" s="76">
        <v>200.86</v>
      </c>
      <c r="F20" s="74" t="s">
        <v>154</v>
      </c>
      <c r="G20" s="160"/>
      <c r="H20" s="81">
        <v>225.57999999999998</v>
      </c>
      <c r="I20" s="1" t="s">
        <v>154</v>
      </c>
      <c r="K20" s="81">
        <f>H20-E20</f>
        <v>24.71999999999997</v>
      </c>
      <c r="L20" s="107">
        <f>K20/E20</f>
        <v>0.1230707955790101</v>
      </c>
    </row>
    <row r="21" spans="2:13" ht="15" customHeight="1" x14ac:dyDescent="0.5">
      <c r="B21" s="13" t="s">
        <v>157</v>
      </c>
      <c r="C21" s="75">
        <v>24000</v>
      </c>
      <c r="D21" s="1" t="s">
        <v>153</v>
      </c>
      <c r="E21" s="77">
        <v>7.69</v>
      </c>
      <c r="F21" s="74" t="s">
        <v>156</v>
      </c>
      <c r="G21" s="160"/>
      <c r="H21" s="45">
        <v>8.64</v>
      </c>
      <c r="I21" s="1" t="s">
        <v>156</v>
      </c>
      <c r="K21" s="45">
        <f t="shared" ref="K21" si="4">H21-E21</f>
        <v>0.95000000000000018</v>
      </c>
      <c r="L21" s="107">
        <f t="shared" ref="L21" si="5">K21/E21</f>
        <v>0.12353706111833551</v>
      </c>
    </row>
    <row r="22" spans="2:13" ht="15" customHeight="1" x14ac:dyDescent="0.5">
      <c r="B22" s="160"/>
      <c r="C22" s="160"/>
      <c r="D22" s="160"/>
      <c r="E22" s="160"/>
      <c r="F22" s="160"/>
      <c r="G22" s="160"/>
    </row>
    <row r="23" spans="2:13" ht="6.95" customHeight="1" thickBot="1" x14ac:dyDescent="0.45"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2:13" ht="15" customHeight="1" x14ac:dyDescent="0.45">
      <c r="B24" s="128"/>
      <c r="C24" s="128"/>
      <c r="D24" s="128"/>
      <c r="E24" s="128"/>
      <c r="F24" s="128"/>
      <c r="G24" s="128"/>
    </row>
    <row r="25" spans="2:13" ht="15.75" x14ac:dyDescent="0.5">
      <c r="B25" s="227" t="s">
        <v>188</v>
      </c>
      <c r="C25" s="227"/>
      <c r="D25" s="227"/>
      <c r="E25" s="227"/>
      <c r="F25" s="227"/>
      <c r="G25" s="227"/>
      <c r="H25" s="228"/>
      <c r="I25" s="228"/>
      <c r="J25" s="228"/>
      <c r="K25" s="228"/>
      <c r="L25" s="228"/>
    </row>
    <row r="26" spans="2:13" x14ac:dyDescent="0.45">
      <c r="B26" s="128"/>
      <c r="C26" s="128"/>
      <c r="D26" s="128"/>
      <c r="E26" s="128"/>
      <c r="F26" s="128"/>
      <c r="G26" s="128"/>
    </row>
    <row r="27" spans="2:13" x14ac:dyDescent="0.45">
      <c r="B27" s="218" t="s">
        <v>189</v>
      </c>
      <c r="C27" s="220"/>
      <c r="D27" s="220"/>
      <c r="E27" s="1"/>
      <c r="F27" s="1"/>
    </row>
    <row r="28" spans="2:13" x14ac:dyDescent="0.45">
      <c r="B28" s="13" t="s">
        <v>152</v>
      </c>
      <c r="C28" s="109">
        <v>2000</v>
      </c>
      <c r="D28" s="1" t="s">
        <v>153</v>
      </c>
      <c r="E28" s="110">
        <v>26.84</v>
      </c>
      <c r="F28" s="74" t="s">
        <v>154</v>
      </c>
      <c r="H28" s="81">
        <v>36.31</v>
      </c>
      <c r="I28" s="1" t="s">
        <v>154</v>
      </c>
      <c r="K28" s="81">
        <f>H28-E28</f>
        <v>9.4700000000000024</v>
      </c>
      <c r="L28" s="107">
        <f>K28/E28</f>
        <v>0.3528315946348734</v>
      </c>
    </row>
    <row r="29" spans="2:13" x14ac:dyDescent="0.45">
      <c r="B29" s="13" t="s">
        <v>157</v>
      </c>
      <c r="C29" s="109">
        <v>2000</v>
      </c>
      <c r="D29" s="1" t="s">
        <v>153</v>
      </c>
      <c r="E29" s="135">
        <v>1.342E-2</v>
      </c>
      <c r="F29" s="1" t="s">
        <v>190</v>
      </c>
      <c r="H29" s="172">
        <v>1.8159999999999999E-2</v>
      </c>
      <c r="I29" s="1" t="s">
        <v>190</v>
      </c>
      <c r="K29" s="172">
        <f t="shared" ref="K29" si="6">H29-E29</f>
        <v>4.7399999999999994E-3</v>
      </c>
      <c r="L29" s="107">
        <f t="shared" ref="L29" si="7">K29/E29</f>
        <v>0.35320417287630401</v>
      </c>
    </row>
  </sheetData>
  <mergeCells count="8">
    <mergeCell ref="B27:D27"/>
    <mergeCell ref="H5:J5"/>
    <mergeCell ref="B3:L3"/>
    <mergeCell ref="B25:L25"/>
    <mergeCell ref="E5:G5"/>
    <mergeCell ref="B5:D5"/>
    <mergeCell ref="B13:D13"/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SAO</vt:lpstr>
      <vt:lpstr>Wages</vt:lpstr>
      <vt:lpstr>Medical</vt:lpstr>
      <vt:lpstr>Water Loss</vt:lpstr>
      <vt:lpstr>ExBA</vt:lpstr>
      <vt:lpstr>Rates</vt:lpstr>
      <vt:lpstr>Bills</vt:lpstr>
      <vt:lpstr>PropBA</vt:lpstr>
      <vt:lpstr>Notice</vt:lpstr>
      <vt:lpstr>App A</vt:lpstr>
      <vt:lpstr>Sheet1</vt:lpstr>
      <vt:lpstr>'App A'!Print_Area</vt:lpstr>
      <vt:lpstr>Bills!Print_Area</vt:lpstr>
      <vt:lpstr>ExBA!Print_Area</vt:lpstr>
      <vt:lpstr>PropBA!Print_Area</vt:lpstr>
      <vt:lpstr>Rates!Print_Area</vt:lpstr>
      <vt:lpstr>SAO!Print_Area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Robert Miller</cp:lastModifiedBy>
  <cp:revision/>
  <dcterms:created xsi:type="dcterms:W3CDTF">2016-05-18T14:12:06Z</dcterms:created>
  <dcterms:modified xsi:type="dcterms:W3CDTF">2024-02-07T15:55:07Z</dcterms:modified>
  <cp:category/>
  <cp:contentStatus/>
</cp:coreProperties>
</file>