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18595\Desktop\KRWA\Powell's Valley WD\Application PVWD\"/>
    </mc:Choice>
  </mc:AlternateContent>
  <xr:revisionPtr revIDLastSave="0" documentId="8_{C72F7E74-EC59-4CCE-99B4-9613C823B169}" xr6:coauthVersionLast="47" xr6:coauthVersionMax="47" xr10:uidLastSave="{00000000-0000-0000-0000-000000000000}"/>
  <bookViews>
    <workbookView xWindow="-110" yWindow="-110" windowWidth="19420" windowHeight="10300" xr2:uid="{F765FA49-964A-4F34-AB33-4C5CF4FBE6A8}"/>
  </bookViews>
  <sheets>
    <sheet name="SAOw" sheetId="3" r:id="rId1"/>
    <sheet name="SAOs" sheetId="23" r:id="rId2"/>
    <sheet name="References" sheetId="29" r:id="rId3"/>
    <sheet name="Adj" sheetId="16" r:id="rId4"/>
    <sheet name="Wages" sheetId="27" r:id="rId5"/>
    <sheet name="Medical" sheetId="28" r:id="rId6"/>
    <sheet name="DeprAdj" sheetId="1" r:id="rId7"/>
    <sheet name="Debt Sch" sheetId="5" r:id="rId8"/>
    <sheet name="RatesW" sheetId="2" r:id="rId9"/>
    <sheet name="RatesS" sheetId="26" r:id="rId10"/>
    <sheet name="ExBAs" sheetId="25" r:id="rId11"/>
    <sheet name="Bills" sheetId="21" r:id="rId12"/>
    <sheet name="ExBAw" sheetId="10" r:id="rId13"/>
    <sheet name="PropBAw" sheetId="15" r:id="rId14"/>
    <sheet name="PropBAs" sheetId="24" r:id="rId15"/>
  </sheets>
  <definedNames>
    <definedName name="_xlnm.Print_Area" localSheetId="11">Bills!$B$2:$G$25</definedName>
    <definedName name="_xlnm.Print_Area" localSheetId="7">'Debt Sch'!$B$2:$N$30</definedName>
    <definedName name="_xlnm.Print_Area" localSheetId="6">DeprAdj!$B$2:$L$47</definedName>
    <definedName name="_xlnm.Print_Area" localSheetId="10">ExBAs!$A$2:$G$26</definedName>
    <definedName name="_xlnm.Print_Area" localSheetId="12">ExBAw!$A$1:$I$76</definedName>
    <definedName name="_xlnm.Print_Area" localSheetId="14">PropBAs!$A$1:$G$21</definedName>
    <definedName name="_xlnm.Print_Area" localSheetId="13">PropBAw!$A$1:$I$76</definedName>
    <definedName name="_xlnm.Print_Area" localSheetId="9">RatesS!$B$2:$M$18</definedName>
    <definedName name="_xlnm.Print_Area" localSheetId="8">RatesW!$B$2:$M$32</definedName>
    <definedName name="_xlnm.Print_Area" localSheetId="1">SAOs!$A$1:$G$58</definedName>
    <definedName name="_xlnm.Print_Area" localSheetId="0">SAOw!$A$1:$G$61</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3" l="1"/>
  <c r="N14" i="21" l="1"/>
  <c r="N13" i="21"/>
  <c r="M14" i="21"/>
  <c r="M13" i="21"/>
  <c r="L13" i="2"/>
  <c r="L12" i="2"/>
  <c r="G12" i="10"/>
  <c r="K8" i="15" s="1"/>
  <c r="E12" i="3" l="1"/>
  <c r="G42" i="15" l="1"/>
  <c r="F42" i="15"/>
  <c r="D48" i="15"/>
  <c r="D47" i="15"/>
  <c r="H42" i="15"/>
  <c r="H41" i="15"/>
  <c r="H40" i="15"/>
  <c r="H39" i="15"/>
  <c r="G41" i="15"/>
  <c r="F41" i="15"/>
  <c r="F40" i="15"/>
  <c r="E40" i="15"/>
  <c r="F38" i="15"/>
  <c r="F19" i="2" l="1"/>
  <c r="F23" i="2"/>
  <c r="F18" i="2"/>
  <c r="F9" i="15" l="1"/>
  <c r="E9" i="15"/>
  <c r="G7" i="10"/>
  <c r="F7" i="10"/>
  <c r="E7" i="10"/>
  <c r="E6" i="10"/>
  <c r="M18" i="21" l="1"/>
  <c r="M12" i="21"/>
  <c r="F24" i="2" l="1"/>
  <c r="A1" i="10"/>
  <c r="D71" i="3"/>
  <c r="I39" i="27"/>
  <c r="H39" i="27"/>
  <c r="G35" i="23" l="1"/>
  <c r="E36" i="23"/>
  <c r="E35" i="23"/>
  <c r="G34" i="23"/>
  <c r="R24" i="16"/>
  <c r="S24" i="16"/>
  <c r="E42" i="3"/>
  <c r="S23" i="16"/>
  <c r="S22" i="16"/>
  <c r="R23" i="16"/>
  <c r="R22" i="16"/>
  <c r="E39" i="3" l="1"/>
  <c r="E38" i="3"/>
  <c r="E37" i="3"/>
  <c r="E36" i="3"/>
  <c r="E33" i="3"/>
  <c r="E40" i="23"/>
  <c r="E39" i="23"/>
  <c r="E38" i="23"/>
  <c r="E37" i="23"/>
  <c r="E34" i="23"/>
  <c r="S20" i="16"/>
  <c r="S19" i="16"/>
  <c r="S18" i="16"/>
  <c r="S17" i="16"/>
  <c r="R20" i="16"/>
  <c r="R19" i="16"/>
  <c r="R18" i="16"/>
  <c r="R17" i="16"/>
  <c r="S14" i="16"/>
  <c r="R14" i="16"/>
  <c r="S13" i="16"/>
  <c r="R13" i="16"/>
  <c r="E7" i="3"/>
  <c r="Q4" i="10"/>
  <c r="G16" i="10"/>
  <c r="R4" i="10"/>
  <c r="E10" i="23"/>
  <c r="G8" i="10"/>
  <c r="F25" i="25"/>
  <c r="D14" i="24"/>
  <c r="C14" i="24"/>
  <c r="D13" i="24"/>
  <c r="C13" i="24"/>
  <c r="A3" i="24"/>
  <c r="A1" i="25"/>
  <c r="A1" i="24" s="1"/>
  <c r="F39" i="28"/>
  <c r="S6" i="16" l="1"/>
  <c r="R6" i="16"/>
  <c r="D56" i="3"/>
  <c r="Z15" i="10"/>
  <c r="G11" i="15" l="1"/>
  <c r="F42" i="10" l="1"/>
  <c r="C24" i="15"/>
  <c r="C23" i="15"/>
  <c r="C22" i="15"/>
  <c r="I24" i="10"/>
  <c r="E25" i="10"/>
  <c r="J39" i="2"/>
  <c r="J38" i="2"/>
  <c r="F41" i="2"/>
  <c r="M19" i="21" s="1"/>
  <c r="L5" i="21"/>
  <c r="D18" i="21"/>
  <c r="D19" i="21" s="1"/>
  <c r="D15" i="21"/>
  <c r="D14" i="21"/>
  <c r="D13" i="21"/>
  <c r="D12" i="21"/>
  <c r="D20" i="21" l="1"/>
  <c r="L26" i="5"/>
  <c r="L25" i="5"/>
  <c r="J26" i="5"/>
  <c r="H26" i="5"/>
  <c r="F26" i="5"/>
  <c r="D26" i="5"/>
  <c r="J25" i="5"/>
  <c r="H25" i="5"/>
  <c r="F25" i="5"/>
  <c r="D25" i="5"/>
  <c r="L16" i="5"/>
  <c r="L15" i="5"/>
  <c r="L14" i="5"/>
  <c r="L13" i="5"/>
  <c r="D21" i="21" l="1"/>
  <c r="I18" i="5"/>
  <c r="G18" i="5"/>
  <c r="E18" i="5"/>
  <c r="C18" i="5"/>
  <c r="J16" i="5"/>
  <c r="H16" i="5"/>
  <c r="F16" i="5"/>
  <c r="D16" i="5"/>
  <c r="J15" i="5"/>
  <c r="H15" i="5"/>
  <c r="F15" i="5"/>
  <c r="D15" i="5"/>
  <c r="J14" i="5"/>
  <c r="H14" i="5"/>
  <c r="F14" i="5"/>
  <c r="D14" i="5"/>
  <c r="J13" i="5"/>
  <c r="J18" i="5" s="1"/>
  <c r="H13" i="5"/>
  <c r="F13" i="5"/>
  <c r="D13" i="5"/>
  <c r="H12" i="5"/>
  <c r="H18" i="5" s="1"/>
  <c r="F12" i="5"/>
  <c r="F18" i="5" s="1"/>
  <c r="D12" i="5"/>
  <c r="D18" i="5" s="1"/>
  <c r="E18" i="23"/>
  <c r="F32" i="28"/>
  <c r="H29" i="28"/>
  <c r="H31" i="28" s="1"/>
  <c r="G29" i="28"/>
  <c r="G30" i="28" s="1"/>
  <c r="I38" i="27"/>
  <c r="H38" i="27"/>
  <c r="L5" i="16"/>
  <c r="K5" i="16"/>
  <c r="D29" i="16"/>
  <c r="G31" i="28" l="1"/>
  <c r="G32" i="28" s="1"/>
  <c r="G35" i="28" s="1"/>
  <c r="H30" i="28"/>
  <c r="H32" i="28" s="1"/>
  <c r="D26" i="16"/>
  <c r="D25" i="16"/>
  <c r="D24" i="16"/>
  <c r="D23" i="16"/>
  <c r="J41" i="1"/>
  <c r="K41" i="1" s="1"/>
  <c r="J42" i="1"/>
  <c r="K42" i="1" s="1"/>
  <c r="H63" i="27"/>
  <c r="G60" i="27"/>
  <c r="H35" i="28" l="1"/>
  <c r="E20" i="23" s="1"/>
  <c r="I32" i="28"/>
  <c r="G41" i="28"/>
  <c r="E26" i="3" s="1"/>
  <c r="Q19" i="1"/>
  <c r="J29" i="1"/>
  <c r="K29" i="1" s="1"/>
  <c r="J23" i="1"/>
  <c r="J18" i="1"/>
  <c r="K18" i="1" s="1"/>
  <c r="S19" i="1"/>
  <c r="T3" i="1"/>
  <c r="T2" i="1"/>
  <c r="I20" i="28"/>
  <c r="H21" i="28" s="1"/>
  <c r="I35" i="28" l="1"/>
  <c r="T4" i="1"/>
  <c r="G21" i="28"/>
  <c r="I21" i="28" s="1"/>
  <c r="V9" i="25" l="1"/>
  <c r="F13" i="25" s="1"/>
  <c r="X16" i="10"/>
  <c r="Y9" i="10"/>
  <c r="Y12" i="10"/>
  <c r="Y13" i="10"/>
  <c r="Y14" i="10"/>
  <c r="R10" i="10"/>
  <c r="R5" i="10"/>
  <c r="R16" i="10" l="1"/>
  <c r="V16" i="10"/>
  <c r="W11" i="10"/>
  <c r="W10" i="10"/>
  <c r="W16" i="10" s="1"/>
  <c r="U16" i="10"/>
  <c r="Y16" i="10" l="1"/>
  <c r="E8" i="23"/>
  <c r="G54" i="23"/>
  <c r="U9" i="25"/>
  <c r="G56" i="3" l="1"/>
  <c r="E7" i="23"/>
  <c r="G57" i="27" l="1"/>
  <c r="H57" i="27" s="1"/>
  <c r="H40" i="27"/>
  <c r="H42" i="27" s="1"/>
  <c r="G42" i="27"/>
  <c r="G40" i="27"/>
  <c r="I34" i="27"/>
  <c r="H34" i="27"/>
  <c r="G34" i="27"/>
  <c r="I33" i="27"/>
  <c r="H33" i="27"/>
  <c r="G33" i="27"/>
  <c r="G54" i="27"/>
  <c r="G50" i="27"/>
  <c r="G51" i="27"/>
  <c r="H51" i="27" s="1"/>
  <c r="H47" i="27" l="1"/>
  <c r="H48" i="27" s="1"/>
  <c r="H54" i="27"/>
  <c r="H56" i="27" s="1"/>
  <c r="H58" i="27" s="1"/>
  <c r="E45" i="3" s="1"/>
  <c r="H60" i="27"/>
  <c r="H62" i="27" s="1"/>
  <c r="H64" i="27" s="1"/>
  <c r="E25" i="3" s="1"/>
  <c r="H50" i="27"/>
  <c r="H52" i="27" s="1"/>
  <c r="E22" i="3" s="1"/>
  <c r="I40" i="27"/>
  <c r="I42" i="27" s="1"/>
  <c r="I54" i="27" s="1"/>
  <c r="I56" i="27" s="1"/>
  <c r="G39" i="27"/>
  <c r="G38" i="27"/>
  <c r="I60" i="27" l="1"/>
  <c r="I62" i="27" s="1"/>
  <c r="I64" i="27" s="1"/>
  <c r="E19" i="23" s="1"/>
  <c r="I50" i="27"/>
  <c r="I52" i="27" s="1"/>
  <c r="E16" i="23" s="1"/>
  <c r="I47" i="27"/>
  <c r="I48" i="27" s="1"/>
  <c r="I58" i="27" s="1"/>
  <c r="E43" i="23" s="1"/>
  <c r="G43" i="23" s="1"/>
  <c r="D19" i="25"/>
  <c r="D18" i="25"/>
  <c r="C19" i="25"/>
  <c r="C18" i="25"/>
  <c r="I32" i="27"/>
  <c r="H32" i="27"/>
  <c r="G32" i="27"/>
  <c r="I31" i="27"/>
  <c r="I30" i="27"/>
  <c r="I29" i="27"/>
  <c r="I28" i="27"/>
  <c r="H31" i="27"/>
  <c r="H30" i="27"/>
  <c r="H29" i="27"/>
  <c r="H28" i="27"/>
  <c r="G31" i="27"/>
  <c r="G30" i="27"/>
  <c r="G29" i="27"/>
  <c r="G28" i="27"/>
  <c r="I16" i="28"/>
  <c r="K15" i="28"/>
  <c r="F31" i="28" s="1"/>
  <c r="I15" i="28"/>
  <c r="I14" i="28"/>
  <c r="K14" i="28" s="1"/>
  <c r="F25" i="28" s="1"/>
  <c r="I13" i="28"/>
  <c r="K13" i="28" s="1"/>
  <c r="F24" i="28" s="1"/>
  <c r="I12" i="28"/>
  <c r="K12" i="28" s="1"/>
  <c r="F23" i="28" s="1"/>
  <c r="I11" i="28"/>
  <c r="K11" i="28" s="1"/>
  <c r="F30" i="28" s="1"/>
  <c r="I10" i="28"/>
  <c r="K10" i="28" s="1"/>
  <c r="F22" i="28" s="1"/>
  <c r="G25" i="28" l="1"/>
  <c r="H25" i="28"/>
  <c r="H22" i="28"/>
  <c r="G22" i="28"/>
  <c r="F26" i="28"/>
  <c r="H23" i="28"/>
  <c r="G23" i="28"/>
  <c r="G24" i="28"/>
  <c r="H24" i="28"/>
  <c r="K16" i="28"/>
  <c r="E10" i="27"/>
  <c r="C16" i="16"/>
  <c r="H26" i="28" l="1"/>
  <c r="G26" i="28"/>
  <c r="I26" i="28" s="1"/>
  <c r="R6" i="25"/>
  <c r="Q6" i="25"/>
  <c r="P6" i="25"/>
  <c r="M17" i="5" l="1"/>
  <c r="S29" i="10" l="1"/>
  <c r="S28" i="10"/>
  <c r="S27" i="10"/>
  <c r="S26" i="10"/>
  <c r="K31" i="10"/>
  <c r="F25" i="10"/>
  <c r="E24" i="10"/>
  <c r="C25" i="10"/>
  <c r="C24" i="10"/>
  <c r="M31" i="10"/>
  <c r="L31" i="10"/>
  <c r="H27" i="10"/>
  <c r="G27" i="10"/>
  <c r="G26" i="10"/>
  <c r="F27" i="10"/>
  <c r="F26" i="10"/>
  <c r="E27" i="10"/>
  <c r="E26" i="10"/>
  <c r="C27" i="10"/>
  <c r="C26" i="10"/>
  <c r="T5" i="16" l="1"/>
  <c r="F7" i="25" l="1"/>
  <c r="I7" i="27" l="1"/>
  <c r="H7" i="27"/>
  <c r="G22" i="27"/>
  <c r="G21" i="27"/>
  <c r="G20" i="27"/>
  <c r="G23" i="27" s="1"/>
  <c r="L12" i="27"/>
  <c r="L11" i="27"/>
  <c r="L8" i="27"/>
  <c r="G40" i="3"/>
  <c r="G39" i="3"/>
  <c r="G35" i="3"/>
  <c r="G34" i="3"/>
  <c r="F15" i="26"/>
  <c r="I25" i="27" l="1"/>
  <c r="G31" i="23" s="1"/>
  <c r="H25" i="27"/>
  <c r="E24" i="3" s="1"/>
  <c r="J7" i="27"/>
  <c r="M25" i="5"/>
  <c r="H12" i="27" l="1"/>
  <c r="I12" i="27"/>
  <c r="I11" i="27"/>
  <c r="H11" i="27"/>
  <c r="J11" i="27" s="1"/>
  <c r="H10" i="27"/>
  <c r="I10" i="27"/>
  <c r="I9" i="27"/>
  <c r="H9" i="27"/>
  <c r="J9" i="27" s="1"/>
  <c r="I8" i="27"/>
  <c r="H8" i="27"/>
  <c r="J8" i="27" l="1"/>
  <c r="J12" i="27"/>
  <c r="J10" i="27"/>
  <c r="J14" i="27" l="1"/>
  <c r="J44" i="27"/>
  <c r="G62" i="27" s="1"/>
  <c r="G64" i="27" s="1"/>
  <c r="G56" i="27" l="1"/>
  <c r="C5" i="21" l="1"/>
  <c r="C5" i="26"/>
  <c r="C5" i="2"/>
  <c r="B5" i="5"/>
  <c r="C5" i="1"/>
  <c r="B1" i="16"/>
  <c r="A2" i="23"/>
  <c r="E12" i="24" l="1"/>
  <c r="F12" i="24"/>
  <c r="E13" i="24"/>
  <c r="E14" i="24"/>
  <c r="C15" i="24"/>
  <c r="D6" i="24" s="1"/>
  <c r="D15" i="24"/>
  <c r="E6" i="24" s="1"/>
  <c r="B19" i="24"/>
  <c r="B20" i="24"/>
  <c r="B61" i="15"/>
  <c r="B60" i="15"/>
  <c r="D56" i="15"/>
  <c r="C56" i="15"/>
  <c r="E54" i="15"/>
  <c r="G54" i="15" s="1"/>
  <c r="F53" i="15"/>
  <c r="E53" i="15"/>
  <c r="E55" i="15" s="1"/>
  <c r="D42" i="15"/>
  <c r="F7" i="15" s="1"/>
  <c r="C42" i="15"/>
  <c r="E7" i="15" s="1"/>
  <c r="E39" i="15"/>
  <c r="G38" i="15"/>
  <c r="E38" i="15"/>
  <c r="E41" i="15" s="1"/>
  <c r="B33" i="15"/>
  <c r="B32" i="15"/>
  <c r="B31" i="15"/>
  <c r="B30" i="15"/>
  <c r="E22" i="15"/>
  <c r="H21" i="15"/>
  <c r="G21" i="15"/>
  <c r="F21" i="15"/>
  <c r="E21" i="15"/>
  <c r="E23" i="15" s="1"/>
  <c r="E15" i="24" l="1"/>
  <c r="D19" i="24" s="1"/>
  <c r="G13" i="24"/>
  <c r="C19" i="24"/>
  <c r="C21" i="24" s="1"/>
  <c r="F14" i="24"/>
  <c r="F15" i="24" s="1"/>
  <c r="D20" i="24" s="1"/>
  <c r="F8" i="15"/>
  <c r="D25" i="15"/>
  <c r="D26" i="15" s="1"/>
  <c r="F6" i="15" s="1"/>
  <c r="F10" i="15" s="1"/>
  <c r="E8" i="15"/>
  <c r="C25" i="15"/>
  <c r="C26" i="15" s="1"/>
  <c r="C30" i="15" s="1"/>
  <c r="E56" i="15"/>
  <c r="D60" i="15" s="1"/>
  <c r="C60" i="15"/>
  <c r="C62" i="15" s="1"/>
  <c r="C46" i="15"/>
  <c r="C49" i="15" s="1"/>
  <c r="E42" i="15"/>
  <c r="D46" i="15" s="1"/>
  <c r="D49" i="15" s="1"/>
  <c r="F24" i="15"/>
  <c r="I22" i="15"/>
  <c r="F23" i="15"/>
  <c r="F55" i="15"/>
  <c r="F56" i="15" s="1"/>
  <c r="D61" i="15" s="1"/>
  <c r="E24" i="15"/>
  <c r="L48" i="15" l="1"/>
  <c r="D21" i="24"/>
  <c r="G14" i="24"/>
  <c r="G15" i="24" s="1"/>
  <c r="E6" i="15"/>
  <c r="E10" i="15" s="1"/>
  <c r="F25" i="15"/>
  <c r="G25" i="15"/>
  <c r="E25" i="15"/>
  <c r="E26" i="15" s="1"/>
  <c r="D30" i="15" s="1"/>
  <c r="G24" i="15"/>
  <c r="I23" i="15"/>
  <c r="G55" i="15"/>
  <c r="G56" i="15" s="1"/>
  <c r="D62" i="15"/>
  <c r="L61" i="15" s="1"/>
  <c r="C34" i="15"/>
  <c r="J16" i="1"/>
  <c r="J13" i="26"/>
  <c r="J12" i="26"/>
  <c r="G26" i="15" l="1"/>
  <c r="D32" i="15" s="1"/>
  <c r="I24" i="15"/>
  <c r="H25" i="15"/>
  <c r="H26" i="15" s="1"/>
  <c r="D33" i="15" s="1"/>
  <c r="F26" i="15"/>
  <c r="D31" i="15" s="1"/>
  <c r="L8" i="16"/>
  <c r="L7" i="16"/>
  <c r="G40" i="23"/>
  <c r="G39" i="23"/>
  <c r="G38" i="23"/>
  <c r="G37" i="23"/>
  <c r="G36" i="23"/>
  <c r="G33" i="23"/>
  <c r="G29" i="23"/>
  <c r="G28" i="23"/>
  <c r="G27" i="23"/>
  <c r="G25" i="23"/>
  <c r="G23" i="23"/>
  <c r="G22" i="23"/>
  <c r="G21" i="23"/>
  <c r="G10" i="23"/>
  <c r="G53" i="23" s="1"/>
  <c r="E17" i="25"/>
  <c r="F17" i="25"/>
  <c r="E18" i="25"/>
  <c r="B24" i="25"/>
  <c r="B25" i="25"/>
  <c r="I25" i="15" l="1"/>
  <c r="I26" i="15" s="1"/>
  <c r="D34" i="15"/>
  <c r="L31" i="15" s="1"/>
  <c r="G24" i="23"/>
  <c r="E32" i="23"/>
  <c r="L9" i="16"/>
  <c r="E17" i="23"/>
  <c r="G17" i="23" s="1"/>
  <c r="S7" i="16"/>
  <c r="S8" i="16" s="1"/>
  <c r="E44" i="23" s="1"/>
  <c r="G44" i="23" s="1"/>
  <c r="Q53" i="23"/>
  <c r="D20" i="25"/>
  <c r="E6" i="25" s="1"/>
  <c r="E19" i="25"/>
  <c r="C20" i="25"/>
  <c r="G18" i="25"/>
  <c r="G57" i="3"/>
  <c r="G16" i="3"/>
  <c r="T6" i="16" l="1"/>
  <c r="R7" i="16"/>
  <c r="D6" i="25"/>
  <c r="D8" i="25" s="1"/>
  <c r="M6" i="25" s="1"/>
  <c r="E20" i="25"/>
  <c r="D24" i="25" s="1"/>
  <c r="F19" i="25"/>
  <c r="F20" i="25" s="1"/>
  <c r="D25" i="25" s="1"/>
  <c r="C24" i="25"/>
  <c r="C26" i="25" s="1"/>
  <c r="J38" i="1"/>
  <c r="J31" i="1"/>
  <c r="K31" i="1" s="1"/>
  <c r="J28" i="1"/>
  <c r="K28" i="1" s="1"/>
  <c r="J24" i="1"/>
  <c r="K23" i="1"/>
  <c r="J20" i="1"/>
  <c r="R8" i="16" l="1"/>
  <c r="E46" i="3" s="1"/>
  <c r="G46" i="3" s="1"/>
  <c r="T7" i="16"/>
  <c r="J6" i="25"/>
  <c r="G19" i="25"/>
  <c r="G20" i="25" s="1"/>
  <c r="D26" i="25"/>
  <c r="F24" i="25"/>
  <c r="F26" i="25" s="1"/>
  <c r="F6" i="25" s="1"/>
  <c r="F8" i="25" s="1"/>
  <c r="F10" i="25" s="1"/>
  <c r="H44" i="1"/>
  <c r="K24" i="1"/>
  <c r="K38" i="1"/>
  <c r="K20" i="1"/>
  <c r="M26" i="5"/>
  <c r="M28" i="5" s="1"/>
  <c r="M14" i="5"/>
  <c r="K18" i="5"/>
  <c r="M15" i="5"/>
  <c r="M12" i="5"/>
  <c r="K8" i="24" l="1"/>
  <c r="F14" i="25"/>
  <c r="E9" i="23" s="1"/>
  <c r="G9" i="23" s="1"/>
  <c r="M29" i="5"/>
  <c r="G51" i="23" s="1"/>
  <c r="Q51" i="23" s="1"/>
  <c r="G50" i="23"/>
  <c r="Q50" i="23" s="1"/>
  <c r="J44" i="1"/>
  <c r="K44" i="1"/>
  <c r="L18" i="5"/>
  <c r="M16" i="5"/>
  <c r="M13" i="5"/>
  <c r="G56" i="23" l="1"/>
  <c r="G11" i="23"/>
  <c r="E42" i="23"/>
  <c r="M18" i="5"/>
  <c r="M20" i="5" s="1"/>
  <c r="G42" i="23" l="1"/>
  <c r="Q54" i="23" s="1"/>
  <c r="M21" i="5"/>
  <c r="G52" i="3"/>
  <c r="D41" i="23"/>
  <c r="P21" i="5" l="1"/>
  <c r="G53" i="3"/>
  <c r="D11" i="23"/>
  <c r="G45" i="3" l="1"/>
  <c r="D17" i="3"/>
  <c r="J15" i="2" l="1"/>
  <c r="J14" i="2"/>
  <c r="J13" i="2"/>
  <c r="J12" i="2"/>
  <c r="J17" i="1"/>
  <c r="K17" i="1" s="1"/>
  <c r="K16" i="1" l="1"/>
  <c r="G11" i="3" l="1"/>
  <c r="H23" i="10"/>
  <c r="D43" i="3"/>
  <c r="D47" i="3" s="1"/>
  <c r="G27" i="3" l="1"/>
  <c r="K8" i="16" l="1"/>
  <c r="E32" i="3" s="1"/>
  <c r="K7" i="16"/>
  <c r="E23" i="3" s="1"/>
  <c r="G23" i="3" s="1"/>
  <c r="K9" i="16" l="1"/>
  <c r="Q35" i="10"/>
  <c r="H34" i="1" l="1"/>
  <c r="H49" i="1" s="1"/>
  <c r="G12" i="3" l="1"/>
  <c r="J13" i="1" l="1"/>
  <c r="J34" i="1" s="1"/>
  <c r="E23" i="10"/>
  <c r="F23" i="10"/>
  <c r="G23" i="10"/>
  <c r="B32" i="10"/>
  <c r="B33" i="10"/>
  <c r="B34" i="10"/>
  <c r="B35" i="10"/>
  <c r="C28" i="10"/>
  <c r="G24" i="3"/>
  <c r="D15" i="16"/>
  <c r="C18" i="16" s="1"/>
  <c r="D12" i="16"/>
  <c r="G37" i="3"/>
  <c r="G38" i="3"/>
  <c r="G15" i="3"/>
  <c r="G14" i="3"/>
  <c r="G36" i="3"/>
  <c r="G55" i="3" l="1"/>
  <c r="C32" i="10"/>
  <c r="F32" i="10" s="1"/>
  <c r="C20" i="16"/>
  <c r="D28" i="10"/>
  <c r="K13" i="1"/>
  <c r="K34" i="1" s="1"/>
  <c r="E44" i="3" s="1"/>
  <c r="G32" i="3"/>
  <c r="D48" i="3"/>
  <c r="G33" i="3"/>
  <c r="E29" i="3" l="1"/>
  <c r="E31" i="3"/>
  <c r="G31" i="3" s="1"/>
  <c r="E30" i="3"/>
  <c r="G30" i="3" s="1"/>
  <c r="H28" i="10"/>
  <c r="C36" i="10"/>
  <c r="G28" i="10"/>
  <c r="D34" i="10" s="1"/>
  <c r="F34" i="10" s="1"/>
  <c r="E10" i="10"/>
  <c r="F28" i="10"/>
  <c r="D33" i="10" s="1"/>
  <c r="F33" i="10" s="1"/>
  <c r="I25" i="10"/>
  <c r="E28" i="10"/>
  <c r="D32" i="10" s="1"/>
  <c r="M10" i="10" l="1"/>
  <c r="D30" i="16"/>
  <c r="D31" i="16" s="1"/>
  <c r="L30" i="2" s="1"/>
  <c r="D35" i="10"/>
  <c r="F35" i="10" s="1"/>
  <c r="F36" i="10" s="1"/>
  <c r="G29" i="3"/>
  <c r="G44" i="3"/>
  <c r="I26" i="10"/>
  <c r="I27" i="10"/>
  <c r="N30" i="2" l="1"/>
  <c r="O30" i="2" s="1"/>
  <c r="Q12" i="21"/>
  <c r="D36" i="10"/>
  <c r="G6" i="10"/>
  <c r="I28" i="10"/>
  <c r="F6" i="10" s="1"/>
  <c r="Q13" i="21" l="1"/>
  <c r="Q14" i="21"/>
  <c r="F10" i="10"/>
  <c r="G10" i="10"/>
  <c r="G15" i="10" s="1"/>
  <c r="Q6" i="15" s="1"/>
  <c r="D45" i="23" l="1"/>
  <c r="D46" i="23" s="1"/>
  <c r="G42" i="3" l="1"/>
  <c r="G43" i="3" s="1"/>
  <c r="G47" i="3" s="1"/>
  <c r="G51" i="3" s="1"/>
  <c r="G54" i="3" s="1"/>
  <c r="G58" i="3" s="1"/>
  <c r="G16" i="15" s="1"/>
  <c r="G32" i="23" l="1"/>
  <c r="G41" i="23" s="1"/>
  <c r="G45" i="23" s="1"/>
  <c r="G49" i="23" s="1"/>
  <c r="G46" i="23" l="1"/>
  <c r="G52" i="23"/>
  <c r="G55" i="23" s="1"/>
  <c r="G63" i="3" s="1"/>
  <c r="G64" i="3" s="1"/>
  <c r="Q49" i="23"/>
  <c r="Q52" i="23" s="1"/>
  <c r="R55" i="23" s="1"/>
  <c r="G57" i="23" l="1"/>
  <c r="F9" i="24"/>
  <c r="G58" i="23" l="1"/>
  <c r="O9" i="26" s="1"/>
  <c r="L12" i="26" s="1"/>
  <c r="G66" i="3"/>
  <c r="G73" i="3" s="1"/>
  <c r="L13" i="26" l="1"/>
  <c r="L39" i="2" s="1"/>
  <c r="O39" i="2" s="1"/>
  <c r="L15" i="26"/>
  <c r="L41" i="2" s="1"/>
  <c r="L38" i="2"/>
  <c r="N18" i="21" s="1"/>
  <c r="O18" i="21" s="1"/>
  <c r="P18" i="21" s="1"/>
  <c r="E18" i="21"/>
  <c r="O12" i="26"/>
  <c r="E19" i="24"/>
  <c r="P12" i="26"/>
  <c r="N41" i="2" l="1"/>
  <c r="N19" i="21"/>
  <c r="O19" i="21" s="1"/>
  <c r="P19" i="21" s="1"/>
  <c r="N39" i="2"/>
  <c r="E20" i="24"/>
  <c r="F20" i="24" s="1"/>
  <c r="P13" i="26"/>
  <c r="O13" i="26"/>
  <c r="O41" i="2"/>
  <c r="F19" i="24"/>
  <c r="F7" i="24"/>
  <c r="E19" i="21"/>
  <c r="O38" i="2"/>
  <c r="N38" i="2"/>
  <c r="F18" i="21"/>
  <c r="G18" i="21" s="1"/>
  <c r="F21" i="24" l="1"/>
  <c r="F6" i="24" s="1"/>
  <c r="F8" i="24"/>
  <c r="E20" i="21"/>
  <c r="F19" i="21"/>
  <c r="G19" i="21" s="1"/>
  <c r="R47" i="23" l="1"/>
  <c r="R56" i="23" s="1"/>
  <c r="L8" i="24"/>
  <c r="M8" i="24" s="1"/>
  <c r="E21" i="21"/>
  <c r="F20" i="21"/>
  <c r="G20" i="21" s="1"/>
  <c r="F21" i="21" l="1"/>
  <c r="G21" i="21" s="1"/>
  <c r="G17" i="10" l="1"/>
  <c r="E9" i="3" s="1"/>
  <c r="G10" i="3" s="1"/>
  <c r="G17" i="3" s="1"/>
  <c r="G48" i="3" s="1"/>
  <c r="G59" i="3" l="1"/>
  <c r="G60" i="3" s="1"/>
  <c r="G61" i="3" l="1"/>
  <c r="G67" i="3"/>
  <c r="O12" i="2" l="1"/>
  <c r="E12" i="21"/>
  <c r="F12" i="21" s="1"/>
  <c r="G12" i="21" s="1"/>
  <c r="K61" i="3"/>
  <c r="N13" i="2"/>
  <c r="L14" i="2"/>
  <c r="L27" i="2"/>
  <c r="N27" i="2" s="1"/>
  <c r="L15" i="2"/>
  <c r="O15" i="2" s="1"/>
  <c r="N12" i="2"/>
  <c r="E30" i="15"/>
  <c r="F30" i="15" s="1"/>
  <c r="L20" i="2" l="1"/>
  <c r="E48" i="15" s="1"/>
  <c r="F48" i="15" s="1"/>
  <c r="O14" i="2"/>
  <c r="L19" i="2"/>
  <c r="L24" i="2"/>
  <c r="N15" i="2"/>
  <c r="E33" i="15"/>
  <c r="F33" i="15" s="1"/>
  <c r="E31" i="15"/>
  <c r="F31" i="15" s="1"/>
  <c r="F34" i="15" s="1"/>
  <c r="G6" i="15" s="1"/>
  <c r="O13" i="2"/>
  <c r="L18" i="2"/>
  <c r="E14" i="21"/>
  <c r="F14" i="21" s="1"/>
  <c r="G14" i="21" s="1"/>
  <c r="L23" i="2"/>
  <c r="E61" i="15"/>
  <c r="F61" i="15" s="1"/>
  <c r="O24" i="2"/>
  <c r="N24" i="2"/>
  <c r="E32" i="15"/>
  <c r="F32" i="15" s="1"/>
  <c r="N12" i="21"/>
  <c r="N14" i="2"/>
  <c r="R13" i="21"/>
  <c r="S13" i="21" s="1"/>
  <c r="T13" i="21" s="1"/>
  <c r="E60" i="15"/>
  <c r="F60" i="15" s="1"/>
  <c r="O14" i="21"/>
  <c r="P14" i="21" s="1"/>
  <c r="O23" i="2"/>
  <c r="N23" i="2"/>
  <c r="E13" i="21"/>
  <c r="F13" i="21" s="1"/>
  <c r="G13" i="21" s="1"/>
  <c r="E15" i="21"/>
  <c r="F15" i="21" s="1"/>
  <c r="G15" i="21" s="1"/>
  <c r="E68" i="15"/>
  <c r="F68" i="15" s="1"/>
  <c r="G9" i="15" s="1"/>
  <c r="O27" i="2"/>
  <c r="O20" i="2"/>
  <c r="N20" i="2" l="1"/>
  <c r="E47" i="15"/>
  <c r="F47" i="15" s="1"/>
  <c r="O19" i="2"/>
  <c r="N19" i="2"/>
  <c r="F62" i="15"/>
  <c r="G8" i="15" s="1"/>
  <c r="R14" i="21"/>
  <c r="S14" i="21" s="1"/>
  <c r="T14" i="21" s="1"/>
  <c r="R12" i="21"/>
  <c r="S12" i="21" s="1"/>
  <c r="T12" i="21" s="1"/>
  <c r="O12" i="21"/>
  <c r="P12" i="21" s="1"/>
  <c r="O13" i="21"/>
  <c r="P13" i="21" s="1"/>
  <c r="E46" i="15"/>
  <c r="F46" i="15" s="1"/>
  <c r="O18" i="2"/>
  <c r="N18" i="2"/>
  <c r="C27" i="21"/>
  <c r="F49" i="15" l="1"/>
  <c r="G7" i="15" s="1"/>
  <c r="G10" i="15"/>
  <c r="G12" i="15" s="1"/>
  <c r="G15" i="15" l="1"/>
  <c r="K60" i="3" s="1"/>
  <c r="K62" i="3" s="1"/>
  <c r="L8" i="15"/>
  <c r="M8" i="15" s="1"/>
  <c r="G17" i="15"/>
  <c r="R6" i="15" l="1"/>
  <c r="S6" i="15" s="1"/>
</calcChain>
</file>

<file path=xl/sharedStrings.xml><?xml version="1.0" encoding="utf-8"?>
<sst xmlns="http://schemas.openxmlformats.org/spreadsheetml/2006/main" count="1092" uniqueCount="598">
  <si>
    <t>Table B</t>
  </si>
  <si>
    <t>DEPRECIATION EXPENSE ADJUSTMENTS</t>
  </si>
  <si>
    <t>Asset</t>
  </si>
  <si>
    <t>TOTALS</t>
  </si>
  <si>
    <t>Date in</t>
  </si>
  <si>
    <t>Service</t>
  </si>
  <si>
    <t>Original</t>
  </si>
  <si>
    <t>Life</t>
  </si>
  <si>
    <t>Depr. Exp.</t>
  </si>
  <si>
    <t>Adjustment</t>
  </si>
  <si>
    <t>Operating Revenues</t>
  </si>
  <si>
    <t>Total Operating Revenues</t>
  </si>
  <si>
    <t>Operating Expenses</t>
  </si>
  <si>
    <t>Total Operating Expenses</t>
  </si>
  <si>
    <t>Pro Forma Operating Expenses</t>
  </si>
  <si>
    <t>Required Revenue Increase</t>
  </si>
  <si>
    <t>Percent Increase</t>
  </si>
  <si>
    <t>Other Operating Revenue</t>
  </si>
  <si>
    <t>Operation and Maintenance</t>
  </si>
  <si>
    <t>Total Operation and Mnt. Expenses</t>
  </si>
  <si>
    <t>Depreciation Expense</t>
  </si>
  <si>
    <t>Taxes Other Than Income</t>
  </si>
  <si>
    <t>Salaries and Wages - Employees</t>
  </si>
  <si>
    <t>Salaries and Wages - Officers</t>
  </si>
  <si>
    <t>Employee Pensions and Benefits</t>
  </si>
  <si>
    <t>Purchased Water</t>
  </si>
  <si>
    <t>Purchased Power</t>
  </si>
  <si>
    <t>Miscellaneous Expenses</t>
  </si>
  <si>
    <t>Additional Working Capital</t>
  </si>
  <si>
    <t>Adjustments</t>
  </si>
  <si>
    <t>Proforma</t>
  </si>
  <si>
    <t>SCHEDULE OF ADJUSTED OPERATIONS</t>
  </si>
  <si>
    <t>Transportation Expenses</t>
  </si>
  <si>
    <t>Net Utility Operating Income</t>
  </si>
  <si>
    <t>Total Revenue Requirement</t>
  </si>
  <si>
    <t>Revenue from Sales at Present Rates</t>
  </si>
  <si>
    <t>Forfeited Discounts</t>
  </si>
  <si>
    <t>Other Water Revenues:</t>
  </si>
  <si>
    <t>Depreciation</t>
  </si>
  <si>
    <t>Expense</t>
  </si>
  <si>
    <t>Principal</t>
  </si>
  <si>
    <t>Interest</t>
  </si>
  <si>
    <t>Totals</t>
  </si>
  <si>
    <t>REVENUE REQUIREMENTS</t>
  </si>
  <si>
    <t>Table A</t>
  </si>
  <si>
    <t>Ref.</t>
  </si>
  <si>
    <t>Revenue</t>
  </si>
  <si>
    <t>Avg. Annual Principal and Interest Payments</t>
  </si>
  <si>
    <t>Gallons Sold</t>
  </si>
  <si>
    <t>FIRST</t>
  </si>
  <si>
    <t>ALL OVER</t>
  </si>
  <si>
    <t>USAGE</t>
  </si>
  <si>
    <t>BILLS</t>
  </si>
  <si>
    <t>GALLONS</t>
  </si>
  <si>
    <t>TOTAL</t>
  </si>
  <si>
    <t xml:space="preserve">     REVENUE BY RATE INCREMENT</t>
  </si>
  <si>
    <t>RATE</t>
  </si>
  <si>
    <t>REVENUE</t>
  </si>
  <si>
    <t>Insurance - Workers Comp</t>
  </si>
  <si>
    <t>Reported</t>
  </si>
  <si>
    <t>Existing</t>
  </si>
  <si>
    <t>Change</t>
  </si>
  <si>
    <t>Interest Income</t>
  </si>
  <si>
    <t>Water Loss Adjustment:</t>
  </si>
  <si>
    <t>Capitalized Expense Adjustments:</t>
  </si>
  <si>
    <t>Sold</t>
  </si>
  <si>
    <t>Uses:</t>
  </si>
  <si>
    <t xml:space="preserve">  WTP</t>
  </si>
  <si>
    <t>labor</t>
  </si>
  <si>
    <t xml:space="preserve">  Flushing</t>
  </si>
  <si>
    <t>materials</t>
  </si>
  <si>
    <t xml:space="preserve">  Fire</t>
  </si>
  <si>
    <t xml:space="preserve">  Other</t>
  </si>
  <si>
    <t>Line Brks.</t>
  </si>
  <si>
    <t xml:space="preserve">  water loss percentage</t>
  </si>
  <si>
    <t>check</t>
  </si>
  <si>
    <t xml:space="preserve">  allowable in rates</t>
  </si>
  <si>
    <t xml:space="preserve">  adjustment percentage</t>
  </si>
  <si>
    <t>Materials and Supplies</t>
  </si>
  <si>
    <t>NEXT</t>
  </si>
  <si>
    <t>First</t>
  </si>
  <si>
    <t>Next</t>
  </si>
  <si>
    <t>Over</t>
  </si>
  <si>
    <t>No. of Bills</t>
  </si>
  <si>
    <t>gallons</t>
  </si>
  <si>
    <t>Minimum Bill</t>
  </si>
  <si>
    <t>Gallons</t>
  </si>
  <si>
    <t>Bill</t>
  </si>
  <si>
    <t>CURRENT RATE SCHEDULE</t>
  </si>
  <si>
    <t>CURRENT AND PROPOSED RATES</t>
  </si>
  <si>
    <t>COMPARISION OF EXISTING AND PROPOSED BILLS</t>
  </si>
  <si>
    <t>Pro Forma</t>
  </si>
  <si>
    <t>Test Year</t>
  </si>
  <si>
    <t>Sales for Resale</t>
  </si>
  <si>
    <t xml:space="preserve">  SUMMARY  </t>
  </si>
  <si>
    <t>Cost *</t>
  </si>
  <si>
    <t xml:space="preserve">   Plus:</t>
  </si>
  <si>
    <t xml:space="preserve">   Less:</t>
  </si>
  <si>
    <t>Revenue Required From Water Sales</t>
  </si>
  <si>
    <t>Table D</t>
  </si>
  <si>
    <t>per Month*</t>
  </si>
  <si>
    <t>* Highlighted usage represents the average residential bill.</t>
  </si>
  <si>
    <t>5/8" x 3/4" METERS</t>
  </si>
  <si>
    <t>1" METERS</t>
  </si>
  <si>
    <t>2" METERS</t>
  </si>
  <si>
    <t xml:space="preserve">     5/8" X 3/4" Meters</t>
  </si>
  <si>
    <t xml:space="preserve">     1" Meters</t>
  </si>
  <si>
    <t xml:space="preserve">     2" Meters</t>
  </si>
  <si>
    <t>Bulk Sales</t>
  </si>
  <si>
    <t>Insurance - General Liability &amp; Other</t>
  </si>
  <si>
    <t>1" Meters</t>
  </si>
  <si>
    <t>2" Meters</t>
  </si>
  <si>
    <t>Wage Rate</t>
  </si>
  <si>
    <t>Wages</t>
  </si>
  <si>
    <t>O. T. Wages</t>
  </si>
  <si>
    <t>Employee</t>
  </si>
  <si>
    <t>Pro Forma Salaries &amp; Wages Expense</t>
  </si>
  <si>
    <t xml:space="preserve"> </t>
  </si>
  <si>
    <t>Times: 7.65 Percent FICA Rate</t>
  </si>
  <si>
    <t>Pro Forma Payroll Taxes</t>
  </si>
  <si>
    <t>Total Pro Forma Pension Contribution</t>
  </si>
  <si>
    <t>Less: Test Year Pension Contribution</t>
  </si>
  <si>
    <t>Pension &amp; Benefits Adjustments</t>
  </si>
  <si>
    <t>Times: Percent Pension Contribution</t>
  </si>
  <si>
    <t>Wages applicable to CERS payments</t>
  </si>
  <si>
    <t>Salaries &amp; Wages and Associated Adjustments</t>
  </si>
  <si>
    <t>Less: Test Year Salaries &amp; Wages Exp</t>
  </si>
  <si>
    <t>Pro Forma Salaries &amp; Wages Adj'mt</t>
  </si>
  <si>
    <t>Reg. Wages</t>
  </si>
  <si>
    <t>Reg. Hrs</t>
  </si>
  <si>
    <t>M</t>
  </si>
  <si>
    <t>Table C</t>
  </si>
  <si>
    <t>Percent</t>
  </si>
  <si>
    <t>Increase</t>
  </si>
  <si>
    <t>Current</t>
  </si>
  <si>
    <t>Proposed</t>
  </si>
  <si>
    <t>Chemicals</t>
  </si>
  <si>
    <t>Total Sewer Sales</t>
  </si>
  <si>
    <t>Other Sewer Revenues</t>
  </si>
  <si>
    <t>Operation Expenses</t>
  </si>
  <si>
    <t>Collection - Labor, Materials and Expenses</t>
  </si>
  <si>
    <t>Pumping - Labor, Materials and Expenses</t>
  </si>
  <si>
    <t>Power for Pumping and Treatment</t>
  </si>
  <si>
    <t>Miscellaneous Supplies and Expenses</t>
  </si>
  <si>
    <t>Maintenance Expenses</t>
  </si>
  <si>
    <t>Maintenance of Collection Sewer System</t>
  </si>
  <si>
    <t>Maintenance of Pumping System</t>
  </si>
  <si>
    <t>Maintenance of Treatment and Disposal Plant</t>
  </si>
  <si>
    <t>Administrative and General Expenses</t>
  </si>
  <si>
    <t>Office Supplies and Other Expenses</t>
  </si>
  <si>
    <t>Outside Services Employed</t>
  </si>
  <si>
    <t>Transportation Expense</t>
  </si>
  <si>
    <t>Total Sewer Operation and Mnt. Expenses</t>
  </si>
  <si>
    <t>Avg. Annual Principal and Interest Pmts.</t>
  </si>
  <si>
    <t>Interest &amp; Investment Income</t>
  </si>
  <si>
    <t>Water Division</t>
  </si>
  <si>
    <t>Sewer Division</t>
  </si>
  <si>
    <t>Treatment &amp; Disposal</t>
  </si>
  <si>
    <t xml:space="preserve">  WWTP</t>
  </si>
  <si>
    <t>DEBT SERVICE SCHEDULE</t>
  </si>
  <si>
    <t>CY 2024</t>
  </si>
  <si>
    <t>CY 2025</t>
  </si>
  <si>
    <t>CY 2026</t>
  </si>
  <si>
    <t>RD Series 2002</t>
  </si>
  <si>
    <t>Average Annual Principal &amp; Interest - Water</t>
  </si>
  <si>
    <t>Average Annual Principal &amp; Interest - Sewer</t>
  </si>
  <si>
    <t>Average Annual Debt Service Coverage</t>
  </si>
  <si>
    <t>Buildings - Water</t>
  </si>
  <si>
    <t>Vehicles &amp; Heavy Equipment</t>
  </si>
  <si>
    <t>Equipment/Tools/Office</t>
  </si>
  <si>
    <t>Pumping Equipment</t>
  </si>
  <si>
    <t>Transmission &amp; Distribution</t>
  </si>
  <si>
    <t>TOTALS - WATER SYSTEM</t>
  </si>
  <si>
    <t>WATER SYSTEM</t>
  </si>
  <si>
    <t>SEWER SYSTEM</t>
  </si>
  <si>
    <t>Buildings - Sewer</t>
  </si>
  <si>
    <t>Sewer Lines</t>
  </si>
  <si>
    <t>TOTALS - SEWER SYSTEM</t>
  </si>
  <si>
    <t>Entire Group - Package WWTP</t>
  </si>
  <si>
    <t>*  Includes only costs associated with assets that contributed to depreciation expense in the test year.</t>
  </si>
  <si>
    <t>Other Water Revenue</t>
  </si>
  <si>
    <t>Misc. Service Revenue</t>
  </si>
  <si>
    <t>Total Water Sales Revenue</t>
  </si>
  <si>
    <t>Metered Sales to Retail Customers</t>
  </si>
  <si>
    <t>Water</t>
  </si>
  <si>
    <t>Sewer</t>
  </si>
  <si>
    <t>O. T. Hrs.</t>
  </si>
  <si>
    <t>Customers</t>
  </si>
  <si>
    <t>Allocation</t>
  </si>
  <si>
    <t>All Sewer Customers</t>
  </si>
  <si>
    <t xml:space="preserve">     All Sewer Customers</t>
  </si>
  <si>
    <t>Pro Forma Sewer Sales Revenue</t>
  </si>
  <si>
    <t>New Sewer Service</t>
  </si>
  <si>
    <t>PROPOSED RATE SCHEDULE</t>
  </si>
  <si>
    <t>All Customers</t>
  </si>
  <si>
    <t>N</t>
  </si>
  <si>
    <t>SEWER BILLS</t>
  </si>
  <si>
    <t>Percentage</t>
  </si>
  <si>
    <t>per Customer</t>
  </si>
  <si>
    <t>WATER DIVISION</t>
  </si>
  <si>
    <t>SEWER DIVISION</t>
  </si>
  <si>
    <t>Revenue Required From Sewer Sales</t>
  </si>
  <si>
    <t>Projected Retail Sales Revenue</t>
  </si>
  <si>
    <t>Projected Sewer Sales Revenue</t>
  </si>
  <si>
    <t>Avg. Annual Principal and Int Pmts.</t>
  </si>
  <si>
    <t>Net Income to Depr. Fund</t>
  </si>
  <si>
    <t>Sales Revenue from Prop. Billing Analysis</t>
  </si>
  <si>
    <t xml:space="preserve"> Water Division</t>
  </si>
  <si>
    <t>2023 Salaries &amp; Wages</t>
  </si>
  <si>
    <t>POWELL'S VALLEY WATER DISTRICT</t>
  </si>
  <si>
    <t>ALL CUSTOMERS</t>
  </si>
  <si>
    <t>CURRENT BILLING ANALYSIS - 2022 USAGE &amp; EXISTING RATES</t>
  </si>
  <si>
    <t>RD Series 1988</t>
  </si>
  <si>
    <t>CY 2027</t>
  </si>
  <si>
    <t>RD Series 1992</t>
  </si>
  <si>
    <t xml:space="preserve">approved </t>
  </si>
  <si>
    <t>In case</t>
  </si>
  <si>
    <t>1992-008</t>
  </si>
  <si>
    <t>91-02</t>
  </si>
  <si>
    <t>91-04</t>
  </si>
  <si>
    <t>RD series 2006</t>
  </si>
  <si>
    <t>2006-0404</t>
  </si>
  <si>
    <t>92-17</t>
  </si>
  <si>
    <t>RD Series 1995</t>
  </si>
  <si>
    <t>91-06</t>
  </si>
  <si>
    <t>91-10</t>
  </si>
  <si>
    <t>1994-180</t>
  </si>
  <si>
    <t>92-11</t>
  </si>
  <si>
    <t>2002-173</t>
  </si>
  <si>
    <t>RD Series 2004</t>
  </si>
  <si>
    <t>91-15</t>
  </si>
  <si>
    <t>2004-0009</t>
  </si>
  <si>
    <t>AMOUNT</t>
  </si>
  <si>
    <t>Debt Sch cell M20</t>
  </si>
  <si>
    <t>Debt Sch cell M21</t>
  </si>
  <si>
    <t>Debt Sch cell M28</t>
  </si>
  <si>
    <t>Debt Sch cell M29</t>
  </si>
  <si>
    <t>per  gallon</t>
  </si>
  <si>
    <t>Flat Rate Customers</t>
  </si>
  <si>
    <t>per gallon</t>
  </si>
  <si>
    <t>Per Month</t>
  </si>
  <si>
    <t>Fuel for Power Production</t>
  </si>
  <si>
    <t>Contractual Services- Acct.</t>
  </si>
  <si>
    <t>Contractual Services- Other</t>
  </si>
  <si>
    <t>Rental of Equipment</t>
  </si>
  <si>
    <t>Insurance- Other</t>
  </si>
  <si>
    <t>Advertising Expense</t>
  </si>
  <si>
    <t xml:space="preserve">Other Income </t>
  </si>
  <si>
    <t>Difference</t>
  </si>
  <si>
    <t>Dawn</t>
  </si>
  <si>
    <t>Barnes</t>
  </si>
  <si>
    <t>Larry</t>
  </si>
  <si>
    <t>Fraley</t>
  </si>
  <si>
    <t>Ashley</t>
  </si>
  <si>
    <t>Hood</t>
  </si>
  <si>
    <t>Kristan</t>
  </si>
  <si>
    <t>Kellogg</t>
  </si>
  <si>
    <t>Kendell</t>
  </si>
  <si>
    <t>Knox</t>
  </si>
  <si>
    <t>Randy</t>
  </si>
  <si>
    <t>Ledford</t>
  </si>
  <si>
    <t>COMMISSIONERS</t>
  </si>
  <si>
    <t>Per month</t>
  </si>
  <si>
    <t>Salary</t>
  </si>
  <si>
    <t>2022 AR</t>
  </si>
  <si>
    <t>Purchased water</t>
  </si>
  <si>
    <t>Other- unknown</t>
  </si>
  <si>
    <t>ADJ cell 20</t>
  </si>
  <si>
    <t>2022</t>
  </si>
  <si>
    <t>Sales to Commercial Customers</t>
  </si>
  <si>
    <t>2022 hours from 7.PR for rate study.xlsx</t>
  </si>
  <si>
    <t xml:space="preserve">2022 AR </t>
  </si>
  <si>
    <t>Avg. usage</t>
  </si>
  <si>
    <t>PROPOSED BILLING ANALYSIS - 2022 USAGE &amp; PROPOSED RATES</t>
  </si>
  <si>
    <t>Amortization Expenes</t>
  </si>
  <si>
    <t>Amortization</t>
  </si>
  <si>
    <t>Amortization of rate case expense</t>
  </si>
  <si>
    <t>KRWA</t>
  </si>
  <si>
    <t>Amortized over 3 years</t>
  </si>
  <si>
    <t>Adj Cell Z 8</t>
  </si>
  <si>
    <t>Commercial</t>
  </si>
  <si>
    <t xml:space="preserve">     REVENUE BY RATE INCREMENT (Rates Eff. 3/16/23 Case 2023-00053)</t>
  </si>
  <si>
    <t>Bills</t>
  </si>
  <si>
    <t>PWA</t>
  </si>
  <si>
    <t>2023-53</t>
  </si>
  <si>
    <t>2017-00392</t>
  </si>
  <si>
    <t>Residentail</t>
  </si>
  <si>
    <t>CommExptSTtax</t>
  </si>
  <si>
    <t>Superintendent</t>
  </si>
  <si>
    <t>Distribution Operator</t>
  </si>
  <si>
    <t>Office Clerk</t>
  </si>
  <si>
    <t>Bookkeeper</t>
  </si>
  <si>
    <t>*A.Hood 40 hrs/week, K.Kellog hired 4/19/22 (32.5 hrs / week) 8/4/23 email</t>
  </si>
  <si>
    <t>Medical Insurance Adjustment</t>
  </si>
  <si>
    <t>MONTHLY</t>
  </si>
  <si>
    <t>DISTRICT'S</t>
  </si>
  <si>
    <t>Allowable</t>
  </si>
  <si>
    <t>EMPLOYEE</t>
  </si>
  <si>
    <t xml:space="preserve">WATER DIST </t>
  </si>
  <si>
    <t>ANNUAL</t>
  </si>
  <si>
    <t>Employer</t>
  </si>
  <si>
    <t>MEDICAL</t>
  </si>
  <si>
    <t>PREMIUM</t>
  </si>
  <si>
    <t>CONTRIB</t>
  </si>
  <si>
    <t>CONTRIB %</t>
  </si>
  <si>
    <t>Share</t>
  </si>
  <si>
    <t>Premium</t>
  </si>
  <si>
    <t>Anthem</t>
  </si>
  <si>
    <t>Administrative wages</t>
  </si>
  <si>
    <t>Lic. Wastewater operator</t>
  </si>
  <si>
    <t>Wages allocated to Sewer</t>
  </si>
  <si>
    <t>Retirement paid in 2022</t>
  </si>
  <si>
    <t>Pension and benefits allocated to Water</t>
  </si>
  <si>
    <t>Based on customers</t>
  </si>
  <si>
    <t>Commissioners</t>
  </si>
  <si>
    <t>Adminstrative wages allocated to divisions</t>
  </si>
  <si>
    <t>Field wages allocated to divisions</t>
  </si>
  <si>
    <t>Combined Employee salaries &amp; wages</t>
  </si>
  <si>
    <t>Wages Cell I42</t>
  </si>
  <si>
    <t>Wages Cell H42</t>
  </si>
  <si>
    <t>Less: Test Year Payroll Taxes</t>
  </si>
  <si>
    <t>Wages Cell G58</t>
  </si>
  <si>
    <t>ExBAw Cell G16</t>
  </si>
  <si>
    <t>Alternative insurance District reimburses employee at this level</t>
  </si>
  <si>
    <t>A. Hood email 8/23/23</t>
  </si>
  <si>
    <t>Metered Residential</t>
  </si>
  <si>
    <t>Metered Commercial</t>
  </si>
  <si>
    <t>Sewer Meter Sales</t>
  </si>
  <si>
    <t>Penalties</t>
  </si>
  <si>
    <t>Service Fee Charge</t>
  </si>
  <si>
    <t>minus credits</t>
  </si>
  <si>
    <t>A.Hood email 8/30/23</t>
  </si>
  <si>
    <t>Adjusted Revenues from 2022 AR</t>
  </si>
  <si>
    <t>ExBAs Cell f8</t>
  </si>
  <si>
    <t>Reclasify other revenues included in metered sales</t>
  </si>
  <si>
    <t>OTHER REVENUES</t>
  </si>
  <si>
    <t>ExBAs Cell V9</t>
  </si>
  <si>
    <t>2022 AR pg 26</t>
  </si>
  <si>
    <t>Confirmed 9/7/23</t>
  </si>
  <si>
    <t>ExBAs Cell U5</t>
  </si>
  <si>
    <t>Wages Cell I58</t>
  </si>
  <si>
    <t>Income Description</t>
  </si>
  <si>
    <t>Amount</t>
  </si>
  <si>
    <t>Income Type</t>
  </si>
  <si>
    <t>Unmetered Water Revenue</t>
  </si>
  <si>
    <t>User Fees</t>
  </si>
  <si>
    <t>Meter Water Sales Residential</t>
  </si>
  <si>
    <t>Meter Water Sales Commercial</t>
  </si>
  <si>
    <t>Miscellaneous Sales</t>
  </si>
  <si>
    <t>Water Meter Sales</t>
  </si>
  <si>
    <t>Application of Credits</t>
  </si>
  <si>
    <t>Miscellaneous Income</t>
  </si>
  <si>
    <t>Service Charge</t>
  </si>
  <si>
    <t>Other Income</t>
  </si>
  <si>
    <t>Grant Income</t>
  </si>
  <si>
    <t>Grants</t>
  </si>
  <si>
    <t>City of Staton</t>
  </si>
  <si>
    <t>Water sales Revenues</t>
  </si>
  <si>
    <t>Meter Equip Sales</t>
  </si>
  <si>
    <t>Decrease revenue from new connections included in metered sales</t>
  </si>
  <si>
    <t>Adjust revenues from current Rates- BA with 2022 usage</t>
  </si>
  <si>
    <t>All salaries &amp; wages recorded in 2022 Water AR</t>
  </si>
  <si>
    <t>Pro Forma Salaries and Wages Expense+Commissioners</t>
  </si>
  <si>
    <t>Payroll Tax Adjustments</t>
  </si>
  <si>
    <t>All payroll taxes recorded in 2022 Water AR</t>
  </si>
  <si>
    <t>Description</t>
  </si>
  <si>
    <t>Sewer Plant</t>
  </si>
  <si>
    <t>Cost</t>
  </si>
  <si>
    <t>Asset Report 12/31/22</t>
  </si>
  <si>
    <t>Date in Service</t>
  </si>
  <si>
    <t>Office Remodeliing</t>
  </si>
  <si>
    <t>Pump Station</t>
  </si>
  <si>
    <t>Trans &amp; Distri. Mains</t>
  </si>
  <si>
    <t>Utility Plant</t>
  </si>
  <si>
    <t>Transportation</t>
  </si>
  <si>
    <t>2018 Chevy Silverado</t>
  </si>
  <si>
    <t>MACRS CR45-7-2 3500 RPM</t>
  </si>
  <si>
    <t>Other Plant &amp; Misc. Equip.</t>
  </si>
  <si>
    <t>Effective July 1, 2023</t>
  </si>
  <si>
    <t>Retirement allocated to Sewer</t>
  </si>
  <si>
    <t>Total Adjustment</t>
  </si>
  <si>
    <t>Monthly Surcharge Amount</t>
  </si>
  <si>
    <t>per water customer</t>
  </si>
  <si>
    <t>Cell V16</t>
  </si>
  <si>
    <t>NOTES</t>
  </si>
  <si>
    <t>Labor portion of tapping fees.</t>
  </si>
  <si>
    <t>Materials portion of tapping fees.</t>
  </si>
  <si>
    <t>* Water from auditor's breakdown of revenues EXBAw cell X16</t>
  </si>
  <si>
    <t>* Sewer from auditor's breakdown of revenues EXBAs cell W5</t>
  </si>
  <si>
    <t>Revenue collected from tap fees *</t>
  </si>
  <si>
    <t>Administrative Allowable Premium</t>
  </si>
  <si>
    <t>Total Health Insurance administrative and field</t>
  </si>
  <si>
    <t>Salaries and Wages - Commisioners</t>
  </si>
  <si>
    <t>Decrease Labor portion of tapping fees.</t>
  </si>
  <si>
    <t>Wages allocated to Water - $187,617.35</t>
  </si>
  <si>
    <t>Wages Cell H64</t>
  </si>
  <si>
    <t>Health Insurance</t>
  </si>
  <si>
    <t>CY 2028</t>
  </si>
  <si>
    <t>CY 2024 - 2028</t>
  </si>
  <si>
    <t>/ Number of Bills from water</t>
  </si>
  <si>
    <t>WATER BILLS</t>
  </si>
  <si>
    <t xml:space="preserve">Proposed </t>
  </si>
  <si>
    <t>WLRS</t>
  </si>
  <si>
    <t>Bill + WLRS</t>
  </si>
  <si>
    <t>5/8" Meters</t>
  </si>
  <si>
    <t>WHOLESALE SALES - City of Stanton</t>
  </si>
  <si>
    <t>PER GALLON</t>
  </si>
  <si>
    <t>ALL RETAIL CUSTOMERS</t>
  </si>
  <si>
    <t>Computation of Water Loss ReductionSurcharge</t>
  </si>
  <si>
    <t>RR</t>
  </si>
  <si>
    <t>Total Sales Rev.</t>
  </si>
  <si>
    <t xml:space="preserve">&lt;=== Wholesale incr </t>
  </si>
  <si>
    <t>Decrease due to allocation of retirement expense to Water</t>
  </si>
  <si>
    <t>Per Gallon</t>
  </si>
  <si>
    <t>REFRENCES</t>
  </si>
  <si>
    <t>A.</t>
  </si>
  <si>
    <t>B.</t>
  </si>
  <si>
    <t>C.</t>
  </si>
  <si>
    <t>D.</t>
  </si>
  <si>
    <t>E.</t>
  </si>
  <si>
    <t>F.</t>
  </si>
  <si>
    <t>G.</t>
  </si>
  <si>
    <t>H.</t>
  </si>
  <si>
    <t>I.</t>
  </si>
  <si>
    <t>J.</t>
  </si>
  <si>
    <t>K.</t>
  </si>
  <si>
    <t>L.</t>
  </si>
  <si>
    <t>M.</t>
  </si>
  <si>
    <t>N.</t>
  </si>
  <si>
    <t>O.</t>
  </si>
  <si>
    <t>P.</t>
  </si>
  <si>
    <t>Q.</t>
  </si>
  <si>
    <t>A</t>
  </si>
  <si>
    <t>B</t>
  </si>
  <si>
    <t>Wholesale Sales</t>
  </si>
  <si>
    <t>ExBAw Cell G14</t>
  </si>
  <si>
    <t>C</t>
  </si>
  <si>
    <t>91-21</t>
  </si>
  <si>
    <t>RD Series 2017</t>
  </si>
  <si>
    <t>Employee Pension &amp; Benefits</t>
  </si>
  <si>
    <t>Pension/benefits</t>
  </si>
  <si>
    <t>Confirmed 10/30/23 email A. Hood</t>
  </si>
  <si>
    <t>Health Insurance adjustment</t>
  </si>
  <si>
    <t>Decrease due to allowable Health Insurance premium allocated to water</t>
  </si>
  <si>
    <t>Allowable Health Insurance premium allocated to sewer</t>
  </si>
  <si>
    <t>NOTE:2022 AR No wages and benefits recorded for Sewer-All wages reported in Water AR</t>
  </si>
  <si>
    <t>ExBAs</t>
  </si>
  <si>
    <t>CURRENT BILLING ANALYSIS - 2022 USAGE &amp; PROPOSED RATES</t>
  </si>
  <si>
    <t>A. Hood email 9/11/23</t>
  </si>
  <si>
    <t>New Connections -should not be in metered sales</t>
  </si>
  <si>
    <t>2 Flat Rate customers per email</t>
  </si>
  <si>
    <t>The utility included all wages in the 2022 water annual report. The decrease is due to the changes in employee wages and allocation of wages to the sewer division.</t>
  </si>
  <si>
    <t>D</t>
  </si>
  <si>
    <t>The utility collected $62,232 in water tapping fees in 2022. These taps were installed by the utility and were recorded as labor and material expenses.  Labor expense has been reduced by $18,670 or 30% of the tapping fees while materials and supplies expense has been reduced by $43,562 or 70% of the tapping fees.</t>
  </si>
  <si>
    <t>U</t>
  </si>
  <si>
    <t>E</t>
  </si>
  <si>
    <t>F</t>
  </si>
  <si>
    <t>Decrease in pension benefits to reflect decrease in contribution rate effective July 1, 2023 and amount allocated to water.</t>
  </si>
  <si>
    <t>Increase to Commissioner Salaries due to vacancy for part of 2022, reflects amount allocated to water.</t>
  </si>
  <si>
    <t>G</t>
  </si>
  <si>
    <t>Decrease Health insurance by $89,132 to allowable employer share and amount allocated to water.</t>
  </si>
  <si>
    <t>Adjust to test year BA</t>
  </si>
  <si>
    <t>H</t>
  </si>
  <si>
    <t>R</t>
  </si>
  <si>
    <t>S</t>
  </si>
  <si>
    <t>The utility's test year water loss was 27.59 percent. The PSC's maximum allowable loss for rate-making purposes is 15.0 percent. Therefore, the expenses for purchased water, purchased power and fuel for power production above the 15 percent limit is not allowed in the rate base and must be deducted. Purchased water expense was decrease by $51,372, power expense was decreased by $554 and fuel for power production expense was reduced by $15,361.</t>
  </si>
  <si>
    <t>DeprAdj Dell K34</t>
  </si>
  <si>
    <t>Decrease expense due to water loss above 15%</t>
  </si>
  <si>
    <t>Adjust depreciation expense reflecting PSC policy</t>
  </si>
  <si>
    <t>Decrease expense to reflect payroll revisions and amount allocated to water</t>
  </si>
  <si>
    <t>I</t>
  </si>
  <si>
    <t>J</t>
  </si>
  <si>
    <t>Decrease expense to reflect changes in payroll and amount allocated to water.</t>
  </si>
  <si>
    <t>K</t>
  </si>
  <si>
    <t>Recovery of Rate Case Expense allocated to water $10,766 amortized over a three year period.</t>
  </si>
  <si>
    <t>Rate case expense allocated to water $10,766 amortorized over three years.</t>
  </si>
  <si>
    <t>L</t>
  </si>
  <si>
    <t>ExBAw cell Y16</t>
  </si>
  <si>
    <t>O</t>
  </si>
  <si>
    <t>P</t>
  </si>
  <si>
    <t>Adjust water revenues to test year Billiing analysis</t>
  </si>
  <si>
    <t>Adjust sewer revenues to test year billing analysis.</t>
  </si>
  <si>
    <t>Q</t>
  </si>
  <si>
    <t>ADJ Cell L7</t>
  </si>
  <si>
    <t>R.</t>
  </si>
  <si>
    <t>Increase salaries &amp; wages expense to amount allocated to sewer</t>
  </si>
  <si>
    <t>The utility collected $65,966 in sewer tapping fees in 2022. These taps were installed by the utility and were recorded as labor and material expenses.  Labor expense has been reduced by $19,790 or 30% of the tapping fees while materials and supplies expense has been reduced by $46,176 or 70% of the tapping fees.</t>
  </si>
  <si>
    <t>S.</t>
  </si>
  <si>
    <t>ADJ Cell L8</t>
  </si>
  <si>
    <t>Increase commissioner wages to amount allocated to sewer</t>
  </si>
  <si>
    <t>Decrease due to PSC required adjustments to a water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decreased by $99,357. See Table A.</t>
  </si>
  <si>
    <t>T.</t>
  </si>
  <si>
    <t>T</t>
  </si>
  <si>
    <t>DeprAdj Cell K44</t>
  </si>
  <si>
    <t>Increase expense to reflect payroll revisions and amount allocated to Sewer</t>
  </si>
  <si>
    <t>V</t>
  </si>
  <si>
    <t>U.</t>
  </si>
  <si>
    <t>V.</t>
  </si>
  <si>
    <t>Revenue Requirement is computed using the Debt Service Coverage method.  Annual debt service payments for the district's sewer division debt are shown in Table B. The five-year average of these payments of $16,359 is added in the revenue requirement calculation.</t>
  </si>
  <si>
    <t>The amount of $27,451 is included in the revenue requirement as Additional Working Capital the water division. The amount shown in Table B for coverage on long term debt.</t>
  </si>
  <si>
    <t>ExBAw</t>
  </si>
  <si>
    <t>Remove revenues from tapping fees included in metered sales</t>
  </si>
  <si>
    <t>W.</t>
  </si>
  <si>
    <t>W</t>
  </si>
  <si>
    <t>Note: 2022 Water AR included combined wages, Pensions and Benefits for Water and Sewer</t>
  </si>
  <si>
    <t xml:space="preserve">PVWD Commissioner vacancy for part of test year, allocated portion to water </t>
  </si>
  <si>
    <t>Wages cell H25</t>
  </si>
  <si>
    <t>ADJ Cell K8</t>
  </si>
  <si>
    <t>Commissioner wages allocated to Sewer</t>
  </si>
  <si>
    <t>Wages Cell I64</t>
  </si>
  <si>
    <t>Wages Cell I25</t>
  </si>
  <si>
    <t>Medical Cell H35</t>
  </si>
  <si>
    <t>X</t>
  </si>
  <si>
    <t>Rate case expense allocated to sewer $434 amortorized over three years.</t>
  </si>
  <si>
    <t>X.</t>
  </si>
  <si>
    <t>Recovery of Rate Case Expense allocated to water $434 amortized over a three year period.</t>
  </si>
  <si>
    <t>Contractional services - Acct</t>
  </si>
  <si>
    <t>Decrease expense for amount allocated to Sewer</t>
  </si>
  <si>
    <t>Amount allocated to sewer</t>
  </si>
  <si>
    <t>Postage</t>
  </si>
  <si>
    <t>Misc expense in 2022 Water AR</t>
  </si>
  <si>
    <t>telephone</t>
  </si>
  <si>
    <t>Decrease Postage and telephone expense for amount allocated to Sewer</t>
  </si>
  <si>
    <t>Telephone</t>
  </si>
  <si>
    <t>Adj Cell S17</t>
  </si>
  <si>
    <t>Adj Cell S18</t>
  </si>
  <si>
    <t>Adj Cell S19</t>
  </si>
  <si>
    <t>Adj Cell S20</t>
  </si>
  <si>
    <t>Adj Cell S22+ cell S23</t>
  </si>
  <si>
    <t>Adj Cell S14</t>
  </si>
  <si>
    <t>ADJ Cell S14</t>
  </si>
  <si>
    <t>ADJ Cell S22</t>
  </si>
  <si>
    <t>ADJ Cell S23</t>
  </si>
  <si>
    <t>ADJ Cell S17</t>
  </si>
  <si>
    <t>ADJ Cell S18</t>
  </si>
  <si>
    <t>ADJ Cell S19</t>
  </si>
  <si>
    <t>ADJ Cell S20</t>
  </si>
  <si>
    <t>Sewer RR</t>
  </si>
  <si>
    <t>Increase pension expense to amount allocated to sewer</t>
  </si>
  <si>
    <t xml:space="preserve">Adjust administrative and general expense by amount allocated to Sewer </t>
  </si>
  <si>
    <t>Y</t>
  </si>
  <si>
    <t>Z</t>
  </si>
  <si>
    <t xml:space="preserve">Reclassify other revenues included in metered sewer sales. </t>
  </si>
  <si>
    <t>Decrease revenues from tapping fees included in metered sewer sales</t>
  </si>
  <si>
    <t>Increase health insurance to allowable amount allocated to sewer</t>
  </si>
  <si>
    <t>AA</t>
  </si>
  <si>
    <t>Increase due to PSC required adjustments to a sewer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Increased by $13,073. See Table A.</t>
  </si>
  <si>
    <t>Y.</t>
  </si>
  <si>
    <t>Z.</t>
  </si>
  <si>
    <t>AA.</t>
  </si>
  <si>
    <t>Allocated Administrative and General expenses</t>
  </si>
  <si>
    <t>The amount of $3,272 is included in the revenue requirement as Additional Working Capital for the sewer division. The amount shown in Table B for coverage on long term debt for the sewer division.</t>
  </si>
  <si>
    <t>Revenue Requirement is computed using the Debt Service Coverage method.  Annual debt service payments for the district's water division debt are shown in Table B. The five-year average of these payments for the water division of $137,253 is added in the revenue requirement calculation.</t>
  </si>
  <si>
    <t>Confirmed estimate of field labor with Kendal 11/10/23</t>
  </si>
  <si>
    <t>percent increase</t>
  </si>
  <si>
    <t>New avg. Combined Water &amp; Sewer Bill</t>
  </si>
  <si>
    <t>Sewer Revenue Increase</t>
  </si>
  <si>
    <t>Total Water &amp; Sewer Required Revenue</t>
  </si>
  <si>
    <t>Total Water &amp; Sewer Revenue Increase</t>
  </si>
  <si>
    <t>Water Customers</t>
  </si>
  <si>
    <t>Sewer Customers</t>
  </si>
  <si>
    <t>Total Water &amp; Sewer Customers</t>
  </si>
  <si>
    <t>REVENUE REQUIREMENTS WATER DIVISION</t>
  </si>
  <si>
    <t>Sewer Required Revenue</t>
  </si>
  <si>
    <t>Increase in Sewer Revenues</t>
  </si>
  <si>
    <t>BILLING ANALYSIS - 2022 USAGE &amp; EXISTING RATES</t>
  </si>
  <si>
    <t xml:space="preserve">     SEWER REVENUE BY RATE INCREMENT</t>
  </si>
  <si>
    <t>6,000 gallons</t>
  </si>
  <si>
    <t>For comparison purposes:</t>
  </si>
  <si>
    <r>
      <t>Monthly Water Loss Reduction Surcharge-</t>
    </r>
    <r>
      <rPr>
        <u/>
        <sz val="11"/>
        <rFont val="Calibri"/>
        <family val="2"/>
        <scheme val="minor"/>
      </rPr>
      <t xml:space="preserve"> (New charge for all water customers)</t>
    </r>
  </si>
  <si>
    <t>Average Gallons</t>
  </si>
  <si>
    <t>$</t>
  </si>
  <si>
    <t>Size</t>
  </si>
  <si>
    <t>per Month</t>
  </si>
  <si>
    <t>5/8"</t>
  </si>
  <si>
    <t>1"</t>
  </si>
  <si>
    <t>2"</t>
  </si>
  <si>
    <t xml:space="preserve">Meter </t>
  </si>
  <si>
    <t>AVERAGE WATER BILLS</t>
  </si>
  <si>
    <t>AVERAGE SEWER BILLS</t>
  </si>
  <si>
    <t>COMPARISION OF EXISTING AND PROPOSED AVERAGE BILLS WITH WLRS</t>
  </si>
  <si>
    <t>AVG usage</t>
  </si>
  <si>
    <t>Wholesale Customer</t>
  </si>
  <si>
    <t>All Retail Customers</t>
  </si>
  <si>
    <t>4,000 gallons</t>
  </si>
  <si>
    <t>Water sales for resale to the city of Stanton not included in the 2022 AR</t>
  </si>
  <si>
    <t>FILE</t>
  </si>
  <si>
    <t>21 P Rate Analysis Residential customers</t>
  </si>
  <si>
    <t>23 P Rate Analysis Commercial</t>
  </si>
  <si>
    <t>71 E Rate Analysis Residential</t>
  </si>
  <si>
    <t>73 E Rate Analysis Commercial Estill</t>
  </si>
  <si>
    <t>81 Mrate Analysis Residential Montgomery</t>
  </si>
  <si>
    <t>Pro Forma Retail Sales Revenue</t>
  </si>
  <si>
    <t>Total Retail Water Sales Revenue</t>
  </si>
  <si>
    <t>Combined Revenue Increase</t>
  </si>
  <si>
    <t>COMPARISON OF CURRENT AND PROPOSED MONTHLY RATES</t>
  </si>
  <si>
    <t>Customer Activity report - Leak Adj (16,338.57),Misread (616.84), pool Adj. (66.71), usage waterAdj. 1072.32</t>
  </si>
  <si>
    <t>Customer Activity report Leak Adj (16,338.57),Misread (616.84), pool Adj. (66.71), usage waterAdj. 1072.32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</si>
</sst>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quot;$&quot;#,##0.00_);\(&quot;$&quot;#,##0.00\)"/>
    <numFmt numFmtId="44" formatCode="_(&quot;$&quot;* #,##0.00_);_(&quot;$&quot;* \(#,##0.00\);_(&quot;$&quot;* &quot;-&quot;??_);_(@_)"/>
    <numFmt numFmtId="43" formatCode="_(* #,##0.00_);_(* \(#,##0.00\);_(* &quot;-&quot;??_);_(@_)"/>
    <numFmt numFmtId="164" formatCode="[$$-409]#,##0"/>
    <numFmt numFmtId="165" formatCode="_(&quot;$&quot;* #,##0_);_(&quot;$&quot;* \(#,##0\);_(&quot;$&quot;* &quot;-&quot;??_);_(@_)"/>
    <numFmt numFmtId="166" formatCode="mm/dd/yy;@"/>
    <numFmt numFmtId="167" formatCode="_([$$-409]* #,##0_);_([$$-409]* \(#,##0\);_([$$-409]* &quot;-&quot;??_);_(@_)"/>
    <numFmt numFmtId="168" formatCode="_(* #,##0_);_(* \(#,##0\);_(* &quot;-&quot;??_);_(@_)"/>
    <numFmt numFmtId="169" formatCode="0.0%"/>
    <numFmt numFmtId="170" formatCode="_(* #,##0.0_);_(* \(#,##0.0\);_(* &quot;-&quot;??_);_(@_)"/>
    <numFmt numFmtId="171" formatCode="0.000%"/>
    <numFmt numFmtId="172" formatCode="&quot;$&quot;#,##0.00"/>
    <numFmt numFmtId="173" formatCode="0_);\(0\)"/>
    <numFmt numFmtId="174" formatCode="_(* #,##0.00000_);_(* \(#,##0.00000\);_(* &quot;-&quot;??_);_(@_)"/>
    <numFmt numFmtId="175" formatCode="_(&quot;$&quot;* #,##0.00000_);_(&quot;$&quot;* \(#,##0.00000\);_(&quot;$&quot;* &quot;-&quot;??_);_(@_)"/>
    <numFmt numFmtId="176" formatCode="_(* #,##0.000000_);_(* \(#,##0.000000\);_(* &quot;-&quot;??_);_(@_)"/>
    <numFmt numFmtId="177" formatCode="&quot;$&quot;#,##0.0000"/>
    <numFmt numFmtId="178" formatCode="0.0000%"/>
    <numFmt numFmtId="179" formatCode="#,##0.00000_);\(#,##0.00000\)"/>
  </numFmts>
  <fonts count="43" x14ac:knownFonts="1">
    <font>
      <sz val="12"/>
      <name val="Arial"/>
    </font>
    <font>
      <sz val="11"/>
      <color theme="1"/>
      <name val="Calibri"/>
      <family val="2"/>
      <scheme val="minor"/>
    </font>
    <font>
      <sz val="12"/>
      <name val="Arial"/>
      <family val="2"/>
    </font>
    <font>
      <sz val="12"/>
      <name val="Arial"/>
      <family val="2"/>
    </font>
    <font>
      <b/>
      <sz val="11"/>
      <name val="Calibri"/>
      <family val="2"/>
      <scheme val="minor"/>
    </font>
    <font>
      <sz val="11"/>
      <name val="Calibri"/>
      <family val="2"/>
      <scheme val="minor"/>
    </font>
    <font>
      <sz val="10"/>
      <name val="Arial"/>
      <family val="2"/>
    </font>
    <font>
      <b/>
      <u/>
      <sz val="11"/>
      <name val="Calibri"/>
      <family val="2"/>
      <scheme val="minor"/>
    </font>
    <font>
      <b/>
      <u val="singleAccounting"/>
      <sz val="11"/>
      <name val="Calibri"/>
      <family val="2"/>
      <scheme val="minor"/>
    </font>
    <font>
      <u val="singleAccounting"/>
      <sz val="11"/>
      <name val="Calibri"/>
      <family val="2"/>
      <scheme val="minor"/>
    </font>
    <font>
      <b/>
      <sz val="14"/>
      <name val="Calibri"/>
      <family val="2"/>
      <scheme val="minor"/>
    </font>
    <font>
      <b/>
      <sz val="11"/>
      <color rgb="FFFF0000"/>
      <name val="Calibri"/>
      <family val="2"/>
      <scheme val="minor"/>
    </font>
    <font>
      <sz val="12"/>
      <name val="Calibri"/>
      <family val="2"/>
      <scheme val="minor"/>
    </font>
    <font>
      <b/>
      <sz val="12"/>
      <name val="Calibri"/>
      <family val="2"/>
      <scheme val="minor"/>
    </font>
    <font>
      <b/>
      <u/>
      <sz val="12"/>
      <name val="Calibri"/>
      <family val="2"/>
      <scheme val="minor"/>
    </font>
    <font>
      <u/>
      <sz val="11"/>
      <name val="Calibri"/>
      <family val="2"/>
      <scheme val="minor"/>
    </font>
    <font>
      <sz val="9"/>
      <color rgb="FFFF0000"/>
      <name val="Calibri"/>
      <family val="2"/>
      <scheme val="minor"/>
    </font>
    <font>
      <b/>
      <u/>
      <sz val="14"/>
      <name val="Calibri"/>
      <family val="2"/>
      <scheme val="minor"/>
    </font>
    <font>
      <sz val="10"/>
      <name val="Calibri"/>
      <family val="2"/>
      <scheme val="minor"/>
    </font>
    <font>
      <b/>
      <i/>
      <u/>
      <sz val="11"/>
      <color rgb="FF59B589"/>
      <name val="Calibri"/>
      <family val="2"/>
      <scheme val="minor"/>
    </font>
    <font>
      <b/>
      <u/>
      <sz val="11"/>
      <color theme="1"/>
      <name val="Calibri"/>
      <family val="2"/>
      <scheme val="minor"/>
    </font>
    <font>
      <b/>
      <sz val="11"/>
      <color theme="1"/>
      <name val="Calibri"/>
      <family val="2"/>
      <scheme val="minor"/>
    </font>
    <font>
      <sz val="11"/>
      <name val="Arial"/>
      <family val="2"/>
    </font>
    <font>
      <sz val="11"/>
      <color theme="1"/>
      <name val="Calibri"/>
      <family val="2"/>
      <scheme val="minor"/>
    </font>
    <font>
      <b/>
      <u/>
      <sz val="10"/>
      <name val="Arial"/>
      <family val="2"/>
    </font>
    <font>
      <b/>
      <sz val="12"/>
      <color rgb="FF00B050"/>
      <name val="Calibri"/>
      <family val="2"/>
      <scheme val="minor"/>
    </font>
    <font>
      <b/>
      <sz val="11"/>
      <color rgb="FF0070C0"/>
      <name val="Calibri"/>
      <family val="2"/>
      <scheme val="minor"/>
    </font>
    <font>
      <u/>
      <sz val="12"/>
      <name val="Arial"/>
      <family val="2"/>
    </font>
    <font>
      <u val="singleAccounting"/>
      <sz val="12"/>
      <name val="Arial"/>
      <family val="2"/>
    </font>
    <font>
      <sz val="9"/>
      <color theme="1"/>
      <name val="Calibri"/>
      <family val="2"/>
      <scheme val="minor"/>
    </font>
    <font>
      <u/>
      <sz val="11"/>
      <color theme="1"/>
      <name val="Calibri"/>
      <family val="2"/>
      <scheme val="minor"/>
    </font>
    <font>
      <sz val="12"/>
      <color theme="1"/>
      <name val="Arial"/>
      <family val="2"/>
    </font>
    <font>
      <u/>
      <sz val="12"/>
      <name val="Calibri"/>
      <family val="2"/>
      <scheme val="minor"/>
    </font>
    <font>
      <b/>
      <sz val="14"/>
      <name val="Arial"/>
      <family val="2"/>
    </font>
    <font>
      <sz val="14"/>
      <name val="Arial"/>
      <family val="2"/>
    </font>
    <font>
      <b/>
      <sz val="12"/>
      <name val="Arial"/>
      <family val="2"/>
    </font>
    <font>
      <sz val="12"/>
      <color rgb="FFFF0000"/>
      <name val="Calibri"/>
      <family val="2"/>
      <scheme val="minor"/>
    </font>
    <font>
      <u val="singleAccounting"/>
      <sz val="12"/>
      <name val="Calibri"/>
      <family val="2"/>
      <scheme val="minor"/>
    </font>
    <font>
      <u/>
      <sz val="11"/>
      <name val="Arial"/>
      <family val="2"/>
    </font>
    <font>
      <u val="singleAccounting"/>
      <sz val="11"/>
      <name val="Arial"/>
      <family val="2"/>
    </font>
    <font>
      <b/>
      <u val="singleAccounting"/>
      <sz val="11"/>
      <name val="Arial"/>
      <family val="2"/>
    </font>
    <font>
      <u val="singleAccounting"/>
      <sz val="10"/>
      <name val="Calibri"/>
      <family val="2"/>
      <scheme val="minor"/>
    </font>
    <font>
      <u val="singleAccounting"/>
      <sz val="10"/>
      <name val="Arial"/>
      <family val="2"/>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627">
    <xf numFmtId="0" fontId="0" fillId="0" borderId="0" xfId="0"/>
    <xf numFmtId="0" fontId="5" fillId="0" borderId="0" xfId="0" applyFont="1"/>
    <xf numFmtId="0" fontId="5" fillId="0" borderId="0" xfId="0" applyFont="1" applyAlignment="1">
      <alignment horizontal="center"/>
    </xf>
    <xf numFmtId="168" fontId="5" fillId="0" borderId="0" xfId="1" applyNumberFormat="1" applyFont="1"/>
    <xf numFmtId="44" fontId="5" fillId="0" borderId="0" xfId="2" applyFont="1" applyBorder="1"/>
    <xf numFmtId="165" fontId="5" fillId="0" borderId="0" xfId="2" applyNumberFormat="1" applyFont="1" applyBorder="1"/>
    <xf numFmtId="168" fontId="5" fillId="0" borderId="0" xfId="1" applyNumberFormat="1" applyFont="1" applyBorder="1"/>
    <xf numFmtId="0" fontId="5" fillId="0" borderId="0" xfId="0" applyFont="1" applyAlignment="1">
      <alignment horizontal="centerContinuous"/>
    </xf>
    <xf numFmtId="3" fontId="5" fillId="0" borderId="0" xfId="0" applyNumberFormat="1" applyFont="1" applyAlignment="1">
      <alignment horizontal="right"/>
    </xf>
    <xf numFmtId="165" fontId="5" fillId="0" borderId="0" xfId="4" applyNumberFormat="1" applyFont="1"/>
    <xf numFmtId="0" fontId="7" fillId="0" borderId="0" xfId="0" applyFont="1"/>
    <xf numFmtId="0" fontId="5" fillId="0" borderId="1" xfId="0" applyFont="1" applyBorder="1" applyAlignment="1">
      <alignment horizontal="center"/>
    </xf>
    <xf numFmtId="37" fontId="5" fillId="0" borderId="1" xfId="0" applyNumberFormat="1" applyFont="1" applyBorder="1" applyAlignment="1">
      <alignment horizontal="center"/>
    </xf>
    <xf numFmtId="0" fontId="5" fillId="0" borderId="0" xfId="0" applyFont="1" applyAlignment="1">
      <alignment horizontal="right"/>
    </xf>
    <xf numFmtId="37" fontId="5" fillId="0" borderId="0" xfId="0" applyNumberFormat="1" applyFont="1"/>
    <xf numFmtId="168" fontId="5" fillId="0" borderId="0" xfId="5" applyNumberFormat="1" applyFont="1"/>
    <xf numFmtId="37" fontId="5" fillId="0" borderId="1" xfId="0" applyNumberFormat="1" applyFont="1" applyBorder="1"/>
    <xf numFmtId="168" fontId="5" fillId="0" borderId="1" xfId="5" applyNumberFormat="1" applyFont="1" applyBorder="1"/>
    <xf numFmtId="0" fontId="4" fillId="0" borderId="0" xfId="0" applyFont="1" applyAlignment="1">
      <alignment horizontal="left"/>
    </xf>
    <xf numFmtId="44" fontId="5" fillId="0" borderId="0" xfId="4" applyFont="1"/>
    <xf numFmtId="0" fontId="5" fillId="0" borderId="1" xfId="0" applyFont="1" applyBorder="1"/>
    <xf numFmtId="43" fontId="5" fillId="0" borderId="1" xfId="5" applyFont="1" applyBorder="1"/>
    <xf numFmtId="3" fontId="5" fillId="0" borderId="0" xfId="0" applyNumberFormat="1" applyFont="1"/>
    <xf numFmtId="3" fontId="10" fillId="0" borderId="0" xfId="0" applyNumberFormat="1" applyFont="1" applyAlignment="1">
      <alignment horizontal="centerContinuous" vertical="center"/>
    </xf>
    <xf numFmtId="3" fontId="12" fillId="0" borderId="0" xfId="0" applyNumberFormat="1" applyFont="1" applyAlignment="1">
      <alignment horizontal="centerContinuous" vertical="center"/>
    </xf>
    <xf numFmtId="3" fontId="12" fillId="0" borderId="0" xfId="0" applyNumberFormat="1" applyFont="1" applyAlignment="1">
      <alignment vertical="center"/>
    </xf>
    <xf numFmtId="3" fontId="12" fillId="0" borderId="0" xfId="0" applyNumberFormat="1" applyFont="1"/>
    <xf numFmtId="0" fontId="12" fillId="0" borderId="0" xfId="0" applyFont="1"/>
    <xf numFmtId="3" fontId="14" fillId="0" borderId="0" xfId="0" applyNumberFormat="1" applyFont="1" applyAlignment="1">
      <alignment horizontal="center" vertical="center"/>
    </xf>
    <xf numFmtId="3" fontId="5" fillId="0" borderId="0" xfId="0" applyNumberFormat="1" applyFont="1" applyAlignment="1">
      <alignment vertical="center"/>
    </xf>
    <xf numFmtId="3" fontId="7" fillId="0" borderId="0" xfId="0" applyNumberFormat="1" applyFont="1" applyAlignment="1">
      <alignment horizontal="center" vertical="center"/>
    </xf>
    <xf numFmtId="168" fontId="5" fillId="0" borderId="0" xfId="1" applyNumberFormat="1" applyFont="1" applyAlignment="1">
      <alignment vertical="center"/>
    </xf>
    <xf numFmtId="3" fontId="15" fillId="0" borderId="0" xfId="0" applyNumberFormat="1" applyFont="1" applyAlignment="1">
      <alignment vertical="center"/>
    </xf>
    <xf numFmtId="165" fontId="5" fillId="0" borderId="0" xfId="0" applyNumberFormat="1" applyFont="1" applyAlignment="1">
      <alignment vertical="center"/>
    </xf>
    <xf numFmtId="3" fontId="5" fillId="0" borderId="0" xfId="0" applyNumberFormat="1" applyFont="1" applyAlignment="1">
      <alignment horizontal="center" vertical="center"/>
    </xf>
    <xf numFmtId="37" fontId="5" fillId="0" borderId="0" xfId="0" applyNumberFormat="1" applyFont="1" applyAlignment="1">
      <alignment vertical="center"/>
    </xf>
    <xf numFmtId="3" fontId="4" fillId="0" borderId="0" xfId="0" applyNumberFormat="1" applyFont="1" applyAlignment="1">
      <alignment vertical="center"/>
    </xf>
    <xf numFmtId="168" fontId="5" fillId="0" borderId="0" xfId="1" applyNumberFormat="1" applyFont="1" applyAlignment="1"/>
    <xf numFmtId="10" fontId="5" fillId="0" borderId="0" xfId="0" applyNumberFormat="1" applyFont="1" applyAlignment="1">
      <alignment vertical="center"/>
    </xf>
    <xf numFmtId="43" fontId="5" fillId="0" borderId="0" xfId="5" applyFont="1"/>
    <xf numFmtId="168" fontId="16" fillId="0" borderId="0" xfId="1" applyNumberFormat="1" applyFont="1" applyAlignment="1">
      <alignment vertical="center"/>
    </xf>
    <xf numFmtId="3" fontId="7" fillId="0" borderId="0" xfId="0" applyNumberFormat="1" applyFont="1"/>
    <xf numFmtId="166" fontId="5" fillId="0" borderId="0" xfId="0" applyNumberFormat="1" applyFont="1" applyAlignment="1">
      <alignment horizontal="center"/>
    </xf>
    <xf numFmtId="168" fontId="5" fillId="0" borderId="0" xfId="0" applyNumberFormat="1" applyFont="1"/>
    <xf numFmtId="3" fontId="4" fillId="0" borderId="0" xfId="0" applyNumberFormat="1" applyFont="1"/>
    <xf numFmtId="164" fontId="5" fillId="0" borderId="0" xfId="0" applyNumberFormat="1" applyFont="1"/>
    <xf numFmtId="167" fontId="4" fillId="0" borderId="0" xfId="0" applyNumberFormat="1" applyFont="1"/>
    <xf numFmtId="3" fontId="11" fillId="0" borderId="0" xfId="0" applyNumberFormat="1" applyFont="1"/>
    <xf numFmtId="0" fontId="5" fillId="0" borderId="3" xfId="0" applyFont="1" applyBorder="1"/>
    <xf numFmtId="3" fontId="5" fillId="0" borderId="4" xfId="0" applyNumberFormat="1" applyFont="1" applyBorder="1"/>
    <xf numFmtId="3" fontId="5" fillId="0" borderId="5" xfId="0" applyNumberFormat="1" applyFont="1" applyBorder="1"/>
    <xf numFmtId="0" fontId="5" fillId="0" borderId="2" xfId="0" applyFont="1" applyBorder="1"/>
    <xf numFmtId="3" fontId="7" fillId="0" borderId="0" xfId="0" applyNumberFormat="1" applyFont="1" applyAlignment="1">
      <alignment horizontal="centerContinuous"/>
    </xf>
    <xf numFmtId="3" fontId="5" fillId="0" borderId="6" xfId="0" applyNumberFormat="1" applyFont="1" applyBorder="1"/>
    <xf numFmtId="3" fontId="7" fillId="0" borderId="0" xfId="0" applyNumberFormat="1" applyFont="1" applyAlignment="1">
      <alignment horizontal="center"/>
    </xf>
    <xf numFmtId="3" fontId="4" fillId="0" borderId="0" xfId="0" applyNumberFormat="1" applyFont="1" applyAlignment="1">
      <alignment horizontal="center"/>
    </xf>
    <xf numFmtId="0" fontId="5" fillId="0" borderId="7" xfId="0" applyFont="1" applyBorder="1"/>
    <xf numFmtId="3" fontId="5" fillId="0" borderId="1" xfId="0" applyNumberFormat="1" applyFont="1" applyBorder="1"/>
    <xf numFmtId="4" fontId="5" fillId="0" borderId="1" xfId="0" applyNumberFormat="1" applyFont="1" applyBorder="1"/>
    <xf numFmtId="3" fontId="5" fillId="0" borderId="8" xfId="0" applyNumberFormat="1" applyFont="1" applyBorder="1"/>
    <xf numFmtId="4" fontId="5" fillId="0" borderId="0" xfId="0" applyNumberFormat="1" applyFont="1"/>
    <xf numFmtId="170" fontId="5" fillId="0" borderId="0" xfId="1" applyNumberFormat="1" applyFont="1" applyBorder="1"/>
    <xf numFmtId="170" fontId="5" fillId="0" borderId="0" xfId="1" applyNumberFormat="1" applyFont="1" applyBorder="1" applyAlignment="1">
      <alignment horizontal="center"/>
    </xf>
    <xf numFmtId="170" fontId="5" fillId="0" borderId="0" xfId="1" applyNumberFormat="1" applyFont="1" applyAlignment="1"/>
    <xf numFmtId="170" fontId="5" fillId="0" borderId="4" xfId="1" applyNumberFormat="1" applyFont="1" applyBorder="1"/>
    <xf numFmtId="170" fontId="5" fillId="0" borderId="0" xfId="1" applyNumberFormat="1" applyFont="1" applyBorder="1" applyAlignment="1"/>
    <xf numFmtId="170" fontId="7" fillId="0" borderId="0" xfId="1" applyNumberFormat="1" applyFont="1" applyBorder="1" applyAlignment="1">
      <alignment horizontal="centerContinuous"/>
    </xf>
    <xf numFmtId="170" fontId="7" fillId="0" borderId="0" xfId="1" applyNumberFormat="1" applyFont="1" applyBorder="1" applyAlignment="1">
      <alignment horizontal="center"/>
    </xf>
    <xf numFmtId="170" fontId="5" fillId="0" borderId="1" xfId="1" applyNumberFormat="1" applyFont="1" applyBorder="1" applyAlignment="1"/>
    <xf numFmtId="170" fontId="4" fillId="0" borderId="0" xfId="1" applyNumberFormat="1" applyFont="1" applyBorder="1" applyAlignment="1"/>
    <xf numFmtId="3" fontId="17" fillId="0" borderId="0" xfId="0" applyNumberFormat="1" applyFont="1" applyAlignment="1">
      <alignment horizontal="left" vertical="center"/>
    </xf>
    <xf numFmtId="3" fontId="13" fillId="0" borderId="0" xfId="0" applyNumberFormat="1" applyFont="1" applyAlignment="1">
      <alignment horizontal="left" vertical="center"/>
    </xf>
    <xf numFmtId="168" fontId="9" fillId="0" borderId="0" xfId="1" applyNumberFormat="1" applyFont="1"/>
    <xf numFmtId="10" fontId="5" fillId="0" borderId="0" xfId="3" applyNumberFormat="1" applyFont="1" applyAlignment="1">
      <alignment vertical="center"/>
    </xf>
    <xf numFmtId="168" fontId="5" fillId="0" borderId="0" xfId="1" applyNumberFormat="1" applyFont="1" applyAlignment="1">
      <alignment horizontal="right"/>
    </xf>
    <xf numFmtId="43" fontId="5" fillId="0" borderId="0" xfId="0" applyNumberFormat="1" applyFont="1"/>
    <xf numFmtId="165" fontId="5" fillId="0" borderId="0" xfId="2" applyNumberFormat="1" applyFont="1"/>
    <xf numFmtId="0" fontId="10" fillId="0" borderId="0" xfId="0" applyFont="1" applyAlignment="1">
      <alignment horizontal="centerContinuous"/>
    </xf>
    <xf numFmtId="165" fontId="5" fillId="0" borderId="0" xfId="0" applyNumberFormat="1" applyFont="1"/>
    <xf numFmtId="168" fontId="5" fillId="0" borderId="0" xfId="5" applyNumberFormat="1" applyFont="1" applyFill="1"/>
    <xf numFmtId="168" fontId="5" fillId="0" borderId="1" xfId="5" applyNumberFormat="1" applyFont="1" applyFill="1" applyBorder="1"/>
    <xf numFmtId="168" fontId="5" fillId="0" borderId="0" xfId="5" applyNumberFormat="1" applyFont="1" applyBorder="1"/>
    <xf numFmtId="0" fontId="7" fillId="0" borderId="0" xfId="0" applyFont="1" applyAlignment="1">
      <alignment horizontal="right"/>
    </xf>
    <xf numFmtId="0" fontId="5" fillId="0" borderId="0" xfId="0" quotePrefix="1" applyFont="1" applyAlignment="1">
      <alignment horizontal="center"/>
    </xf>
    <xf numFmtId="168" fontId="5" fillId="0" borderId="1" xfId="1" applyNumberFormat="1" applyFont="1" applyBorder="1"/>
    <xf numFmtId="168" fontId="5" fillId="0" borderId="3" xfId="5" applyNumberFormat="1" applyFont="1" applyBorder="1"/>
    <xf numFmtId="168" fontId="5" fillId="0" borderId="4" xfId="5" applyNumberFormat="1" applyFont="1" applyBorder="1"/>
    <xf numFmtId="168" fontId="5" fillId="0" borderId="5" xfId="5" applyNumberFormat="1" applyFont="1" applyBorder="1"/>
    <xf numFmtId="168" fontId="5" fillId="0" borderId="2" xfId="5" applyNumberFormat="1" applyFont="1" applyBorder="1"/>
    <xf numFmtId="168" fontId="5" fillId="0" borderId="6" xfId="5" applyNumberFormat="1" applyFont="1" applyBorder="1"/>
    <xf numFmtId="168" fontId="4" fillId="0" borderId="0" xfId="5" applyNumberFormat="1" applyFont="1" applyBorder="1"/>
    <xf numFmtId="168" fontId="5" fillId="0" borderId="7" xfId="5" applyNumberFormat="1" applyFont="1" applyBorder="1"/>
    <xf numFmtId="168" fontId="5" fillId="0" borderId="8" xfId="5" applyNumberFormat="1" applyFont="1" applyBorder="1"/>
    <xf numFmtId="168" fontId="9" fillId="0" borderId="0" xfId="5" applyNumberFormat="1" applyFont="1" applyBorder="1" applyAlignment="1">
      <alignment horizontal="center"/>
    </xf>
    <xf numFmtId="43" fontId="5" fillId="0" borderId="0" xfId="5" applyFont="1" applyBorder="1"/>
    <xf numFmtId="43" fontId="5" fillId="0" borderId="7" xfId="5" applyFont="1" applyBorder="1"/>
    <xf numFmtId="168" fontId="4" fillId="0" borderId="0" xfId="5" applyNumberFormat="1" applyFont="1" applyBorder="1" applyAlignment="1">
      <alignment horizontal="right"/>
    </xf>
    <xf numFmtId="0" fontId="12" fillId="0" borderId="2" xfId="0" applyFont="1" applyBorder="1"/>
    <xf numFmtId="0" fontId="12" fillId="0" borderId="3" xfId="0" applyFont="1" applyBorder="1"/>
    <xf numFmtId="0" fontId="12" fillId="0" borderId="4" xfId="0" applyFont="1" applyBorder="1"/>
    <xf numFmtId="0" fontId="12" fillId="0" borderId="6" xfId="0" applyFont="1" applyBorder="1"/>
    <xf numFmtId="0" fontId="12" fillId="0" borderId="7" xfId="0" applyFont="1" applyBorder="1"/>
    <xf numFmtId="0" fontId="12" fillId="0" borderId="1" xfId="0" applyFont="1" applyBorder="1"/>
    <xf numFmtId="0" fontId="12" fillId="0" borderId="8" xfId="0" applyFont="1" applyBorder="1"/>
    <xf numFmtId="0" fontId="5" fillId="0" borderId="4" xfId="0" applyFont="1" applyBorder="1"/>
    <xf numFmtId="0" fontId="5" fillId="0" borderId="5" xfId="0" applyFont="1" applyBorder="1"/>
    <xf numFmtId="0" fontId="5" fillId="0" borderId="6" xfId="0" applyFont="1" applyBorder="1"/>
    <xf numFmtId="168" fontId="5" fillId="0" borderId="0" xfId="1" applyNumberFormat="1" applyFont="1" applyBorder="1" applyAlignment="1"/>
    <xf numFmtId="44" fontId="5" fillId="0" borderId="0" xfId="2" applyFont="1" applyBorder="1" applyAlignment="1"/>
    <xf numFmtId="43" fontId="5" fillId="0" borderId="0" xfId="1" applyFont="1" applyBorder="1" applyAlignment="1"/>
    <xf numFmtId="0" fontId="5" fillId="0" borderId="8" xfId="0" applyFont="1" applyBorder="1"/>
    <xf numFmtId="0" fontId="15" fillId="0" borderId="0" xfId="0" applyFont="1" applyAlignment="1">
      <alignment horizontal="center"/>
    </xf>
    <xf numFmtId="44" fontId="5" fillId="0" borderId="0" xfId="0" applyNumberFormat="1" applyFont="1"/>
    <xf numFmtId="169" fontId="5" fillId="0" borderId="0" xfId="3" applyNumberFormat="1" applyFont="1" applyAlignment="1"/>
    <xf numFmtId="168" fontId="10" fillId="0" borderId="2" xfId="5" applyNumberFormat="1" applyFont="1" applyBorder="1" applyAlignment="1">
      <alignment horizontal="centerContinuous"/>
    </xf>
    <xf numFmtId="168" fontId="4" fillId="0" borderId="0" xfId="5" applyNumberFormat="1" applyFont="1" applyAlignment="1">
      <alignment horizontal="centerContinuous"/>
    </xf>
    <xf numFmtId="168" fontId="17" fillId="0" borderId="2" xfId="5" applyNumberFormat="1" applyFont="1" applyBorder="1" applyAlignment="1">
      <alignment horizontal="centerContinuous"/>
    </xf>
    <xf numFmtId="168" fontId="7" fillId="0" borderId="0" xfId="5" applyNumberFormat="1" applyFont="1" applyAlignment="1">
      <alignment horizontal="centerContinuous"/>
    </xf>
    <xf numFmtId="168" fontId="5" fillId="0" borderId="0" xfId="5" applyNumberFormat="1" applyFont="1" applyAlignment="1">
      <alignment horizontal="centerContinuous"/>
    </xf>
    <xf numFmtId="168" fontId="5" fillId="0" borderId="2" xfId="5" applyNumberFormat="1" applyFont="1" applyBorder="1" applyAlignment="1">
      <alignment horizontal="centerContinuous"/>
    </xf>
    <xf numFmtId="168" fontId="5" fillId="0" borderId="3" xfId="5" applyNumberFormat="1" applyFont="1" applyBorder="1" applyAlignment="1">
      <alignment horizontal="left"/>
    </xf>
    <xf numFmtId="168" fontId="8" fillId="0" borderId="2" xfId="5" applyNumberFormat="1" applyFont="1" applyBorder="1" applyAlignment="1">
      <alignment horizontal="center" vertical="center"/>
    </xf>
    <xf numFmtId="165" fontId="5" fillId="0" borderId="2" xfId="4" quotePrefix="1" applyNumberFormat="1" applyFont="1" applyBorder="1" applyAlignment="1">
      <alignment horizontal="center"/>
    </xf>
    <xf numFmtId="168" fontId="5" fillId="0" borderId="2" xfId="5" applyNumberFormat="1" applyFont="1" applyBorder="1" applyAlignment="1">
      <alignment horizontal="center"/>
    </xf>
    <xf numFmtId="168" fontId="5" fillId="0" borderId="0" xfId="5" applyNumberFormat="1" applyFont="1" applyAlignment="1">
      <alignment horizontal="center"/>
    </xf>
    <xf numFmtId="168" fontId="4" fillId="0" borderId="2" xfId="5" applyNumberFormat="1" applyFont="1" applyBorder="1" applyAlignment="1">
      <alignment horizontal="right"/>
    </xf>
    <xf numFmtId="168" fontId="4" fillId="0" borderId="0" xfId="5" applyNumberFormat="1" applyFont="1" applyAlignment="1">
      <alignment horizontal="right"/>
    </xf>
    <xf numFmtId="168" fontId="4" fillId="0" borderId="0" xfId="5" applyNumberFormat="1" applyFont="1"/>
    <xf numFmtId="165" fontId="4" fillId="0" borderId="0" xfId="4" applyNumberFormat="1" applyFont="1"/>
    <xf numFmtId="168" fontId="5" fillId="0" borderId="7" xfId="5" applyNumberFormat="1" applyFont="1" applyBorder="1" applyAlignment="1">
      <alignment horizontal="center"/>
    </xf>
    <xf numFmtId="168" fontId="5" fillId="0" borderId="1" xfId="5" applyNumberFormat="1" applyFont="1" applyBorder="1" applyAlignment="1">
      <alignment horizontal="center"/>
    </xf>
    <xf numFmtId="168" fontId="9" fillId="0" borderId="0" xfId="1" applyNumberFormat="1" applyFont="1" applyAlignment="1">
      <alignment horizontal="right"/>
    </xf>
    <xf numFmtId="0" fontId="14" fillId="0" borderId="0" xfId="0" applyFont="1"/>
    <xf numFmtId="3" fontId="10" fillId="0" borderId="0" xfId="0" applyNumberFormat="1" applyFont="1" applyAlignment="1">
      <alignment horizontal="center" vertical="center"/>
    </xf>
    <xf numFmtId="168" fontId="9" fillId="0" borderId="0" xfId="0" applyNumberFormat="1" applyFont="1"/>
    <xf numFmtId="168" fontId="9" fillId="0" borderId="0" xfId="1" applyNumberFormat="1" applyFont="1" applyFill="1"/>
    <xf numFmtId="0" fontId="5" fillId="0" borderId="1" xfId="0" applyFont="1" applyBorder="1" applyAlignment="1">
      <alignment horizontal="left"/>
    </xf>
    <xf numFmtId="3" fontId="19" fillId="0" borderId="0" xfId="0" applyNumberFormat="1" applyFont="1"/>
    <xf numFmtId="168" fontId="5" fillId="0" borderId="4" xfId="5" applyNumberFormat="1" applyFont="1" applyBorder="1" applyAlignment="1">
      <alignment horizontal="left"/>
    </xf>
    <xf numFmtId="168" fontId="5" fillId="0" borderId="5" xfId="5" applyNumberFormat="1" applyFont="1" applyBorder="1" applyAlignment="1">
      <alignment horizontal="left"/>
    </xf>
    <xf numFmtId="168" fontId="7" fillId="0" borderId="2" xfId="5" applyNumberFormat="1" applyFont="1" applyBorder="1" applyAlignment="1">
      <alignment horizontal="centerContinuous"/>
    </xf>
    <xf numFmtId="168" fontId="8" fillId="0" borderId="0" xfId="5" applyNumberFormat="1" applyFont="1" applyBorder="1" applyAlignment="1">
      <alignment horizontal="center" vertical="center"/>
    </xf>
    <xf numFmtId="43" fontId="5" fillId="0" borderId="0" xfId="1" applyFont="1"/>
    <xf numFmtId="43" fontId="9" fillId="0" borderId="0" xfId="1" applyFont="1"/>
    <xf numFmtId="3" fontId="4" fillId="0" borderId="0" xfId="0" applyNumberFormat="1" applyFont="1" applyAlignment="1">
      <alignment horizontal="left" vertical="center"/>
    </xf>
    <xf numFmtId="3" fontId="18" fillId="0" borderId="0" xfId="0" applyNumberFormat="1" applyFont="1" applyAlignment="1">
      <alignment horizontal="center" vertical="center"/>
    </xf>
    <xf numFmtId="168" fontId="5" fillId="0" borderId="0" xfId="5" quotePrefix="1" applyNumberFormat="1" applyFont="1"/>
    <xf numFmtId="43" fontId="5" fillId="0" borderId="0" xfId="1" applyFont="1" applyAlignment="1"/>
    <xf numFmtId="168" fontId="9" fillId="0" borderId="0" xfId="1" applyNumberFormat="1" applyFont="1" applyAlignment="1">
      <alignment vertical="center"/>
    </xf>
    <xf numFmtId="0" fontId="15" fillId="0" borderId="0" xfId="0" applyFont="1"/>
    <xf numFmtId="168" fontId="5" fillId="0" borderId="0" xfId="1" quotePrefix="1" applyNumberFormat="1" applyFont="1" applyAlignment="1">
      <alignment vertical="center"/>
    </xf>
    <xf numFmtId="165" fontId="5" fillId="0" borderId="0" xfId="2" applyNumberFormat="1" applyFont="1" applyAlignment="1">
      <alignment vertical="center"/>
    </xf>
    <xf numFmtId="166" fontId="5" fillId="0" borderId="0" xfId="0" quotePrefix="1" applyNumberFormat="1" applyFont="1" applyAlignment="1">
      <alignment horizontal="center"/>
    </xf>
    <xf numFmtId="168" fontId="7" fillId="0" borderId="0" xfId="1" applyNumberFormat="1" applyFont="1" applyBorder="1" applyAlignment="1">
      <alignment horizontal="center"/>
    </xf>
    <xf numFmtId="167" fontId="5" fillId="0" borderId="0" xfId="0" applyNumberFormat="1" applyFont="1"/>
    <xf numFmtId="0" fontId="20" fillId="0" borderId="0" xfId="0" applyFont="1" applyAlignment="1">
      <alignment horizontal="center"/>
    </xf>
    <xf numFmtId="0" fontId="21" fillId="0" borderId="0" xfId="0" applyFont="1"/>
    <xf numFmtId="10" fontId="5" fillId="0" borderId="1" xfId="0" applyNumberFormat="1" applyFont="1" applyBorder="1"/>
    <xf numFmtId="0" fontId="4" fillId="0" borderId="0" xfId="0" applyFont="1"/>
    <xf numFmtId="168" fontId="4" fillId="0" borderId="0" xfId="1" applyNumberFormat="1" applyFont="1"/>
    <xf numFmtId="3" fontId="6" fillId="0" borderId="0" xfId="0" applyNumberFormat="1" applyFont="1" applyAlignment="1">
      <alignment horizontal="center" vertical="center"/>
    </xf>
    <xf numFmtId="0" fontId="6" fillId="0" borderId="0" xfId="0" applyFont="1" applyAlignment="1">
      <alignment horizontal="center"/>
    </xf>
    <xf numFmtId="3" fontId="6" fillId="0" borderId="0" xfId="0" applyNumberFormat="1" applyFont="1"/>
    <xf numFmtId="44" fontId="12" fillId="0" borderId="0" xfId="0" applyNumberFormat="1" applyFont="1"/>
    <xf numFmtId="168" fontId="5" fillId="0" borderId="9" xfId="5" applyNumberFormat="1" applyFont="1" applyBorder="1"/>
    <xf numFmtId="168" fontId="9" fillId="0" borderId="10" xfId="5" applyNumberFormat="1" applyFont="1" applyBorder="1" applyAlignment="1">
      <alignment horizontal="center"/>
    </xf>
    <xf numFmtId="44" fontId="5" fillId="0" borderId="10" xfId="2" applyFont="1" applyBorder="1"/>
    <xf numFmtId="43" fontId="5" fillId="0" borderId="10" xfId="5" applyFont="1" applyBorder="1"/>
    <xf numFmtId="43" fontId="5" fillId="0" borderId="11" xfId="5" applyFont="1" applyBorder="1"/>
    <xf numFmtId="43" fontId="9" fillId="0" borderId="2" xfId="1" applyFont="1" applyBorder="1" applyAlignment="1">
      <alignment horizontal="center"/>
    </xf>
    <xf numFmtId="43" fontId="9" fillId="0" borderId="0" xfId="1" applyFont="1" applyBorder="1" applyAlignment="1">
      <alignment horizontal="center"/>
    </xf>
    <xf numFmtId="0" fontId="18" fillId="0" borderId="0" xfId="0" applyFont="1"/>
    <xf numFmtId="168" fontId="7" fillId="0" borderId="0" xfId="1" applyNumberFormat="1" applyFont="1" applyAlignment="1">
      <alignment horizontal="center" vertical="center"/>
    </xf>
    <xf numFmtId="168" fontId="15" fillId="0" borderId="0" xfId="1" applyNumberFormat="1" applyFont="1" applyAlignment="1">
      <alignment vertical="center"/>
    </xf>
    <xf numFmtId="168" fontId="4" fillId="0" borderId="0" xfId="1" applyNumberFormat="1" applyFont="1" applyAlignment="1">
      <alignment vertical="center"/>
    </xf>
    <xf numFmtId="3" fontId="13" fillId="0" borderId="2" xfId="0" applyNumberFormat="1" applyFont="1" applyBorder="1" applyAlignment="1">
      <alignment horizontal="centerContinuous" vertical="center"/>
    </xf>
    <xf numFmtId="168" fontId="12" fillId="0" borderId="2" xfId="5" applyNumberFormat="1" applyFont="1" applyBorder="1" applyAlignment="1">
      <alignment horizontal="centerContinuous"/>
    </xf>
    <xf numFmtId="168" fontId="5" fillId="0" borderId="9" xfId="5" applyNumberFormat="1" applyFont="1" applyBorder="1" applyAlignment="1">
      <alignment horizontal="left"/>
    </xf>
    <xf numFmtId="168" fontId="5" fillId="0" borderId="10" xfId="5" applyNumberFormat="1" applyFont="1" applyBorder="1"/>
    <xf numFmtId="168" fontId="7" fillId="0" borderId="6" xfId="5" applyNumberFormat="1" applyFont="1" applyBorder="1" applyAlignment="1">
      <alignment horizontal="centerContinuous"/>
    </xf>
    <xf numFmtId="168" fontId="8" fillId="0" borderId="0" xfId="5" applyNumberFormat="1" applyFont="1" applyAlignment="1">
      <alignment horizontal="center" vertical="center"/>
    </xf>
    <xf numFmtId="168" fontId="8" fillId="0" borderId="6" xfId="5" applyNumberFormat="1" applyFont="1" applyBorder="1" applyAlignment="1">
      <alignment horizontal="center" vertical="center"/>
    </xf>
    <xf numFmtId="168" fontId="5" fillId="0" borderId="10" xfId="5" applyNumberFormat="1" applyFont="1" applyBorder="1" applyAlignment="1">
      <alignment horizontal="left"/>
    </xf>
    <xf numFmtId="165" fontId="5" fillId="0" borderId="6" xfId="4" quotePrefix="1" applyNumberFormat="1" applyFont="1" applyBorder="1" applyAlignment="1">
      <alignment horizontal="center"/>
    </xf>
    <xf numFmtId="168" fontId="5" fillId="0" borderId="6" xfId="5" applyNumberFormat="1" applyFont="1" applyBorder="1" applyAlignment="1">
      <alignment horizontal="center"/>
    </xf>
    <xf numFmtId="168" fontId="4" fillId="0" borderId="2" xfId="5" applyNumberFormat="1" applyFont="1" applyBorder="1"/>
    <xf numFmtId="165" fontId="4" fillId="0" borderId="0" xfId="4" applyNumberFormat="1" applyFont="1" applyBorder="1"/>
    <xf numFmtId="168" fontId="8" fillId="0" borderId="10" xfId="5" applyNumberFormat="1" applyFont="1" applyBorder="1"/>
    <xf numFmtId="168" fontId="5" fillId="0" borderId="11" xfId="5" applyNumberFormat="1" applyFont="1" applyBorder="1" applyAlignment="1">
      <alignment horizontal="left"/>
    </xf>
    <xf numFmtId="168" fontId="5" fillId="0" borderId="9" xfId="5" applyNumberFormat="1" applyFont="1" applyBorder="1" applyAlignment="1">
      <alignment horizontal="center"/>
    </xf>
    <xf numFmtId="168" fontId="5" fillId="0" borderId="3" xfId="5" applyNumberFormat="1" applyFont="1" applyBorder="1" applyAlignment="1">
      <alignment horizontal="center"/>
    </xf>
    <xf numFmtId="168" fontId="5" fillId="0" borderId="5" xfId="5" applyNumberFormat="1" applyFont="1" applyBorder="1" applyAlignment="1">
      <alignment horizontal="center"/>
    </xf>
    <xf numFmtId="168" fontId="5" fillId="0" borderId="7" xfId="5" quotePrefix="1" applyNumberFormat="1" applyFont="1" applyBorder="1" applyAlignment="1">
      <alignment horizontal="left"/>
    </xf>
    <xf numFmtId="168" fontId="5" fillId="0" borderId="8" xfId="5" quotePrefix="1" applyNumberFormat="1" applyFont="1" applyBorder="1" applyAlignment="1">
      <alignment horizontal="left"/>
    </xf>
    <xf numFmtId="164" fontId="5" fillId="0" borderId="4" xfId="0" applyNumberFormat="1" applyFont="1" applyBorder="1"/>
    <xf numFmtId="170" fontId="5" fillId="0" borderId="4" xfId="1" applyNumberFormat="1" applyFont="1" applyBorder="1" applyAlignment="1"/>
    <xf numFmtId="167" fontId="4" fillId="0" borderId="4" xfId="0" applyNumberFormat="1" applyFont="1" applyBorder="1"/>
    <xf numFmtId="170" fontId="4" fillId="0" borderId="4" xfId="1" applyNumberFormat="1" applyFont="1" applyBorder="1" applyAlignment="1"/>
    <xf numFmtId="3" fontId="7" fillId="0" borderId="4" xfId="0" applyNumberFormat="1" applyFont="1" applyBorder="1" applyAlignment="1">
      <alignment horizontal="center"/>
    </xf>
    <xf numFmtId="170" fontId="7" fillId="0" borderId="4" xfId="1" applyNumberFormat="1" applyFont="1" applyBorder="1" applyAlignment="1">
      <alignment horizontal="center"/>
    </xf>
    <xf numFmtId="0" fontId="2" fillId="0" borderId="0" xfId="7"/>
    <xf numFmtId="0" fontId="14" fillId="0" borderId="0" xfId="7" applyFont="1"/>
    <xf numFmtId="165" fontId="4" fillId="0" borderId="0" xfId="0" applyNumberFormat="1" applyFont="1" applyAlignment="1">
      <alignment horizontal="right"/>
    </xf>
    <xf numFmtId="168" fontId="5" fillId="0" borderId="0" xfId="1" applyNumberFormat="1" applyFont="1" applyFill="1" applyBorder="1"/>
    <xf numFmtId="165" fontId="21" fillId="0" borderId="0" xfId="2" applyNumberFormat="1" applyFont="1" applyBorder="1"/>
    <xf numFmtId="10" fontId="5" fillId="0" borderId="0" xfId="0" applyNumberFormat="1" applyFont="1"/>
    <xf numFmtId="168" fontId="9" fillId="0" borderId="0" xfId="1" quotePrefix="1" applyNumberFormat="1" applyFont="1" applyAlignment="1">
      <alignment horizontal="center"/>
    </xf>
    <xf numFmtId="168" fontId="23" fillId="0" borderId="0" xfId="1" applyNumberFormat="1" applyFont="1" applyAlignment="1">
      <alignment horizontal="right"/>
    </xf>
    <xf numFmtId="169" fontId="5" fillId="0" borderId="0" xfId="3" applyNumberFormat="1" applyFont="1"/>
    <xf numFmtId="168" fontId="5" fillId="0" borderId="0" xfId="1" quotePrefix="1" applyNumberFormat="1" applyFont="1" applyAlignment="1">
      <alignment horizontal="right"/>
    </xf>
    <xf numFmtId="169" fontId="5" fillId="0" borderId="0" xfId="0" applyNumberFormat="1" applyFont="1"/>
    <xf numFmtId="37" fontId="12" fillId="0" borderId="0" xfId="0" applyNumberFormat="1" applyFont="1"/>
    <xf numFmtId="0" fontId="10" fillId="0" borderId="0" xfId="0" applyFont="1" applyAlignment="1">
      <alignment horizontal="center"/>
    </xf>
    <xf numFmtId="3" fontId="10" fillId="0" borderId="6" xfId="0" applyNumberFormat="1" applyFont="1" applyBorder="1" applyAlignment="1">
      <alignment horizontal="center" vertical="center"/>
    </xf>
    <xf numFmtId="168" fontId="4" fillId="0" borderId="0" xfId="1" applyNumberFormat="1" applyFont="1" applyAlignment="1">
      <alignment horizontal="center" vertical="center"/>
    </xf>
    <xf numFmtId="43" fontId="12" fillId="0" borderId="0" xfId="1" applyFont="1" applyAlignment="1"/>
    <xf numFmtId="168" fontId="5" fillId="0" borderId="0" xfId="5" applyNumberFormat="1" applyFont="1" applyBorder="1" applyAlignment="1"/>
    <xf numFmtId="44" fontId="5" fillId="0" borderId="0" xfId="4" applyFont="1" applyBorder="1" applyAlignment="1"/>
    <xf numFmtId="10" fontId="12" fillId="0" borderId="0" xfId="6" applyNumberFormat="1" applyFont="1" applyAlignment="1"/>
    <xf numFmtId="43" fontId="5" fillId="0" borderId="0" xfId="5" applyFont="1" applyBorder="1" applyAlignment="1"/>
    <xf numFmtId="168" fontId="5" fillId="0" borderId="1" xfId="5" applyNumberFormat="1" applyFont="1" applyBorder="1" applyAlignment="1"/>
    <xf numFmtId="168" fontId="12" fillId="0" borderId="0" xfId="5" applyNumberFormat="1" applyFont="1" applyAlignment="1"/>
    <xf numFmtId="168" fontId="6" fillId="0" borderId="0" xfId="1" applyNumberFormat="1" applyFont="1" applyAlignment="1">
      <alignment horizontal="center"/>
    </xf>
    <xf numFmtId="168" fontId="24" fillId="0" borderId="0" xfId="1" applyNumberFormat="1" applyFont="1" applyAlignment="1">
      <alignment horizontal="center"/>
    </xf>
    <xf numFmtId="168" fontId="4" fillId="0" borderId="0" xfId="1" applyNumberFormat="1" applyFont="1" applyAlignment="1">
      <alignment horizontal="center"/>
    </xf>
    <xf numFmtId="168" fontId="22" fillId="0" borderId="0" xfId="1" applyNumberFormat="1" applyFont="1"/>
    <xf numFmtId="168" fontId="5" fillId="0" borderId="0" xfId="1" applyNumberFormat="1" applyFont="1" applyFill="1"/>
    <xf numFmtId="3" fontId="15" fillId="0" borderId="0" xfId="0" applyNumberFormat="1" applyFont="1" applyAlignment="1">
      <alignment horizontal="right" vertical="center"/>
    </xf>
    <xf numFmtId="3" fontId="15" fillId="0" borderId="0" xfId="0" applyNumberFormat="1" applyFont="1"/>
    <xf numFmtId="3" fontId="25" fillId="0" borderId="0" xfId="0" applyNumberFormat="1" applyFont="1"/>
    <xf numFmtId="168" fontId="5" fillId="0" borderId="3" xfId="1" applyNumberFormat="1" applyFont="1" applyBorder="1"/>
    <xf numFmtId="168" fontId="26" fillId="0" borderId="0" xfId="1" applyNumberFormat="1" applyFont="1" applyAlignment="1">
      <alignment vertical="center"/>
    </xf>
    <xf numFmtId="0" fontId="2" fillId="2" borderId="0" xfId="0" applyFont="1" applyFill="1"/>
    <xf numFmtId="0" fontId="0" fillId="2" borderId="0" xfId="0" applyFill="1"/>
    <xf numFmtId="0" fontId="0" fillId="0" borderId="0" xfId="0" applyAlignment="1">
      <alignment horizontal="center"/>
    </xf>
    <xf numFmtId="172" fontId="0" fillId="0" borderId="0" xfId="0" applyNumberFormat="1" applyAlignment="1">
      <alignment horizontal="center"/>
    </xf>
    <xf numFmtId="44" fontId="5" fillId="0" borderId="0" xfId="4" quotePrefix="1" applyFont="1" applyBorder="1" applyAlignment="1">
      <alignment horizontal="center"/>
    </xf>
    <xf numFmtId="44" fontId="5" fillId="0" borderId="0" xfId="5" quotePrefix="1" applyNumberFormat="1" applyFont="1" applyBorder="1" applyAlignment="1">
      <alignment horizontal="center"/>
    </xf>
    <xf numFmtId="44" fontId="5" fillId="0" borderId="1" xfId="4" quotePrefix="1" applyFont="1" applyBorder="1" applyAlignment="1">
      <alignment horizontal="left"/>
    </xf>
    <xf numFmtId="44" fontId="4" fillId="0" borderId="0" xfId="4" applyFont="1"/>
    <xf numFmtId="44" fontId="5" fillId="0" borderId="1" xfId="5" applyNumberFormat="1" applyFont="1" applyBorder="1" applyAlignment="1">
      <alignment horizontal="center"/>
    </xf>
    <xf numFmtId="44" fontId="5" fillId="0" borderId="3" xfId="5" applyNumberFormat="1" applyFont="1" applyBorder="1" applyAlignment="1">
      <alignment horizontal="center"/>
    </xf>
    <xf numFmtId="44" fontId="5" fillId="0" borderId="2" xfId="5" applyNumberFormat="1" applyFont="1" applyBorder="1"/>
    <xf numFmtId="44" fontId="5" fillId="0" borderId="4" xfId="5" applyNumberFormat="1" applyFont="1" applyBorder="1"/>
    <xf numFmtId="44" fontId="4" fillId="0" borderId="0" xfId="4" applyFont="1" applyBorder="1"/>
    <xf numFmtId="44" fontId="5" fillId="0" borderId="1" xfId="5" applyNumberFormat="1" applyFont="1" applyBorder="1"/>
    <xf numFmtId="44" fontId="5" fillId="0" borderId="0" xfId="2" applyFont="1"/>
    <xf numFmtId="168" fontId="5" fillId="0" borderId="0" xfId="5" applyNumberFormat="1" applyFont="1" applyFill="1" applyBorder="1" applyAlignment="1">
      <alignment horizontal="left"/>
    </xf>
    <xf numFmtId="168" fontId="9" fillId="0" borderId="0" xfId="5" applyNumberFormat="1" applyFont="1" applyAlignment="1">
      <alignment horizontal="center"/>
    </xf>
    <xf numFmtId="173" fontId="5" fillId="0" borderId="0" xfId="1" applyNumberFormat="1" applyFont="1"/>
    <xf numFmtId="174" fontId="5" fillId="0" borderId="0" xfId="1" applyNumberFormat="1" applyFont="1" applyBorder="1" applyAlignment="1"/>
    <xf numFmtId="0" fontId="5" fillId="0" borderId="0" xfId="0" applyFont="1" applyAlignment="1">
      <alignment horizontal="left"/>
    </xf>
    <xf numFmtId="174" fontId="5" fillId="0" borderId="0" xfId="5" applyNumberFormat="1" applyFont="1" applyBorder="1" applyAlignment="1"/>
    <xf numFmtId="175" fontId="12" fillId="0" borderId="0" xfId="0" applyNumberFormat="1" applyFont="1"/>
    <xf numFmtId="176" fontId="12" fillId="0" borderId="0" xfId="1" applyNumberFormat="1" applyFont="1" applyAlignment="1"/>
    <xf numFmtId="177" fontId="0" fillId="0" borderId="0" xfId="0" applyNumberFormat="1" applyAlignment="1">
      <alignment horizontal="center"/>
    </xf>
    <xf numFmtId="0" fontId="27" fillId="0" borderId="0" xfId="0" applyFont="1" applyAlignment="1">
      <alignment horizontal="center"/>
    </xf>
    <xf numFmtId="0" fontId="2" fillId="0" borderId="0" xfId="0" applyFont="1"/>
    <xf numFmtId="174" fontId="5" fillId="0" borderId="0" xfId="5" applyNumberFormat="1" applyFont="1"/>
    <xf numFmtId="174" fontId="5" fillId="0" borderId="1" xfId="5" applyNumberFormat="1" applyFont="1" applyBorder="1"/>
    <xf numFmtId="0" fontId="0" fillId="3" borderId="0" xfId="0" applyFill="1"/>
    <xf numFmtId="0" fontId="2" fillId="3" borderId="0" xfId="0" applyFont="1" applyFill="1"/>
    <xf numFmtId="44" fontId="0" fillId="3" borderId="0" xfId="2" applyFont="1" applyFill="1"/>
    <xf numFmtId="0" fontId="2" fillId="0" borderId="0" xfId="0" applyFont="1" applyAlignment="1">
      <alignment horizontal="center"/>
    </xf>
    <xf numFmtId="3" fontId="4" fillId="0" borderId="0" xfId="0" applyNumberFormat="1" applyFont="1" applyAlignment="1">
      <alignment horizontal="left"/>
    </xf>
    <xf numFmtId="168" fontId="9" fillId="0" borderId="0" xfId="1" applyNumberFormat="1" applyFont="1" applyBorder="1"/>
    <xf numFmtId="0" fontId="5" fillId="4" borderId="0" xfId="0" applyFont="1" applyFill="1"/>
    <xf numFmtId="0" fontId="15" fillId="4" borderId="0" xfId="0" applyFont="1" applyFill="1" applyAlignment="1">
      <alignment horizontal="center"/>
    </xf>
    <xf numFmtId="3" fontId="7" fillId="4" borderId="0" xfId="0" applyNumberFormat="1" applyFont="1" applyFill="1" applyAlignment="1">
      <alignment horizontal="left" vertical="center"/>
    </xf>
    <xf numFmtId="3" fontId="4" fillId="4" borderId="0" xfId="0" applyNumberFormat="1" applyFont="1" applyFill="1" applyAlignment="1">
      <alignment horizontal="left" vertical="center"/>
    </xf>
    <xf numFmtId="3" fontId="19" fillId="4" borderId="0" xfId="0" applyNumberFormat="1" applyFont="1" applyFill="1"/>
    <xf numFmtId="3" fontId="5" fillId="4" borderId="0" xfId="0" applyNumberFormat="1" applyFont="1" applyFill="1"/>
    <xf numFmtId="170" fontId="5" fillId="4" borderId="0" xfId="1" applyNumberFormat="1" applyFont="1" applyFill="1"/>
    <xf numFmtId="170" fontId="5" fillId="4" borderId="1" xfId="1" applyNumberFormat="1" applyFont="1" applyFill="1" applyBorder="1"/>
    <xf numFmtId="3" fontId="5" fillId="4" borderId="0" xfId="0" applyNumberFormat="1" applyFont="1" applyFill="1" applyAlignment="1">
      <alignment horizontal="right"/>
    </xf>
    <xf numFmtId="168" fontId="5" fillId="4" borderId="0" xfId="5" applyNumberFormat="1" applyFont="1" applyFill="1" applyAlignment="1">
      <alignment vertical="center"/>
    </xf>
    <xf numFmtId="178" fontId="5" fillId="4" borderId="0" xfId="6" applyNumberFormat="1" applyFont="1" applyFill="1"/>
    <xf numFmtId="171" fontId="15" fillId="4" borderId="0" xfId="6" applyNumberFormat="1" applyFont="1" applyFill="1"/>
    <xf numFmtId="178" fontId="4" fillId="4" borderId="0" xfId="6" applyNumberFormat="1" applyFont="1" applyFill="1"/>
    <xf numFmtId="3" fontId="4" fillId="4" borderId="0" xfId="0" applyNumberFormat="1" applyFont="1" applyFill="1"/>
    <xf numFmtId="43" fontId="5" fillId="4" borderId="0" xfId="5" applyFont="1" applyFill="1"/>
    <xf numFmtId="168" fontId="5" fillId="4" borderId="0" xfId="5" applyNumberFormat="1" applyFont="1" applyFill="1"/>
    <xf numFmtId="3" fontId="5" fillId="4" borderId="4" xfId="0" applyNumberFormat="1" applyFont="1" applyFill="1" applyBorder="1"/>
    <xf numFmtId="43" fontId="5" fillId="4" borderId="4" xfId="5" applyFont="1" applyFill="1" applyBorder="1"/>
    <xf numFmtId="168" fontId="5" fillId="4" borderId="5" xfId="5" applyNumberFormat="1" applyFont="1" applyFill="1" applyBorder="1"/>
    <xf numFmtId="43" fontId="9" fillId="4" borderId="6" xfId="5" applyFont="1" applyFill="1" applyBorder="1" applyAlignment="1">
      <alignment horizontal="center"/>
    </xf>
    <xf numFmtId="170" fontId="5" fillId="4" borderId="0" xfId="1" applyNumberFormat="1" applyFont="1" applyFill="1" applyBorder="1"/>
    <xf numFmtId="43" fontId="5" fillId="4" borderId="6" xfId="1" applyFont="1" applyFill="1" applyBorder="1"/>
    <xf numFmtId="43" fontId="5" fillId="4" borderId="6" xfId="1" applyFont="1" applyFill="1" applyBorder="1" applyAlignment="1">
      <alignment horizontal="right"/>
    </xf>
    <xf numFmtId="43" fontId="4" fillId="4" borderId="6" xfId="1" applyFont="1" applyFill="1" applyBorder="1" applyAlignment="1">
      <alignment horizontal="right"/>
    </xf>
    <xf numFmtId="168" fontId="5" fillId="4" borderId="0" xfId="5" applyNumberFormat="1" applyFont="1" applyFill="1" applyBorder="1" applyAlignment="1">
      <alignment vertical="center"/>
    </xf>
    <xf numFmtId="171" fontId="5" fillId="4" borderId="0" xfId="6" applyNumberFormat="1" applyFont="1" applyFill="1" applyBorder="1"/>
    <xf numFmtId="0" fontId="5" fillId="4" borderId="6" xfId="0" applyFont="1" applyFill="1" applyBorder="1"/>
    <xf numFmtId="171" fontId="15" fillId="4" borderId="0" xfId="6" applyNumberFormat="1" applyFont="1" applyFill="1" applyBorder="1"/>
    <xf numFmtId="171" fontId="4" fillId="4" borderId="0" xfId="6" applyNumberFormat="1" applyFont="1" applyFill="1" applyBorder="1"/>
    <xf numFmtId="0" fontId="5" fillId="4" borderId="1" xfId="0" applyFont="1" applyFill="1" applyBorder="1"/>
    <xf numFmtId="43" fontId="5" fillId="4" borderId="1" xfId="1" applyFont="1" applyFill="1" applyBorder="1"/>
    <xf numFmtId="0" fontId="5" fillId="4" borderId="8" xfId="0" applyFont="1" applyFill="1" applyBorder="1"/>
    <xf numFmtId="165" fontId="5" fillId="4" borderId="0" xfId="2" applyNumberFormat="1" applyFont="1" applyFill="1"/>
    <xf numFmtId="44" fontId="0" fillId="0" borderId="0" xfId="2" applyFont="1"/>
    <xf numFmtId="44" fontId="2" fillId="0" borderId="0" xfId="2" applyFont="1"/>
    <xf numFmtId="168" fontId="15" fillId="0" borderId="0" xfId="1" applyNumberFormat="1" applyFont="1"/>
    <xf numFmtId="44" fontId="15" fillId="0" borderId="0" xfId="2" applyFont="1"/>
    <xf numFmtId="10" fontId="5" fillId="0" borderId="0" xfId="3" applyNumberFormat="1" applyFont="1"/>
    <xf numFmtId="0" fontId="27" fillId="0" borderId="0" xfId="0" quotePrefix="1" applyFont="1"/>
    <xf numFmtId="172" fontId="2" fillId="0" borderId="0" xfId="0" applyNumberFormat="1" applyFont="1" applyAlignment="1">
      <alignment horizontal="center"/>
    </xf>
    <xf numFmtId="9" fontId="9" fillId="0" borderId="0" xfId="3" applyFont="1"/>
    <xf numFmtId="44" fontId="9" fillId="0" borderId="0" xfId="2" applyFont="1"/>
    <xf numFmtId="0" fontId="2" fillId="0" borderId="1" xfId="0" applyFont="1" applyBorder="1" applyAlignment="1">
      <alignment horizontal="center"/>
    </xf>
    <xf numFmtId="0" fontId="28" fillId="0" borderId="0" xfId="0" applyFont="1"/>
    <xf numFmtId="44" fontId="28" fillId="0" borderId="0" xfId="2" applyFont="1"/>
    <xf numFmtId="168" fontId="2" fillId="0" borderId="0" xfId="1" applyNumberFormat="1" applyFont="1"/>
    <xf numFmtId="168" fontId="2" fillId="0" borderId="1" xfId="1" applyNumberFormat="1" applyFont="1" applyBorder="1" applyAlignment="1">
      <alignment horizontal="center"/>
    </xf>
    <xf numFmtId="168" fontId="28" fillId="0" borderId="0" xfId="1" applyNumberFormat="1" applyFont="1"/>
    <xf numFmtId="168" fontId="2" fillId="0" borderId="0" xfId="1" applyNumberFormat="1" applyFont="1" applyAlignment="1">
      <alignment horizontal="right"/>
    </xf>
    <xf numFmtId="168" fontId="9" fillId="0" borderId="0" xfId="1" applyNumberFormat="1" applyFont="1" applyAlignment="1">
      <alignment horizontal="center"/>
    </xf>
    <xf numFmtId="168" fontId="1" fillId="0" borderId="0" xfId="1" applyNumberFormat="1" applyFont="1" applyAlignment="1">
      <alignment vertical="center"/>
    </xf>
    <xf numFmtId="168" fontId="29" fillId="0" borderId="0" xfId="1" applyNumberFormat="1" applyFont="1" applyAlignment="1">
      <alignment vertical="center"/>
    </xf>
    <xf numFmtId="43" fontId="5" fillId="0" borderId="0" xfId="1" applyFont="1" applyFill="1"/>
    <xf numFmtId="9" fontId="5" fillId="0" borderId="0" xfId="0" applyNumberFormat="1" applyFont="1" applyAlignment="1">
      <alignment horizontal="center"/>
    </xf>
    <xf numFmtId="0" fontId="21" fillId="0" borderId="1" xfId="0" applyFont="1" applyBorder="1"/>
    <xf numFmtId="0" fontId="30" fillId="0" borderId="0" xfId="0" applyFont="1" applyAlignment="1">
      <alignment horizontal="center"/>
    </xf>
    <xf numFmtId="9" fontId="30" fillId="0" borderId="0" xfId="0" applyNumberFormat="1" applyFont="1" applyAlignment="1">
      <alignment horizontal="center"/>
    </xf>
    <xf numFmtId="9" fontId="0" fillId="0" borderId="0" xfId="3" applyFont="1"/>
    <xf numFmtId="44" fontId="0" fillId="0" borderId="1" xfId="2" applyFont="1" applyBorder="1"/>
    <xf numFmtId="44" fontId="0" fillId="0" borderId="0" xfId="0" applyNumberFormat="1"/>
    <xf numFmtId="172" fontId="27" fillId="0" borderId="0" xfId="0" applyNumberFormat="1" applyFont="1" applyAlignment="1">
      <alignment horizontal="center"/>
    </xf>
    <xf numFmtId="172" fontId="0" fillId="0" borderId="1" xfId="0" applyNumberFormat="1" applyBorder="1" applyAlignment="1">
      <alignment horizontal="center"/>
    </xf>
    <xf numFmtId="165" fontId="0" fillId="0" borderId="0" xfId="2" applyNumberFormat="1" applyFont="1"/>
    <xf numFmtId="169" fontId="2" fillId="0" borderId="0" xfId="3" applyNumberFormat="1" applyFont="1"/>
    <xf numFmtId="168" fontId="28" fillId="0" borderId="0" xfId="1" applyNumberFormat="1" applyFont="1" applyAlignment="1">
      <alignment horizontal="center"/>
    </xf>
    <xf numFmtId="168" fontId="2" fillId="0" borderId="1" xfId="1" applyNumberFormat="1" applyFont="1" applyBorder="1"/>
    <xf numFmtId="0" fontId="2" fillId="0" borderId="0" xfId="0" applyFont="1" applyAlignment="1">
      <alignment horizontal="left"/>
    </xf>
    <xf numFmtId="168" fontId="5" fillId="2" borderId="0" xfId="1" applyNumberFormat="1" applyFont="1" applyFill="1"/>
    <xf numFmtId="165" fontId="5" fillId="0" borderId="1" xfId="2" applyNumberFormat="1" applyFont="1" applyFill="1" applyBorder="1"/>
    <xf numFmtId="165" fontId="2" fillId="0" borderId="0" xfId="2" applyNumberFormat="1" applyFont="1"/>
    <xf numFmtId="43" fontId="5" fillId="0" borderId="0" xfId="1" applyFont="1" applyFill="1" applyAlignment="1">
      <alignment horizontal="center"/>
    </xf>
    <xf numFmtId="44" fontId="9" fillId="0" borderId="0" xfId="2" applyFont="1" applyBorder="1"/>
    <xf numFmtId="43" fontId="0" fillId="0" borderId="0" xfId="1" applyFont="1"/>
    <xf numFmtId="168" fontId="6" fillId="0" borderId="0" xfId="1" applyNumberFormat="1" applyFont="1" applyFill="1" applyAlignment="1">
      <alignment horizontal="center"/>
    </xf>
    <xf numFmtId="0" fontId="27" fillId="0" borderId="0" xfId="0" applyFont="1" applyAlignment="1">
      <alignment horizontal="center" wrapText="1"/>
    </xf>
    <xf numFmtId="0" fontId="15" fillId="0" borderId="0" xfId="0" applyFont="1" applyAlignment="1">
      <alignment horizontal="center" wrapText="1"/>
    </xf>
    <xf numFmtId="0" fontId="5" fillId="5" borderId="0" xfId="0" applyFont="1" applyFill="1"/>
    <xf numFmtId="0" fontId="15" fillId="5" borderId="0" xfId="0" applyFont="1" applyFill="1" applyAlignment="1">
      <alignment horizontal="center"/>
    </xf>
    <xf numFmtId="165" fontId="5" fillId="5" borderId="0" xfId="2" applyNumberFormat="1" applyFont="1" applyFill="1"/>
    <xf numFmtId="168" fontId="5" fillId="5" borderId="0" xfId="1" applyNumberFormat="1" applyFont="1" applyFill="1"/>
    <xf numFmtId="43" fontId="27" fillId="0" borderId="1" xfId="1" applyFont="1" applyBorder="1"/>
    <xf numFmtId="0" fontId="0" fillId="5" borderId="0" xfId="0" applyFill="1"/>
    <xf numFmtId="0" fontId="27" fillId="5" borderId="0" xfId="0" applyFont="1" applyFill="1" applyAlignment="1">
      <alignment horizontal="center"/>
    </xf>
    <xf numFmtId="43" fontId="0" fillId="5" borderId="0" xfId="1" applyFont="1" applyFill="1"/>
    <xf numFmtId="43" fontId="27" fillId="5" borderId="0" xfId="1" applyFont="1" applyFill="1"/>
    <xf numFmtId="44" fontId="0" fillId="5" borderId="0" xfId="2" applyFont="1" applyFill="1"/>
    <xf numFmtId="165" fontId="0" fillId="0" borderId="0" xfId="0" applyNumberFormat="1"/>
    <xf numFmtId="168" fontId="5" fillId="0" borderId="0" xfId="1" applyNumberFormat="1" applyFont="1" applyFill="1" applyBorder="1" applyAlignment="1"/>
    <xf numFmtId="44" fontId="5" fillId="0" borderId="0" xfId="2" applyFont="1" applyFill="1" applyBorder="1" applyAlignment="1"/>
    <xf numFmtId="43" fontId="5" fillId="0" borderId="0" xfId="1" applyFont="1" applyFill="1" applyBorder="1" applyAlignment="1"/>
    <xf numFmtId="174" fontId="5" fillId="0" borderId="0" xfId="1" applyNumberFormat="1" applyFont="1" applyFill="1" applyBorder="1" applyAlignment="1"/>
    <xf numFmtId="3" fontId="7" fillId="0" borderId="0" xfId="0" applyNumberFormat="1" applyFont="1" applyAlignment="1">
      <alignment horizontal="center" wrapText="1"/>
    </xf>
    <xf numFmtId="14" fontId="5" fillId="0" borderId="0" xfId="0" applyNumberFormat="1" applyFont="1"/>
    <xf numFmtId="168" fontId="5" fillId="0" borderId="1" xfId="1" applyNumberFormat="1" applyFont="1" applyFill="1" applyBorder="1"/>
    <xf numFmtId="170" fontId="5" fillId="0" borderId="0" xfId="1" applyNumberFormat="1" applyFont="1" applyFill="1" applyBorder="1" applyAlignment="1"/>
    <xf numFmtId="168" fontId="5" fillId="0" borderId="0" xfId="1" applyNumberFormat="1" applyFont="1" applyFill="1" applyBorder="1" applyAlignment="1">
      <alignment horizontal="right"/>
    </xf>
    <xf numFmtId="44" fontId="5" fillId="4" borderId="0" xfId="2" applyFont="1" applyFill="1" applyBorder="1"/>
    <xf numFmtId="165" fontId="5" fillId="4" borderId="0" xfId="2" applyNumberFormat="1" applyFont="1" applyFill="1" applyBorder="1"/>
    <xf numFmtId="43" fontId="5" fillId="4" borderId="6" xfId="1" applyFont="1" applyFill="1" applyBorder="1" applyAlignment="1">
      <alignment horizontal="left"/>
    </xf>
    <xf numFmtId="3" fontId="5" fillId="4" borderId="0" xfId="0" applyNumberFormat="1" applyFont="1" applyFill="1" applyAlignment="1">
      <alignment vertical="center"/>
    </xf>
    <xf numFmtId="165" fontId="5" fillId="4" borderId="0" xfId="2" applyNumberFormat="1" applyFont="1" applyFill="1" applyAlignment="1">
      <alignment vertical="center"/>
    </xf>
    <xf numFmtId="37" fontId="5" fillId="4" borderId="0" xfId="0" applyNumberFormat="1" applyFont="1" applyFill="1" applyAlignment="1">
      <alignment vertical="center"/>
    </xf>
    <xf numFmtId="3" fontId="5" fillId="4" borderId="1" xfId="0" applyNumberFormat="1" applyFont="1" applyFill="1" applyBorder="1"/>
    <xf numFmtId="168" fontId="5" fillId="4" borderId="0" xfId="1" applyNumberFormat="1" applyFont="1" applyFill="1" applyBorder="1"/>
    <xf numFmtId="43" fontId="0" fillId="0" borderId="0" xfId="0" applyNumberFormat="1"/>
    <xf numFmtId="168" fontId="9" fillId="0" borderId="0" xfId="1" quotePrefix="1" applyNumberFormat="1" applyFont="1" applyFill="1" applyAlignment="1">
      <alignment horizontal="center"/>
    </xf>
    <xf numFmtId="169" fontId="5" fillId="0" borderId="0" xfId="3" applyNumberFormat="1" applyFont="1" applyFill="1"/>
    <xf numFmtId="44" fontId="0" fillId="0" borderId="1" xfId="0" applyNumberFormat="1" applyBorder="1"/>
    <xf numFmtId="9" fontId="0" fillId="0" borderId="0" xfId="0" applyNumberFormat="1" applyAlignment="1">
      <alignment horizontal="center"/>
    </xf>
    <xf numFmtId="44" fontId="31" fillId="0" borderId="0" xfId="0" applyNumberFormat="1" applyFont="1" applyAlignment="1">
      <alignment horizontal="right"/>
    </xf>
    <xf numFmtId="0" fontId="2" fillId="0" borderId="0" xfId="0" applyFont="1" applyAlignment="1">
      <alignment horizontal="right"/>
    </xf>
    <xf numFmtId="168" fontId="9" fillId="0" borderId="2" xfId="5" applyNumberFormat="1" applyFont="1" applyBorder="1" applyAlignment="1">
      <alignment horizontal="center"/>
    </xf>
    <xf numFmtId="0" fontId="0" fillId="0" borderId="5" xfId="0" applyBorder="1"/>
    <xf numFmtId="0" fontId="0" fillId="0" borderId="6" xfId="0" applyBorder="1"/>
    <xf numFmtId="0" fontId="0" fillId="0" borderId="8" xfId="0" applyBorder="1"/>
    <xf numFmtId="169" fontId="5" fillId="0" borderId="0" xfId="6" applyNumberFormat="1" applyFont="1" applyBorder="1"/>
    <xf numFmtId="44" fontId="9" fillId="0" borderId="0" xfId="5" applyNumberFormat="1" applyFont="1" applyBorder="1" applyAlignment="1">
      <alignment horizontal="center"/>
    </xf>
    <xf numFmtId="43" fontId="5" fillId="0" borderId="10" xfId="5" quotePrefix="1" applyFont="1" applyBorder="1"/>
    <xf numFmtId="44" fontId="5" fillId="0" borderId="10" xfId="2" quotePrefix="1" applyFont="1" applyBorder="1"/>
    <xf numFmtId="44" fontId="5" fillId="0" borderId="2" xfId="2" quotePrefix="1" applyFont="1" applyBorder="1"/>
    <xf numFmtId="44" fontId="5" fillId="0" borderId="0" xfId="5" quotePrefix="1" applyNumberFormat="1" applyFont="1" applyBorder="1"/>
    <xf numFmtId="44" fontId="5" fillId="0" borderId="0" xfId="2" quotePrefix="1" applyFont="1" applyBorder="1"/>
    <xf numFmtId="43" fontId="5" fillId="0" borderId="0" xfId="5" quotePrefix="1" applyFont="1" applyBorder="1"/>
    <xf numFmtId="168" fontId="9" fillId="0" borderId="0" xfId="5" applyNumberFormat="1" applyFont="1" applyBorder="1"/>
    <xf numFmtId="0" fontId="32" fillId="0" borderId="0" xfId="0" applyFont="1" applyAlignment="1">
      <alignment horizontal="center"/>
    </xf>
    <xf numFmtId="44" fontId="5" fillId="0" borderId="0" xfId="4" applyFont="1" applyFill="1"/>
    <xf numFmtId="43" fontId="5" fillId="0" borderId="1" xfId="5" applyFont="1" applyFill="1" applyBorder="1"/>
    <xf numFmtId="168" fontId="5" fillId="0" borderId="0" xfId="5" applyNumberFormat="1" applyFont="1" applyFill="1" applyBorder="1"/>
    <xf numFmtId="37" fontId="5" fillId="0" borderId="0" xfId="0" applyNumberFormat="1" applyFont="1" applyAlignment="1">
      <alignment horizontal="center"/>
    </xf>
    <xf numFmtId="44" fontId="5" fillId="0" borderId="0" xfId="4" applyFont="1" applyFill="1" applyBorder="1"/>
    <xf numFmtId="165" fontId="5" fillId="0" borderId="0" xfId="4" applyNumberFormat="1" applyFont="1" applyFill="1" applyBorder="1"/>
    <xf numFmtId="43" fontId="5" fillId="0" borderId="0" xfId="5" applyFont="1" applyFill="1" applyBorder="1"/>
    <xf numFmtId="44" fontId="5" fillId="0" borderId="0" xfId="2" applyFont="1" applyFill="1"/>
    <xf numFmtId="44" fontId="5" fillId="0" borderId="0" xfId="4" applyFont="1" applyBorder="1"/>
    <xf numFmtId="165" fontId="5" fillId="0" borderId="0" xfId="4" applyNumberFormat="1" applyFont="1" applyBorder="1"/>
    <xf numFmtId="175" fontId="5" fillId="0" borderId="0" xfId="2" applyNumberFormat="1" applyFont="1" applyFill="1"/>
    <xf numFmtId="43" fontId="5" fillId="0" borderId="0" xfId="5" applyFont="1" applyFill="1"/>
    <xf numFmtId="174" fontId="5" fillId="0" borderId="1" xfId="5" applyNumberFormat="1" applyFont="1" applyFill="1" applyBorder="1"/>
    <xf numFmtId="0" fontId="12" fillId="0" borderId="5" xfId="0" applyFont="1" applyBorder="1"/>
    <xf numFmtId="168" fontId="12" fillId="0" borderId="0" xfId="1" applyNumberFormat="1" applyFont="1" applyBorder="1" applyAlignment="1"/>
    <xf numFmtId="168" fontId="5" fillId="0" borderId="6" xfId="1" applyNumberFormat="1" applyFont="1" applyBorder="1" applyAlignment="1"/>
    <xf numFmtId="10" fontId="12" fillId="0" borderId="0" xfId="3" applyNumberFormat="1" applyFont="1" applyBorder="1" applyAlignment="1"/>
    <xf numFmtId="0" fontId="15" fillId="4" borderId="0" xfId="0" applyFont="1" applyFill="1"/>
    <xf numFmtId="168" fontId="5" fillId="4" borderId="1" xfId="1" applyNumberFormat="1" applyFont="1" applyFill="1" applyBorder="1"/>
    <xf numFmtId="3" fontId="15" fillId="4" borderId="0" xfId="0" applyNumberFormat="1" applyFont="1" applyFill="1" applyAlignment="1">
      <alignment horizontal="center"/>
    </xf>
    <xf numFmtId="168" fontId="5" fillId="0" borderId="0" xfId="1" applyNumberFormat="1" applyFont="1" applyFill="1" applyAlignment="1">
      <alignment vertical="center"/>
    </xf>
    <xf numFmtId="0" fontId="12" fillId="0" borderId="0" xfId="0" applyFont="1" applyAlignment="1">
      <alignment horizontal="center"/>
    </xf>
    <xf numFmtId="168" fontId="4" fillId="0" borderId="0" xfId="1" applyNumberFormat="1" applyFont="1" applyFill="1"/>
    <xf numFmtId="0" fontId="0" fillId="0" borderId="0" xfId="0" applyAlignment="1">
      <alignment horizontal="center" vertical="top"/>
    </xf>
    <xf numFmtId="0" fontId="33" fillId="0" borderId="0" xfId="0" applyFont="1" applyAlignment="1">
      <alignment horizontal="center" wrapText="1"/>
    </xf>
    <xf numFmtId="0" fontId="2" fillId="0" borderId="0" xfId="0" applyFont="1" applyAlignment="1">
      <alignment horizontal="center" vertical="top"/>
    </xf>
    <xf numFmtId="0" fontId="0" fillId="0" borderId="0" xfId="0" applyAlignment="1">
      <alignment vertical="top"/>
    </xf>
    <xf numFmtId="165" fontId="0" fillId="0" borderId="1" xfId="0" applyNumberFormat="1" applyBorder="1"/>
    <xf numFmtId="168" fontId="5" fillId="6" borderId="0" xfId="1" applyNumberFormat="1" applyFont="1" applyFill="1"/>
    <xf numFmtId="0" fontId="14" fillId="0" borderId="0" xfId="0" applyFont="1" applyAlignment="1">
      <alignment horizontal="right"/>
    </xf>
    <xf numFmtId="0" fontId="12" fillId="0" borderId="1" xfId="0" applyFont="1" applyBorder="1" applyAlignment="1">
      <alignment horizontal="left"/>
    </xf>
    <xf numFmtId="0" fontId="12" fillId="0" borderId="1" xfId="0" applyFont="1" applyBorder="1" applyAlignment="1">
      <alignment horizontal="center"/>
    </xf>
    <xf numFmtId="168" fontId="12" fillId="0" borderId="0" xfId="1" applyNumberFormat="1" applyFont="1"/>
    <xf numFmtId="168" fontId="12" fillId="0" borderId="0" xfId="1" applyNumberFormat="1" applyFont="1" applyAlignment="1">
      <alignment horizontal="right"/>
    </xf>
    <xf numFmtId="3" fontId="13" fillId="0" borderId="0" xfId="0" applyNumberFormat="1" applyFont="1" applyAlignment="1">
      <alignment horizontal="right"/>
    </xf>
    <xf numFmtId="165" fontId="12" fillId="0" borderId="0" xfId="0" applyNumberFormat="1" applyFont="1"/>
    <xf numFmtId="37" fontId="12" fillId="0" borderId="1" xfId="0" applyNumberFormat="1" applyFont="1" applyBorder="1" applyAlignment="1">
      <alignment horizontal="center"/>
    </xf>
    <xf numFmtId="0" fontId="12" fillId="0" borderId="0" xfId="0" applyFont="1" applyAlignment="1">
      <alignment horizontal="right"/>
    </xf>
    <xf numFmtId="168" fontId="12" fillId="0" borderId="0" xfId="5" applyNumberFormat="1" applyFont="1" applyFill="1"/>
    <xf numFmtId="37" fontId="12" fillId="0" borderId="1" xfId="0" applyNumberFormat="1" applyFont="1" applyBorder="1"/>
    <xf numFmtId="168" fontId="12" fillId="0" borderId="1" xfId="5" applyNumberFormat="1" applyFont="1" applyFill="1" applyBorder="1"/>
    <xf numFmtId="168" fontId="12" fillId="0" borderId="0" xfId="5" applyNumberFormat="1" applyFont="1" applyBorder="1"/>
    <xf numFmtId="0" fontId="13" fillId="0" borderId="0" xfId="0" applyFont="1" applyAlignment="1">
      <alignment horizontal="left"/>
    </xf>
    <xf numFmtId="168" fontId="12" fillId="0" borderId="0" xfId="5" applyNumberFormat="1" applyFont="1"/>
    <xf numFmtId="44" fontId="12" fillId="0" borderId="0" xfId="4" applyFont="1"/>
    <xf numFmtId="165" fontId="12" fillId="0" borderId="0" xfId="4" applyNumberFormat="1" applyFont="1"/>
    <xf numFmtId="174" fontId="12" fillId="0" borderId="1" xfId="5" applyNumberFormat="1" applyFont="1" applyBorder="1"/>
    <xf numFmtId="168" fontId="12" fillId="0" borderId="1" xfId="1" applyNumberFormat="1" applyFont="1" applyBorder="1"/>
    <xf numFmtId="44" fontId="12" fillId="0" borderId="0" xfId="2" applyFont="1"/>
    <xf numFmtId="0" fontId="27" fillId="0" borderId="0" xfId="0" applyFont="1" applyAlignment="1">
      <alignment horizontal="center" vertical="center"/>
    </xf>
    <xf numFmtId="10" fontId="0" fillId="0" borderId="0" xfId="3" applyNumberFormat="1" applyFont="1"/>
    <xf numFmtId="168" fontId="5" fillId="0" borderId="10" xfId="5" quotePrefix="1" applyNumberFormat="1" applyFont="1" applyFill="1" applyBorder="1" applyAlignment="1">
      <alignment horizontal="center"/>
    </xf>
    <xf numFmtId="168" fontId="5" fillId="0" borderId="2" xfId="5" quotePrefix="1" applyNumberFormat="1" applyFont="1" applyFill="1" applyBorder="1" applyAlignment="1">
      <alignment horizontal="left"/>
    </xf>
    <xf numFmtId="168" fontId="5" fillId="0" borderId="0" xfId="5" quotePrefix="1" applyNumberFormat="1" applyFont="1" applyFill="1" applyAlignment="1">
      <alignment horizontal="left"/>
    </xf>
    <xf numFmtId="168" fontId="5" fillId="0" borderId="6" xfId="5" quotePrefix="1" applyNumberFormat="1" applyFont="1" applyFill="1" applyBorder="1" applyAlignment="1">
      <alignment horizontal="left"/>
    </xf>
    <xf numFmtId="165" fontId="5" fillId="0" borderId="1" xfId="2" applyNumberFormat="1" applyFont="1" applyBorder="1"/>
    <xf numFmtId="168" fontId="9" fillId="0" borderId="1" xfId="1" applyNumberFormat="1" applyFont="1" applyBorder="1"/>
    <xf numFmtId="168" fontId="5" fillId="0" borderId="0" xfId="1" applyNumberFormat="1" applyFont="1" applyFill="1" applyAlignment="1"/>
    <xf numFmtId="0" fontId="2" fillId="0" borderId="0" xfId="0" applyFont="1" applyAlignment="1">
      <alignment horizontal="left" vertical="top" wrapText="1"/>
    </xf>
    <xf numFmtId="168" fontId="12" fillId="0" borderId="0" xfId="1" applyNumberFormat="1" applyFont="1" applyAlignment="1">
      <alignment vertical="center"/>
    </xf>
    <xf numFmtId="168" fontId="9" fillId="2" borderId="0" xfId="1" applyNumberFormat="1" applyFont="1" applyFill="1"/>
    <xf numFmtId="168" fontId="4" fillId="2" borderId="0" xfId="1" applyNumberFormat="1" applyFont="1" applyFill="1"/>
    <xf numFmtId="3" fontId="12" fillId="0" borderId="0" xfId="0" applyNumberFormat="1" applyFont="1" applyAlignment="1">
      <alignment horizontal="center"/>
    </xf>
    <xf numFmtId="0" fontId="2" fillId="0" borderId="0" xfId="0" applyFont="1" applyAlignment="1">
      <alignment vertical="top" wrapText="1"/>
    </xf>
    <xf numFmtId="0" fontId="2" fillId="0" borderId="0" xfId="0" applyFont="1" applyAlignment="1">
      <alignment horizontal="left" vertical="top"/>
    </xf>
    <xf numFmtId="0" fontId="3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168" fontId="2" fillId="0" borderId="0" xfId="5" applyNumberFormat="1" applyFont="1" applyFill="1" applyBorder="1" applyAlignment="1">
      <alignment horizontal="left" vertical="top"/>
    </xf>
    <xf numFmtId="0" fontId="2" fillId="0" borderId="0" xfId="0" applyFont="1" applyAlignment="1">
      <alignment vertical="top"/>
    </xf>
    <xf numFmtId="168" fontId="36" fillId="0" borderId="0" xfId="1" applyNumberFormat="1" applyFont="1" applyAlignment="1">
      <alignment vertical="center"/>
    </xf>
    <xf numFmtId="168" fontId="13" fillId="0" borderId="0" xfId="1" applyNumberFormat="1" applyFont="1" applyAlignment="1">
      <alignment vertical="center"/>
    </xf>
    <xf numFmtId="168" fontId="12" fillId="0" borderId="0" xfId="1" applyNumberFormat="1" applyFont="1" applyFill="1" applyAlignment="1">
      <alignment vertical="center"/>
    </xf>
    <xf numFmtId="168" fontId="12" fillId="0" borderId="0" xfId="1" applyNumberFormat="1" applyFont="1" applyAlignment="1">
      <alignment horizontal="right" vertical="center"/>
    </xf>
    <xf numFmtId="169" fontId="12" fillId="0" borderId="0" xfId="0" applyNumberFormat="1" applyFont="1" applyAlignment="1">
      <alignment vertical="center"/>
    </xf>
    <xf numFmtId="3" fontId="6" fillId="0" borderId="0" xfId="0" applyNumberFormat="1" applyFont="1" applyAlignment="1">
      <alignment horizontal="center"/>
    </xf>
    <xf numFmtId="165" fontId="5" fillId="0" borderId="0" xfId="2" applyNumberFormat="1" applyFont="1" applyFill="1" applyAlignment="1">
      <alignment vertical="center"/>
    </xf>
    <xf numFmtId="165" fontId="5" fillId="0" borderId="0" xfId="2" applyNumberFormat="1" applyFont="1" applyFill="1"/>
    <xf numFmtId="3" fontId="19" fillId="0" borderId="2" xfId="0" applyNumberFormat="1" applyFont="1" applyBorder="1"/>
    <xf numFmtId="0" fontId="7" fillId="0" borderId="2" xfId="0" applyFont="1" applyBorder="1"/>
    <xf numFmtId="43" fontId="5" fillId="0" borderId="2" xfId="5" applyFont="1" applyFill="1" applyBorder="1"/>
    <xf numFmtId="168" fontId="4" fillId="0" borderId="0" xfId="1" applyNumberFormat="1" applyFont="1" applyFill="1" applyBorder="1"/>
    <xf numFmtId="9" fontId="5" fillId="0" borderId="0" xfId="3" applyFont="1" applyFill="1" applyBorder="1"/>
    <xf numFmtId="168" fontId="8" fillId="0" borderId="0" xfId="1" applyNumberFormat="1" applyFont="1" applyFill="1" applyBorder="1"/>
    <xf numFmtId="43" fontId="4" fillId="0" borderId="0" xfId="5" applyFont="1" applyFill="1" applyBorder="1"/>
    <xf numFmtId="3" fontId="19" fillId="0" borderId="3" xfId="0" applyNumberFormat="1" applyFont="1" applyBorder="1"/>
    <xf numFmtId="168" fontId="9" fillId="0" borderId="0" xfId="1" quotePrefix="1" applyNumberFormat="1" applyFont="1" applyFill="1" applyBorder="1" applyAlignment="1">
      <alignment horizontal="center"/>
    </xf>
    <xf numFmtId="168" fontId="9" fillId="0" borderId="6" xfId="1" quotePrefix="1" applyNumberFormat="1" applyFont="1" applyFill="1" applyBorder="1" applyAlignment="1">
      <alignment horizontal="center"/>
    </xf>
    <xf numFmtId="168" fontId="5" fillId="0" borderId="6" xfId="1" applyNumberFormat="1" applyFont="1" applyFill="1" applyBorder="1"/>
    <xf numFmtId="169" fontId="5" fillId="0" borderId="0" xfId="3" applyNumberFormat="1" applyFont="1" applyFill="1" applyBorder="1"/>
    <xf numFmtId="169" fontId="5" fillId="0" borderId="6" xfId="0" applyNumberFormat="1" applyFont="1" applyBorder="1"/>
    <xf numFmtId="165" fontId="5" fillId="0" borderId="0" xfId="2" applyNumberFormat="1" applyFont="1" applyFill="1" applyBorder="1"/>
    <xf numFmtId="165" fontId="5" fillId="0" borderId="6" xfId="2" applyNumberFormat="1" applyFont="1" applyFill="1" applyBorder="1"/>
    <xf numFmtId="44" fontId="4" fillId="0" borderId="1" xfId="2" applyFont="1" applyFill="1" applyBorder="1"/>
    <xf numFmtId="10" fontId="0" fillId="0" borderId="0" xfId="0" applyNumberFormat="1"/>
    <xf numFmtId="168" fontId="5" fillId="0" borderId="0" xfId="1" quotePrefix="1" applyNumberFormat="1" applyFont="1"/>
    <xf numFmtId="9" fontId="5" fillId="0" borderId="0" xfId="3" applyFont="1" applyFill="1"/>
    <xf numFmtId="168" fontId="9" fillId="0" borderId="0" xfId="1" applyNumberFormat="1" applyFont="1" applyFill="1" applyAlignment="1">
      <alignment horizontal="center"/>
    </xf>
    <xf numFmtId="10" fontId="12" fillId="0" borderId="0" xfId="3" applyNumberFormat="1" applyFont="1" applyFill="1"/>
    <xf numFmtId="168" fontId="5" fillId="7" borderId="0" xfId="5" applyNumberFormat="1" applyFont="1" applyFill="1" applyBorder="1"/>
    <xf numFmtId="43" fontId="5" fillId="7" borderId="10" xfId="5" quotePrefix="1" applyFont="1" applyFill="1" applyBorder="1"/>
    <xf numFmtId="44" fontId="5" fillId="7" borderId="2" xfId="5" quotePrefix="1" applyNumberFormat="1" applyFont="1" applyFill="1" applyBorder="1"/>
    <xf numFmtId="43" fontId="5" fillId="7" borderId="0" xfId="5" applyFont="1" applyFill="1" applyBorder="1"/>
    <xf numFmtId="169" fontId="5" fillId="7" borderId="0" xfId="6" applyNumberFormat="1" applyFont="1" applyFill="1" applyBorder="1"/>
    <xf numFmtId="43" fontId="5" fillId="7" borderId="2" xfId="5" quotePrefix="1" applyFont="1" applyFill="1" applyBorder="1"/>
    <xf numFmtId="3" fontId="14" fillId="0" borderId="0" xfId="0" quotePrefix="1" applyNumberFormat="1" applyFont="1" applyAlignment="1">
      <alignment horizontal="center" vertical="center"/>
    </xf>
    <xf numFmtId="168" fontId="8" fillId="0" borderId="0" xfId="1" quotePrefix="1" applyNumberFormat="1" applyFont="1" applyAlignment="1">
      <alignment horizontal="center"/>
    </xf>
    <xf numFmtId="10" fontId="5" fillId="0" borderId="0" xfId="6" applyNumberFormat="1" applyFont="1" applyBorder="1"/>
    <xf numFmtId="10" fontId="5" fillId="7" borderId="0" xfId="6" applyNumberFormat="1" applyFont="1" applyFill="1" applyBorder="1"/>
    <xf numFmtId="168" fontId="13" fillId="0" borderId="0" xfId="1" applyNumberFormat="1" applyFont="1" applyAlignment="1"/>
    <xf numFmtId="168" fontId="5" fillId="0" borderId="0" xfId="1" applyNumberFormat="1" applyFont="1" applyFill="1" applyBorder="1" applyAlignment="1">
      <alignment horizontal="left"/>
    </xf>
    <xf numFmtId="3" fontId="12" fillId="8" borderId="0" xfId="0" applyNumberFormat="1" applyFont="1" applyFill="1"/>
    <xf numFmtId="3" fontId="25" fillId="8" borderId="0" xfId="0" applyNumberFormat="1" applyFont="1" applyFill="1"/>
    <xf numFmtId="165" fontId="5" fillId="8" borderId="0" xfId="2" applyNumberFormat="1" applyFont="1" applyFill="1" applyAlignment="1">
      <alignment vertical="center"/>
    </xf>
    <xf numFmtId="165" fontId="12" fillId="8" borderId="0" xfId="2" applyNumberFormat="1" applyFont="1" applyFill="1"/>
    <xf numFmtId="44" fontId="25" fillId="8" borderId="0" xfId="2" applyFont="1" applyFill="1" applyAlignment="1"/>
    <xf numFmtId="3" fontId="12" fillId="8" borderId="1" xfId="0" applyNumberFormat="1" applyFont="1" applyFill="1" applyBorder="1"/>
    <xf numFmtId="10" fontId="12" fillId="0" borderId="0" xfId="3" applyNumberFormat="1" applyFont="1" applyFill="1" applyBorder="1" applyAlignment="1"/>
    <xf numFmtId="165" fontId="9" fillId="0" borderId="0" xfId="2" applyNumberFormat="1" applyFont="1" applyFill="1" applyBorder="1" applyAlignment="1"/>
    <xf numFmtId="0" fontId="9" fillId="0" borderId="0" xfId="0" applyFont="1"/>
    <xf numFmtId="0" fontId="9" fillId="0" borderId="0" xfId="0" applyFont="1" applyAlignment="1">
      <alignment horizontal="right"/>
    </xf>
    <xf numFmtId="168" fontId="9" fillId="0" borderId="0" xfId="1" applyNumberFormat="1" applyFont="1" applyFill="1" applyBorder="1" applyAlignment="1">
      <alignment horizontal="right"/>
    </xf>
    <xf numFmtId="0" fontId="37" fillId="0" borderId="0" xfId="0" applyFont="1"/>
    <xf numFmtId="0" fontId="7" fillId="0" borderId="0" xfId="0" applyFont="1" applyAlignment="1">
      <alignment horizontal="left"/>
    </xf>
    <xf numFmtId="44" fontId="12" fillId="0" borderId="0" xfId="2" applyFont="1" applyFill="1"/>
    <xf numFmtId="43" fontId="5" fillId="0" borderId="1" xfId="1" applyFont="1" applyFill="1" applyBorder="1" applyAlignment="1"/>
    <xf numFmtId="0" fontId="5" fillId="0" borderId="1" xfId="0" applyFont="1" applyBorder="1" applyAlignment="1">
      <alignment horizontal="right"/>
    </xf>
    <xf numFmtId="168" fontId="5" fillId="0" borderId="1" xfId="1" applyNumberFormat="1" applyFont="1" applyFill="1" applyBorder="1" applyAlignment="1">
      <alignment horizontal="right"/>
    </xf>
    <xf numFmtId="44" fontId="5" fillId="0" borderId="1" xfId="2" applyFont="1" applyFill="1" applyBorder="1" applyAlignment="1"/>
    <xf numFmtId="9" fontId="12" fillId="0" borderId="1" xfId="3" applyFont="1" applyFill="1" applyBorder="1" applyAlignment="1"/>
    <xf numFmtId="7" fontId="5" fillId="0" borderId="0" xfId="2" applyNumberFormat="1" applyFont="1" applyFill="1" applyBorder="1" applyAlignment="1"/>
    <xf numFmtId="44" fontId="12" fillId="0" borderId="0" xfId="0" applyNumberFormat="1" applyFont="1" applyAlignment="1">
      <alignment horizontal="center"/>
    </xf>
    <xf numFmtId="44" fontId="5" fillId="0" borderId="0" xfId="2" quotePrefix="1" applyFont="1" applyFill="1" applyBorder="1" applyAlignment="1"/>
    <xf numFmtId="175" fontId="12" fillId="0" borderId="0" xfId="0" applyNumberFormat="1" applyFont="1" applyAlignment="1">
      <alignment horizontal="center"/>
    </xf>
    <xf numFmtId="0" fontId="5" fillId="0" borderId="2" xfId="0" applyFont="1" applyBorder="1" applyAlignment="1">
      <alignment horizontal="right"/>
    </xf>
    <xf numFmtId="0" fontId="5" fillId="0" borderId="7" xfId="0" applyFont="1" applyBorder="1" applyAlignment="1">
      <alignment horizontal="right"/>
    </xf>
    <xf numFmtId="168" fontId="5" fillId="0" borderId="1" xfId="1" applyNumberFormat="1" applyFont="1" applyBorder="1" applyAlignment="1"/>
    <xf numFmtId="174" fontId="5" fillId="0" borderId="1" xfId="1" applyNumberFormat="1" applyFont="1" applyBorder="1" applyAlignment="1"/>
    <xf numFmtId="0" fontId="7" fillId="0" borderId="3" xfId="0" applyFont="1" applyBorder="1"/>
    <xf numFmtId="168" fontId="5" fillId="0" borderId="2" xfId="1" applyNumberFormat="1" applyFont="1" applyFill="1" applyBorder="1" applyAlignment="1"/>
    <xf numFmtId="168" fontId="5" fillId="0" borderId="1" xfId="1" applyNumberFormat="1" applyFont="1" applyFill="1" applyBorder="1" applyAlignment="1"/>
    <xf numFmtId="174" fontId="5" fillId="0" borderId="1" xfId="1" applyNumberFormat="1" applyFont="1" applyFill="1" applyBorder="1" applyAlignment="1"/>
    <xf numFmtId="44" fontId="5" fillId="0" borderId="0" xfId="5" applyNumberFormat="1" applyFont="1" applyFill="1" applyBorder="1"/>
    <xf numFmtId="10" fontId="5" fillId="0" borderId="0" xfId="6" applyNumberFormat="1" applyFont="1" applyFill="1" applyBorder="1"/>
    <xf numFmtId="44" fontId="5" fillId="0" borderId="0" xfId="5" applyNumberFormat="1" applyFont="1" applyBorder="1"/>
    <xf numFmtId="168" fontId="5" fillId="0" borderId="0" xfId="5" applyNumberFormat="1" applyFont="1" applyBorder="1" applyAlignment="1">
      <alignment horizontal="center"/>
    </xf>
    <xf numFmtId="169" fontId="5" fillId="0" borderId="0" xfId="3" applyNumberFormat="1" applyFont="1" applyBorder="1"/>
    <xf numFmtId="43" fontId="5" fillId="0" borderId="0" xfId="5" quotePrefix="1" applyFont="1" applyFill="1" applyBorder="1" applyAlignment="1">
      <alignment horizontal="center"/>
    </xf>
    <xf numFmtId="43" fontId="5" fillId="0" borderId="0" xfId="5" quotePrefix="1" applyFont="1" applyBorder="1" applyAlignment="1">
      <alignment horizontal="center"/>
    </xf>
    <xf numFmtId="0" fontId="22" fillId="0" borderId="0" xfId="0" applyFont="1"/>
    <xf numFmtId="44" fontId="22" fillId="0" borderId="0" xfId="0" applyNumberFormat="1" applyFont="1"/>
    <xf numFmtId="168" fontId="39" fillId="0" borderId="0" xfId="5" applyNumberFormat="1" applyFont="1" applyBorder="1" applyAlignment="1">
      <alignment horizontal="center"/>
    </xf>
    <xf numFmtId="44" fontId="39" fillId="0" borderId="6" xfId="5" applyNumberFormat="1" applyFont="1" applyBorder="1" applyAlignment="1">
      <alignment horizontal="center"/>
    </xf>
    <xf numFmtId="44" fontId="39" fillId="0" borderId="0" xfId="5" applyNumberFormat="1" applyFont="1" applyBorder="1" applyAlignment="1">
      <alignment horizontal="center"/>
    </xf>
    <xf numFmtId="168" fontId="22" fillId="0" borderId="0" xfId="5" applyNumberFormat="1" applyFont="1" applyBorder="1"/>
    <xf numFmtId="44" fontId="22" fillId="0" borderId="6" xfId="2" applyFont="1" applyBorder="1"/>
    <xf numFmtId="44" fontId="22" fillId="0" borderId="0" xfId="2" applyFont="1" applyBorder="1"/>
    <xf numFmtId="10" fontId="22" fillId="0" borderId="0" xfId="6" applyNumberFormat="1" applyFont="1" applyBorder="1"/>
    <xf numFmtId="168" fontId="22" fillId="0" borderId="0" xfId="5" applyNumberFormat="1" applyFont="1" applyFill="1" applyBorder="1"/>
    <xf numFmtId="43" fontId="22" fillId="0" borderId="6" xfId="5" quotePrefix="1" applyFont="1" applyFill="1" applyBorder="1"/>
    <xf numFmtId="43" fontId="22" fillId="0" borderId="0" xfId="5" quotePrefix="1" applyFont="1" applyFill="1" applyBorder="1"/>
    <xf numFmtId="43" fontId="22" fillId="0" borderId="0" xfId="5" applyFont="1" applyFill="1" applyBorder="1"/>
    <xf numFmtId="10" fontId="22" fillId="0" borderId="0" xfId="6" applyNumberFormat="1" applyFont="1" applyFill="1" applyBorder="1"/>
    <xf numFmtId="43" fontId="22" fillId="0" borderId="6" xfId="5" quotePrefix="1" applyFont="1" applyBorder="1"/>
    <xf numFmtId="44" fontId="22" fillId="0" borderId="0" xfId="5" quotePrefix="1" applyNumberFormat="1" applyFont="1" applyBorder="1"/>
    <xf numFmtId="43" fontId="22" fillId="0" borderId="0" xfId="5" applyFont="1" applyBorder="1"/>
    <xf numFmtId="43" fontId="22" fillId="0" borderId="0" xfId="5" quotePrefix="1" applyFont="1" applyBorder="1"/>
    <xf numFmtId="0" fontId="22" fillId="0" borderId="0" xfId="5" quotePrefix="1" applyNumberFormat="1" applyFont="1" applyBorder="1"/>
    <xf numFmtId="169" fontId="22" fillId="0" borderId="0" xfId="6" applyNumberFormat="1" applyFont="1" applyBorder="1"/>
    <xf numFmtId="44" fontId="22" fillId="0" borderId="6" xfId="2" quotePrefix="1" applyFont="1" applyBorder="1"/>
    <xf numFmtId="44" fontId="22" fillId="0" borderId="0" xfId="2" quotePrefix="1" applyFont="1" applyBorder="1"/>
    <xf numFmtId="0" fontId="22" fillId="0" borderId="3" xfId="0" applyFont="1" applyBorder="1" applyAlignment="1">
      <alignment horizontal="center"/>
    </xf>
    <xf numFmtId="168" fontId="39" fillId="0" borderId="4" xfId="5" applyNumberFormat="1" applyFont="1" applyBorder="1" applyAlignment="1">
      <alignment horizontal="center"/>
    </xf>
    <xf numFmtId="44" fontId="39" fillId="0" borderId="5" xfId="5" applyNumberFormat="1" applyFont="1" applyBorder="1" applyAlignment="1">
      <alignment horizontal="center"/>
    </xf>
    <xf numFmtId="168" fontId="39" fillId="0" borderId="4" xfId="5" applyNumberFormat="1" applyFont="1" applyBorder="1"/>
    <xf numFmtId="44" fontId="39" fillId="0" borderId="4" xfId="5" applyNumberFormat="1" applyFont="1" applyBorder="1" applyAlignment="1">
      <alignment horizontal="center"/>
    </xf>
    <xf numFmtId="168" fontId="39" fillId="0" borderId="5" xfId="5" applyNumberFormat="1" applyFont="1" applyBorder="1" applyAlignment="1">
      <alignment horizontal="center"/>
    </xf>
    <xf numFmtId="0" fontId="38" fillId="0" borderId="2" xfId="0" applyFont="1" applyBorder="1" applyAlignment="1">
      <alignment horizontal="center"/>
    </xf>
    <xf numFmtId="168" fontId="39" fillId="0" borderId="6" xfId="5" applyNumberFormat="1" applyFont="1" applyBorder="1" applyAlignment="1">
      <alignment horizontal="center"/>
    </xf>
    <xf numFmtId="0" fontId="22" fillId="0" borderId="2" xfId="0" applyFont="1" applyBorder="1"/>
    <xf numFmtId="0" fontId="22" fillId="0" borderId="6" xfId="0" applyFont="1" applyBorder="1"/>
    <xf numFmtId="43" fontId="22" fillId="0" borderId="2" xfId="5" quotePrefix="1" applyFont="1" applyFill="1" applyBorder="1" applyAlignment="1">
      <alignment horizontal="center"/>
    </xf>
    <xf numFmtId="10" fontId="22" fillId="0" borderId="6" xfId="3" applyNumberFormat="1" applyFont="1" applyBorder="1"/>
    <xf numFmtId="43" fontId="22" fillId="0" borderId="2" xfId="5" quotePrefix="1" applyFont="1" applyBorder="1" applyAlignment="1">
      <alignment horizontal="center"/>
    </xf>
    <xf numFmtId="10" fontId="22" fillId="0" borderId="6" xfId="3" applyNumberFormat="1" applyFont="1" applyFill="1" applyBorder="1"/>
    <xf numFmtId="169" fontId="22" fillId="0" borderId="2" xfId="3" applyNumberFormat="1" applyFont="1" applyBorder="1"/>
    <xf numFmtId="169" fontId="22" fillId="0" borderId="7" xfId="3" applyNumberFormat="1" applyFont="1" applyBorder="1"/>
    <xf numFmtId="168" fontId="22" fillId="0" borderId="1" xfId="5" applyNumberFormat="1" applyFont="1" applyFill="1" applyBorder="1"/>
    <xf numFmtId="43" fontId="22" fillId="0" borderId="8" xfId="5" quotePrefix="1" applyFont="1" applyFill="1" applyBorder="1"/>
    <xf numFmtId="43" fontId="22" fillId="0" borderId="1" xfId="5" quotePrefix="1" applyFont="1" applyFill="1" applyBorder="1"/>
    <xf numFmtId="43" fontId="22" fillId="0" borderId="1" xfId="5" applyFont="1" applyFill="1" applyBorder="1"/>
    <xf numFmtId="10" fontId="22" fillId="0" borderId="1" xfId="6" applyNumberFormat="1" applyFont="1" applyFill="1" applyBorder="1"/>
    <xf numFmtId="0" fontId="22" fillId="0" borderId="1" xfId="0" applyFont="1" applyBorder="1"/>
    <xf numFmtId="0" fontId="22" fillId="0" borderId="8" xfId="0" applyFont="1" applyBorder="1"/>
    <xf numFmtId="165" fontId="9" fillId="0" borderId="0" xfId="0" applyNumberFormat="1" applyFont="1"/>
    <xf numFmtId="179" fontId="5" fillId="0" borderId="0" xfId="2" quotePrefix="1" applyNumberFormat="1" applyFont="1" applyFill="1" applyBorder="1" applyAlignment="1"/>
    <xf numFmtId="179" fontId="5" fillId="0" borderId="0" xfId="0" applyNumberFormat="1" applyFont="1"/>
    <xf numFmtId="168" fontId="5" fillId="0" borderId="1" xfId="0" applyNumberFormat="1" applyFont="1" applyBorder="1"/>
    <xf numFmtId="175" fontId="5" fillId="0" borderId="0" xfId="4" applyNumberFormat="1" applyFont="1"/>
    <xf numFmtId="171" fontId="5" fillId="0" borderId="0" xfId="3" applyNumberFormat="1" applyFont="1"/>
    <xf numFmtId="0" fontId="41" fillId="0" borderId="0" xfId="0" applyFont="1"/>
    <xf numFmtId="0" fontId="42" fillId="0" borderId="0" xfId="0" applyFont="1"/>
    <xf numFmtId="168" fontId="42" fillId="0" borderId="0" xfId="1" applyNumberFormat="1" applyFont="1"/>
    <xf numFmtId="3" fontId="10" fillId="0" borderId="0" xfId="0" applyNumberFormat="1" applyFont="1" applyAlignment="1">
      <alignment horizontal="center" vertical="center"/>
    </xf>
    <xf numFmtId="3" fontId="13" fillId="0" borderId="0" xfId="0" applyNumberFormat="1" applyFont="1" applyAlignment="1">
      <alignment horizontal="center" vertical="center"/>
    </xf>
    <xf numFmtId="168" fontId="10" fillId="0" borderId="0" xfId="1" applyNumberFormat="1" applyFont="1" applyAlignment="1">
      <alignment horizontal="center" vertical="center"/>
    </xf>
    <xf numFmtId="168" fontId="4" fillId="0" borderId="0" xfId="1" applyNumberFormat="1" applyFont="1" applyAlignment="1">
      <alignment horizontal="center" vertical="center"/>
    </xf>
    <xf numFmtId="0" fontId="0" fillId="0" borderId="0" xfId="0" applyAlignment="1">
      <alignment horizontal="center" vertical="top"/>
    </xf>
    <xf numFmtId="0" fontId="0" fillId="0" borderId="0" xfId="0" applyAlignment="1">
      <alignment horizontal="center"/>
    </xf>
    <xf numFmtId="0" fontId="5" fillId="0" borderId="1" xfId="0" applyFont="1" applyBorder="1" applyAlignment="1">
      <alignment horizontal="center"/>
    </xf>
    <xf numFmtId="3" fontId="14" fillId="0" borderId="4" xfId="0" applyNumberFormat="1" applyFont="1" applyBorder="1" applyAlignment="1">
      <alignment horizontal="center"/>
    </xf>
    <xf numFmtId="3" fontId="17" fillId="0" borderId="0" xfId="0" applyNumberFormat="1" applyFont="1" applyAlignment="1">
      <alignment horizontal="center"/>
    </xf>
    <xf numFmtId="3" fontId="10" fillId="0" borderId="0" xfId="0" applyNumberFormat="1"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7" fillId="0" borderId="6" xfId="0" applyFont="1" applyBorder="1" applyAlignment="1">
      <alignment horizontal="center"/>
    </xf>
    <xf numFmtId="3" fontId="10" fillId="0" borderId="4" xfId="0" applyNumberFormat="1" applyFont="1" applyBorder="1" applyAlignment="1">
      <alignment horizontal="center" vertic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10" fillId="0" borderId="6" xfId="0" applyFont="1" applyBorder="1" applyAlignment="1">
      <alignment horizontal="center"/>
    </xf>
    <xf numFmtId="3" fontId="10" fillId="0" borderId="6" xfId="0" applyNumberFormat="1" applyFont="1" applyBorder="1" applyAlignment="1">
      <alignment horizontal="center" vertical="center"/>
    </xf>
    <xf numFmtId="3" fontId="35" fillId="0" borderId="0" xfId="0" applyNumberFormat="1" applyFont="1" applyAlignment="1">
      <alignment horizontal="center"/>
    </xf>
    <xf numFmtId="168" fontId="5" fillId="0" borderId="0" xfId="5" applyNumberFormat="1" applyFont="1" applyBorder="1" applyAlignment="1">
      <alignment horizontal="center"/>
    </xf>
    <xf numFmtId="168" fontId="9" fillId="0" borderId="0" xfId="5" applyNumberFormat="1" applyFont="1" applyBorder="1" applyAlignment="1">
      <alignment horizontal="center"/>
    </xf>
    <xf numFmtId="0" fontId="28" fillId="0" borderId="0" xfId="0" applyFont="1" applyAlignment="1">
      <alignment horizontal="center"/>
    </xf>
    <xf numFmtId="168" fontId="40" fillId="0" borderId="0" xfId="5" applyNumberFormat="1" applyFont="1" applyBorder="1" applyAlignment="1">
      <alignment horizontal="center"/>
    </xf>
    <xf numFmtId="0" fontId="22" fillId="0" borderId="0" xfId="0" applyFont="1" applyAlignment="1">
      <alignment horizontal="center"/>
    </xf>
    <xf numFmtId="0" fontId="0" fillId="0" borderId="0" xfId="0"/>
    <xf numFmtId="168" fontId="8" fillId="0" borderId="0" xfId="5" applyNumberFormat="1" applyFont="1" applyBorder="1" applyAlignment="1">
      <alignment horizontal="center"/>
    </xf>
    <xf numFmtId="3" fontId="13" fillId="0" borderId="0" xfId="0" applyNumberFormat="1" applyFont="1" applyAlignment="1">
      <alignment horizontal="center"/>
    </xf>
    <xf numFmtId="0" fontId="2" fillId="0" borderId="0" xfId="0" applyFont="1" applyAlignment="1">
      <alignment horizontal="center"/>
    </xf>
    <xf numFmtId="0" fontId="13" fillId="0" borderId="0" xfId="0" applyFont="1" applyAlignment="1">
      <alignment horizontal="center"/>
    </xf>
    <xf numFmtId="0" fontId="35" fillId="0" borderId="0" xfId="0" applyFont="1" applyAlignment="1">
      <alignment horizontal="center"/>
    </xf>
    <xf numFmtId="44" fontId="12" fillId="8" borderId="0" xfId="2" applyNumberFormat="1" applyFont="1" applyFill="1"/>
    <xf numFmtId="44" fontId="5" fillId="0" borderId="0" xfId="0" applyNumberFormat="1" applyFont="1" applyAlignment="1">
      <alignment vertical="center"/>
    </xf>
  </cellXfs>
  <cellStyles count="8">
    <cellStyle name="Comma" xfId="1" builtinId="3"/>
    <cellStyle name="Comma 2" xfId="5" xr:uid="{00000000-0005-0000-0000-000001000000}"/>
    <cellStyle name="Currency" xfId="2" builtinId="4"/>
    <cellStyle name="Currency 2" xfId="4" xr:uid="{00000000-0005-0000-0000-000003000000}"/>
    <cellStyle name="Normal" xfId="0" builtinId="0"/>
    <cellStyle name="Normal 2" xfId="7" xr:uid="{00000000-0005-0000-0000-000005000000}"/>
    <cellStyle name="Percent" xfId="3" builtinId="5"/>
    <cellStyle name="Percent 2" xfId="6" xr:uid="{00000000-0005-0000-0000-000007000000}"/>
  </cellStyles>
  <dxfs count="0"/>
  <tableStyles count="0" defaultTableStyle="TableStyleMedium9" defaultPivotStyle="PivotStyleLight16"/>
  <colors>
    <mruColors>
      <color rgb="FFFFFF99"/>
      <color rgb="FFFFFFCC"/>
      <color rgb="FF59B589"/>
      <color rgb="FFCCFFCC"/>
      <color rgb="FFFFCC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IS73"/>
  <sheetViews>
    <sheetView tabSelected="1" workbookViewId="0">
      <selection activeCell="A2" sqref="A2:G2"/>
    </sheetView>
  </sheetViews>
  <sheetFormatPr defaultColWidth="8.84375" defaultRowHeight="15.5" x14ac:dyDescent="0.35"/>
  <cols>
    <col min="1" max="1" width="3.69140625" style="26" customWidth="1"/>
    <col min="2" max="2" width="2.69140625" style="26" customWidth="1"/>
    <col min="3" max="3" width="28" style="26" customWidth="1"/>
    <col min="4" max="4" width="9.765625" style="26" customWidth="1"/>
    <col min="5" max="5" width="10.23046875" style="26" customWidth="1"/>
    <col min="6" max="6" width="4.84375" style="26" customWidth="1"/>
    <col min="7" max="7" width="12.3828125" style="26" bestFit="1" customWidth="1"/>
    <col min="8" max="8" width="8.84375" style="26" customWidth="1"/>
    <col min="9" max="9" width="3.69140625" style="26" customWidth="1"/>
    <col min="10" max="10" width="35.69140625" style="26" customWidth="1"/>
    <col min="11" max="11" width="11.61328125" style="26" customWidth="1"/>
    <col min="12" max="12" width="9.69140625" style="26" customWidth="1"/>
    <col min="13" max="13" width="2.921875" style="26" customWidth="1"/>
    <col min="14" max="253" width="9.69140625" style="26" customWidth="1"/>
    <col min="254" max="255" width="9.69140625" style="27" customWidth="1"/>
    <col min="256" max="16384" width="8.84375" style="27"/>
  </cols>
  <sheetData>
    <row r="1" spans="1:17" ht="18.5" x14ac:dyDescent="0.35">
      <c r="A1" s="23" t="s">
        <v>31</v>
      </c>
      <c r="B1" s="24"/>
      <c r="C1" s="24"/>
      <c r="D1" s="24"/>
      <c r="E1" s="24"/>
      <c r="F1" s="24"/>
      <c r="G1" s="24"/>
      <c r="H1" s="25"/>
      <c r="I1" s="25"/>
      <c r="J1" s="25"/>
      <c r="K1" s="25"/>
      <c r="L1" s="25"/>
      <c r="M1" s="25"/>
      <c r="N1" s="25"/>
    </row>
    <row r="2" spans="1:17" ht="18.75" customHeight="1" x14ac:dyDescent="0.35">
      <c r="A2" s="594" t="s">
        <v>209</v>
      </c>
      <c r="B2" s="594"/>
      <c r="C2" s="594"/>
      <c r="D2" s="594"/>
      <c r="E2" s="594"/>
      <c r="F2" s="594"/>
      <c r="G2" s="594"/>
      <c r="H2" s="133"/>
      <c r="I2" s="133"/>
      <c r="J2" s="25"/>
      <c r="K2" s="133"/>
      <c r="L2" s="133"/>
      <c r="M2" s="133"/>
      <c r="N2" s="133"/>
      <c r="O2" s="133"/>
      <c r="P2" s="133"/>
      <c r="Q2" s="133"/>
    </row>
    <row r="3" spans="1:17" ht="18.75" customHeight="1" x14ac:dyDescent="0.35">
      <c r="A3" s="594" t="s">
        <v>155</v>
      </c>
      <c r="B3" s="594"/>
      <c r="C3" s="594"/>
      <c r="D3" s="594"/>
      <c r="E3" s="594"/>
      <c r="F3" s="594"/>
      <c r="G3" s="594"/>
      <c r="H3" s="133"/>
      <c r="I3" s="133"/>
      <c r="J3" s="25"/>
      <c r="K3" s="133"/>
      <c r="L3" s="133"/>
      <c r="M3" s="133"/>
      <c r="N3" s="133"/>
      <c r="O3" s="133"/>
      <c r="P3" s="133"/>
      <c r="Q3" s="133"/>
    </row>
    <row r="4" spans="1:17" x14ac:dyDescent="0.35">
      <c r="A4" s="25"/>
      <c r="B4" s="25"/>
      <c r="C4" s="25"/>
      <c r="D4" s="496" t="s">
        <v>268</v>
      </c>
      <c r="E4" s="28"/>
      <c r="F4" s="28"/>
      <c r="G4" s="28"/>
      <c r="H4" s="25"/>
      <c r="I4" s="25"/>
      <c r="J4" s="25"/>
      <c r="K4" s="25"/>
      <c r="L4" s="25"/>
      <c r="M4" s="25"/>
      <c r="N4" s="25"/>
    </row>
    <row r="5" spans="1:17" x14ac:dyDescent="0.35">
      <c r="A5" s="29"/>
      <c r="B5" s="29"/>
      <c r="C5" s="29"/>
      <c r="D5" s="30" t="s">
        <v>92</v>
      </c>
      <c r="E5" s="30" t="s">
        <v>29</v>
      </c>
      <c r="F5" s="30" t="s">
        <v>45</v>
      </c>
      <c r="G5" s="30" t="s">
        <v>91</v>
      </c>
      <c r="H5" s="31"/>
      <c r="I5" s="31"/>
      <c r="J5" s="31"/>
      <c r="K5" s="31"/>
      <c r="L5" s="25"/>
      <c r="M5" s="25"/>
      <c r="N5" s="25"/>
    </row>
    <row r="6" spans="1:17" x14ac:dyDescent="0.35">
      <c r="A6" s="32" t="s">
        <v>10</v>
      </c>
      <c r="B6" s="29"/>
      <c r="C6" s="29"/>
      <c r="D6" s="29"/>
      <c r="E6" s="29"/>
      <c r="F6" s="29"/>
      <c r="G6" s="29"/>
      <c r="H6" s="31"/>
      <c r="I6" s="31"/>
      <c r="J6" s="31"/>
      <c r="K6" s="31"/>
      <c r="L6" s="25"/>
      <c r="M6" s="25"/>
      <c r="N6" s="25"/>
    </row>
    <row r="7" spans="1:17" x14ac:dyDescent="0.35">
      <c r="A7" s="29"/>
      <c r="B7" s="29" t="s">
        <v>183</v>
      </c>
      <c r="C7" s="29"/>
      <c r="D7" s="33">
        <v>1069672</v>
      </c>
      <c r="E7" s="31">
        <f>-ExBAw!X16</f>
        <v>-62232</v>
      </c>
      <c r="F7" s="453" t="s">
        <v>432</v>
      </c>
      <c r="G7" s="33"/>
      <c r="I7" s="31"/>
      <c r="J7" s="26" t="s">
        <v>501</v>
      </c>
      <c r="K7" s="31"/>
      <c r="L7" s="25"/>
      <c r="M7" s="25"/>
      <c r="N7" s="31" t="s">
        <v>322</v>
      </c>
    </row>
    <row r="8" spans="1:17" x14ac:dyDescent="0.35">
      <c r="A8" s="29"/>
      <c r="B8" s="29" t="s">
        <v>269</v>
      </c>
      <c r="C8" s="29"/>
      <c r="D8" s="33">
        <v>300346</v>
      </c>
      <c r="E8" s="3"/>
      <c r="F8" s="160"/>
      <c r="G8" s="33"/>
      <c r="I8" s="31"/>
      <c r="J8" s="461"/>
      <c r="K8" s="31"/>
      <c r="L8" s="25"/>
      <c r="M8" s="25"/>
      <c r="N8" s="31"/>
    </row>
    <row r="9" spans="1:17" x14ac:dyDescent="0.35">
      <c r="A9" s="29"/>
      <c r="B9" s="29"/>
      <c r="C9" s="29"/>
      <c r="D9" s="33"/>
      <c r="E9" s="226">
        <f>ExBAw!G17</f>
        <v>-99952.684300000081</v>
      </c>
      <c r="F9" s="160" t="s">
        <v>433</v>
      </c>
      <c r="G9" s="33"/>
      <c r="I9" s="31"/>
      <c r="J9" s="450" t="s">
        <v>461</v>
      </c>
      <c r="K9" s="31"/>
      <c r="L9" s="25"/>
      <c r="M9" s="25"/>
      <c r="N9" s="31"/>
    </row>
    <row r="10" spans="1:17" x14ac:dyDescent="0.35">
      <c r="A10" s="29"/>
      <c r="B10" s="29"/>
      <c r="C10" s="29"/>
      <c r="D10" s="33"/>
      <c r="E10" s="226"/>
      <c r="F10" s="160"/>
      <c r="G10" s="33">
        <f>SUM(D7:E10)</f>
        <v>1207833.3156999999</v>
      </c>
      <c r="I10" s="31"/>
      <c r="J10" s="461"/>
      <c r="K10" s="31"/>
      <c r="L10" s="25"/>
      <c r="M10" s="25"/>
      <c r="N10" s="31"/>
    </row>
    <row r="11" spans="1:17" x14ac:dyDescent="0.35">
      <c r="A11" s="29"/>
      <c r="B11" s="29" t="s">
        <v>108</v>
      </c>
      <c r="C11" s="29"/>
      <c r="D11" s="31"/>
      <c r="E11" s="3"/>
      <c r="F11" s="160"/>
      <c r="G11" s="31">
        <f>D11+E11</f>
        <v>0</v>
      </c>
      <c r="I11" s="31"/>
      <c r="J11" s="461"/>
      <c r="K11" s="31"/>
      <c r="L11" s="25"/>
      <c r="M11" s="25"/>
      <c r="N11" s="31"/>
    </row>
    <row r="12" spans="1:17" x14ac:dyDescent="0.35">
      <c r="A12" s="29"/>
      <c r="B12" s="29" t="s">
        <v>93</v>
      </c>
      <c r="C12" s="29"/>
      <c r="D12" s="31">
        <v>0</v>
      </c>
      <c r="E12" s="411">
        <f>ExBAw!G7</f>
        <v>3137.701</v>
      </c>
      <c r="F12" s="160" t="s">
        <v>436</v>
      </c>
      <c r="G12" s="411">
        <f>D12+E12</f>
        <v>3137.701</v>
      </c>
      <c r="I12" s="31"/>
      <c r="J12" s="450" t="s">
        <v>434</v>
      </c>
      <c r="K12" s="31"/>
      <c r="L12" s="25"/>
      <c r="M12" s="25"/>
      <c r="N12" s="31" t="s">
        <v>435</v>
      </c>
    </row>
    <row r="13" spans="1:17" x14ac:dyDescent="0.35">
      <c r="A13" s="29"/>
      <c r="B13" s="29" t="s">
        <v>37</v>
      </c>
      <c r="C13" s="29"/>
      <c r="D13" s="33"/>
      <c r="E13" s="31"/>
      <c r="F13" s="160"/>
      <c r="G13" s="33"/>
      <c r="H13" s="31"/>
      <c r="I13" s="31"/>
      <c r="J13" s="450"/>
      <c r="K13" s="31"/>
      <c r="L13" s="25"/>
      <c r="M13" s="25"/>
      <c r="N13" s="25"/>
    </row>
    <row r="14" spans="1:17" x14ac:dyDescent="0.35">
      <c r="A14" s="29"/>
      <c r="B14" s="29"/>
      <c r="C14" s="29" t="s">
        <v>36</v>
      </c>
      <c r="D14" s="31">
        <v>0</v>
      </c>
      <c r="E14" s="31"/>
      <c r="F14" s="160"/>
      <c r="G14" s="31">
        <f>D14+E14</f>
        <v>0</v>
      </c>
      <c r="H14" s="40"/>
      <c r="I14" s="31"/>
      <c r="J14" s="450"/>
      <c r="K14" s="73"/>
      <c r="L14" s="25"/>
      <c r="M14" s="25"/>
      <c r="N14" s="25"/>
    </row>
    <row r="15" spans="1:17" x14ac:dyDescent="0.35">
      <c r="A15" s="29"/>
      <c r="B15" s="29"/>
      <c r="C15" s="29" t="s">
        <v>181</v>
      </c>
      <c r="D15" s="31">
        <v>0</v>
      </c>
      <c r="E15" s="31"/>
      <c r="F15" s="160"/>
      <c r="G15" s="31">
        <f>D15+E15</f>
        <v>0</v>
      </c>
      <c r="H15" s="40"/>
      <c r="I15" s="31"/>
      <c r="J15" s="450"/>
      <c r="K15" s="31"/>
      <c r="L15" s="25"/>
      <c r="M15" s="25"/>
      <c r="N15" s="25"/>
    </row>
    <row r="16" spans="1:17" ht="16" x14ac:dyDescent="0.35">
      <c r="A16" s="29"/>
      <c r="B16" s="29"/>
      <c r="C16" s="29" t="s">
        <v>180</v>
      </c>
      <c r="D16" s="148">
        <v>45226</v>
      </c>
      <c r="E16" s="31"/>
      <c r="F16" s="160"/>
      <c r="G16" s="148">
        <f>D16+E16</f>
        <v>45226</v>
      </c>
      <c r="H16" s="40"/>
      <c r="I16" s="31"/>
      <c r="J16" s="450"/>
      <c r="K16" s="31"/>
      <c r="L16" s="25"/>
      <c r="M16" s="25"/>
      <c r="N16" s="25"/>
    </row>
    <row r="17" spans="1:14" x14ac:dyDescent="0.35">
      <c r="A17" s="36" t="s">
        <v>11</v>
      </c>
      <c r="B17" s="29"/>
      <c r="C17" s="29"/>
      <c r="D17" s="33">
        <f>SUM(D7:D16)</f>
        <v>1415244</v>
      </c>
      <c r="E17" s="31"/>
      <c r="F17" s="160"/>
      <c r="G17" s="33">
        <f>SUM(G7:G16)</f>
        <v>1256197.0166999998</v>
      </c>
      <c r="H17" s="31"/>
      <c r="I17" s="31"/>
      <c r="J17" s="450"/>
      <c r="K17" s="31"/>
      <c r="L17" s="25"/>
      <c r="M17" s="25"/>
      <c r="N17" s="25"/>
    </row>
    <row r="18" spans="1:14" x14ac:dyDescent="0.35">
      <c r="A18" s="29"/>
      <c r="B18" s="29"/>
      <c r="C18" s="29"/>
      <c r="D18" s="35"/>
      <c r="E18" s="31"/>
      <c r="F18" s="160"/>
      <c r="G18" s="35"/>
      <c r="H18" s="31"/>
      <c r="I18" s="31"/>
      <c r="J18" s="450"/>
      <c r="K18" s="31"/>
      <c r="M18" s="25"/>
      <c r="N18" s="25"/>
    </row>
    <row r="19" spans="1:14" x14ac:dyDescent="0.35">
      <c r="A19" s="32" t="s">
        <v>12</v>
      </c>
      <c r="B19" s="29"/>
      <c r="C19" s="29"/>
      <c r="D19" s="35"/>
      <c r="E19" s="31"/>
      <c r="F19" s="160"/>
      <c r="G19" s="35"/>
      <c r="H19" s="31"/>
      <c r="I19" s="31"/>
      <c r="J19" s="450"/>
      <c r="K19" s="31"/>
      <c r="M19" s="25"/>
      <c r="N19" s="25"/>
    </row>
    <row r="20" spans="1:14" x14ac:dyDescent="0.35">
      <c r="A20" s="29"/>
      <c r="B20" s="29" t="s">
        <v>18</v>
      </c>
      <c r="C20" s="29"/>
      <c r="D20" s="35"/>
      <c r="E20" s="31"/>
      <c r="F20" s="160"/>
      <c r="G20" s="35"/>
      <c r="H20" s="31"/>
      <c r="I20" s="31"/>
      <c r="J20" s="450"/>
      <c r="K20" s="25"/>
      <c r="L20" s="25"/>
      <c r="M20" s="25"/>
      <c r="N20" s="25"/>
    </row>
    <row r="21" spans="1:14" x14ac:dyDescent="0.35">
      <c r="A21" s="29"/>
      <c r="B21" s="29"/>
      <c r="C21" s="29" t="s">
        <v>22</v>
      </c>
      <c r="D21" s="35">
        <v>272790</v>
      </c>
      <c r="E21" s="31"/>
      <c r="F21" s="160"/>
      <c r="G21" s="35"/>
      <c r="H21" s="40"/>
      <c r="I21" s="31"/>
      <c r="J21" s="462" t="s">
        <v>504</v>
      </c>
      <c r="K21" s="25"/>
      <c r="L21" s="25"/>
      <c r="M21" s="25"/>
      <c r="N21" s="25"/>
    </row>
    <row r="22" spans="1:14" x14ac:dyDescent="0.35">
      <c r="A22" s="29"/>
      <c r="B22" s="29"/>
      <c r="C22" s="29"/>
      <c r="D22" s="35"/>
      <c r="E22" s="411">
        <f>Wages!H52</f>
        <v>-85172.619326849992</v>
      </c>
      <c r="F22" s="161" t="s">
        <v>452</v>
      </c>
      <c r="G22" s="35"/>
      <c r="H22" s="40"/>
      <c r="I22" s="31"/>
      <c r="J22" s="450" t="s">
        <v>394</v>
      </c>
      <c r="K22" s="25"/>
      <c r="L22" s="25"/>
      <c r="M22" s="25"/>
      <c r="N22" s="25" t="s">
        <v>319</v>
      </c>
    </row>
    <row r="23" spans="1:14" x14ac:dyDescent="0.35">
      <c r="A23" s="29"/>
      <c r="B23" s="29"/>
      <c r="C23" s="29"/>
      <c r="D23" s="35"/>
      <c r="E23" s="411">
        <f>-Adj!K7</f>
        <v>-18669.599999999999</v>
      </c>
      <c r="F23" s="161" t="s">
        <v>455</v>
      </c>
      <c r="G23" s="35">
        <f>SUM(D21:E23)</f>
        <v>168947.78067315</v>
      </c>
      <c r="H23" s="40"/>
      <c r="I23" s="31"/>
      <c r="J23" s="429" t="s">
        <v>385</v>
      </c>
      <c r="K23" s="25"/>
      <c r="L23" s="25"/>
      <c r="M23" s="25"/>
      <c r="N23" s="25"/>
    </row>
    <row r="24" spans="1:14" x14ac:dyDescent="0.35">
      <c r="A24" s="29"/>
      <c r="B24" s="29"/>
      <c r="C24" s="29" t="s">
        <v>23</v>
      </c>
      <c r="D24" s="35">
        <v>9522</v>
      </c>
      <c r="E24" s="316">
        <f>Wages!H25-SAOw!D24</f>
        <v>813.60000000000036</v>
      </c>
      <c r="F24" s="160" t="s">
        <v>456</v>
      </c>
      <c r="G24" s="35">
        <f t="shared" ref="G24:G40" si="0">D24+E24</f>
        <v>10335.6</v>
      </c>
      <c r="H24" s="31"/>
      <c r="J24" s="450" t="s">
        <v>505</v>
      </c>
      <c r="K24" s="31"/>
      <c r="L24" s="25"/>
      <c r="M24" s="25"/>
      <c r="N24" s="25" t="s">
        <v>506</v>
      </c>
    </row>
    <row r="25" spans="1:14" x14ac:dyDescent="0.35">
      <c r="A25" s="29"/>
      <c r="B25" s="29"/>
      <c r="C25" s="29" t="s">
        <v>24</v>
      </c>
      <c r="D25" s="35">
        <v>270600</v>
      </c>
      <c r="E25" s="31">
        <f>Wages!H64</f>
        <v>-29521.103350886791</v>
      </c>
      <c r="F25" s="161" t="s">
        <v>459</v>
      </c>
      <c r="G25" s="27"/>
      <c r="H25" s="40"/>
      <c r="I25" s="31"/>
      <c r="J25" s="450" t="s">
        <v>412</v>
      </c>
      <c r="K25" s="31"/>
      <c r="L25" s="25"/>
      <c r="M25" s="25"/>
      <c r="N25" s="25" t="s">
        <v>395</v>
      </c>
    </row>
    <row r="26" spans="1:14" x14ac:dyDescent="0.35">
      <c r="A26" s="29"/>
      <c r="B26" s="29"/>
      <c r="C26" s="29"/>
      <c r="D26" s="35"/>
      <c r="E26" s="31">
        <f>Medical!G41</f>
        <v>-89131.959999999992</v>
      </c>
      <c r="F26" s="161" t="s">
        <v>462</v>
      </c>
      <c r="G26" s="27"/>
      <c r="H26" s="40"/>
      <c r="I26" s="31"/>
      <c r="J26" s="463" t="s">
        <v>443</v>
      </c>
      <c r="K26" s="31"/>
      <c r="L26" s="25"/>
      <c r="M26" s="25"/>
      <c r="N26" s="25"/>
    </row>
    <row r="27" spans="1:14" x14ac:dyDescent="0.35">
      <c r="A27" s="29"/>
      <c r="B27" s="29"/>
      <c r="C27" s="29"/>
      <c r="D27" s="35"/>
      <c r="E27" s="31"/>
      <c r="F27" s="161"/>
      <c r="G27" s="211">
        <f>SUM(D25:E27)</f>
        <v>151946.93664911322</v>
      </c>
      <c r="H27" s="40"/>
      <c r="I27" s="31"/>
      <c r="J27" s="450" t="s">
        <v>312</v>
      </c>
      <c r="K27" s="31"/>
      <c r="L27" s="25"/>
      <c r="M27" s="25"/>
      <c r="N27" s="25"/>
    </row>
    <row r="28" spans="1:14" x14ac:dyDescent="0.35">
      <c r="A28" s="29"/>
      <c r="B28" s="29"/>
      <c r="C28" s="29"/>
      <c r="D28" s="35"/>
      <c r="E28" s="31"/>
      <c r="F28" s="161"/>
      <c r="G28" s="211"/>
      <c r="H28" s="40"/>
      <c r="I28" s="31"/>
      <c r="J28" s="450"/>
      <c r="K28" s="31"/>
      <c r="L28" s="25"/>
      <c r="M28" s="25"/>
      <c r="N28" s="25"/>
    </row>
    <row r="29" spans="1:14" x14ac:dyDescent="0.35">
      <c r="A29" s="29"/>
      <c r="B29" s="29"/>
      <c r="C29" s="29" t="s">
        <v>25</v>
      </c>
      <c r="D29" s="35">
        <v>408141</v>
      </c>
      <c r="E29" s="31">
        <f>-D29*Adj!C20</f>
        <v>-51372.426627275592</v>
      </c>
      <c r="F29" s="161" t="s">
        <v>470</v>
      </c>
      <c r="G29" s="35">
        <f t="shared" si="0"/>
        <v>356768.57337272441</v>
      </c>
      <c r="H29" s="317"/>
      <c r="I29" s="37"/>
      <c r="J29" s="26" t="s">
        <v>467</v>
      </c>
      <c r="K29" s="31"/>
      <c r="L29" s="25"/>
      <c r="M29" s="25"/>
      <c r="N29" s="31" t="s">
        <v>267</v>
      </c>
    </row>
    <row r="30" spans="1:14" x14ac:dyDescent="0.35">
      <c r="A30" s="29"/>
      <c r="B30" s="29"/>
      <c r="C30" s="29" t="s">
        <v>26</v>
      </c>
      <c r="D30" s="35">
        <v>4405</v>
      </c>
      <c r="E30" s="31">
        <f>-D30*Adj!$C$20</f>
        <v>-554.4543167511938</v>
      </c>
      <c r="F30" s="161" t="s">
        <v>470</v>
      </c>
      <c r="G30" s="35">
        <f t="shared" si="0"/>
        <v>3850.5456832488062</v>
      </c>
      <c r="H30" s="317"/>
      <c r="I30" s="31"/>
      <c r="J30" s="26" t="s">
        <v>467</v>
      </c>
      <c r="K30" s="31"/>
      <c r="L30" s="25"/>
      <c r="M30" s="25"/>
      <c r="N30" s="31" t="s">
        <v>267</v>
      </c>
    </row>
    <row r="31" spans="1:14" x14ac:dyDescent="0.35">
      <c r="A31" s="29"/>
      <c r="B31" s="29"/>
      <c r="C31" s="29" t="s">
        <v>241</v>
      </c>
      <c r="D31" s="35">
        <v>122040</v>
      </c>
      <c r="E31" s="31">
        <f>-D31*Adj!$C$20</f>
        <v>-15361.090764203336</v>
      </c>
      <c r="F31" s="160" t="s">
        <v>470</v>
      </c>
      <c r="G31" s="35">
        <f t="shared" si="0"/>
        <v>106678.90923579666</v>
      </c>
      <c r="H31" s="317"/>
      <c r="I31" s="31"/>
      <c r="J31" s="26" t="s">
        <v>467</v>
      </c>
      <c r="K31" s="31"/>
      <c r="L31" s="25"/>
      <c r="M31" s="25"/>
      <c r="N31" s="31" t="s">
        <v>267</v>
      </c>
    </row>
    <row r="32" spans="1:14" x14ac:dyDescent="0.35">
      <c r="A32" s="29"/>
      <c r="B32" s="29"/>
      <c r="C32" s="29" t="s">
        <v>78</v>
      </c>
      <c r="D32" s="35">
        <v>141258</v>
      </c>
      <c r="E32" s="31">
        <f>-Adj!K8</f>
        <v>-43562.399999999994</v>
      </c>
      <c r="F32" s="160" t="s">
        <v>455</v>
      </c>
      <c r="G32" s="35">
        <f t="shared" si="0"/>
        <v>97695.6</v>
      </c>
      <c r="H32" s="40"/>
      <c r="I32" s="31"/>
      <c r="J32" s="429" t="s">
        <v>386</v>
      </c>
      <c r="K32" s="31"/>
      <c r="L32" s="25"/>
      <c r="M32" s="25"/>
      <c r="N32" s="25" t="s">
        <v>507</v>
      </c>
    </row>
    <row r="33" spans="1:14" x14ac:dyDescent="0.35">
      <c r="A33" s="29"/>
      <c r="B33" s="29"/>
      <c r="C33" s="29" t="s">
        <v>242</v>
      </c>
      <c r="D33" s="35">
        <v>5375</v>
      </c>
      <c r="E33" s="31">
        <f>-Adj!S14</f>
        <v>-231.40900195694715</v>
      </c>
      <c r="F33" s="466" t="s">
        <v>471</v>
      </c>
      <c r="G33" s="35">
        <f t="shared" si="0"/>
        <v>5143.5909980430524</v>
      </c>
      <c r="H33" s="31"/>
      <c r="I33" s="31"/>
      <c r="J33" s="450" t="s">
        <v>517</v>
      </c>
      <c r="K33" s="31"/>
      <c r="L33" s="25"/>
      <c r="M33" s="25"/>
      <c r="N33" s="25" t="s">
        <v>529</v>
      </c>
    </row>
    <row r="34" spans="1:14" x14ac:dyDescent="0.35">
      <c r="A34" s="29"/>
      <c r="B34" s="29"/>
      <c r="C34" s="29" t="s">
        <v>243</v>
      </c>
      <c r="D34" s="35">
        <v>29398</v>
      </c>
      <c r="E34" s="31"/>
      <c r="F34" s="162"/>
      <c r="G34" s="35">
        <f t="shared" si="0"/>
        <v>29398</v>
      </c>
      <c r="H34" s="31"/>
      <c r="I34" s="31"/>
      <c r="J34" s="450"/>
      <c r="K34" s="31"/>
      <c r="L34" s="25"/>
      <c r="M34" s="25"/>
      <c r="N34" s="25"/>
    </row>
    <row r="35" spans="1:14" x14ac:dyDescent="0.35">
      <c r="A35" s="29"/>
      <c r="B35" s="29"/>
      <c r="C35" s="29" t="s">
        <v>244</v>
      </c>
      <c r="D35" s="35">
        <v>34700</v>
      </c>
      <c r="E35" s="31"/>
      <c r="F35" s="162"/>
      <c r="G35" s="35">
        <f t="shared" si="0"/>
        <v>34700</v>
      </c>
      <c r="H35" s="31"/>
      <c r="I35" s="31"/>
      <c r="J35" s="450"/>
      <c r="K35" s="31"/>
      <c r="L35" s="25"/>
      <c r="M35" s="25"/>
      <c r="N35" s="25"/>
    </row>
    <row r="36" spans="1:14" x14ac:dyDescent="0.35">
      <c r="A36" s="29"/>
      <c r="B36" s="29"/>
      <c r="C36" s="29" t="s">
        <v>32</v>
      </c>
      <c r="D36" s="35">
        <v>19502</v>
      </c>
      <c r="E36" s="31">
        <f>-Adj!S17</f>
        <v>-839.61643835616428</v>
      </c>
      <c r="F36" s="466" t="s">
        <v>471</v>
      </c>
      <c r="G36" s="35">
        <f t="shared" si="0"/>
        <v>18662.383561643837</v>
      </c>
      <c r="H36" s="31"/>
      <c r="I36" s="31"/>
      <c r="J36" s="450" t="s">
        <v>517</v>
      </c>
      <c r="K36" s="31"/>
      <c r="L36" s="25"/>
      <c r="M36" s="25"/>
      <c r="N36" s="25" t="s">
        <v>524</v>
      </c>
    </row>
    <row r="37" spans="1:14" x14ac:dyDescent="0.35">
      <c r="A37" s="29"/>
      <c r="B37" s="29"/>
      <c r="C37" s="29" t="s">
        <v>109</v>
      </c>
      <c r="D37" s="35">
        <v>12992</v>
      </c>
      <c r="E37" s="31">
        <f>-Adj!S18</f>
        <v>-559.34246575342468</v>
      </c>
      <c r="F37" s="466" t="s">
        <v>471</v>
      </c>
      <c r="G37" s="35">
        <f t="shared" si="0"/>
        <v>12432.657534246575</v>
      </c>
      <c r="H37" s="31"/>
      <c r="I37" s="31"/>
      <c r="J37" s="450" t="s">
        <v>517</v>
      </c>
      <c r="K37" s="31"/>
      <c r="L37" s="25"/>
      <c r="M37" s="25"/>
      <c r="N37" s="25" t="s">
        <v>525</v>
      </c>
    </row>
    <row r="38" spans="1:14" x14ac:dyDescent="0.35">
      <c r="A38" s="29"/>
      <c r="B38" s="29"/>
      <c r="C38" s="29" t="s">
        <v>58</v>
      </c>
      <c r="D38" s="35">
        <v>9141</v>
      </c>
      <c r="E38" s="31">
        <f>-Adj!S19</f>
        <v>-393.54598825831698</v>
      </c>
      <c r="F38" s="466" t="s">
        <v>471</v>
      </c>
      <c r="G38" s="35">
        <f t="shared" si="0"/>
        <v>8747.4540117416836</v>
      </c>
      <c r="H38" s="31"/>
      <c r="I38" s="31"/>
      <c r="J38" s="450" t="s">
        <v>517</v>
      </c>
      <c r="K38" s="31"/>
      <c r="L38" s="25"/>
      <c r="M38" s="25"/>
      <c r="N38" s="25" t="s">
        <v>526</v>
      </c>
    </row>
    <row r="39" spans="1:14" x14ac:dyDescent="0.35">
      <c r="A39" s="29"/>
      <c r="B39" s="29"/>
      <c r="C39" s="29" t="s">
        <v>245</v>
      </c>
      <c r="D39" s="35">
        <v>9913</v>
      </c>
      <c r="E39" s="31">
        <f>-Adj!S20</f>
        <v>-426.78277886497062</v>
      </c>
      <c r="F39" s="466" t="s">
        <v>471</v>
      </c>
      <c r="G39" s="35">
        <f t="shared" si="0"/>
        <v>9486.2172211350298</v>
      </c>
      <c r="H39" s="31"/>
      <c r="I39" s="31"/>
      <c r="J39" s="450" t="s">
        <v>517</v>
      </c>
      <c r="K39" s="31"/>
      <c r="L39" s="25"/>
      <c r="M39" s="25"/>
      <c r="N39" s="25" t="s">
        <v>527</v>
      </c>
    </row>
    <row r="40" spans="1:14" x14ac:dyDescent="0.35">
      <c r="A40" s="29"/>
      <c r="B40" s="29"/>
      <c r="C40" s="29" t="s">
        <v>246</v>
      </c>
      <c r="D40" s="35">
        <v>229</v>
      </c>
      <c r="E40" s="31"/>
      <c r="F40" s="161"/>
      <c r="G40" s="35">
        <f t="shared" si="0"/>
        <v>229</v>
      </c>
      <c r="H40" s="31"/>
      <c r="I40" s="31"/>
      <c r="J40" s="450"/>
      <c r="K40" s="31"/>
      <c r="L40" s="25"/>
      <c r="M40" s="25"/>
      <c r="N40" s="25"/>
    </row>
    <row r="41" spans="1:14" x14ac:dyDescent="0.35">
      <c r="A41" s="29"/>
      <c r="B41" s="29"/>
      <c r="C41" s="29" t="s">
        <v>27</v>
      </c>
      <c r="D41" s="35">
        <v>29505</v>
      </c>
      <c r="E41" s="448"/>
      <c r="F41" s="161"/>
      <c r="G41" s="35"/>
      <c r="H41" s="40"/>
      <c r="I41" s="31"/>
      <c r="J41" s="450"/>
      <c r="K41" s="31"/>
      <c r="L41" s="25"/>
      <c r="M41" s="25"/>
      <c r="N41" s="25"/>
    </row>
    <row r="42" spans="1:14" x14ac:dyDescent="0.35">
      <c r="A42" s="29"/>
      <c r="B42" s="29"/>
      <c r="C42" s="29"/>
      <c r="D42" s="35"/>
      <c r="E42" s="448">
        <f>-Adj!S22-Adj!S23</f>
        <v>-881.54990215264183</v>
      </c>
      <c r="F42" s="466" t="s">
        <v>471</v>
      </c>
      <c r="G42" s="35">
        <f>SUM(D41:E42)</f>
        <v>28623.450097847359</v>
      </c>
      <c r="H42" s="40"/>
      <c r="I42" s="31"/>
      <c r="J42" s="450" t="s">
        <v>522</v>
      </c>
      <c r="K42" s="31"/>
      <c r="L42" s="25"/>
      <c r="M42" s="25"/>
      <c r="N42" s="25" t="s">
        <v>528</v>
      </c>
    </row>
    <row r="43" spans="1:14" x14ac:dyDescent="0.35">
      <c r="A43" s="29"/>
      <c r="B43" s="36" t="s">
        <v>19</v>
      </c>
      <c r="C43" s="29"/>
      <c r="D43" s="35">
        <f>SUM(D21:D41)</f>
        <v>1379511</v>
      </c>
      <c r="E43" s="31"/>
      <c r="F43" s="160"/>
      <c r="G43" s="35">
        <f>SUM(G21:G42)</f>
        <v>1043646.6990386908</v>
      </c>
      <c r="H43" s="31"/>
      <c r="I43" s="31"/>
      <c r="J43" s="450"/>
      <c r="K43" s="31"/>
      <c r="L43" s="25"/>
      <c r="M43" s="25"/>
      <c r="N43" s="25"/>
    </row>
    <row r="44" spans="1:14" x14ac:dyDescent="0.35">
      <c r="A44" s="29"/>
      <c r="B44" s="29" t="s">
        <v>20</v>
      </c>
      <c r="C44" s="29"/>
      <c r="D44" s="35">
        <v>269980</v>
      </c>
      <c r="E44" s="31">
        <f>DeprAdj!K34</f>
        <v>-99356.918444444455</v>
      </c>
      <c r="F44" s="466" t="s">
        <v>473</v>
      </c>
      <c r="G44" s="35">
        <f>D44+E44</f>
        <v>170623.08155555555</v>
      </c>
      <c r="H44" s="40"/>
      <c r="I44" s="31"/>
      <c r="J44" s="450" t="s">
        <v>468</v>
      </c>
      <c r="K44" s="31"/>
      <c r="L44" s="25"/>
      <c r="M44" s="25"/>
      <c r="N44" s="25" t="s">
        <v>466</v>
      </c>
    </row>
    <row r="45" spans="1:14" x14ac:dyDescent="0.35">
      <c r="A45" s="29"/>
      <c r="B45" s="29" t="s">
        <v>21</v>
      </c>
      <c r="C45" s="29"/>
      <c r="D45" s="35">
        <v>15211</v>
      </c>
      <c r="E45" s="31">
        <f>Wages!H58</f>
        <v>-67.596978504023355</v>
      </c>
      <c r="F45" s="161" t="s">
        <v>476</v>
      </c>
      <c r="G45" s="35">
        <f>D45+E45</f>
        <v>15143.403021495977</v>
      </c>
      <c r="H45" s="40"/>
      <c r="I45" s="31"/>
      <c r="J45" s="26" t="s">
        <v>469</v>
      </c>
      <c r="K45" s="31"/>
      <c r="L45" s="25"/>
      <c r="M45" s="25"/>
      <c r="N45" s="31" t="s">
        <v>321</v>
      </c>
    </row>
    <row r="46" spans="1:14" ht="16" x14ac:dyDescent="0.35">
      <c r="A46" s="29"/>
      <c r="B46" s="29" t="s">
        <v>274</v>
      </c>
      <c r="C46" s="29"/>
      <c r="D46" s="148">
        <v>0</v>
      </c>
      <c r="E46" s="31">
        <f>Adj!R8</f>
        <v>3588.551859099804</v>
      </c>
      <c r="F46" s="161" t="s">
        <v>130</v>
      </c>
      <c r="G46" s="148">
        <f>D46+E46</f>
        <v>3588.551859099804</v>
      </c>
      <c r="H46" s="317"/>
      <c r="I46" s="3"/>
      <c r="J46" s="26" t="s">
        <v>475</v>
      </c>
      <c r="K46" s="31"/>
      <c r="L46" s="25"/>
      <c r="M46" s="25"/>
      <c r="N46" s="3" t="s">
        <v>279</v>
      </c>
    </row>
    <row r="47" spans="1:14" x14ac:dyDescent="0.35">
      <c r="A47" s="36" t="s">
        <v>13</v>
      </c>
      <c r="B47" s="29"/>
      <c r="C47" s="29"/>
      <c r="D47" s="33">
        <f>SUM(D43:D46)</f>
        <v>1664702</v>
      </c>
      <c r="E47" s="31"/>
      <c r="F47" s="160"/>
      <c r="G47" s="33">
        <f>SUM(G43:G45)</f>
        <v>1229413.1836157423</v>
      </c>
      <c r="I47" s="31"/>
      <c r="J47" s="450"/>
      <c r="K47" s="31"/>
      <c r="L47" s="25"/>
      <c r="M47" s="231"/>
      <c r="N47" s="25"/>
    </row>
    <row r="48" spans="1:14" x14ac:dyDescent="0.35">
      <c r="A48" s="36" t="s">
        <v>33</v>
      </c>
      <c r="B48" s="29"/>
      <c r="C48" s="29"/>
      <c r="D48" s="33">
        <f>D17-D47</f>
        <v>-249458</v>
      </c>
      <c r="E48" s="31"/>
      <c r="F48" s="160"/>
      <c r="G48" s="33">
        <f>G17-G47</f>
        <v>26783.833084257552</v>
      </c>
      <c r="H48" s="31"/>
      <c r="I48" s="31"/>
      <c r="J48" s="450"/>
      <c r="K48" s="31"/>
      <c r="L48" s="25"/>
      <c r="M48" s="25"/>
      <c r="N48" s="25"/>
    </row>
    <row r="49" spans="1:14" x14ac:dyDescent="0.35">
      <c r="A49" s="29"/>
      <c r="B49" s="29"/>
      <c r="C49" s="29"/>
      <c r="D49" s="35"/>
      <c r="E49" s="29"/>
      <c r="F49" s="34"/>
      <c r="G49" s="35"/>
      <c r="H49" s="31"/>
      <c r="I49" s="31"/>
      <c r="J49" s="450"/>
      <c r="K49" s="31"/>
      <c r="L49" s="25"/>
      <c r="M49" s="25"/>
      <c r="N49" s="25"/>
    </row>
    <row r="50" spans="1:14" x14ac:dyDescent="0.35">
      <c r="A50" s="595" t="s">
        <v>562</v>
      </c>
      <c r="B50" s="595"/>
      <c r="C50" s="595"/>
      <c r="D50" s="595"/>
      <c r="E50" s="595"/>
      <c r="F50" s="595"/>
      <c r="G50" s="595"/>
      <c r="H50" s="31"/>
      <c r="I50" s="31"/>
      <c r="J50" s="450"/>
      <c r="K50" s="31"/>
      <c r="L50" s="25"/>
      <c r="M50" s="25"/>
      <c r="N50" s="25"/>
    </row>
    <row r="51" spans="1:14" x14ac:dyDescent="0.35">
      <c r="A51" s="36" t="s">
        <v>14</v>
      </c>
      <c r="B51" s="29"/>
      <c r="C51" s="29"/>
      <c r="D51" s="22"/>
      <c r="E51" s="29"/>
      <c r="F51" s="34"/>
      <c r="G51" s="33">
        <f>G47</f>
        <v>1229413.1836157423</v>
      </c>
      <c r="H51" s="31"/>
      <c r="I51" s="31"/>
      <c r="J51" s="450"/>
      <c r="K51" s="31"/>
      <c r="L51" s="25"/>
      <c r="M51" s="25"/>
      <c r="N51" s="25"/>
    </row>
    <row r="52" spans="1:14" x14ac:dyDescent="0.35">
      <c r="A52" s="29" t="s">
        <v>96</v>
      </c>
      <c r="B52" s="29"/>
      <c r="C52" s="29" t="s">
        <v>47</v>
      </c>
      <c r="D52" s="22"/>
      <c r="E52" s="29"/>
      <c r="F52" s="161" t="s">
        <v>195</v>
      </c>
      <c r="G52" s="35">
        <f>'Debt Sch'!M20</f>
        <v>137252.85</v>
      </c>
      <c r="H52" s="31"/>
      <c r="I52" s="31"/>
      <c r="J52" s="450" t="s">
        <v>233</v>
      </c>
      <c r="K52" s="31"/>
      <c r="L52" s="25"/>
      <c r="M52" s="25"/>
      <c r="N52" s="25"/>
    </row>
    <row r="53" spans="1:14" ht="16" x14ac:dyDescent="0.35">
      <c r="A53" s="29"/>
      <c r="B53" s="29"/>
      <c r="C53" s="29" t="s">
        <v>28</v>
      </c>
      <c r="D53" s="22"/>
      <c r="E53" s="29"/>
      <c r="F53" s="161" t="s">
        <v>478</v>
      </c>
      <c r="G53" s="148">
        <f>'Debt Sch'!M21</f>
        <v>27450.570000000003</v>
      </c>
      <c r="H53" s="31"/>
      <c r="I53" s="27"/>
      <c r="J53" s="450" t="s">
        <v>234</v>
      </c>
      <c r="K53" s="31"/>
      <c r="L53" s="25"/>
      <c r="M53" s="25"/>
      <c r="N53" s="25"/>
    </row>
    <row r="54" spans="1:14" x14ac:dyDescent="0.35">
      <c r="A54" s="36" t="s">
        <v>34</v>
      </c>
      <c r="B54" s="29"/>
      <c r="C54" s="29"/>
      <c r="D54" s="22"/>
      <c r="E54" s="29"/>
      <c r="F54" s="145"/>
      <c r="G54" s="33">
        <f>SUM(G51:G53)</f>
        <v>1394116.6036157424</v>
      </c>
      <c r="H54" s="31"/>
      <c r="I54" s="27"/>
      <c r="J54" s="450"/>
      <c r="K54" s="31"/>
      <c r="L54" s="25"/>
      <c r="M54" s="25"/>
      <c r="N54" s="25"/>
    </row>
    <row r="55" spans="1:14" x14ac:dyDescent="0.35">
      <c r="A55" s="29" t="s">
        <v>97</v>
      </c>
      <c r="B55" s="29"/>
      <c r="C55" s="29" t="s">
        <v>17</v>
      </c>
      <c r="D55" s="22"/>
      <c r="E55" s="29"/>
      <c r="F55" s="145"/>
      <c r="G55" s="150">
        <f>-SUM(G14:G16)</f>
        <v>-45226</v>
      </c>
      <c r="H55" s="31"/>
      <c r="I55" s="27"/>
      <c r="J55" s="450"/>
      <c r="K55" s="31"/>
      <c r="L55" s="25"/>
      <c r="M55" s="25"/>
      <c r="N55" s="25"/>
    </row>
    <row r="56" spans="1:14" x14ac:dyDescent="0.35">
      <c r="A56" s="29"/>
      <c r="B56" s="29"/>
      <c r="C56" s="29" t="s">
        <v>247</v>
      </c>
      <c r="D56" s="22">
        <f>ExBAw!Y16</f>
        <v>1381</v>
      </c>
      <c r="E56" s="29"/>
      <c r="F56" s="145"/>
      <c r="G56" s="150">
        <f>-D56</f>
        <v>-1381</v>
      </c>
      <c r="H56" s="31"/>
      <c r="I56" s="27"/>
      <c r="J56" s="450" t="s">
        <v>477</v>
      </c>
      <c r="K56" s="31"/>
      <c r="L56" s="25"/>
      <c r="M56" s="25"/>
      <c r="N56" s="25"/>
    </row>
    <row r="57" spans="1:14" ht="16" x14ac:dyDescent="0.35">
      <c r="A57" s="29"/>
      <c r="B57" s="29"/>
      <c r="C57" s="29" t="s">
        <v>62</v>
      </c>
      <c r="D57" s="22">
        <v>853</v>
      </c>
      <c r="E57" s="29"/>
      <c r="F57" s="145"/>
      <c r="G57" s="148">
        <f>-D57</f>
        <v>-853</v>
      </c>
      <c r="H57" s="31"/>
      <c r="I57" s="27"/>
      <c r="J57" s="450" t="s">
        <v>264</v>
      </c>
      <c r="K57" s="31"/>
      <c r="L57" s="25"/>
      <c r="M57" s="25"/>
      <c r="N57" s="25"/>
    </row>
    <row r="58" spans="1:14" x14ac:dyDescent="0.35">
      <c r="A58" s="36" t="s">
        <v>98</v>
      </c>
      <c r="B58" s="29"/>
      <c r="C58" s="29"/>
      <c r="D58" s="22"/>
      <c r="E58" s="29"/>
      <c r="F58" s="34"/>
      <c r="G58" s="151">
        <f>G54+SUM(G55:G57)</f>
        <v>1346656.6036157424</v>
      </c>
      <c r="I58" s="3"/>
      <c r="J58" s="464"/>
      <c r="K58" s="31"/>
      <c r="L58" s="29"/>
      <c r="M58" s="29"/>
      <c r="N58" s="29"/>
    </row>
    <row r="59" spans="1:14" ht="16" x14ac:dyDescent="0.35">
      <c r="A59" s="29" t="s">
        <v>97</v>
      </c>
      <c r="B59" s="29"/>
      <c r="C59" s="29" t="s">
        <v>35</v>
      </c>
      <c r="D59" s="22"/>
      <c r="E59" s="29"/>
      <c r="F59" s="34"/>
      <c r="G59" s="148">
        <f>-SUM(G10:G12)</f>
        <v>-1210971.0166999998</v>
      </c>
      <c r="H59" s="31"/>
      <c r="I59" s="1"/>
      <c r="J59" s="450"/>
      <c r="K59" s="31"/>
      <c r="L59" s="29"/>
      <c r="M59" s="29"/>
      <c r="N59" s="29"/>
    </row>
    <row r="60" spans="1:14" x14ac:dyDescent="0.35">
      <c r="A60" s="36" t="s">
        <v>15</v>
      </c>
      <c r="B60" s="29"/>
      <c r="C60" s="29"/>
      <c r="D60" s="22"/>
      <c r="E60" s="29"/>
      <c r="F60" s="34"/>
      <c r="G60" s="626">
        <f>G58+G59</f>
        <v>135685.58691574261</v>
      </c>
      <c r="H60" s="31"/>
      <c r="I60" s="1"/>
      <c r="J60" s="450"/>
      <c r="K60" s="31">
        <f>PropBAw!G15</f>
        <v>1349960.8132359998</v>
      </c>
      <c r="L60" s="29" t="s">
        <v>410</v>
      </c>
      <c r="M60" s="29"/>
      <c r="N60" s="29"/>
    </row>
    <row r="61" spans="1:14" ht="16" x14ac:dyDescent="0.35">
      <c r="A61" s="36" t="s">
        <v>16</v>
      </c>
      <c r="B61" s="29"/>
      <c r="C61" s="29"/>
      <c r="D61" s="22"/>
      <c r="E61" s="29"/>
      <c r="F61" s="34"/>
      <c r="G61" s="38">
        <f>ROUND(G60/-G59,3)</f>
        <v>0.112</v>
      </c>
      <c r="H61" s="25"/>
      <c r="J61" s="465"/>
      <c r="K61" s="148">
        <f>G12*G61</f>
        <v>351.42251199999998</v>
      </c>
      <c r="L61" s="29" t="s">
        <v>411</v>
      </c>
      <c r="M61" s="29"/>
      <c r="N61" s="29"/>
    </row>
    <row r="62" spans="1:14" x14ac:dyDescent="0.35">
      <c r="A62" s="22"/>
      <c r="B62" s="22"/>
      <c r="C62" s="22"/>
      <c r="D62" s="22"/>
      <c r="E62" s="22"/>
      <c r="F62" s="22"/>
      <c r="G62" s="22"/>
      <c r="I62" s="1"/>
      <c r="J62" s="22"/>
      <c r="K62" s="22">
        <f>K60+K61</f>
        <v>1350312.2357479997</v>
      </c>
      <c r="L62" s="22"/>
      <c r="M62" s="22"/>
      <c r="N62" s="22"/>
    </row>
    <row r="63" spans="1:14" x14ac:dyDescent="0.35">
      <c r="C63" s="502" t="s">
        <v>563</v>
      </c>
      <c r="D63" s="503"/>
      <c r="E63" s="503"/>
      <c r="F63" s="502"/>
      <c r="G63" s="504">
        <f>SAOs!G55</f>
        <v>132748.66660742179</v>
      </c>
      <c r="H63" s="229"/>
      <c r="I63" s="22"/>
      <c r="J63" s="22"/>
      <c r="K63" s="22"/>
      <c r="L63" s="22"/>
      <c r="M63" s="22"/>
      <c r="N63" s="22"/>
    </row>
    <row r="64" spans="1:14" x14ac:dyDescent="0.35">
      <c r="C64" s="502" t="s">
        <v>557</v>
      </c>
      <c r="D64" s="503"/>
      <c r="E64" s="503"/>
      <c r="F64" s="502"/>
      <c r="G64" s="505">
        <f>G58+G63</f>
        <v>1479405.2702231642</v>
      </c>
      <c r="H64" s="229"/>
      <c r="I64" s="22"/>
      <c r="J64" s="22"/>
      <c r="K64" s="22"/>
      <c r="L64" s="22"/>
      <c r="M64" s="22"/>
      <c r="N64" s="22"/>
    </row>
    <row r="65" spans="3:14" x14ac:dyDescent="0.35">
      <c r="C65" s="502"/>
      <c r="D65" s="503"/>
      <c r="E65" s="506"/>
      <c r="F65" s="502"/>
      <c r="G65" s="505"/>
      <c r="H65" s="500"/>
      <c r="I65" s="22"/>
      <c r="J65" s="22"/>
      <c r="K65" s="22"/>
      <c r="L65" s="22"/>
      <c r="M65" s="22"/>
      <c r="N65" s="22"/>
    </row>
    <row r="66" spans="3:14" x14ac:dyDescent="0.35">
      <c r="C66" s="502" t="s">
        <v>556</v>
      </c>
      <c r="D66" s="502"/>
      <c r="E66" s="502"/>
      <c r="F66" s="502"/>
      <c r="G66" s="625">
        <f>SAOs!G57</f>
        <v>7451.5166074217996</v>
      </c>
    </row>
    <row r="67" spans="3:14" x14ac:dyDescent="0.35">
      <c r="C67" s="502" t="s">
        <v>558</v>
      </c>
      <c r="D67" s="502"/>
      <c r="E67" s="502"/>
      <c r="F67" s="502"/>
      <c r="G67" s="505">
        <f>G60+G66</f>
        <v>143137.10352316441</v>
      </c>
    </row>
    <row r="68" spans="3:14" x14ac:dyDescent="0.35">
      <c r="C68" s="502"/>
      <c r="D68" s="502"/>
      <c r="E68" s="502"/>
      <c r="F68" s="502"/>
      <c r="G68" s="502"/>
    </row>
    <row r="69" spans="3:14" x14ac:dyDescent="0.35">
      <c r="C69" s="502" t="s">
        <v>559</v>
      </c>
      <c r="D69" s="502">
        <v>2445</v>
      </c>
      <c r="E69" s="502"/>
      <c r="F69" s="502"/>
      <c r="G69" s="502"/>
    </row>
    <row r="70" spans="3:14" x14ac:dyDescent="0.35">
      <c r="C70" s="502" t="s">
        <v>560</v>
      </c>
      <c r="D70" s="507">
        <v>110</v>
      </c>
      <c r="E70" s="502"/>
      <c r="F70" s="502"/>
      <c r="G70" s="502"/>
    </row>
    <row r="71" spans="3:14" x14ac:dyDescent="0.35">
      <c r="C71" s="502" t="s">
        <v>561</v>
      </c>
      <c r="D71" s="502">
        <f>D69+D70</f>
        <v>2555</v>
      </c>
      <c r="E71" s="502"/>
      <c r="F71" s="502"/>
      <c r="G71" s="502"/>
    </row>
    <row r="73" spans="3:14" x14ac:dyDescent="0.35">
      <c r="D73" s="26" t="s">
        <v>594</v>
      </c>
      <c r="G73" s="26">
        <f>G66+G60</f>
        <v>143137.10352316441</v>
      </c>
    </row>
  </sheetData>
  <mergeCells count="3">
    <mergeCell ref="A2:G2"/>
    <mergeCell ref="A50:G50"/>
    <mergeCell ref="A3:G3"/>
  </mergeCells>
  <printOptions horizontalCentered="1"/>
  <pageMargins left="1.1000000000000001" right="1" top="0.6" bottom="0.5" header="0" footer="0"/>
  <pageSetup scale="84" orientation="portrait" r:id="rId1"/>
  <headerFooter alignWithMargins="0"/>
  <ignoredErrors>
    <ignoredError sqref="D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T18"/>
  <sheetViews>
    <sheetView workbookViewId="0">
      <selection activeCell="L12" sqref="L12"/>
    </sheetView>
  </sheetViews>
  <sheetFormatPr defaultRowHeight="15.5" x14ac:dyDescent="0.35"/>
  <cols>
    <col min="1" max="1" width="9.69140625" customWidth="1"/>
    <col min="2" max="2" width="1.07421875" customWidth="1"/>
    <col min="3" max="3" width="4.765625" customWidth="1"/>
    <col min="4" max="4" width="5.53515625" customWidth="1"/>
    <col min="5" max="5" width="6.3046875" customWidth="1"/>
    <col min="6" max="6" width="7.3046875" bestFit="1" customWidth="1"/>
    <col min="7" max="7" width="13.3046875" customWidth="1"/>
    <col min="8" max="8" width="1.23046875" customWidth="1"/>
    <col min="9" max="9" width="4.765625" customWidth="1"/>
    <col min="10" max="10" width="5.53515625" customWidth="1"/>
    <col min="11" max="11" width="6.3046875" customWidth="1"/>
    <col min="12" max="12" width="7.3046875" bestFit="1" customWidth="1"/>
    <col min="13" max="13" width="13.3046875" customWidth="1"/>
    <col min="14" max="20" width="9.69140625" customWidth="1"/>
  </cols>
  <sheetData>
    <row r="1" spans="1:20" x14ac:dyDescent="0.35">
      <c r="A1" s="27"/>
      <c r="B1" s="27"/>
      <c r="C1" s="27"/>
      <c r="D1" s="27"/>
      <c r="E1" s="27"/>
      <c r="F1" s="27"/>
      <c r="G1" s="27"/>
      <c r="H1" s="27"/>
      <c r="I1" s="27"/>
      <c r="J1" s="27"/>
      <c r="K1" s="27"/>
      <c r="L1" s="27"/>
      <c r="M1" s="27"/>
      <c r="N1" s="27"/>
      <c r="O1" s="27"/>
      <c r="P1" s="27"/>
      <c r="Q1" s="27"/>
      <c r="R1" s="27"/>
      <c r="S1" s="27"/>
      <c r="T1" s="27"/>
    </row>
    <row r="2" spans="1:20" x14ac:dyDescent="0.35">
      <c r="A2" s="27"/>
      <c r="B2" s="48"/>
      <c r="C2" s="104"/>
      <c r="D2" s="104"/>
      <c r="E2" s="104"/>
      <c r="F2" s="104"/>
      <c r="G2" s="104"/>
      <c r="H2" s="104"/>
      <c r="I2" s="104"/>
      <c r="J2" s="104"/>
      <c r="K2" s="104"/>
      <c r="L2" s="104"/>
      <c r="M2" s="105"/>
      <c r="N2" s="27"/>
      <c r="O2" s="27"/>
      <c r="P2" s="27"/>
      <c r="Q2" s="27"/>
      <c r="R2" s="27"/>
      <c r="S2" s="27"/>
      <c r="T2" s="27"/>
    </row>
    <row r="3" spans="1:20" ht="18.5" x14ac:dyDescent="0.45">
      <c r="A3" s="27"/>
      <c r="B3" s="51"/>
      <c r="C3" s="604"/>
      <c r="D3" s="604"/>
      <c r="E3" s="604"/>
      <c r="F3" s="604"/>
      <c r="G3" s="604"/>
      <c r="H3" s="604"/>
      <c r="I3" s="604"/>
      <c r="J3" s="604"/>
      <c r="K3" s="604"/>
      <c r="L3" s="604"/>
      <c r="M3" s="611"/>
      <c r="N3" s="27"/>
      <c r="O3" s="27"/>
      <c r="P3" s="27"/>
      <c r="Q3" s="27"/>
      <c r="R3" s="27"/>
      <c r="S3" s="27"/>
      <c r="T3" s="27"/>
    </row>
    <row r="4" spans="1:20" ht="18.5" x14ac:dyDescent="0.45">
      <c r="A4" s="27"/>
      <c r="B4" s="51"/>
      <c r="C4" s="604" t="s">
        <v>89</v>
      </c>
      <c r="D4" s="604"/>
      <c r="E4" s="604"/>
      <c r="F4" s="604"/>
      <c r="G4" s="604"/>
      <c r="H4" s="604"/>
      <c r="I4" s="604"/>
      <c r="J4" s="604"/>
      <c r="K4" s="604"/>
      <c r="L4" s="604"/>
      <c r="M4" s="611"/>
      <c r="N4" s="27"/>
      <c r="O4" s="27"/>
      <c r="P4" s="27"/>
      <c r="Q4" s="27"/>
      <c r="R4" s="27"/>
      <c r="S4" s="27"/>
      <c r="T4" s="27"/>
    </row>
    <row r="5" spans="1:20" ht="18.5" x14ac:dyDescent="0.35">
      <c r="A5" s="27"/>
      <c r="B5" s="51"/>
      <c r="C5" s="594" t="str">
        <f>SAOw!A2</f>
        <v>POWELL'S VALLEY WATER DISTRICT</v>
      </c>
      <c r="D5" s="594"/>
      <c r="E5" s="594"/>
      <c r="F5" s="594"/>
      <c r="G5" s="594"/>
      <c r="H5" s="594"/>
      <c r="I5" s="594"/>
      <c r="J5" s="594"/>
      <c r="K5" s="594"/>
      <c r="L5" s="594"/>
      <c r="M5" s="612"/>
      <c r="N5" s="133"/>
      <c r="O5" s="133"/>
      <c r="P5" s="133"/>
      <c r="Q5" s="133"/>
      <c r="R5" s="133"/>
      <c r="S5" s="213"/>
      <c r="T5" s="27"/>
    </row>
    <row r="6" spans="1:20" ht="18.5" x14ac:dyDescent="0.35">
      <c r="A6" s="27"/>
      <c r="B6" s="51"/>
      <c r="C6" s="594" t="s">
        <v>200</v>
      </c>
      <c r="D6" s="594"/>
      <c r="E6" s="594"/>
      <c r="F6" s="594"/>
      <c r="G6" s="594"/>
      <c r="H6" s="594"/>
      <c r="I6" s="594"/>
      <c r="J6" s="594"/>
      <c r="K6" s="594"/>
      <c r="L6" s="594"/>
      <c r="M6" s="612"/>
      <c r="N6" s="133"/>
      <c r="O6" s="133"/>
      <c r="P6" s="133"/>
      <c r="Q6" s="133"/>
      <c r="R6" s="133"/>
      <c r="S6" s="133"/>
      <c r="T6" s="27"/>
    </row>
    <row r="7" spans="1:20" x14ac:dyDescent="0.35">
      <c r="A7" s="27"/>
      <c r="B7" s="51"/>
      <c r="C7" s="1"/>
      <c r="D7" s="1"/>
      <c r="E7" s="1"/>
      <c r="F7" s="1"/>
      <c r="G7" s="1"/>
      <c r="H7" s="1"/>
      <c r="I7" s="1"/>
      <c r="J7" s="1"/>
      <c r="K7" s="1"/>
      <c r="L7" s="1"/>
      <c r="M7" s="106"/>
      <c r="N7" s="27"/>
      <c r="O7" s="27"/>
      <c r="P7" s="27"/>
      <c r="Q7" s="27"/>
      <c r="R7" s="27"/>
      <c r="S7" s="27"/>
      <c r="T7" s="27"/>
    </row>
    <row r="8" spans="1:20" x14ac:dyDescent="0.35">
      <c r="A8" s="27"/>
      <c r="B8" s="48"/>
      <c r="C8" s="104"/>
      <c r="D8" s="104"/>
      <c r="E8" s="104"/>
      <c r="F8" s="104"/>
      <c r="G8" s="105"/>
      <c r="H8" s="48"/>
      <c r="I8" s="104"/>
      <c r="J8" s="104"/>
      <c r="K8" s="104"/>
      <c r="L8" s="104"/>
      <c r="M8" s="105"/>
      <c r="N8" s="27"/>
      <c r="O8" s="27"/>
      <c r="P8" s="27"/>
      <c r="Q8" s="27"/>
      <c r="R8" s="27"/>
      <c r="S8" s="27"/>
      <c r="T8" s="27"/>
    </row>
    <row r="9" spans="1:20" x14ac:dyDescent="0.35">
      <c r="A9" s="27"/>
      <c r="B9" s="51"/>
      <c r="C9" s="605" t="s">
        <v>88</v>
      </c>
      <c r="D9" s="605"/>
      <c r="E9" s="605"/>
      <c r="F9" s="605"/>
      <c r="G9" s="606"/>
      <c r="H9" s="1"/>
      <c r="I9" s="605" t="s">
        <v>193</v>
      </c>
      <c r="J9" s="605"/>
      <c r="K9" s="605"/>
      <c r="L9" s="605"/>
      <c r="M9" s="606"/>
      <c r="N9" s="27"/>
      <c r="O9" s="489">
        <f>SAOs!G58</f>
        <v>5.9470758971148188E-2</v>
      </c>
      <c r="P9" s="27" t="s">
        <v>554</v>
      </c>
      <c r="Q9" s="27"/>
      <c r="R9" s="27"/>
      <c r="S9" s="27"/>
      <c r="T9" s="27"/>
    </row>
    <row r="10" spans="1:20" x14ac:dyDescent="0.35">
      <c r="A10" s="27"/>
      <c r="B10" s="51"/>
      <c r="C10" s="1"/>
      <c r="D10" s="1"/>
      <c r="E10" s="1"/>
      <c r="F10" s="1"/>
      <c r="G10" s="106"/>
      <c r="H10" s="1"/>
      <c r="I10" s="1"/>
      <c r="J10" s="1"/>
      <c r="K10" s="1"/>
      <c r="L10" s="1"/>
      <c r="M10" s="106"/>
      <c r="N10" s="27"/>
      <c r="O10" s="27"/>
      <c r="P10" s="27"/>
      <c r="Q10" s="27"/>
      <c r="R10" s="27"/>
      <c r="S10" s="27"/>
      <c r="T10" s="27"/>
    </row>
    <row r="11" spans="1:20" x14ac:dyDescent="0.35">
      <c r="A11" s="27"/>
      <c r="B11" s="51"/>
      <c r="C11" s="10" t="s">
        <v>194</v>
      </c>
      <c r="D11" s="1"/>
      <c r="E11" s="1"/>
      <c r="F11" s="1"/>
      <c r="G11" s="106"/>
      <c r="H11" s="1"/>
      <c r="I11" s="10" t="s">
        <v>194</v>
      </c>
      <c r="J11" s="1"/>
      <c r="K11" s="1"/>
      <c r="L11" s="111"/>
      <c r="M11" s="106"/>
      <c r="N11" s="27"/>
      <c r="O11" s="27"/>
      <c r="P11" s="27" t="s">
        <v>248</v>
      </c>
      <c r="Q11" s="27"/>
      <c r="R11" s="27"/>
      <c r="S11" s="27"/>
      <c r="T11" s="27"/>
    </row>
    <row r="12" spans="1:20" x14ac:dyDescent="0.35">
      <c r="A12" s="27"/>
      <c r="B12" s="51"/>
      <c r="C12" s="13" t="s">
        <v>80</v>
      </c>
      <c r="D12" s="216">
        <v>2000</v>
      </c>
      <c r="E12" s="1" t="s">
        <v>84</v>
      </c>
      <c r="F12" s="217">
        <v>27.57</v>
      </c>
      <c r="G12" s="106" t="s">
        <v>85</v>
      </c>
      <c r="H12" s="1"/>
      <c r="I12" s="13" t="s">
        <v>80</v>
      </c>
      <c r="J12" s="216">
        <f>D12</f>
        <v>2000</v>
      </c>
      <c r="K12" s="1" t="s">
        <v>84</v>
      </c>
      <c r="L12" s="217">
        <f>ROUND(F12*(1+$O$9),2)</f>
        <v>29.21</v>
      </c>
      <c r="M12" s="106" t="s">
        <v>85</v>
      </c>
      <c r="N12" s="27"/>
      <c r="O12" s="218">
        <f>(L12-F12)/F12</f>
        <v>5.9484947406601402E-2</v>
      </c>
      <c r="P12" s="163">
        <f>L12-F12</f>
        <v>1.6400000000000006</v>
      </c>
      <c r="Q12" s="27"/>
      <c r="S12" s="163"/>
      <c r="T12" s="27"/>
    </row>
    <row r="13" spans="1:20" x14ac:dyDescent="0.35">
      <c r="A13" s="27"/>
      <c r="B13" s="51"/>
      <c r="C13" s="13" t="s">
        <v>82</v>
      </c>
      <c r="D13" s="216">
        <v>2000</v>
      </c>
      <c r="E13" s="1" t="s">
        <v>84</v>
      </c>
      <c r="F13" s="252">
        <v>1.3780000000000001E-2</v>
      </c>
      <c r="G13" s="106" t="s">
        <v>239</v>
      </c>
      <c r="H13" s="1"/>
      <c r="I13" s="13" t="s">
        <v>82</v>
      </c>
      <c r="J13" s="216">
        <f>D13</f>
        <v>2000</v>
      </c>
      <c r="K13" s="1" t="s">
        <v>84</v>
      </c>
      <c r="L13" s="250">
        <f>ROUNDUP(F13*(1+$O$9),5)</f>
        <v>1.46E-2</v>
      </c>
      <c r="M13" s="106" t="s">
        <v>239</v>
      </c>
      <c r="N13" s="27"/>
      <c r="O13" s="218">
        <f>(L13-F13)/F13</f>
        <v>5.9506531204644379E-2</v>
      </c>
      <c r="P13" s="253">
        <f>L13-F13</f>
        <v>8.1999999999999955E-4</v>
      </c>
      <c r="Q13" s="27"/>
      <c r="S13" s="163"/>
      <c r="T13" s="27"/>
    </row>
    <row r="14" spans="1:20" x14ac:dyDescent="0.35">
      <c r="A14" s="27"/>
      <c r="B14" s="51"/>
      <c r="C14" s="13"/>
      <c r="D14" s="216"/>
      <c r="E14" s="1"/>
      <c r="F14" s="219"/>
      <c r="G14" s="106"/>
      <c r="H14" s="1"/>
      <c r="I14" s="13"/>
      <c r="J14" s="216"/>
      <c r="K14" s="1"/>
      <c r="L14" s="109"/>
      <c r="M14" s="106"/>
      <c r="N14" s="27"/>
      <c r="O14" s="218"/>
      <c r="P14" s="163"/>
      <c r="Q14" s="27"/>
      <c r="S14" s="163"/>
      <c r="T14" s="27"/>
    </row>
    <row r="15" spans="1:20" x14ac:dyDescent="0.35">
      <c r="A15" s="27"/>
      <c r="B15" s="51"/>
      <c r="C15" s="251" t="s">
        <v>238</v>
      </c>
      <c r="D15" s="216"/>
      <c r="E15" s="1"/>
      <c r="F15" s="219">
        <f>F12</f>
        <v>27.57</v>
      </c>
      <c r="G15" s="106" t="s">
        <v>240</v>
      </c>
      <c r="H15" s="1"/>
      <c r="I15" s="251" t="s">
        <v>238</v>
      </c>
      <c r="J15" s="216"/>
      <c r="K15" s="1"/>
      <c r="L15" s="217">
        <f>ROUND(F15*(1+$O$9),2)</f>
        <v>29.21</v>
      </c>
      <c r="M15" s="106" t="s">
        <v>240</v>
      </c>
      <c r="N15" s="27"/>
      <c r="O15" s="218"/>
      <c r="P15" s="163"/>
      <c r="Q15" s="27"/>
      <c r="S15" s="163"/>
      <c r="T15" s="27"/>
    </row>
    <row r="16" spans="1:20" x14ac:dyDescent="0.35">
      <c r="A16" s="27"/>
      <c r="B16" s="56"/>
      <c r="C16" s="220"/>
      <c r="D16" s="20"/>
      <c r="E16" s="20"/>
      <c r="F16" s="20"/>
      <c r="G16" s="110"/>
      <c r="H16" s="20"/>
      <c r="I16" s="20"/>
      <c r="J16" s="20"/>
      <c r="K16" s="20"/>
      <c r="L16" s="20"/>
      <c r="M16" s="110"/>
      <c r="N16" s="27"/>
      <c r="O16" s="27"/>
      <c r="P16" s="27"/>
      <c r="Q16" s="27"/>
      <c r="S16" s="27"/>
      <c r="T16" s="27"/>
    </row>
    <row r="17" spans="1:20" x14ac:dyDescent="0.35">
      <c r="A17" s="27"/>
      <c r="B17" s="27"/>
      <c r="C17" s="221"/>
      <c r="D17" s="27"/>
      <c r="E17" s="27"/>
      <c r="F17" s="27"/>
      <c r="G17" s="27"/>
      <c r="H17" s="27"/>
      <c r="I17" s="27"/>
      <c r="J17" s="27"/>
      <c r="K17" s="27"/>
      <c r="L17" s="27"/>
      <c r="M17" s="27"/>
      <c r="N17" s="27"/>
      <c r="O17" s="27"/>
      <c r="P17" s="27"/>
      <c r="Q17" s="27"/>
      <c r="R17" s="27"/>
      <c r="S17" s="27"/>
      <c r="T17" s="27"/>
    </row>
    <row r="18" spans="1:20" x14ac:dyDescent="0.35">
      <c r="I18" s="171"/>
    </row>
  </sheetData>
  <mergeCells count="6">
    <mergeCell ref="C3:M3"/>
    <mergeCell ref="C4:M4"/>
    <mergeCell ref="C5:M5"/>
    <mergeCell ref="C9:G9"/>
    <mergeCell ref="I9:M9"/>
    <mergeCell ref="C6:M6"/>
  </mergeCells>
  <printOptions horizontalCentered="1"/>
  <pageMargins left="0.45" right="0.45" top="2" bottom="0.75" header="0.3" footer="0.3"/>
  <pageSetup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31"/>
  <sheetViews>
    <sheetView workbookViewId="0">
      <selection activeCell="K13" sqref="K13"/>
    </sheetView>
  </sheetViews>
  <sheetFormatPr defaultRowHeight="15.5" x14ac:dyDescent="0.35"/>
  <cols>
    <col min="1" max="1" width="8.4609375" customWidth="1"/>
    <col min="2" max="2" width="8.69140625" customWidth="1"/>
    <col min="3" max="3" width="8" customWidth="1"/>
    <col min="4" max="4" width="11.53515625" customWidth="1"/>
    <col min="5" max="5" width="9.765625" customWidth="1"/>
    <col min="6" max="6" width="10.3046875" customWidth="1"/>
    <col min="7" max="7" width="9.765625" customWidth="1"/>
    <col min="8" max="8" width="10.07421875" customWidth="1"/>
    <col min="9" max="9" width="11" customWidth="1"/>
    <col min="15" max="15" width="15.921875" bestFit="1" customWidth="1"/>
    <col min="16" max="16" width="9.3046875" bestFit="1" customWidth="1"/>
    <col min="17" max="17" width="10.15234375" bestFit="1" customWidth="1"/>
    <col min="18" max="18" width="12.765625" customWidth="1"/>
    <col min="19" max="19" width="12.15234375" customWidth="1"/>
    <col min="20" max="20" width="18" bestFit="1" customWidth="1"/>
    <col min="21" max="21" width="12.4609375" bestFit="1" customWidth="1"/>
    <col min="22" max="22" width="17.921875" bestFit="1" customWidth="1"/>
    <col min="23" max="23" width="10.15234375" bestFit="1" customWidth="1"/>
  </cols>
  <sheetData>
    <row r="1" spans="1:24" ht="18.5" x14ac:dyDescent="0.45">
      <c r="A1" s="613" t="str">
        <f>SAOw!A2</f>
        <v>POWELL'S VALLEY WATER DISTRICT</v>
      </c>
      <c r="B1" s="613"/>
      <c r="C1" s="613"/>
      <c r="D1" s="613"/>
      <c r="E1" s="613"/>
      <c r="F1" s="613"/>
      <c r="G1" s="613"/>
      <c r="H1" s="212"/>
      <c r="I1" s="224"/>
      <c r="J1" s="3"/>
      <c r="K1" s="3"/>
      <c r="L1" s="3"/>
      <c r="M1" s="3"/>
      <c r="N1" s="3"/>
      <c r="O1" s="3"/>
      <c r="P1" s="3"/>
      <c r="T1" s="347" t="s">
        <v>338</v>
      </c>
      <c r="U1" s="347"/>
    </row>
    <row r="2" spans="1:24" ht="18.5" x14ac:dyDescent="0.45">
      <c r="A2" s="604" t="s">
        <v>565</v>
      </c>
      <c r="B2" s="604"/>
      <c r="C2" s="604"/>
      <c r="D2" s="604"/>
      <c r="E2" s="604"/>
      <c r="F2" s="604"/>
      <c r="G2" s="604"/>
      <c r="H2" s="133"/>
      <c r="I2" s="214"/>
      <c r="J2" s="3"/>
      <c r="K2" s="3"/>
      <c r="L2" s="3"/>
      <c r="M2" s="3"/>
      <c r="N2" s="3"/>
      <c r="O2" s="311"/>
      <c r="P2" s="312" t="s">
        <v>282</v>
      </c>
      <c r="Q2" s="308" t="s">
        <v>86</v>
      </c>
      <c r="R2" s="308" t="s">
        <v>46</v>
      </c>
      <c r="S2" s="263"/>
      <c r="T2" s="348" t="s">
        <v>331</v>
      </c>
      <c r="U2" s="347"/>
      <c r="V2" s="256" t="s">
        <v>335</v>
      </c>
    </row>
    <row r="3" spans="1:24" ht="18.5" x14ac:dyDescent="0.45">
      <c r="A3" s="604" t="s">
        <v>200</v>
      </c>
      <c r="B3" s="604"/>
      <c r="C3" s="604"/>
      <c r="D3" s="604"/>
      <c r="E3" s="604"/>
      <c r="F3" s="604"/>
      <c r="G3" s="604"/>
      <c r="H3" s="1"/>
      <c r="I3" s="3"/>
      <c r="J3" s="3"/>
      <c r="K3" s="3"/>
      <c r="L3" s="3"/>
      <c r="M3" s="3"/>
      <c r="N3" s="3"/>
      <c r="O3" s="311" t="s">
        <v>286</v>
      </c>
      <c r="P3" s="311">
        <v>568</v>
      </c>
      <c r="Q3" s="257">
        <v>1343440</v>
      </c>
      <c r="R3" s="300">
        <v>22971.98</v>
      </c>
      <c r="S3" s="300"/>
      <c r="T3" s="347" t="s">
        <v>325</v>
      </c>
      <c r="U3" s="349">
        <v>28304.01</v>
      </c>
      <c r="V3" s="338"/>
    </row>
    <row r="4" spans="1:24" x14ac:dyDescent="0.35">
      <c r="A4" s="1"/>
      <c r="B4" s="82" t="s">
        <v>94</v>
      </c>
      <c r="C4" s="1"/>
      <c r="D4" s="1"/>
      <c r="E4" s="1"/>
      <c r="F4" s="1"/>
      <c r="H4" s="1"/>
      <c r="I4" s="3"/>
      <c r="J4" s="3" t="s">
        <v>271</v>
      </c>
      <c r="K4" s="3">
        <v>110</v>
      </c>
      <c r="L4" s="3" t="s">
        <v>187</v>
      </c>
      <c r="M4" s="3"/>
      <c r="N4" s="3"/>
      <c r="O4" s="311" t="s">
        <v>280</v>
      </c>
      <c r="P4" s="311">
        <v>775</v>
      </c>
      <c r="Q4" s="257">
        <v>6223900</v>
      </c>
      <c r="R4" s="300">
        <v>90351.91</v>
      </c>
      <c r="S4" s="300"/>
      <c r="T4" s="347" t="s">
        <v>326</v>
      </c>
      <c r="U4" s="349">
        <v>135168.28</v>
      </c>
      <c r="V4" s="338"/>
    </row>
    <row r="5" spans="1:24" ht="18.5" x14ac:dyDescent="0.65">
      <c r="A5" s="1"/>
      <c r="B5" s="136"/>
      <c r="C5" s="20"/>
      <c r="D5" s="11" t="s">
        <v>83</v>
      </c>
      <c r="E5" s="11" t="s">
        <v>48</v>
      </c>
      <c r="F5" s="11" t="s">
        <v>46</v>
      </c>
      <c r="H5" s="2"/>
      <c r="I5" s="3"/>
      <c r="J5" s="3"/>
      <c r="K5" s="3"/>
      <c r="L5" s="3"/>
      <c r="M5" s="3"/>
      <c r="N5" s="3"/>
      <c r="O5" s="311" t="s">
        <v>287</v>
      </c>
      <c r="P5" s="313">
        <v>36</v>
      </c>
      <c r="Q5" s="309">
        <v>812530</v>
      </c>
      <c r="R5" s="310">
        <v>11312.22</v>
      </c>
      <c r="S5" s="310"/>
      <c r="T5" s="347" t="s">
        <v>327</v>
      </c>
      <c r="U5" s="349">
        <v>65965.5</v>
      </c>
      <c r="W5" s="338">
        <v>65965.5</v>
      </c>
      <c r="X5" s="257" t="s">
        <v>449</v>
      </c>
    </row>
    <row r="6" spans="1:24" x14ac:dyDescent="0.35">
      <c r="A6" s="1"/>
      <c r="B6" s="1" t="s">
        <v>190</v>
      </c>
      <c r="C6" s="1"/>
      <c r="D6" s="3">
        <f>C20</f>
        <v>1379</v>
      </c>
      <c r="E6" s="74">
        <f>D20</f>
        <v>8379870</v>
      </c>
      <c r="F6" s="246">
        <f>F26</f>
        <v>124636.11380000001</v>
      </c>
      <c r="H6" s="76"/>
      <c r="I6" s="3"/>
      <c r="J6" s="3">
        <f>E6/D6</f>
        <v>6076.7730239303846</v>
      </c>
      <c r="K6" s="3" t="s">
        <v>272</v>
      </c>
      <c r="L6" s="3"/>
      <c r="M6" s="3">
        <f>D8/12</f>
        <v>116.91666666666667</v>
      </c>
      <c r="N6" s="3"/>
      <c r="O6" s="314" t="s">
        <v>3</v>
      </c>
      <c r="P6" s="311">
        <f>SUM(P3:P5)</f>
        <v>1379</v>
      </c>
      <c r="Q6" s="311">
        <f>SUM(Q3:Q5)</f>
        <v>8379870</v>
      </c>
      <c r="R6" s="300">
        <f>SUM(R3:R5)</f>
        <v>124636.11</v>
      </c>
      <c r="S6" s="300"/>
      <c r="T6" s="347" t="s">
        <v>328</v>
      </c>
      <c r="U6" s="349">
        <v>1802.35</v>
      </c>
      <c r="V6" s="338">
        <v>1802.35</v>
      </c>
    </row>
    <row r="7" spans="1:24" ht="17" x14ac:dyDescent="0.5">
      <c r="A7" s="1"/>
      <c r="B7" s="1" t="s">
        <v>238</v>
      </c>
      <c r="C7" s="1"/>
      <c r="D7" s="134">
        <v>24</v>
      </c>
      <c r="E7" s="265"/>
      <c r="F7" s="337">
        <f>D7*E24</f>
        <v>661.68000000000006</v>
      </c>
      <c r="H7" s="5"/>
      <c r="J7" s="3" t="s">
        <v>450</v>
      </c>
      <c r="K7" s="3"/>
      <c r="L7" s="3"/>
      <c r="M7" s="3"/>
      <c r="N7" s="3"/>
      <c r="O7" s="3"/>
      <c r="P7" s="3"/>
      <c r="T7" s="347" t="s">
        <v>329</v>
      </c>
      <c r="U7" s="349">
        <v>180</v>
      </c>
      <c r="V7" s="338">
        <v>180</v>
      </c>
    </row>
    <row r="8" spans="1:24" x14ac:dyDescent="0.35">
      <c r="A8" s="1"/>
      <c r="B8" s="1"/>
      <c r="C8" s="1"/>
      <c r="D8" s="43">
        <f>SUM(D6:D7)</f>
        <v>1403</v>
      </c>
      <c r="F8" s="78">
        <f>ROUND(SUM(F6:F7),0)</f>
        <v>125298</v>
      </c>
      <c r="H8" s="264" t="s">
        <v>191</v>
      </c>
      <c r="I8" s="226"/>
      <c r="J8" s="3"/>
      <c r="K8" s="3"/>
      <c r="L8" s="3"/>
      <c r="M8" s="3"/>
      <c r="N8" s="3"/>
      <c r="O8" s="3"/>
      <c r="P8" s="3"/>
      <c r="T8" s="347" t="s">
        <v>330</v>
      </c>
      <c r="U8" s="350">
        <v>-44173.72</v>
      </c>
      <c r="V8" s="346"/>
    </row>
    <row r="9" spans="1:24" x14ac:dyDescent="0.35">
      <c r="A9" s="1"/>
      <c r="B9" s="1"/>
      <c r="C9" s="1"/>
      <c r="D9" s="1"/>
      <c r="E9" s="1"/>
      <c r="F9" s="78"/>
      <c r="G9" s="78"/>
      <c r="H9" s="1"/>
      <c r="I9" s="3"/>
      <c r="J9" s="3"/>
      <c r="K9" s="3"/>
      <c r="L9" s="3"/>
      <c r="M9" s="3"/>
      <c r="N9" s="3"/>
      <c r="O9" s="3"/>
      <c r="P9" s="3"/>
      <c r="T9" s="347"/>
      <c r="U9" s="351">
        <f>SUM(U3:U8)</f>
        <v>187246.42</v>
      </c>
      <c r="V9" s="299">
        <f>SUM(V6:V8)</f>
        <v>1982.35</v>
      </c>
    </row>
    <row r="10" spans="1:24" x14ac:dyDescent="0.35">
      <c r="A10" s="1"/>
      <c r="B10" s="1"/>
      <c r="C10" s="1"/>
      <c r="D10" s="1"/>
      <c r="E10" s="8" t="s">
        <v>191</v>
      </c>
      <c r="F10" s="78">
        <f>ROUND(F8,0)</f>
        <v>125298</v>
      </c>
      <c r="G10" s="78"/>
      <c r="H10" s="1"/>
      <c r="I10" s="3"/>
      <c r="J10" s="3"/>
      <c r="K10" s="3"/>
      <c r="L10" s="3"/>
      <c r="M10" s="3"/>
      <c r="N10" s="3"/>
      <c r="O10" s="3"/>
      <c r="P10" s="3"/>
      <c r="U10" s="299"/>
      <c r="V10" s="299"/>
    </row>
    <row r="11" spans="1:24" x14ac:dyDescent="0.35">
      <c r="A11" s="1"/>
      <c r="B11" s="1"/>
      <c r="C11" s="1"/>
      <c r="D11" s="1"/>
      <c r="E11" s="8"/>
      <c r="F11" s="78"/>
      <c r="G11" s="78"/>
      <c r="H11" s="1"/>
      <c r="I11" s="3"/>
      <c r="J11" s="3"/>
      <c r="K11" s="3"/>
      <c r="L11" s="3"/>
      <c r="M11" s="3"/>
      <c r="N11" s="3"/>
      <c r="O11" s="3"/>
      <c r="P11" s="3"/>
      <c r="U11" s="299"/>
      <c r="V11" s="299"/>
    </row>
    <row r="12" spans="1:24" x14ac:dyDescent="0.35">
      <c r="A12" s="1"/>
      <c r="B12" s="1"/>
      <c r="C12" s="1"/>
      <c r="D12" s="1"/>
      <c r="E12" s="202"/>
      <c r="F12" s="78"/>
      <c r="G12" s="78"/>
      <c r="H12" s="1"/>
      <c r="I12" s="3"/>
      <c r="J12" s="3"/>
      <c r="K12" s="3"/>
      <c r="L12" s="3"/>
      <c r="M12" s="3"/>
      <c r="N12" s="3"/>
      <c r="O12" s="3"/>
      <c r="P12" s="3"/>
      <c r="U12" s="299"/>
      <c r="V12" s="299"/>
    </row>
    <row r="13" spans="1:24" x14ac:dyDescent="0.35">
      <c r="A13" s="1"/>
      <c r="B13" s="1"/>
      <c r="C13" s="1"/>
      <c r="E13" s="13" t="s">
        <v>332</v>
      </c>
      <c r="F13" s="78">
        <f>ROUND((U9-W5-V9),0)</f>
        <v>119299</v>
      </c>
      <c r="G13" s="78"/>
      <c r="H13" s="1"/>
      <c r="I13" s="3"/>
      <c r="J13" s="3"/>
      <c r="K13" s="3"/>
      <c r="L13" s="3"/>
      <c r="M13" s="3"/>
      <c r="N13" s="3"/>
      <c r="O13" s="3"/>
      <c r="P13" s="3"/>
      <c r="U13" s="299"/>
      <c r="V13" s="299"/>
    </row>
    <row r="14" spans="1:24" x14ac:dyDescent="0.35">
      <c r="A14" s="1"/>
      <c r="B14" s="1"/>
      <c r="C14" s="1"/>
      <c r="D14" s="1" t="s">
        <v>248</v>
      </c>
      <c r="E14" s="202"/>
      <c r="F14" s="78">
        <f>F10-F13</f>
        <v>5999</v>
      </c>
      <c r="H14" s="78" t="s">
        <v>564</v>
      </c>
      <c r="I14" s="3"/>
      <c r="J14" s="3"/>
      <c r="K14" s="3"/>
      <c r="L14" s="3"/>
      <c r="M14" s="3"/>
      <c r="N14" s="3"/>
      <c r="O14" s="3"/>
      <c r="P14" s="3"/>
      <c r="U14" s="299"/>
      <c r="V14" s="299"/>
    </row>
    <row r="15" spans="1:24" x14ac:dyDescent="0.35">
      <c r="A15" s="132" t="s">
        <v>189</v>
      </c>
      <c r="B15" s="1"/>
      <c r="C15" s="1"/>
      <c r="D15" s="1"/>
      <c r="E15" s="1"/>
      <c r="F15" s="1"/>
      <c r="G15" s="1"/>
      <c r="H15" s="1"/>
      <c r="I15" s="3"/>
      <c r="J15" s="3"/>
      <c r="K15" s="3"/>
      <c r="L15" s="3"/>
      <c r="M15" s="3"/>
      <c r="N15" s="3"/>
      <c r="O15" s="3"/>
      <c r="P15" s="3"/>
    </row>
    <row r="16" spans="1:24" x14ac:dyDescent="0.35">
      <c r="A16" s="1"/>
      <c r="B16" s="1"/>
      <c r="C16" s="1"/>
      <c r="D16" s="1"/>
      <c r="E16" s="2" t="s">
        <v>49</v>
      </c>
      <c r="F16" s="2" t="s">
        <v>50</v>
      </c>
      <c r="G16" s="1"/>
      <c r="I16" s="3"/>
      <c r="J16" s="3"/>
      <c r="K16" s="3"/>
      <c r="L16" s="3"/>
      <c r="M16" s="3"/>
      <c r="N16" s="3"/>
      <c r="O16" s="3"/>
      <c r="P16" s="3"/>
    </row>
    <row r="17" spans="1:16" x14ac:dyDescent="0.35">
      <c r="A17" s="1"/>
      <c r="B17" s="11" t="s">
        <v>51</v>
      </c>
      <c r="C17" s="12" t="s">
        <v>52</v>
      </c>
      <c r="D17" s="12" t="s">
        <v>53</v>
      </c>
      <c r="E17" s="12">
        <f>B18</f>
        <v>2000</v>
      </c>
      <c r="F17" s="12">
        <f>B19</f>
        <v>2000</v>
      </c>
      <c r="G17" s="11" t="s">
        <v>54</v>
      </c>
      <c r="I17" s="3"/>
      <c r="J17" s="3"/>
      <c r="K17" s="3"/>
      <c r="L17" s="3"/>
      <c r="M17" s="3"/>
      <c r="N17" s="3"/>
      <c r="O17" s="3"/>
      <c r="P17" s="3"/>
    </row>
    <row r="18" spans="1:16" x14ac:dyDescent="0.35">
      <c r="A18" s="13" t="s">
        <v>49</v>
      </c>
      <c r="B18" s="14">
        <v>2000</v>
      </c>
      <c r="C18" s="79">
        <f>295+5+276</f>
        <v>576</v>
      </c>
      <c r="D18" s="79">
        <f>266800+1640+219720</f>
        <v>488160</v>
      </c>
      <c r="E18" s="79">
        <f>D18</f>
        <v>488160</v>
      </c>
      <c r="F18" s="79">
        <v>0</v>
      </c>
      <c r="G18" s="79">
        <f>SUM(E18:F18)</f>
        <v>488160</v>
      </c>
      <c r="I18" s="3"/>
      <c r="J18" s="3"/>
      <c r="K18" s="3"/>
      <c r="L18" s="3"/>
      <c r="M18" s="3"/>
      <c r="N18" s="3"/>
      <c r="O18" s="3"/>
      <c r="P18" s="3"/>
    </row>
    <row r="19" spans="1:16" x14ac:dyDescent="0.35">
      <c r="A19" s="13" t="s">
        <v>50</v>
      </c>
      <c r="B19" s="16">
        <v>2000</v>
      </c>
      <c r="C19" s="80">
        <f>273+31+499</f>
        <v>803</v>
      </c>
      <c r="D19" s="80">
        <f>1076640+810890+6004180</f>
        <v>7891710</v>
      </c>
      <c r="E19" s="80">
        <f>C19*E$17</f>
        <v>1606000</v>
      </c>
      <c r="F19" s="80">
        <f>D19-E19</f>
        <v>6285710</v>
      </c>
      <c r="G19" s="80">
        <f>SUM(E19:F19)</f>
        <v>7891710</v>
      </c>
      <c r="I19" s="3"/>
      <c r="J19" s="3"/>
      <c r="K19" s="3"/>
      <c r="L19" s="3"/>
      <c r="M19" s="3"/>
      <c r="N19" s="3"/>
      <c r="O19" s="3"/>
      <c r="P19" s="3"/>
    </row>
    <row r="20" spans="1:16" x14ac:dyDescent="0.35">
      <c r="A20" s="13"/>
      <c r="B20" s="14"/>
      <c r="C20" s="81">
        <f>SUM(C18:C19)</f>
        <v>1379</v>
      </c>
      <c r="D20" s="81">
        <f>SUM(D18:D19)</f>
        <v>8379870</v>
      </c>
      <c r="E20" s="81">
        <f>SUM(E18:E19)</f>
        <v>2094160</v>
      </c>
      <c r="F20" s="81">
        <f>SUM(F18:F19)</f>
        <v>6285710</v>
      </c>
      <c r="G20" s="81">
        <f>SUM(G18:G19)</f>
        <v>8379870</v>
      </c>
      <c r="I20" s="3"/>
      <c r="J20" s="3"/>
      <c r="K20" s="3"/>
      <c r="L20" s="3"/>
      <c r="M20" s="3"/>
      <c r="N20" s="3"/>
      <c r="O20" s="3"/>
      <c r="P20" s="3"/>
    </row>
    <row r="21" spans="1:16" x14ac:dyDescent="0.35">
      <c r="A21" s="13"/>
      <c r="B21" s="14"/>
      <c r="C21" s="1"/>
      <c r="D21" s="14"/>
      <c r="E21" s="14"/>
      <c r="F21" s="14"/>
      <c r="G21" s="14"/>
      <c r="H21" s="14"/>
      <c r="I21" s="3"/>
      <c r="J21" s="3"/>
      <c r="K21" s="3"/>
      <c r="L21" s="3"/>
      <c r="M21" s="3"/>
      <c r="N21" s="3"/>
      <c r="O21" s="3"/>
      <c r="P21" s="3"/>
    </row>
    <row r="22" spans="1:16" x14ac:dyDescent="0.35">
      <c r="A22" s="18" t="s">
        <v>566</v>
      </c>
      <c r="B22" s="18"/>
      <c r="C22" s="1"/>
      <c r="D22" s="14"/>
      <c r="E22" s="14"/>
      <c r="F22" s="14"/>
      <c r="G22" s="14"/>
      <c r="H22" s="14"/>
      <c r="I22" s="3"/>
      <c r="J22" s="3"/>
      <c r="K22" s="3"/>
      <c r="L22" s="3"/>
      <c r="M22" s="3"/>
      <c r="N22" s="3"/>
      <c r="O22" s="3"/>
      <c r="P22" s="3"/>
    </row>
    <row r="23" spans="1:16" x14ac:dyDescent="0.35">
      <c r="A23" s="13"/>
      <c r="B23" s="11"/>
      <c r="C23" s="12" t="s">
        <v>52</v>
      </c>
      <c r="D23" s="11" t="s">
        <v>53</v>
      </c>
      <c r="E23" s="12" t="s">
        <v>56</v>
      </c>
      <c r="F23" s="12" t="s">
        <v>57</v>
      </c>
      <c r="G23" s="14"/>
      <c r="H23" s="14"/>
      <c r="I23" s="3"/>
      <c r="J23" s="3"/>
      <c r="K23" s="3"/>
      <c r="L23" s="3"/>
      <c r="M23" s="3"/>
      <c r="N23" s="3"/>
      <c r="O23" s="3"/>
      <c r="P23" s="3"/>
    </row>
    <row r="24" spans="1:16" x14ac:dyDescent="0.35">
      <c r="A24" s="13" t="s">
        <v>49</v>
      </c>
      <c r="B24" s="14">
        <f>B18</f>
        <v>2000</v>
      </c>
      <c r="C24" s="15">
        <f>C20</f>
        <v>1379</v>
      </c>
      <c r="D24" s="79">
        <f>E20</f>
        <v>2094160</v>
      </c>
      <c r="E24" s="19">
        <v>27.57</v>
      </c>
      <c r="F24" s="9">
        <f>E24*C24</f>
        <v>38019.03</v>
      </c>
      <c r="G24" s="14"/>
      <c r="H24" s="1"/>
      <c r="I24" s="3"/>
      <c r="J24" s="3"/>
      <c r="K24" s="3"/>
      <c r="L24" s="3"/>
      <c r="M24" s="3"/>
      <c r="N24" s="3"/>
      <c r="O24" s="3"/>
      <c r="P24" s="3"/>
    </row>
    <row r="25" spans="1:16" x14ac:dyDescent="0.35">
      <c r="A25" s="13" t="s">
        <v>50</v>
      </c>
      <c r="B25" s="16">
        <f>B19</f>
        <v>2000</v>
      </c>
      <c r="C25" s="20"/>
      <c r="D25" s="80">
        <f>F20</f>
        <v>6285710</v>
      </c>
      <c r="E25" s="259">
        <v>1.3780000000000001E-2</v>
      </c>
      <c r="F25" s="84">
        <f>E25*(D25)</f>
        <v>86617.083800000008</v>
      </c>
      <c r="G25" s="14"/>
      <c r="H25" s="1"/>
      <c r="I25" s="3"/>
      <c r="J25" s="3"/>
      <c r="K25" s="3"/>
      <c r="L25" s="3"/>
      <c r="M25" s="3"/>
      <c r="N25" s="3"/>
      <c r="O25" s="3"/>
      <c r="P25" s="3"/>
    </row>
    <row r="26" spans="1:16" x14ac:dyDescent="0.35">
      <c r="A26" s="13"/>
      <c r="B26" s="14" t="s">
        <v>54</v>
      </c>
      <c r="C26" s="3">
        <f>SUM(C24:C25)</f>
        <v>1379</v>
      </c>
      <c r="D26" s="81">
        <f>SUM(D24:D25)</f>
        <v>8379870</v>
      </c>
      <c r="E26" s="1"/>
      <c r="F26" s="9">
        <f>SUM(F24:F25)</f>
        <v>124636.11380000001</v>
      </c>
      <c r="G26" s="14"/>
      <c r="H26" s="14"/>
      <c r="I26" s="3"/>
      <c r="J26" s="3"/>
      <c r="K26" s="3"/>
      <c r="L26" s="3"/>
      <c r="M26" s="3"/>
      <c r="N26" s="3"/>
      <c r="O26" s="3"/>
      <c r="P26" s="3"/>
    </row>
    <row r="27" spans="1:16" x14ac:dyDescent="0.35">
      <c r="I27" s="3"/>
      <c r="J27" s="3"/>
      <c r="K27" s="3"/>
      <c r="L27" s="3"/>
      <c r="M27" s="3"/>
      <c r="N27" s="3"/>
      <c r="O27" s="3"/>
      <c r="P27" s="3"/>
    </row>
    <row r="28" spans="1:16" x14ac:dyDescent="0.35">
      <c r="I28" s="3"/>
      <c r="J28" s="3"/>
      <c r="K28" s="3"/>
      <c r="L28" s="3"/>
      <c r="M28" s="3"/>
      <c r="N28" s="3"/>
      <c r="O28" s="3"/>
      <c r="P28" s="3"/>
    </row>
    <row r="29" spans="1:16" x14ac:dyDescent="0.35">
      <c r="I29" s="3"/>
      <c r="J29" s="3"/>
      <c r="K29" s="3"/>
      <c r="L29" s="3"/>
      <c r="M29" s="3"/>
      <c r="N29" s="3"/>
      <c r="O29" s="3"/>
      <c r="P29" s="3"/>
    </row>
    <row r="30" spans="1:16" x14ac:dyDescent="0.35">
      <c r="I30" s="3"/>
      <c r="J30" s="3"/>
      <c r="K30" s="3"/>
      <c r="L30" s="3"/>
      <c r="M30" s="3"/>
      <c r="N30" s="3"/>
      <c r="O30" s="3"/>
      <c r="P30" s="3"/>
    </row>
    <row r="31" spans="1:16" x14ac:dyDescent="0.35">
      <c r="I31" s="225"/>
      <c r="J31" s="225"/>
      <c r="K31" s="225"/>
      <c r="L31" s="225"/>
      <c r="M31" s="225"/>
      <c r="N31" s="225"/>
      <c r="O31" s="225"/>
      <c r="P31" s="225"/>
    </row>
  </sheetData>
  <mergeCells count="3">
    <mergeCell ref="A2:G2"/>
    <mergeCell ref="A1:G1"/>
    <mergeCell ref="A3:G3"/>
  </mergeCells>
  <printOptions horizontalCentered="1"/>
  <pageMargins left="0.85" right="0.7" top="1.2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W40"/>
  <sheetViews>
    <sheetView topLeftCell="A3" workbookViewId="0">
      <selection activeCell="L27" sqref="L27"/>
    </sheetView>
  </sheetViews>
  <sheetFormatPr defaultRowHeight="15.5" x14ac:dyDescent="0.35"/>
  <cols>
    <col min="2" max="2" width="1.765625" customWidth="1"/>
    <col min="3" max="5" width="11.765625" customWidth="1"/>
    <col min="6" max="6" width="7" bestFit="1" customWidth="1"/>
    <col min="7" max="7" width="9.4609375" customWidth="1"/>
    <col min="8" max="8" width="2.3828125" customWidth="1"/>
    <col min="10" max="10" width="1.69140625" customWidth="1"/>
    <col min="11" max="11" width="9.4609375" customWidth="1"/>
    <col min="12" max="12" width="13.61328125" bestFit="1" customWidth="1"/>
    <col min="13" max="14" width="9.765625" customWidth="1"/>
    <col min="15" max="15" width="7" bestFit="1" customWidth="1"/>
    <col min="16" max="16" width="8.765625" customWidth="1"/>
    <col min="17" max="18" width="9.765625" customWidth="1"/>
    <col min="19" max="19" width="9.53515625" customWidth="1"/>
    <col min="20" max="20" width="10.3046875" customWidth="1"/>
    <col min="21" max="21" width="2.3046875" customWidth="1"/>
  </cols>
  <sheetData>
    <row r="1" spans="1:20" x14ac:dyDescent="0.35">
      <c r="B1" s="27"/>
      <c r="C1" s="27"/>
      <c r="D1" s="27"/>
      <c r="E1" s="27"/>
      <c r="F1" s="27"/>
      <c r="G1" s="27"/>
    </row>
    <row r="2" spans="1:20" x14ac:dyDescent="0.35">
      <c r="B2" s="98"/>
      <c r="C2" s="99"/>
      <c r="D2" s="99"/>
      <c r="E2" s="99"/>
      <c r="F2" s="99"/>
      <c r="G2" s="99"/>
      <c r="H2" s="378"/>
    </row>
    <row r="3" spans="1:20" ht="18.5" x14ac:dyDescent="0.45">
      <c r="B3" s="97"/>
      <c r="C3" s="604" t="s">
        <v>99</v>
      </c>
      <c r="D3" s="604"/>
      <c r="E3" s="604"/>
      <c r="F3" s="604"/>
      <c r="G3" s="604"/>
      <c r="H3" s="379"/>
      <c r="L3" s="604" t="s">
        <v>99</v>
      </c>
      <c r="M3" s="604"/>
      <c r="N3" s="604"/>
      <c r="O3" s="604"/>
      <c r="P3" s="604"/>
      <c r="Q3" s="604"/>
      <c r="R3" s="604"/>
      <c r="S3" s="604"/>
      <c r="T3" s="604"/>
    </row>
    <row r="4" spans="1:20" ht="18.5" x14ac:dyDescent="0.45">
      <c r="A4" s="27"/>
      <c r="B4" s="97"/>
      <c r="C4" s="604" t="s">
        <v>90</v>
      </c>
      <c r="D4" s="604"/>
      <c r="E4" s="604"/>
      <c r="F4" s="604"/>
      <c r="G4" s="604"/>
      <c r="H4" s="100"/>
      <c r="L4" s="604" t="s">
        <v>580</v>
      </c>
      <c r="M4" s="619"/>
      <c r="N4" s="619"/>
      <c r="O4" s="619"/>
      <c r="P4" s="619"/>
      <c r="Q4" s="619"/>
      <c r="R4" s="619"/>
      <c r="S4" s="619"/>
      <c r="T4" s="619"/>
    </row>
    <row r="5" spans="1:20" ht="18.5" x14ac:dyDescent="0.45">
      <c r="A5" s="27"/>
      <c r="B5" s="97"/>
      <c r="C5" s="603" t="str">
        <f>SAOw!A2</f>
        <v>POWELL'S VALLEY WATER DISTRICT</v>
      </c>
      <c r="D5" s="603"/>
      <c r="E5" s="603"/>
      <c r="F5" s="603"/>
      <c r="G5" s="603"/>
      <c r="H5" s="100"/>
      <c r="L5" s="603" t="str">
        <f>SAOw!A2</f>
        <v>POWELL'S VALLEY WATER DISTRICT</v>
      </c>
      <c r="M5" s="603"/>
      <c r="N5" s="603"/>
      <c r="O5" s="603"/>
      <c r="P5" s="603"/>
      <c r="Q5" s="603"/>
      <c r="R5" s="603"/>
      <c r="S5" s="603"/>
      <c r="T5" s="603"/>
    </row>
    <row r="6" spans="1:20" x14ac:dyDescent="0.35">
      <c r="A6" s="27"/>
      <c r="B6" s="101"/>
      <c r="C6" s="102"/>
      <c r="D6" s="102"/>
      <c r="E6" s="102"/>
      <c r="F6" s="102"/>
      <c r="G6" s="102"/>
      <c r="H6" s="103"/>
    </row>
    <row r="7" spans="1:20" x14ac:dyDescent="0.35">
      <c r="A7" s="27"/>
      <c r="B7" s="85"/>
      <c r="C7" s="86"/>
      <c r="D7" s="164"/>
      <c r="E7" s="85"/>
      <c r="F7" s="86"/>
      <c r="G7" s="81"/>
      <c r="H7" s="100"/>
    </row>
    <row r="8" spans="1:20" ht="18" x14ac:dyDescent="0.6">
      <c r="A8" s="27"/>
      <c r="B8" s="88"/>
      <c r="C8" s="93" t="s">
        <v>86</v>
      </c>
      <c r="D8" s="165" t="s">
        <v>60</v>
      </c>
      <c r="E8" s="377" t="s">
        <v>135</v>
      </c>
      <c r="F8" s="93"/>
      <c r="G8" s="93"/>
      <c r="H8" s="100"/>
      <c r="K8" s="562" t="s">
        <v>577</v>
      </c>
      <c r="L8" s="563" t="s">
        <v>570</v>
      </c>
      <c r="M8" s="564" t="s">
        <v>60</v>
      </c>
      <c r="N8" s="565" t="s">
        <v>401</v>
      </c>
      <c r="O8" s="563" t="s">
        <v>571</v>
      </c>
      <c r="P8" s="563" t="s">
        <v>197</v>
      </c>
      <c r="Q8" s="566" t="s">
        <v>135</v>
      </c>
      <c r="R8" s="566" t="s">
        <v>135</v>
      </c>
      <c r="S8" s="563" t="s">
        <v>571</v>
      </c>
      <c r="T8" s="567" t="s">
        <v>197</v>
      </c>
    </row>
    <row r="9" spans="1:20" ht="18" x14ac:dyDescent="0.6">
      <c r="A9" s="27"/>
      <c r="B9" s="88"/>
      <c r="C9" s="93" t="s">
        <v>100</v>
      </c>
      <c r="D9" s="165" t="s">
        <v>87</v>
      </c>
      <c r="E9" s="169" t="s">
        <v>87</v>
      </c>
      <c r="F9" s="170" t="s">
        <v>61</v>
      </c>
      <c r="G9" s="93" t="s">
        <v>197</v>
      </c>
      <c r="H9" s="100"/>
      <c r="K9" s="568" t="s">
        <v>572</v>
      </c>
      <c r="L9" s="542" t="s">
        <v>573</v>
      </c>
      <c r="M9" s="543" t="s">
        <v>87</v>
      </c>
      <c r="N9" s="542" t="s">
        <v>87</v>
      </c>
      <c r="O9" s="544" t="s">
        <v>61</v>
      </c>
      <c r="P9" s="542" t="s">
        <v>133</v>
      </c>
      <c r="Q9" s="544" t="s">
        <v>402</v>
      </c>
      <c r="R9" s="544" t="s">
        <v>403</v>
      </c>
      <c r="S9" s="544" t="s">
        <v>61</v>
      </c>
      <c r="T9" s="569" t="s">
        <v>133</v>
      </c>
    </row>
    <row r="10" spans="1:20" ht="17" x14ac:dyDescent="0.5">
      <c r="A10" s="27"/>
      <c r="B10" s="88"/>
      <c r="C10" s="93"/>
      <c r="D10" s="165"/>
      <c r="E10" s="169"/>
      <c r="F10" s="170"/>
      <c r="G10" s="170"/>
      <c r="H10" s="100"/>
      <c r="K10" s="570"/>
      <c r="L10" s="540"/>
      <c r="M10" s="540"/>
      <c r="N10" s="540"/>
      <c r="O10" s="540"/>
      <c r="P10" s="540"/>
      <c r="Q10" s="540"/>
      <c r="R10" s="540"/>
      <c r="S10" s="540"/>
      <c r="T10" s="571"/>
    </row>
    <row r="11" spans="1:20" ht="18" x14ac:dyDescent="0.6">
      <c r="B11" s="88"/>
      <c r="C11" s="620" t="s">
        <v>400</v>
      </c>
      <c r="D11" s="620"/>
      <c r="E11" s="620"/>
      <c r="F11" s="620"/>
      <c r="G11" s="599"/>
      <c r="H11" s="379"/>
      <c r="K11" s="570"/>
      <c r="L11" s="617" t="s">
        <v>578</v>
      </c>
      <c r="M11" s="617"/>
      <c r="N11" s="617"/>
      <c r="O11" s="617"/>
      <c r="P11" s="618"/>
      <c r="Q11" s="540"/>
      <c r="R11" s="540"/>
      <c r="S11" s="540"/>
      <c r="T11" s="571"/>
    </row>
    <row r="12" spans="1:20" x14ac:dyDescent="0.35">
      <c r="B12" s="88"/>
      <c r="C12" s="81">
        <v>2000</v>
      </c>
      <c r="D12" s="166">
        <f>RatesW!F12</f>
        <v>24.77</v>
      </c>
      <c r="E12" s="385">
        <f>RatesW!L12</f>
        <v>27.544239999999999</v>
      </c>
      <c r="F12" s="4">
        <f>E12-D12</f>
        <v>2.7742399999999989</v>
      </c>
      <c r="G12" s="381">
        <f>F12/D12</f>
        <v>0.11199999999999996</v>
      </c>
      <c r="H12" s="379"/>
      <c r="J12" s="537"/>
      <c r="K12" s="572" t="s">
        <v>574</v>
      </c>
      <c r="L12" s="545">
        <v>4000</v>
      </c>
      <c r="M12" s="546">
        <f>RatesW!F12+(2000*RatesW!F13)</f>
        <v>46.43</v>
      </c>
      <c r="N12" s="547">
        <f>RatesW!L12+(2000*RatesW!L13)</f>
        <v>51.630240000000001</v>
      </c>
      <c r="O12" s="547">
        <f>N12-M12</f>
        <v>5.2002400000000009</v>
      </c>
      <c r="P12" s="548">
        <f>O12/M12</f>
        <v>0.11200172302390697</v>
      </c>
      <c r="Q12" s="541">
        <f>RatesW!L30</f>
        <v>2.2809481934993263</v>
      </c>
      <c r="R12" s="541">
        <f>Q12+N12</f>
        <v>53.911188193499328</v>
      </c>
      <c r="S12" s="541">
        <f>R12-M12</f>
        <v>7.4811881934993281</v>
      </c>
      <c r="T12" s="573">
        <f>S12/M12</f>
        <v>0.16112832637302021</v>
      </c>
    </row>
    <row r="13" spans="1:20" x14ac:dyDescent="0.35">
      <c r="B13" s="88"/>
      <c r="C13" s="490">
        <v>3000</v>
      </c>
      <c r="D13" s="491">
        <f>RatesW!F12+(1000*RatesW!F13)</f>
        <v>35.6</v>
      </c>
      <c r="E13" s="492">
        <f>RatesW!L12+(1000*RatesW!L13)</f>
        <v>39.587239999999994</v>
      </c>
      <c r="F13" s="493">
        <f>E13-D13</f>
        <v>3.9872399999999928</v>
      </c>
      <c r="G13" s="494">
        <f t="shared" ref="G13:G15" si="0">F13/D13</f>
        <v>0.11200112359550542</v>
      </c>
      <c r="H13" s="379"/>
      <c r="J13" s="537"/>
      <c r="K13" s="574" t="s">
        <v>575</v>
      </c>
      <c r="L13" s="549">
        <v>17500</v>
      </c>
      <c r="M13" s="550">
        <f>RatesW!F12+(2000*RatesW!F13)+(2000*RatesW!F14)+(11500*RatesW!F15)</f>
        <v>172.48500000000001</v>
      </c>
      <c r="N13" s="551">
        <f>RatesW!L12+(2000*RatesW!L13)+(2000*RatesW!L14)+(11500*RatesW!L15)</f>
        <v>191.80344000000002</v>
      </c>
      <c r="O13" s="552">
        <f t="shared" ref="O13:O14" si="1">N13-M13</f>
        <v>19.31844000000001</v>
      </c>
      <c r="P13" s="553">
        <f t="shared" ref="P13:P14" si="2">O13/M13</f>
        <v>0.11200069571267071</v>
      </c>
      <c r="Q13" s="541">
        <f>Q12</f>
        <v>2.2809481934993263</v>
      </c>
      <c r="R13" s="541">
        <f t="shared" ref="R13:R14" si="3">Q13+N13</f>
        <v>194.08438819349934</v>
      </c>
      <c r="S13" s="541">
        <f t="shared" ref="S13:S14" si="4">R13-M13</f>
        <v>21.599388193499323</v>
      </c>
      <c r="T13" s="575">
        <f t="shared" ref="T13:T14" si="5">S13/M13</f>
        <v>0.12522473370727497</v>
      </c>
    </row>
    <row r="14" spans="1:20" x14ac:dyDescent="0.35">
      <c r="B14" s="88"/>
      <c r="C14" s="81">
        <v>5000</v>
      </c>
      <c r="D14" s="383">
        <f>RatesW!F12+(2000*RatesW!F13)+(1000*RatesW!F14)</f>
        <v>56.269999999999996</v>
      </c>
      <c r="E14" s="386">
        <f>E12+(2000*RatesW!L13)+(1000*RatesW!L14)</f>
        <v>62.572339999999997</v>
      </c>
      <c r="F14" s="94">
        <f t="shared" ref="F14:F21" si="6">E14-D14</f>
        <v>6.3023400000000009</v>
      </c>
      <c r="G14" s="381">
        <f t="shared" si="0"/>
        <v>0.1120017771459037</v>
      </c>
      <c r="H14" s="379"/>
      <c r="J14" s="537"/>
      <c r="K14" s="574" t="s">
        <v>576</v>
      </c>
      <c r="L14" s="545">
        <v>20000</v>
      </c>
      <c r="M14" s="554">
        <f>RatesW!F23+(2000*RatesW!F13)+(2000*RatesW!F14)+(14000*RatesW!F15)</f>
        <v>236.95</v>
      </c>
      <c r="N14" s="555">
        <f>RatesW!L23+(2000*RatesW!L13)+(2000*RatesW!L14)+(14000*RatesW!L15)</f>
        <v>263.48864000000003</v>
      </c>
      <c r="O14" s="556">
        <f t="shared" si="1"/>
        <v>26.538640000000044</v>
      </c>
      <c r="P14" s="548">
        <f t="shared" si="2"/>
        <v>0.11200101287191409</v>
      </c>
      <c r="Q14" s="541">
        <f>Q12</f>
        <v>2.2809481934993263</v>
      </c>
      <c r="R14" s="541">
        <f t="shared" si="3"/>
        <v>265.76958819349937</v>
      </c>
      <c r="S14" s="541">
        <f t="shared" si="4"/>
        <v>28.819588193499385</v>
      </c>
      <c r="T14" s="573">
        <f t="shared" si="5"/>
        <v>0.12162729771470515</v>
      </c>
    </row>
    <row r="15" spans="1:20" x14ac:dyDescent="0.35">
      <c r="B15" s="88"/>
      <c r="C15" s="81">
        <v>10000</v>
      </c>
      <c r="D15" s="383">
        <f>RatesW!F12+(2000*RatesW!F13)+(2000*RatesW!F14)+(4000*RatesW!F15)</f>
        <v>103.11</v>
      </c>
      <c r="E15" s="386">
        <f>E12+(2000*RatesW!L13)+(2000*RatesW!L14)+(4000*RatesW!L15)</f>
        <v>114.65844000000001</v>
      </c>
      <c r="F15" s="94">
        <f t="shared" si="6"/>
        <v>11.548440000000014</v>
      </c>
      <c r="G15" s="381">
        <f t="shared" si="0"/>
        <v>0.11200116380564459</v>
      </c>
      <c r="H15" s="379"/>
      <c r="J15" s="537"/>
      <c r="K15" s="576"/>
      <c r="L15" s="545"/>
      <c r="M15" s="557"/>
      <c r="N15" s="558"/>
      <c r="O15" s="556"/>
      <c r="P15" s="548"/>
      <c r="Q15" s="541"/>
      <c r="R15" s="541"/>
      <c r="S15" s="541"/>
      <c r="T15" s="573"/>
    </row>
    <row r="16" spans="1:20" x14ac:dyDescent="0.35">
      <c r="B16" s="88"/>
      <c r="C16" s="81"/>
      <c r="D16" s="167"/>
      <c r="E16" s="94"/>
      <c r="F16" s="94"/>
      <c r="G16" s="381"/>
      <c r="H16" s="379"/>
      <c r="K16" s="570"/>
      <c r="L16" s="545"/>
      <c r="M16" s="556"/>
      <c r="N16" s="556"/>
      <c r="O16" s="556"/>
      <c r="P16" s="559"/>
      <c r="Q16" s="540"/>
      <c r="R16" s="540"/>
      <c r="S16" s="540"/>
      <c r="T16" s="571"/>
    </row>
    <row r="17" spans="2:23" ht="18" x14ac:dyDescent="0.6">
      <c r="B17" s="88"/>
      <c r="C17" s="620" t="s">
        <v>196</v>
      </c>
      <c r="D17" s="620"/>
      <c r="E17" s="620"/>
      <c r="F17" s="620"/>
      <c r="G17" s="620"/>
      <c r="H17" s="379"/>
      <c r="K17" s="570"/>
      <c r="L17" s="617" t="s">
        <v>579</v>
      </c>
      <c r="M17" s="617"/>
      <c r="N17" s="617"/>
      <c r="O17" s="617"/>
      <c r="P17" s="617"/>
      <c r="Q17" s="540"/>
      <c r="R17" s="540"/>
      <c r="S17" s="540"/>
      <c r="T17" s="571"/>
    </row>
    <row r="18" spans="2:23" x14ac:dyDescent="0.35">
      <c r="B18" s="88"/>
      <c r="C18" s="81">
        <v>2000</v>
      </c>
      <c r="D18" s="384">
        <f>RatesS!F12</f>
        <v>27.57</v>
      </c>
      <c r="E18" s="387">
        <f>RatesS!L12</f>
        <v>29.21</v>
      </c>
      <c r="F18" s="4">
        <f t="shared" si="6"/>
        <v>1.6400000000000006</v>
      </c>
      <c r="G18" s="498">
        <f t="shared" ref="G18:G21" si="7">F18/D18</f>
        <v>5.9484947406601402E-2</v>
      </c>
      <c r="H18" s="379"/>
      <c r="I18" s="142"/>
      <c r="J18" s="537"/>
      <c r="K18" s="576" t="s">
        <v>187</v>
      </c>
      <c r="L18" s="545">
        <v>4000</v>
      </c>
      <c r="M18" s="560">
        <f>RatesW!F38+(2000*RatesW!F39)</f>
        <v>55.13</v>
      </c>
      <c r="N18" s="561">
        <f>RatesW!L38+(2000*RatesW!L39)</f>
        <v>58.41</v>
      </c>
      <c r="O18" s="547">
        <f t="shared" ref="O18:O19" si="8">N18-M18</f>
        <v>3.279999999999994</v>
      </c>
      <c r="P18" s="548">
        <f t="shared" ref="P18:P19" si="9">O18/M18</f>
        <v>5.9495737348086233E-2</v>
      </c>
      <c r="Q18" s="540"/>
      <c r="R18" s="540"/>
      <c r="S18" s="540"/>
      <c r="T18" s="571"/>
    </row>
    <row r="19" spans="2:23" x14ac:dyDescent="0.35">
      <c r="B19" s="88"/>
      <c r="C19" s="490">
        <v>3000</v>
      </c>
      <c r="D19" s="491">
        <f>D18+(1000*RatesS!F13)</f>
        <v>41.35</v>
      </c>
      <c r="E19" s="495">
        <f>E18+(1000*RatesS!L13)</f>
        <v>43.81</v>
      </c>
      <c r="F19" s="493">
        <f t="shared" si="6"/>
        <v>2.4600000000000009</v>
      </c>
      <c r="G19" s="499">
        <f t="shared" si="7"/>
        <v>5.9492140266021787E-2</v>
      </c>
      <c r="H19" s="379"/>
      <c r="I19" s="142"/>
      <c r="J19" s="537"/>
      <c r="K19" s="577" t="s">
        <v>238</v>
      </c>
      <c r="L19" s="578"/>
      <c r="M19" s="579">
        <f>RatesW!F41</f>
        <v>27.57</v>
      </c>
      <c r="N19" s="580">
        <f>RatesW!L41</f>
        <v>29.21</v>
      </c>
      <c r="O19" s="581">
        <f t="shared" si="8"/>
        <v>1.6400000000000006</v>
      </c>
      <c r="P19" s="582">
        <f t="shared" si="9"/>
        <v>5.9484947406601402E-2</v>
      </c>
      <c r="Q19" s="583"/>
      <c r="R19" s="583"/>
      <c r="S19" s="583"/>
      <c r="T19" s="584"/>
    </row>
    <row r="20" spans="2:23" x14ac:dyDescent="0.35">
      <c r="B20" s="88"/>
      <c r="C20" s="81">
        <v>5000</v>
      </c>
      <c r="D20" s="383">
        <f>D19+2000*RatesS!F13</f>
        <v>68.91</v>
      </c>
      <c r="E20" s="388">
        <f>E19+(2000*RatesS!L13)</f>
        <v>73.010000000000005</v>
      </c>
      <c r="F20" s="94">
        <f t="shared" si="6"/>
        <v>4.1000000000000085</v>
      </c>
      <c r="G20" s="498">
        <f t="shared" si="7"/>
        <v>5.9497895806124058E-2</v>
      </c>
      <c r="H20" s="379"/>
      <c r="I20" s="142"/>
      <c r="J20" s="537"/>
      <c r="K20" s="537"/>
      <c r="L20" s="81"/>
      <c r="M20" s="388"/>
      <c r="N20" s="388"/>
      <c r="O20" s="94"/>
      <c r="P20" s="498"/>
    </row>
    <row r="21" spans="2:23" x14ac:dyDescent="0.35">
      <c r="B21" s="88"/>
      <c r="C21" s="81">
        <v>10000</v>
      </c>
      <c r="D21" s="383">
        <f>D20+5000*RatesS!F13</f>
        <v>137.81</v>
      </c>
      <c r="E21" s="388">
        <f>E20+5000*RatesS!L13</f>
        <v>146.01</v>
      </c>
      <c r="F21" s="94">
        <f t="shared" si="6"/>
        <v>8.1999999999999886</v>
      </c>
      <c r="G21" s="498">
        <f t="shared" si="7"/>
        <v>5.9502213192075964E-2</v>
      </c>
      <c r="H21" s="379"/>
      <c r="I21" s="142"/>
      <c r="J21" s="537"/>
      <c r="K21" s="537"/>
      <c r="L21" s="81"/>
      <c r="M21" s="388"/>
      <c r="N21" s="388"/>
      <c r="O21" s="94"/>
      <c r="P21" s="498"/>
    </row>
    <row r="22" spans="2:23" x14ac:dyDescent="0.35">
      <c r="B22" s="91"/>
      <c r="C22" s="17"/>
      <c r="D22" s="168"/>
      <c r="E22" s="95"/>
      <c r="F22" s="21"/>
      <c r="G22" s="17"/>
      <c r="H22" s="380"/>
    </row>
    <row r="24" spans="2:23" x14ac:dyDescent="0.35">
      <c r="D24" s="146" t="s">
        <v>101</v>
      </c>
    </row>
    <row r="25" spans="2:23" x14ac:dyDescent="0.35">
      <c r="D25" s="146"/>
    </row>
    <row r="27" spans="2:23" x14ac:dyDescent="0.35">
      <c r="C27" s="299">
        <f>E13+E19</f>
        <v>83.397239999999996</v>
      </c>
      <c r="D27" s="232" t="s">
        <v>555</v>
      </c>
      <c r="E27" s="233"/>
      <c r="F27" s="233"/>
    </row>
    <row r="28" spans="2:23" x14ac:dyDescent="0.35">
      <c r="L28" s="614"/>
      <c r="M28" s="599"/>
      <c r="N28" s="599"/>
      <c r="O28" s="599"/>
      <c r="P28" s="599"/>
      <c r="Q28" s="599"/>
      <c r="R28" s="599"/>
      <c r="S28" s="599"/>
      <c r="T28" s="599"/>
      <c r="U28" s="599"/>
      <c r="V28" s="599"/>
      <c r="W28" s="599"/>
    </row>
    <row r="29" spans="2:23" x14ac:dyDescent="0.35">
      <c r="L29" s="536"/>
      <c r="M29" s="234"/>
      <c r="N29" s="234"/>
      <c r="O29" s="234"/>
      <c r="P29" s="234"/>
      <c r="Q29" s="234"/>
      <c r="R29" s="234"/>
      <c r="S29" s="234"/>
      <c r="T29" s="234"/>
      <c r="U29" s="234"/>
      <c r="V29" s="234"/>
      <c r="W29" s="234"/>
    </row>
    <row r="30" spans="2:23" ht="17" x14ac:dyDescent="0.5">
      <c r="L30" s="614"/>
      <c r="M30" s="599"/>
      <c r="N30" s="614"/>
      <c r="O30" s="599"/>
      <c r="P30" s="382"/>
      <c r="Q30" s="389"/>
      <c r="R30" s="93"/>
      <c r="S30" s="93"/>
      <c r="T30" s="382"/>
      <c r="U30" s="382"/>
      <c r="V30" s="93"/>
      <c r="W30" s="93"/>
    </row>
    <row r="31" spans="2:23" ht="18.5" x14ac:dyDescent="0.65">
      <c r="L31" s="615"/>
      <c r="M31" s="616"/>
      <c r="N31" s="615"/>
      <c r="O31" s="616"/>
      <c r="P31" s="382"/>
      <c r="Q31" s="389"/>
      <c r="R31" s="382"/>
      <c r="S31" s="93"/>
      <c r="T31" s="382"/>
      <c r="U31" s="382"/>
      <c r="V31" s="382"/>
      <c r="W31" s="93"/>
    </row>
    <row r="32" spans="2:23" x14ac:dyDescent="0.35">
      <c r="L32" s="81"/>
      <c r="M32" s="538"/>
      <c r="N32" s="81"/>
      <c r="O32" s="393"/>
      <c r="P32" s="533"/>
      <c r="Q32" s="533"/>
      <c r="R32" s="533"/>
      <c r="S32" s="534"/>
      <c r="T32" s="533"/>
      <c r="U32" s="533"/>
      <c r="V32" s="395"/>
      <c r="W32" s="498"/>
    </row>
    <row r="33" spans="12:23" x14ac:dyDescent="0.35">
      <c r="L33" s="81"/>
      <c r="M33" s="539"/>
      <c r="N33" s="81"/>
      <c r="O33" s="81"/>
      <c r="P33" s="535"/>
      <c r="Q33" s="535"/>
      <c r="R33" s="535"/>
      <c r="S33" s="498"/>
      <c r="T33" s="535"/>
      <c r="U33" s="535"/>
      <c r="V33" s="399"/>
      <c r="W33" s="498"/>
    </row>
    <row r="34" spans="12:23" x14ac:dyDescent="0.35">
      <c r="L34" s="81"/>
      <c r="M34" s="539"/>
      <c r="N34" s="81"/>
      <c r="O34" s="81"/>
      <c r="P34" s="535"/>
      <c r="Q34" s="535"/>
      <c r="R34" s="535"/>
      <c r="S34" s="498"/>
      <c r="T34" s="535"/>
      <c r="U34" s="535"/>
      <c r="V34" s="399"/>
      <c r="W34" s="498"/>
    </row>
    <row r="35" spans="12:23" x14ac:dyDescent="0.35">
      <c r="L35" s="81"/>
      <c r="M35" s="536"/>
      <c r="N35" s="81"/>
      <c r="O35" s="81"/>
      <c r="P35" s="535"/>
      <c r="Q35" s="535"/>
      <c r="R35" s="535"/>
      <c r="S35" s="498"/>
      <c r="T35" s="535"/>
      <c r="U35" s="535"/>
      <c r="V35" s="399"/>
      <c r="W35" s="498"/>
    </row>
    <row r="36" spans="12:23" x14ac:dyDescent="0.35">
      <c r="L36" s="81"/>
      <c r="M36" s="81"/>
      <c r="N36" s="81"/>
      <c r="O36" s="81"/>
      <c r="P36" s="535"/>
      <c r="Q36" s="535"/>
      <c r="R36" s="535"/>
      <c r="S36" s="498"/>
      <c r="T36" s="535"/>
      <c r="U36" s="535"/>
      <c r="V36" s="399"/>
      <c r="W36" s="498"/>
    </row>
    <row r="37" spans="12:23" x14ac:dyDescent="0.35">
      <c r="L37" s="81"/>
      <c r="M37" s="81"/>
      <c r="N37" s="81"/>
      <c r="O37" s="81"/>
      <c r="P37" s="535"/>
      <c r="Q37" s="535"/>
      <c r="R37" s="535"/>
      <c r="S37" s="498"/>
      <c r="T37" s="535"/>
      <c r="U37" s="535"/>
      <c r="V37" s="399"/>
      <c r="W37" s="498"/>
    </row>
    <row r="38" spans="12:23" x14ac:dyDescent="0.35">
      <c r="L38" s="81"/>
      <c r="M38" s="81"/>
      <c r="N38" s="81"/>
      <c r="O38" s="81"/>
      <c r="P38" s="535"/>
      <c r="Q38" s="535"/>
      <c r="R38" s="535"/>
      <c r="S38" s="498"/>
      <c r="T38" s="535"/>
      <c r="U38" s="535"/>
      <c r="V38" s="399"/>
      <c r="W38" s="498"/>
    </row>
    <row r="39" spans="12:23" x14ac:dyDescent="0.35">
      <c r="L39" s="81"/>
      <c r="M39" s="81"/>
      <c r="N39" s="81"/>
      <c r="O39" s="81"/>
      <c r="P39" s="535"/>
      <c r="Q39" s="535"/>
      <c r="R39" s="535"/>
      <c r="S39" s="498"/>
      <c r="T39" s="535"/>
      <c r="U39" s="535"/>
      <c r="V39" s="399"/>
      <c r="W39" s="498"/>
    </row>
    <row r="40" spans="12:23" x14ac:dyDescent="0.35">
      <c r="L40" s="81"/>
      <c r="M40" s="536"/>
      <c r="N40" s="81"/>
      <c r="O40" s="81"/>
      <c r="P40" s="399"/>
      <c r="Q40" s="399"/>
      <c r="R40" s="535"/>
      <c r="S40" s="498"/>
      <c r="T40" s="535"/>
      <c r="U40" s="535"/>
      <c r="V40" s="399"/>
      <c r="W40" s="498"/>
    </row>
  </sheetData>
  <mergeCells count="15">
    <mergeCell ref="C11:G11"/>
    <mergeCell ref="C17:G17"/>
    <mergeCell ref="C3:G3"/>
    <mergeCell ref="C4:G4"/>
    <mergeCell ref="C5:G5"/>
    <mergeCell ref="L11:P11"/>
    <mergeCell ref="L17:P17"/>
    <mergeCell ref="L3:T3"/>
    <mergeCell ref="L4:T4"/>
    <mergeCell ref="L5:T5"/>
    <mergeCell ref="L28:W28"/>
    <mergeCell ref="L30:M30"/>
    <mergeCell ref="N30:O30"/>
    <mergeCell ref="L31:M31"/>
    <mergeCell ref="N31:O31"/>
  </mergeCells>
  <printOptions horizontalCentered="1"/>
  <pageMargins left="0.45" right="0.45" top="1.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Z76"/>
  <sheetViews>
    <sheetView zoomScaleNormal="100" workbookViewId="0">
      <selection activeCell="J9" sqref="J9"/>
    </sheetView>
  </sheetViews>
  <sheetFormatPr defaultColWidth="8.84375" defaultRowHeight="14.5" x14ac:dyDescent="0.35"/>
  <cols>
    <col min="1" max="1" width="8.4609375" style="1" customWidth="1"/>
    <col min="2" max="2" width="8.69140625" style="1" customWidth="1"/>
    <col min="3" max="3" width="8" style="1" customWidth="1"/>
    <col min="4" max="4" width="11.53515625" style="1" customWidth="1"/>
    <col min="5" max="5" width="9.765625" style="1" customWidth="1"/>
    <col min="6" max="6" width="11.765625" style="1" customWidth="1"/>
    <col min="7" max="7" width="9.765625" style="1" customWidth="1"/>
    <col min="8" max="8" width="10.07421875" style="1" customWidth="1"/>
    <col min="9" max="9" width="11" style="1" customWidth="1"/>
    <col min="10" max="10" width="5.23046875" style="1" customWidth="1"/>
    <col min="11" max="11" width="8.84375" style="1"/>
    <col min="12" max="12" width="11.4609375" style="3" bestFit="1" customWidth="1"/>
    <col min="13" max="13" width="13.765625" style="1" bestFit="1" customWidth="1"/>
    <col min="14" max="14" width="12.61328125" style="1" customWidth="1"/>
    <col min="15" max="15" width="16.3046875" style="1" customWidth="1"/>
    <col min="16" max="16" width="11.4609375" style="1" customWidth="1"/>
    <col min="17" max="17" width="13.3046875" style="1" customWidth="1"/>
    <col min="18" max="18" width="11.4609375" style="1" bestFit="1" customWidth="1"/>
    <col min="19" max="19" width="22.69140625" style="1" bestFit="1" customWidth="1"/>
    <col min="20" max="20" width="16.3828125" style="1" bestFit="1" customWidth="1"/>
    <col min="21" max="21" width="9.23046875" style="1" customWidth="1"/>
    <col min="22" max="22" width="10.4609375" style="1" customWidth="1"/>
    <col min="23" max="24" width="11.921875" style="1" customWidth="1"/>
    <col min="25" max="25" width="8.84375" style="1"/>
    <col min="26" max="26" width="9.3046875" style="1" bestFit="1" customWidth="1"/>
    <col min="27" max="16384" width="8.84375" style="1"/>
  </cols>
  <sheetData>
    <row r="1" spans="1:26" ht="15.5" x14ac:dyDescent="0.35">
      <c r="A1" s="621" t="str">
        <f>ExBAs!A1</f>
        <v>POWELL'S VALLEY WATER DISTRICT</v>
      </c>
      <c r="B1" s="622"/>
      <c r="C1" s="622"/>
      <c r="D1" s="622"/>
      <c r="E1" s="622"/>
      <c r="F1" s="622"/>
      <c r="G1" s="622"/>
      <c r="H1" s="622"/>
      <c r="I1" s="622"/>
      <c r="S1" s="342" t="s">
        <v>448</v>
      </c>
      <c r="T1" s="342"/>
      <c r="U1" s="342"/>
      <c r="V1" s="2"/>
    </row>
    <row r="2" spans="1:26" ht="31" x14ac:dyDescent="0.35">
      <c r="A2" s="595" t="s">
        <v>211</v>
      </c>
      <c r="B2" s="595"/>
      <c r="C2" s="595"/>
      <c r="D2" s="595"/>
      <c r="E2" s="595"/>
      <c r="F2" s="595"/>
      <c r="G2" s="595"/>
      <c r="H2" s="595"/>
      <c r="I2" s="595"/>
      <c r="Q2" s="340" t="s">
        <v>358</v>
      </c>
      <c r="S2" s="343" t="s">
        <v>341</v>
      </c>
      <c r="T2" s="343" t="s">
        <v>343</v>
      </c>
      <c r="U2" s="343" t="s">
        <v>342</v>
      </c>
      <c r="V2" s="341" t="s">
        <v>357</v>
      </c>
      <c r="W2" s="340" t="s">
        <v>335</v>
      </c>
      <c r="X2" s="340" t="s">
        <v>358</v>
      </c>
      <c r="Y2" s="341" t="s">
        <v>353</v>
      </c>
    </row>
    <row r="3" spans="1:26" ht="15.5" x14ac:dyDescent="0.35">
      <c r="A3" s="623" t="s">
        <v>199</v>
      </c>
      <c r="B3" s="624"/>
      <c r="C3" s="624"/>
      <c r="D3" s="624"/>
      <c r="E3" s="624"/>
      <c r="F3" s="624"/>
      <c r="G3" s="624"/>
      <c r="H3" s="624"/>
      <c r="I3" s="624"/>
      <c r="M3" s="3"/>
      <c r="Q3" s="3"/>
      <c r="R3" s="111" t="s">
        <v>264</v>
      </c>
      <c r="S3" s="342" t="s">
        <v>344</v>
      </c>
      <c r="T3" s="342" t="s">
        <v>345</v>
      </c>
      <c r="U3" s="344">
        <v>2448</v>
      </c>
      <c r="V3" s="76">
        <v>2448</v>
      </c>
    </row>
    <row r="4" spans="1:26" ht="16" x14ac:dyDescent="0.5">
      <c r="C4" s="82" t="s">
        <v>94</v>
      </c>
      <c r="M4" s="78"/>
      <c r="Q4" s="134">
        <f>R4-V4-V3</f>
        <v>62232</v>
      </c>
      <c r="R4" s="76">
        <f>SAOw!D7</f>
        <v>1069672</v>
      </c>
      <c r="S4" s="342" t="s">
        <v>346</v>
      </c>
      <c r="T4" s="342" t="s">
        <v>345</v>
      </c>
      <c r="U4" s="345">
        <v>1004992</v>
      </c>
      <c r="V4" s="3">
        <v>1004992</v>
      </c>
      <c r="Z4" s="43"/>
    </row>
    <row r="5" spans="1:26" ht="16" x14ac:dyDescent="0.5">
      <c r="C5" s="136"/>
      <c r="D5" s="20"/>
      <c r="E5" s="11" t="s">
        <v>83</v>
      </c>
      <c r="F5" s="11" t="s">
        <v>48</v>
      </c>
      <c r="G5" s="11" t="s">
        <v>46</v>
      </c>
      <c r="H5" s="2"/>
      <c r="J5" s="143" t="s">
        <v>384</v>
      </c>
      <c r="K5" s="3"/>
      <c r="L5" s="142"/>
      <c r="M5" s="3"/>
      <c r="Q5" s="43"/>
      <c r="R5" s="76">
        <f>SAOw!D8</f>
        <v>300346</v>
      </c>
      <c r="S5" s="342" t="s">
        <v>347</v>
      </c>
      <c r="T5" s="342" t="s">
        <v>345</v>
      </c>
      <c r="U5" s="345">
        <v>300346</v>
      </c>
      <c r="V5" s="3">
        <v>300346</v>
      </c>
    </row>
    <row r="6" spans="1:26" x14ac:dyDescent="0.35">
      <c r="C6" s="1" t="s">
        <v>583</v>
      </c>
      <c r="E6" s="3">
        <f>C28</f>
        <v>29488</v>
      </c>
      <c r="F6" s="74">
        <f>I28</f>
        <v>95016730</v>
      </c>
      <c r="G6" s="76">
        <f>F36</f>
        <v>1223783.1157</v>
      </c>
      <c r="H6" s="76"/>
      <c r="I6" s="78"/>
      <c r="J6" s="142"/>
      <c r="K6" s="43"/>
      <c r="R6" s="76"/>
      <c r="S6" s="342" t="s">
        <v>348</v>
      </c>
      <c r="T6" s="342" t="s">
        <v>345</v>
      </c>
      <c r="U6" s="345">
        <v>3404</v>
      </c>
      <c r="V6" s="226"/>
      <c r="W6" s="43"/>
      <c r="X6" s="43">
        <v>3404</v>
      </c>
      <c r="Y6" s="43"/>
    </row>
    <row r="7" spans="1:26" x14ac:dyDescent="0.35">
      <c r="C7" s="1" t="s">
        <v>582</v>
      </c>
      <c r="E7" s="3">
        <f>C42</f>
        <v>12</v>
      </c>
      <c r="F7" s="74">
        <f>D42</f>
        <v>896486</v>
      </c>
      <c r="G7" s="76">
        <f>F42</f>
        <v>3137.701</v>
      </c>
      <c r="H7" s="76"/>
      <c r="I7" s="78"/>
      <c r="J7" s="142"/>
      <c r="K7" s="43"/>
      <c r="R7" s="76"/>
      <c r="S7" s="342"/>
      <c r="T7" s="342"/>
      <c r="U7" s="345"/>
      <c r="V7" s="226"/>
      <c r="W7" s="43"/>
      <c r="X7" s="43"/>
      <c r="Y7" s="43"/>
    </row>
    <row r="8" spans="1:26" x14ac:dyDescent="0.35">
      <c r="C8" s="1" t="s">
        <v>29</v>
      </c>
      <c r="E8" s="3"/>
      <c r="F8" s="74"/>
      <c r="G8" s="3">
        <f>-16338.57+-616.84+-66.71+1072.32</f>
        <v>-15949.8</v>
      </c>
      <c r="H8" s="3"/>
      <c r="J8" s="142" t="s">
        <v>596</v>
      </c>
      <c r="K8" s="3"/>
      <c r="R8" s="76"/>
      <c r="S8" s="342" t="s">
        <v>349</v>
      </c>
      <c r="T8" s="342" t="s">
        <v>345</v>
      </c>
      <c r="U8" s="345">
        <v>58828</v>
      </c>
      <c r="V8" s="226"/>
      <c r="W8" s="43"/>
      <c r="X8" s="43">
        <v>58828</v>
      </c>
      <c r="Y8" s="43"/>
    </row>
    <row r="9" spans="1:26" ht="16" x14ac:dyDescent="0.5">
      <c r="E9" s="72"/>
      <c r="F9" s="131"/>
      <c r="G9" s="72"/>
      <c r="H9" s="3"/>
      <c r="J9" s="142"/>
      <c r="K9" s="3"/>
      <c r="M9" s="111" t="s">
        <v>187</v>
      </c>
      <c r="N9" s="111" t="s">
        <v>264</v>
      </c>
      <c r="R9" s="76"/>
      <c r="S9" s="342" t="s">
        <v>350</v>
      </c>
      <c r="T9" s="342" t="s">
        <v>351</v>
      </c>
      <c r="U9" s="345">
        <v>-291</v>
      </c>
      <c r="V9" s="3"/>
      <c r="Y9" s="43">
        <f>U9</f>
        <v>-291</v>
      </c>
    </row>
    <row r="10" spans="1:26" x14ac:dyDescent="0.35">
      <c r="C10" s="1" t="s">
        <v>42</v>
      </c>
      <c r="E10" s="43">
        <f>SUM(E6:E9)</f>
        <v>29500</v>
      </c>
      <c r="F10" s="6">
        <f>SUM(F6:F9)</f>
        <v>95913216</v>
      </c>
      <c r="G10" s="5">
        <f>SUM(G6:G9)</f>
        <v>1210971.0166999998</v>
      </c>
      <c r="H10" s="5"/>
      <c r="J10" s="142"/>
      <c r="K10" s="43"/>
      <c r="M10" s="75">
        <f>E10/12</f>
        <v>2458.3333333333335</v>
      </c>
      <c r="N10" s="1">
        <v>2445</v>
      </c>
      <c r="R10" s="76">
        <f>SAOw!D16</f>
        <v>45226</v>
      </c>
      <c r="S10" s="342" t="s">
        <v>328</v>
      </c>
      <c r="T10" s="342" t="s">
        <v>180</v>
      </c>
      <c r="U10" s="345">
        <v>40766</v>
      </c>
      <c r="V10" s="3"/>
      <c r="W10" s="43">
        <f>U10</f>
        <v>40766</v>
      </c>
      <c r="X10" s="43"/>
    </row>
    <row r="11" spans="1:26" x14ac:dyDescent="0.35">
      <c r="E11" s="43"/>
      <c r="F11" s="6"/>
      <c r="G11" s="5"/>
      <c r="H11" s="5"/>
      <c r="J11" s="142"/>
      <c r="K11" s="75"/>
      <c r="R11" s="76"/>
      <c r="S11" s="342" t="s">
        <v>352</v>
      </c>
      <c r="T11" s="342" t="s">
        <v>180</v>
      </c>
      <c r="U11" s="345">
        <v>4460</v>
      </c>
      <c r="V11" s="3"/>
      <c r="W11" s="43">
        <f>U11</f>
        <v>4460</v>
      </c>
      <c r="X11" s="43"/>
    </row>
    <row r="12" spans="1:26" x14ac:dyDescent="0.35">
      <c r="F12" s="8" t="s">
        <v>592</v>
      </c>
      <c r="G12" s="78">
        <f>G10-G7</f>
        <v>1207833.3156999999</v>
      </c>
      <c r="H12" s="78"/>
      <c r="I12" s="78"/>
      <c r="J12" s="142"/>
      <c r="O12" s="43"/>
      <c r="R12" s="76"/>
      <c r="S12" s="342" t="s">
        <v>62</v>
      </c>
      <c r="T12" s="342" t="s">
        <v>62</v>
      </c>
      <c r="U12" s="345">
        <v>853</v>
      </c>
      <c r="V12" s="3"/>
      <c r="Y12" s="43">
        <f>U12</f>
        <v>853</v>
      </c>
    </row>
    <row r="13" spans="1:26" x14ac:dyDescent="0.35">
      <c r="F13" s="8"/>
      <c r="G13" s="203"/>
      <c r="I13" s="78"/>
      <c r="J13" s="142"/>
      <c r="R13" s="76"/>
      <c r="S13" s="342" t="s">
        <v>351</v>
      </c>
      <c r="T13" s="342" t="s">
        <v>351</v>
      </c>
      <c r="U13" s="345">
        <v>425</v>
      </c>
      <c r="V13" s="3"/>
      <c r="Y13" s="43">
        <f>U13</f>
        <v>425</v>
      </c>
    </row>
    <row r="14" spans="1:26" ht="16" x14ac:dyDescent="0.5">
      <c r="F14" s="8"/>
      <c r="G14" s="135"/>
      <c r="I14" s="78"/>
      <c r="R14" s="76"/>
      <c r="S14" s="342" t="s">
        <v>353</v>
      </c>
      <c r="T14" s="342" t="s">
        <v>351</v>
      </c>
      <c r="U14" s="345">
        <v>394</v>
      </c>
      <c r="V14" s="3"/>
      <c r="Y14" s="43">
        <f>U14</f>
        <v>394</v>
      </c>
    </row>
    <row r="15" spans="1:26" x14ac:dyDescent="0.35">
      <c r="F15" s="202" t="s">
        <v>593</v>
      </c>
      <c r="G15" s="78">
        <f>SUM(G12:G14)</f>
        <v>1207833.3156999999</v>
      </c>
      <c r="R15" s="76"/>
      <c r="S15" s="342" t="s">
        <v>354</v>
      </c>
      <c r="T15" s="342" t="s">
        <v>355</v>
      </c>
      <c r="U15" s="345">
        <v>92048</v>
      </c>
      <c r="V15" s="3"/>
      <c r="Y15" s="43"/>
      <c r="Z15" s="43">
        <f>U15</f>
        <v>92048</v>
      </c>
    </row>
    <row r="16" spans="1:26" x14ac:dyDescent="0.35">
      <c r="F16" s="13" t="s">
        <v>332</v>
      </c>
      <c r="G16" s="78">
        <f>V16</f>
        <v>1307786</v>
      </c>
      <c r="J16" s="1" t="s">
        <v>383</v>
      </c>
      <c r="R16" s="76">
        <f>SUM(R4:R15)</f>
        <v>1415244</v>
      </c>
      <c r="S16" s="342"/>
      <c r="T16" s="342"/>
      <c r="U16" s="344">
        <f>SUM(U3:U15)</f>
        <v>1508673</v>
      </c>
      <c r="V16" s="78">
        <f>SUM(V3:V15)</f>
        <v>1307786</v>
      </c>
      <c r="W16" s="78">
        <f>SUM(W3:W15)</f>
        <v>45226</v>
      </c>
      <c r="X16" s="78">
        <f>SUM(X3:X15)</f>
        <v>62232</v>
      </c>
      <c r="Y16" s="78">
        <f>SUM(Y3:Y15)</f>
        <v>1381</v>
      </c>
      <c r="Z16" s="78"/>
    </row>
    <row r="17" spans="1:25" x14ac:dyDescent="0.35">
      <c r="E17" s="1" t="s">
        <v>248</v>
      </c>
      <c r="F17" s="202"/>
      <c r="G17" s="78">
        <f>G15-G16</f>
        <v>-99952.684300000081</v>
      </c>
      <c r="W17" s="78"/>
      <c r="X17" s="78"/>
    </row>
    <row r="18" spans="1:25" x14ac:dyDescent="0.35">
      <c r="F18" s="202"/>
      <c r="G18" s="78"/>
      <c r="Y18" s="78"/>
    </row>
    <row r="19" spans="1:25" x14ac:dyDescent="0.35">
      <c r="F19" s="202"/>
      <c r="G19" s="78"/>
    </row>
    <row r="20" spans="1:25" x14ac:dyDescent="0.35">
      <c r="F20" s="78"/>
      <c r="G20" s="78"/>
    </row>
    <row r="21" spans="1:25" ht="15.5" x14ac:dyDescent="0.35">
      <c r="A21" s="132" t="s">
        <v>407</v>
      </c>
      <c r="N21"/>
      <c r="O21"/>
      <c r="P21"/>
      <c r="Q21"/>
      <c r="R21"/>
      <c r="S21"/>
    </row>
    <row r="22" spans="1:25" ht="15.5" x14ac:dyDescent="0.35">
      <c r="E22" s="2" t="s">
        <v>49</v>
      </c>
      <c r="F22" s="2" t="s">
        <v>79</v>
      </c>
      <c r="G22" s="2" t="s">
        <v>79</v>
      </c>
      <c r="H22" s="2" t="s">
        <v>50</v>
      </c>
      <c r="K22" s="3"/>
      <c r="L22" s="1"/>
      <c r="N22"/>
      <c r="O22"/>
      <c r="P22"/>
      <c r="Q22"/>
      <c r="R22"/>
    </row>
    <row r="23" spans="1:25" ht="15.5" x14ac:dyDescent="0.35">
      <c r="B23" s="11" t="s">
        <v>51</v>
      </c>
      <c r="C23" s="12" t="s">
        <v>52</v>
      </c>
      <c r="D23" s="12" t="s">
        <v>53</v>
      </c>
      <c r="E23" s="12">
        <f>B24</f>
        <v>2000</v>
      </c>
      <c r="F23" s="12">
        <f>B25</f>
        <v>2000</v>
      </c>
      <c r="G23" s="12">
        <f>B26</f>
        <v>2000</v>
      </c>
      <c r="H23" s="12">
        <f>B27</f>
        <v>6000</v>
      </c>
      <c r="I23" s="11" t="s">
        <v>54</v>
      </c>
      <c r="K23" s="3"/>
      <c r="L23" s="1"/>
      <c r="M23"/>
      <c r="N23"/>
      <c r="O23"/>
      <c r="P23"/>
      <c r="Q23"/>
      <c r="R23"/>
    </row>
    <row r="24" spans="1:25" ht="15.5" x14ac:dyDescent="0.35">
      <c r="A24" s="13" t="s">
        <v>49</v>
      </c>
      <c r="B24" s="14">
        <v>2000</v>
      </c>
      <c r="C24" s="79">
        <f>9691+1755+785+254+12</f>
        <v>12497</v>
      </c>
      <c r="D24" s="79">
        <v>12157010</v>
      </c>
      <c r="E24" s="79">
        <f>9853640+1380340+710710+212190+130</f>
        <v>12157010</v>
      </c>
      <c r="F24" s="79">
        <v>0</v>
      </c>
      <c r="G24" s="79">
        <v>0</v>
      </c>
      <c r="H24" s="79">
        <v>0</v>
      </c>
      <c r="I24" s="79">
        <f>SUM(E24:H24)</f>
        <v>12157010</v>
      </c>
      <c r="K24" s="3"/>
      <c r="L24" s="1"/>
      <c r="M24"/>
      <c r="N24"/>
      <c r="O24"/>
      <c r="P24"/>
      <c r="Q24"/>
      <c r="R24" t="s">
        <v>283</v>
      </c>
    </row>
    <row r="25" spans="1:25" ht="16.5" x14ac:dyDescent="0.45">
      <c r="A25" s="13" t="s">
        <v>79</v>
      </c>
      <c r="B25" s="14">
        <v>2000</v>
      </c>
      <c r="C25" s="79">
        <f>8359+1091+499+148+12</f>
        <v>10109</v>
      </c>
      <c r="D25" s="79">
        <v>29133600</v>
      </c>
      <c r="E25" s="79">
        <f>16718000+2182000+998000+296000+24000</f>
        <v>20218000</v>
      </c>
      <c r="F25" s="79">
        <f>7416170+932240+450050+104050+13090</f>
        <v>8915600</v>
      </c>
      <c r="G25" s="79">
        <v>0</v>
      </c>
      <c r="H25" s="79">
        <v>0</v>
      </c>
      <c r="I25" s="79">
        <f>SUM(E25:H25)</f>
        <v>29133600</v>
      </c>
      <c r="J25" s="540"/>
      <c r="K25" s="593" t="s">
        <v>282</v>
      </c>
      <c r="L25" s="592" t="s">
        <v>86</v>
      </c>
      <c r="M25" s="592" t="s">
        <v>46</v>
      </c>
      <c r="N25" s="591"/>
      <c r="O25" s="592" t="s">
        <v>586</v>
      </c>
      <c r="P25"/>
      <c r="Q25"/>
      <c r="R25" s="304" t="s">
        <v>284</v>
      </c>
    </row>
    <row r="26" spans="1:25" ht="15.5" x14ac:dyDescent="0.35">
      <c r="A26" s="13" t="s">
        <v>79</v>
      </c>
      <c r="B26" s="14">
        <v>2000</v>
      </c>
      <c r="C26" s="79">
        <f>3375+361+165+17</f>
        <v>3918</v>
      </c>
      <c r="D26" s="79">
        <v>18918030</v>
      </c>
      <c r="E26" s="79">
        <f>6750000+722000+330000+34000</f>
        <v>7836000</v>
      </c>
      <c r="F26" s="79">
        <f>6750000+722000+330000+34000</f>
        <v>7836000</v>
      </c>
      <c r="G26" s="79">
        <f>2810600+299050+123000+13380</f>
        <v>3246030</v>
      </c>
      <c r="H26" s="79">
        <v>0</v>
      </c>
      <c r="I26" s="79">
        <f>SUM(E26:H26)</f>
        <v>18918030</v>
      </c>
      <c r="K26" s="1">
        <v>23752</v>
      </c>
      <c r="L26" s="3">
        <v>73784980</v>
      </c>
      <c r="M26" s="439">
        <v>953713</v>
      </c>
      <c r="N26" s="27" t="s">
        <v>587</v>
      </c>
      <c r="O26" s="27"/>
      <c r="P26" s="27"/>
      <c r="Q26">
        <v>23.22</v>
      </c>
      <c r="R26">
        <v>24.77</v>
      </c>
      <c r="S26" s="208">
        <f>(R26-Q26)/Q26</f>
        <v>6.6752799310938873E-2</v>
      </c>
    </row>
    <row r="27" spans="1:25" ht="15.5" x14ac:dyDescent="0.35">
      <c r="A27" s="13" t="s">
        <v>50</v>
      </c>
      <c r="B27" s="16">
        <v>6000</v>
      </c>
      <c r="C27" s="80">
        <f>2327+540+94+3</f>
        <v>2964</v>
      </c>
      <c r="D27" s="80">
        <v>34808090</v>
      </c>
      <c r="E27" s="80">
        <f>4654000+1080000+188000+6000</f>
        <v>5928000</v>
      </c>
      <c r="F27" s="80">
        <f>4654000+1080000+188000+6000</f>
        <v>5928000</v>
      </c>
      <c r="G27" s="80">
        <f>4654000+1080000+188000+6000</f>
        <v>5928000</v>
      </c>
      <c r="H27" s="80">
        <f>9524570+7036860+457480+5180</f>
        <v>17024090</v>
      </c>
      <c r="I27" s="80">
        <f>SUM(E27:H27)</f>
        <v>34808090</v>
      </c>
      <c r="K27" s="3">
        <v>3747</v>
      </c>
      <c r="L27" s="3">
        <v>16514490</v>
      </c>
      <c r="M27" s="439">
        <v>201167.84</v>
      </c>
      <c r="N27" s="27" t="s">
        <v>588</v>
      </c>
      <c r="O27" s="27"/>
      <c r="P27" s="27"/>
      <c r="Q27">
        <v>10.06</v>
      </c>
      <c r="R27">
        <v>10.83</v>
      </c>
      <c r="S27" s="208">
        <f>(R27-Q27)/Q27</f>
        <v>7.6540755467196769E-2</v>
      </c>
    </row>
    <row r="28" spans="1:25" ht="15.5" x14ac:dyDescent="0.35">
      <c r="A28" s="13"/>
      <c r="B28" s="14"/>
      <c r="C28" s="81">
        <f t="shared" ref="C28:I28" si="0">SUM(C24:C27)</f>
        <v>29488</v>
      </c>
      <c r="D28" s="81">
        <f t="shared" si="0"/>
        <v>95016730</v>
      </c>
      <c r="E28" s="81">
        <f t="shared" si="0"/>
        <v>46139010</v>
      </c>
      <c r="F28" s="81">
        <f t="shared" si="0"/>
        <v>22679600</v>
      </c>
      <c r="G28" s="81">
        <f t="shared" si="0"/>
        <v>9174030</v>
      </c>
      <c r="H28" s="81">
        <f t="shared" si="0"/>
        <v>17024090</v>
      </c>
      <c r="I28" s="81">
        <f t="shared" si="0"/>
        <v>95016730</v>
      </c>
      <c r="K28" s="3">
        <v>1543</v>
      </c>
      <c r="L28" s="3">
        <v>3963240</v>
      </c>
      <c r="M28" s="439">
        <v>55996.02</v>
      </c>
      <c r="N28" s="27" t="s">
        <v>589</v>
      </c>
      <c r="O28" s="27"/>
      <c r="P28" s="27"/>
      <c r="Q28">
        <v>9.07</v>
      </c>
      <c r="R28">
        <v>9.84</v>
      </c>
      <c r="S28" s="208">
        <f>(R28-Q28)/Q28</f>
        <v>8.4895259095920564E-2</v>
      </c>
    </row>
    <row r="29" spans="1:25" ht="15.5" x14ac:dyDescent="0.35">
      <c r="A29" s="13"/>
      <c r="B29" s="14"/>
      <c r="D29" s="14"/>
      <c r="E29" s="14"/>
      <c r="F29" s="14"/>
      <c r="G29" s="14"/>
      <c r="H29" s="14"/>
      <c r="I29" s="14"/>
      <c r="K29" s="1">
        <v>422</v>
      </c>
      <c r="L29" s="3">
        <v>716800</v>
      </c>
      <c r="M29" s="246">
        <v>12251.61</v>
      </c>
      <c r="N29" s="27" t="s">
        <v>590</v>
      </c>
      <c r="O29" s="27"/>
      <c r="P29" s="27"/>
      <c r="Q29">
        <v>8.48</v>
      </c>
      <c r="R29">
        <v>9.25</v>
      </c>
      <c r="S29" s="208">
        <f>(R29-Q29)/Q29</f>
        <v>9.0801886792452782E-2</v>
      </c>
    </row>
    <row r="30" spans="1:25" ht="15.5" x14ac:dyDescent="0.35">
      <c r="A30" s="18" t="s">
        <v>281</v>
      </c>
      <c r="B30" s="18"/>
      <c r="D30" s="14"/>
      <c r="E30" s="14"/>
      <c r="F30" s="14"/>
      <c r="G30" s="14"/>
      <c r="H30" s="14"/>
      <c r="I30" s="14"/>
      <c r="K30" s="149">
        <v>24</v>
      </c>
      <c r="L30" s="301">
        <v>37220</v>
      </c>
      <c r="M30" s="302">
        <v>736.24</v>
      </c>
      <c r="N30" s="27" t="s">
        <v>591</v>
      </c>
      <c r="O30" s="27"/>
      <c r="P30" s="27"/>
      <c r="Q30"/>
      <c r="R30"/>
      <c r="S30"/>
    </row>
    <row r="31" spans="1:25" ht="15.5" x14ac:dyDescent="0.35">
      <c r="A31" s="13"/>
      <c r="B31" s="11"/>
      <c r="C31" s="12" t="s">
        <v>52</v>
      </c>
      <c r="D31" s="11" t="s">
        <v>53</v>
      </c>
      <c r="E31" s="12" t="s">
        <v>56</v>
      </c>
      <c r="F31" s="12" t="s">
        <v>57</v>
      </c>
      <c r="G31" s="14"/>
      <c r="H31" s="14"/>
      <c r="I31" s="14"/>
      <c r="K31" s="1">
        <f>SUM(K26:K30)</f>
        <v>29488</v>
      </c>
      <c r="L31" s="3">
        <f>SUM(L26:L30)</f>
        <v>95016730</v>
      </c>
      <c r="M31" s="246">
        <f>SUM(M26:M30)</f>
        <v>1223864.7100000002</v>
      </c>
      <c r="N31" s="27"/>
      <c r="O31" s="27"/>
      <c r="P31" s="27"/>
      <c r="Q31"/>
      <c r="R31"/>
      <c r="S31"/>
    </row>
    <row r="32" spans="1:25" ht="15.5" x14ac:dyDescent="0.35">
      <c r="A32" s="13" t="s">
        <v>49</v>
      </c>
      <c r="B32" s="14">
        <f>B24</f>
        <v>2000</v>
      </c>
      <c r="C32" s="15">
        <f>C28</f>
        <v>29488</v>
      </c>
      <c r="D32" s="79">
        <f>E28</f>
        <v>46139010</v>
      </c>
      <c r="E32" s="19">
        <v>24.77</v>
      </c>
      <c r="F32" s="9">
        <f>E32*C32</f>
        <v>730417.76</v>
      </c>
      <c r="G32" s="14"/>
      <c r="M32" s="246"/>
      <c r="N32"/>
      <c r="O32"/>
      <c r="P32"/>
      <c r="Q32"/>
      <c r="R32"/>
      <c r="S32"/>
    </row>
    <row r="33" spans="1:19" ht="15.5" x14ac:dyDescent="0.35">
      <c r="A33" s="13" t="s">
        <v>79</v>
      </c>
      <c r="B33" s="14">
        <f>B25</f>
        <v>2000</v>
      </c>
      <c r="D33" s="79">
        <f>F28</f>
        <v>22679600</v>
      </c>
      <c r="E33" s="258">
        <v>1.0829999999999999E-2</v>
      </c>
      <c r="F33" s="3">
        <f>E33*D33</f>
        <v>245620.068</v>
      </c>
      <c r="G33" s="14"/>
      <c r="N33"/>
      <c r="O33"/>
      <c r="P33"/>
      <c r="Q33"/>
      <c r="R33"/>
      <c r="S33"/>
    </row>
    <row r="34" spans="1:19" ht="15.5" x14ac:dyDescent="0.35">
      <c r="A34" s="13" t="s">
        <v>79</v>
      </c>
      <c r="B34" s="14">
        <f>B26</f>
        <v>2000</v>
      </c>
      <c r="D34" s="79">
        <f>G28</f>
        <v>9174030</v>
      </c>
      <c r="E34" s="258">
        <v>9.8399999999999998E-3</v>
      </c>
      <c r="F34" s="3">
        <f>E34*D34</f>
        <v>90272.455199999997</v>
      </c>
      <c r="G34" s="14"/>
      <c r="N34"/>
      <c r="O34"/>
      <c r="P34"/>
      <c r="Q34"/>
      <c r="R34"/>
      <c r="S34"/>
    </row>
    <row r="35" spans="1:19" x14ac:dyDescent="0.35">
      <c r="A35" s="13" t="s">
        <v>50</v>
      </c>
      <c r="B35" s="16">
        <f>B27</f>
        <v>6000</v>
      </c>
      <c r="C35" s="20"/>
      <c r="D35" s="80">
        <f>H28</f>
        <v>17024090</v>
      </c>
      <c r="E35" s="259">
        <v>9.2499999999999995E-3</v>
      </c>
      <c r="F35" s="84">
        <f>E35*D35</f>
        <v>157472.83249999999</v>
      </c>
      <c r="G35" s="14"/>
      <c r="Q35" s="3">
        <f>Q29/12</f>
        <v>0.70666666666666667</v>
      </c>
    </row>
    <row r="36" spans="1:19" x14ac:dyDescent="0.35">
      <c r="A36" s="13"/>
      <c r="B36" s="14" t="s">
        <v>54</v>
      </c>
      <c r="C36" s="3">
        <f>SUM(C32:C35)</f>
        <v>29488</v>
      </c>
      <c r="D36" s="81">
        <f>SUM(D32:D35)</f>
        <v>95016730</v>
      </c>
      <c r="F36" s="9">
        <f>SUM(F32:F35)</f>
        <v>1223783.1157</v>
      </c>
      <c r="G36" s="14"/>
      <c r="H36" s="14"/>
      <c r="I36" s="14"/>
    </row>
    <row r="37" spans="1:19" x14ac:dyDescent="0.35">
      <c r="A37" s="13"/>
      <c r="B37" s="14"/>
      <c r="C37" s="3"/>
      <c r="D37" s="81"/>
      <c r="F37" s="9"/>
      <c r="G37" s="14"/>
      <c r="H37" s="14"/>
      <c r="I37" s="14"/>
    </row>
    <row r="38" spans="1:19" ht="15.5" x14ac:dyDescent="0.35">
      <c r="A38" s="132"/>
    </row>
    <row r="39" spans="1:19" ht="15.5" x14ac:dyDescent="0.35">
      <c r="A39" s="201" t="s">
        <v>405</v>
      </c>
      <c r="B39" s="200"/>
      <c r="C39" s="200"/>
      <c r="D39" s="200"/>
      <c r="E39" s="200"/>
      <c r="F39" s="200"/>
      <c r="L39" s="1"/>
    </row>
    <row r="40" spans="1:19" x14ac:dyDescent="0.35">
      <c r="E40" s="2" t="s">
        <v>56</v>
      </c>
      <c r="F40" s="2"/>
      <c r="L40" s="1"/>
    </row>
    <row r="41" spans="1:19" x14ac:dyDescent="0.35">
      <c r="B41" s="11"/>
      <c r="C41" s="12" t="s">
        <v>52</v>
      </c>
      <c r="D41" s="12" t="s">
        <v>53</v>
      </c>
      <c r="E41" s="12" t="s">
        <v>406</v>
      </c>
      <c r="F41" s="12" t="s">
        <v>57</v>
      </c>
      <c r="G41" s="11"/>
      <c r="L41" s="1"/>
    </row>
    <row r="42" spans="1:19" x14ac:dyDescent="0.35">
      <c r="A42" s="13"/>
      <c r="B42" s="14"/>
      <c r="C42" s="79">
        <v>12</v>
      </c>
      <c r="D42" s="79">
        <v>896486</v>
      </c>
      <c r="E42" s="401">
        <v>3.5000000000000001E-3</v>
      </c>
      <c r="F42" s="398">
        <f>D42*E42</f>
        <v>3137.701</v>
      </c>
      <c r="G42" s="79"/>
      <c r="L42" s="1"/>
    </row>
    <row r="43" spans="1:19" x14ac:dyDescent="0.35">
      <c r="A43" s="13"/>
      <c r="B43" s="14"/>
      <c r="C43" s="81"/>
      <c r="D43" s="81"/>
      <c r="E43" s="81"/>
      <c r="F43" s="81"/>
      <c r="G43" s="81"/>
      <c r="J43" s="3"/>
      <c r="L43" s="1"/>
    </row>
    <row r="44" spans="1:19" x14ac:dyDescent="0.35">
      <c r="A44" s="13"/>
      <c r="B44" s="14"/>
      <c r="D44" s="14"/>
      <c r="E44" s="14"/>
      <c r="F44" s="14"/>
      <c r="G44" s="14"/>
      <c r="H44" s="14"/>
      <c r="I44" s="14"/>
    </row>
    <row r="45" spans="1:19" x14ac:dyDescent="0.35">
      <c r="A45" s="18"/>
      <c r="B45" s="18"/>
      <c r="D45" s="14"/>
      <c r="E45" s="14"/>
      <c r="F45" s="14"/>
      <c r="G45" s="14"/>
      <c r="H45" s="14"/>
      <c r="I45" s="14"/>
    </row>
    <row r="46" spans="1:19" x14ac:dyDescent="0.35">
      <c r="A46" s="13"/>
      <c r="B46" s="2"/>
      <c r="C46" s="394"/>
      <c r="D46" s="2"/>
      <c r="E46" s="394"/>
      <c r="F46" s="394"/>
      <c r="G46" s="14"/>
      <c r="H46" s="14"/>
      <c r="I46" s="14"/>
    </row>
    <row r="47" spans="1:19" x14ac:dyDescent="0.35">
      <c r="A47" s="13"/>
      <c r="B47" s="14"/>
      <c r="C47" s="81"/>
      <c r="D47" s="393"/>
      <c r="E47" s="399"/>
      <c r="F47" s="400"/>
      <c r="G47" s="14"/>
    </row>
    <row r="48" spans="1:19" x14ac:dyDescent="0.35">
      <c r="A48" s="13"/>
      <c r="B48" s="14"/>
      <c r="D48" s="393"/>
      <c r="E48" s="94"/>
      <c r="F48" s="6"/>
      <c r="G48" s="14"/>
    </row>
    <row r="49" spans="1:12" x14ac:dyDescent="0.35">
      <c r="A49" s="13"/>
      <c r="B49" s="14"/>
      <c r="C49" s="6"/>
      <c r="D49" s="81"/>
      <c r="F49" s="400"/>
      <c r="G49" s="14"/>
      <c r="H49" s="14"/>
      <c r="I49" s="14"/>
    </row>
    <row r="50" spans="1:12" x14ac:dyDescent="0.35">
      <c r="A50" s="13"/>
      <c r="B50" s="14"/>
      <c r="C50" s="22"/>
      <c r="D50" s="81"/>
      <c r="F50" s="399"/>
      <c r="G50" s="14"/>
      <c r="H50" s="14"/>
      <c r="I50" s="14"/>
    </row>
    <row r="51" spans="1:12" ht="15.5" x14ac:dyDescent="0.35">
      <c r="A51" s="132"/>
    </row>
    <row r="52" spans="1:12" x14ac:dyDescent="0.35">
      <c r="E52" s="2"/>
      <c r="F52" s="2"/>
      <c r="K52" s="3"/>
      <c r="L52" s="1"/>
    </row>
    <row r="53" spans="1:12" x14ac:dyDescent="0.35">
      <c r="B53" s="2"/>
      <c r="C53" s="394"/>
      <c r="D53" s="394"/>
      <c r="E53" s="394"/>
      <c r="F53" s="394"/>
      <c r="G53" s="2"/>
      <c r="L53" s="1"/>
    </row>
    <row r="54" spans="1:12" x14ac:dyDescent="0.35">
      <c r="A54" s="13"/>
      <c r="B54" s="14"/>
      <c r="C54" s="393"/>
      <c r="D54" s="393"/>
      <c r="E54" s="393"/>
      <c r="F54" s="393"/>
      <c r="G54" s="393"/>
      <c r="K54" s="83"/>
      <c r="L54" s="1"/>
    </row>
    <row r="55" spans="1:12" x14ac:dyDescent="0.35">
      <c r="A55" s="13"/>
      <c r="B55" s="14"/>
      <c r="C55" s="393"/>
      <c r="D55" s="393"/>
      <c r="E55" s="393"/>
      <c r="F55" s="393"/>
      <c r="G55" s="393"/>
      <c r="H55" s="6"/>
      <c r="I55" s="3"/>
      <c r="K55" s="2"/>
      <c r="L55" s="1"/>
    </row>
    <row r="56" spans="1:12" x14ac:dyDescent="0.35">
      <c r="A56" s="13"/>
      <c r="B56" s="14"/>
      <c r="C56" s="6"/>
      <c r="D56" s="81"/>
      <c r="E56" s="81"/>
      <c r="F56" s="81"/>
      <c r="G56" s="81"/>
    </row>
    <row r="57" spans="1:12" x14ac:dyDescent="0.35">
      <c r="A57" s="13"/>
      <c r="B57" s="14"/>
      <c r="D57" s="14"/>
      <c r="E57" s="14"/>
      <c r="F57" s="14"/>
      <c r="G57" s="14"/>
      <c r="H57" s="14"/>
      <c r="I57" s="14"/>
    </row>
    <row r="58" spans="1:12" x14ac:dyDescent="0.35">
      <c r="A58" s="18"/>
      <c r="B58" s="18"/>
      <c r="D58" s="14"/>
      <c r="E58" s="14"/>
      <c r="F58" s="14"/>
      <c r="G58" s="14"/>
      <c r="H58" s="14"/>
      <c r="I58" s="14"/>
    </row>
    <row r="59" spans="1:12" x14ac:dyDescent="0.35">
      <c r="A59" s="13"/>
      <c r="B59" s="2"/>
      <c r="C59" s="394"/>
      <c r="D59" s="2"/>
      <c r="E59" s="394"/>
      <c r="F59" s="394"/>
      <c r="G59" s="14"/>
      <c r="H59" s="14"/>
      <c r="I59" s="14"/>
    </row>
    <row r="60" spans="1:12" x14ac:dyDescent="0.35">
      <c r="A60" s="13"/>
      <c r="B60" s="14"/>
      <c r="C60" s="81"/>
      <c r="D60" s="393"/>
      <c r="E60" s="399"/>
      <c r="F60" s="400"/>
      <c r="G60" s="14"/>
      <c r="H60" s="14"/>
      <c r="I60" s="14"/>
    </row>
    <row r="61" spans="1:12" x14ac:dyDescent="0.35">
      <c r="A61" s="13"/>
      <c r="B61" s="14"/>
      <c r="C61" s="6"/>
      <c r="D61" s="393"/>
      <c r="E61" s="94"/>
      <c r="F61" s="6"/>
      <c r="G61" s="14"/>
      <c r="H61" s="14"/>
      <c r="I61" s="14"/>
    </row>
    <row r="62" spans="1:12" x14ac:dyDescent="0.35">
      <c r="A62" s="13"/>
      <c r="B62" s="14"/>
      <c r="C62" s="6"/>
      <c r="D62" s="81"/>
      <c r="F62" s="400"/>
      <c r="G62" s="14"/>
      <c r="H62" s="14"/>
      <c r="I62" s="14"/>
    </row>
    <row r="63" spans="1:12" x14ac:dyDescent="0.35">
      <c r="A63" s="13"/>
      <c r="B63" s="14"/>
      <c r="C63" s="22"/>
      <c r="D63" s="81"/>
      <c r="F63" s="399"/>
      <c r="G63" s="14"/>
      <c r="H63" s="14"/>
      <c r="I63" s="14"/>
    </row>
    <row r="65" spans="1:11" ht="15.5" x14ac:dyDescent="0.35">
      <c r="A65" s="201"/>
      <c r="B65" s="200"/>
      <c r="C65" s="200"/>
      <c r="D65" s="200"/>
      <c r="E65" s="200"/>
      <c r="F65" s="200"/>
      <c r="K65" s="200"/>
    </row>
    <row r="66" spans="1:11" x14ac:dyDescent="0.35">
      <c r="E66" s="2"/>
      <c r="F66" s="2"/>
    </row>
    <row r="67" spans="1:11" x14ac:dyDescent="0.35">
      <c r="B67" s="2"/>
      <c r="C67" s="394"/>
      <c r="D67" s="394"/>
      <c r="E67" s="394"/>
      <c r="F67" s="394"/>
      <c r="G67" s="2"/>
    </row>
    <row r="68" spans="1:11" x14ac:dyDescent="0.35">
      <c r="A68" s="13"/>
      <c r="B68" s="14"/>
      <c r="C68" s="393"/>
      <c r="D68" s="393"/>
      <c r="E68" s="393"/>
      <c r="F68" s="393"/>
      <c r="G68" s="393"/>
    </row>
    <row r="69" spans="1:11" x14ac:dyDescent="0.35">
      <c r="A69" s="13"/>
      <c r="B69" s="14"/>
      <c r="C69" s="393"/>
      <c r="D69" s="393"/>
      <c r="E69" s="393"/>
      <c r="F69" s="393"/>
      <c r="G69" s="393"/>
    </row>
    <row r="70" spans="1:11" x14ac:dyDescent="0.35">
      <c r="A70" s="13"/>
      <c r="B70" s="14"/>
      <c r="C70" s="6"/>
      <c r="D70" s="81"/>
      <c r="E70" s="81"/>
      <c r="F70" s="81"/>
      <c r="G70" s="81"/>
    </row>
    <row r="71" spans="1:11" x14ac:dyDescent="0.35">
      <c r="A71" s="13"/>
      <c r="B71" s="14"/>
      <c r="D71" s="14"/>
      <c r="E71" s="14"/>
      <c r="F71" s="14"/>
      <c r="G71" s="14"/>
    </row>
    <row r="72" spans="1:11" x14ac:dyDescent="0.35">
      <c r="A72" s="18"/>
      <c r="B72" s="18"/>
      <c r="D72" s="14"/>
      <c r="E72" s="14"/>
      <c r="F72" s="14"/>
      <c r="G72" s="14"/>
    </row>
    <row r="73" spans="1:11" x14ac:dyDescent="0.35">
      <c r="A73" s="13"/>
      <c r="B73" s="2"/>
      <c r="C73" s="394"/>
      <c r="D73" s="2"/>
      <c r="E73" s="394"/>
      <c r="F73" s="394"/>
      <c r="G73" s="14"/>
    </row>
    <row r="74" spans="1:11" x14ac:dyDescent="0.35">
      <c r="A74" s="13"/>
      <c r="B74" s="14"/>
      <c r="C74" s="81"/>
      <c r="D74" s="393"/>
      <c r="E74" s="399"/>
      <c r="F74" s="400"/>
      <c r="G74" s="14"/>
    </row>
    <row r="75" spans="1:11" x14ac:dyDescent="0.35">
      <c r="A75" s="13"/>
      <c r="B75" s="14"/>
      <c r="C75" s="6"/>
      <c r="D75" s="393"/>
      <c r="E75" s="94"/>
      <c r="F75" s="6"/>
      <c r="G75" s="14"/>
    </row>
    <row r="76" spans="1:11" x14ac:dyDescent="0.35">
      <c r="A76" s="13"/>
      <c r="B76" s="14"/>
      <c r="C76" s="6"/>
      <c r="D76" s="81"/>
      <c r="F76" s="400"/>
      <c r="G76" s="14"/>
      <c r="H76" s="112"/>
    </row>
  </sheetData>
  <mergeCells count="3">
    <mergeCell ref="A2:I2"/>
    <mergeCell ref="A1:I1"/>
    <mergeCell ref="A3:I3"/>
  </mergeCells>
  <printOptions horizontalCentered="1"/>
  <pageMargins left="0.85" right="0.6" top="0.9" bottom="1" header="0.3" footer="0.3"/>
  <pageSetup scale="86" fitToHeight="2" orientation="portrait" r:id="rId1"/>
  <headerFooter>
    <oddFooter>Page &amp;P of &amp;N</oddFooter>
  </headerFooter>
  <rowBreaks count="1" manualBreakCount="1">
    <brk id="50"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S76"/>
  <sheetViews>
    <sheetView topLeftCell="C1" zoomScaleNormal="100" workbookViewId="0">
      <selection activeCell="J11" sqref="J11"/>
    </sheetView>
  </sheetViews>
  <sheetFormatPr defaultColWidth="8.84375" defaultRowHeight="14.5" x14ac:dyDescent="0.35"/>
  <cols>
    <col min="1" max="1" width="8.4609375" style="1" customWidth="1"/>
    <col min="2" max="2" width="8.69140625" style="1" customWidth="1"/>
    <col min="3" max="3" width="8" style="1" customWidth="1"/>
    <col min="4" max="4" width="10.84375" style="1" customWidth="1"/>
    <col min="5" max="5" width="9.765625" style="1" customWidth="1"/>
    <col min="6" max="6" width="13.53515625" style="1" customWidth="1"/>
    <col min="7" max="7" width="9.765625" style="1" customWidth="1"/>
    <col min="8" max="8" width="10.07421875" style="1" customWidth="1"/>
    <col min="9" max="9" width="11" style="1" customWidth="1"/>
    <col min="10" max="11" width="8.84375" style="1"/>
    <col min="12" max="12" width="9.84375" style="1" bestFit="1" customWidth="1"/>
    <col min="13" max="16" width="8.84375" style="1"/>
    <col min="17" max="17" width="13.23046875" style="1" bestFit="1" customWidth="1"/>
    <col min="18" max="16384" width="8.84375" style="1"/>
  </cols>
  <sheetData>
    <row r="1" spans="1:19" ht="18.5" x14ac:dyDescent="0.45">
      <c r="A1" s="77" t="s">
        <v>273</v>
      </c>
      <c r="B1" s="7"/>
      <c r="C1" s="7"/>
      <c r="D1" s="7"/>
      <c r="E1" s="7"/>
      <c r="F1" s="7"/>
      <c r="G1" s="7"/>
      <c r="H1" s="7"/>
      <c r="I1" s="7"/>
    </row>
    <row r="2" spans="1:19" ht="18.5" x14ac:dyDescent="0.35">
      <c r="A2" s="594" t="s">
        <v>207</v>
      </c>
      <c r="B2" s="594"/>
      <c r="C2" s="594"/>
      <c r="D2" s="594"/>
      <c r="E2" s="594"/>
      <c r="F2" s="594"/>
      <c r="G2" s="594"/>
      <c r="H2" s="594"/>
      <c r="I2" s="594"/>
    </row>
    <row r="4" spans="1:19" ht="15.5" x14ac:dyDescent="0.35">
      <c r="C4" s="82" t="s">
        <v>94</v>
      </c>
      <c r="Q4" s="234" t="s">
        <v>46</v>
      </c>
      <c r="R4"/>
      <c r="S4" s="257" t="s">
        <v>132</v>
      </c>
    </row>
    <row r="5" spans="1:19" ht="15.5" x14ac:dyDescent="0.35">
      <c r="C5" s="136"/>
      <c r="D5" s="20"/>
      <c r="E5" s="11" t="s">
        <v>83</v>
      </c>
      <c r="F5" s="11" t="s">
        <v>48</v>
      </c>
      <c r="G5" s="11" t="s">
        <v>46</v>
      </c>
      <c r="H5" s="2"/>
      <c r="Q5" s="440" t="s">
        <v>500</v>
      </c>
      <c r="R5" s="440" t="s">
        <v>248</v>
      </c>
      <c r="S5" s="440" t="s">
        <v>133</v>
      </c>
    </row>
    <row r="6" spans="1:19" ht="15.5" x14ac:dyDescent="0.35">
      <c r="C6" s="1" t="s">
        <v>105</v>
      </c>
      <c r="E6" s="3">
        <f>C26</f>
        <v>29330</v>
      </c>
      <c r="F6" s="74">
        <f>D26</f>
        <v>92151200</v>
      </c>
      <c r="G6" s="76">
        <f>F34</f>
        <v>1329508.9202229998</v>
      </c>
      <c r="H6" s="76"/>
      <c r="K6" s="234" t="s">
        <v>46</v>
      </c>
      <c r="L6"/>
      <c r="M6" s="257" t="s">
        <v>132</v>
      </c>
      <c r="Q6" s="76">
        <f>ExBAw!G15</f>
        <v>1207833.3156999999</v>
      </c>
      <c r="R6" s="78">
        <f>G15-Q6</f>
        <v>142127.49753599986</v>
      </c>
      <c r="S6" s="303">
        <f>R6/Q6</f>
        <v>0.11767144993316388</v>
      </c>
    </row>
    <row r="7" spans="1:19" ht="15.5" x14ac:dyDescent="0.35">
      <c r="C7" s="1" t="s">
        <v>106</v>
      </c>
      <c r="E7" s="3">
        <f>C42</f>
        <v>102</v>
      </c>
      <c r="F7" s="74">
        <f>D42</f>
        <v>1767970</v>
      </c>
      <c r="G7" s="3">
        <f>F49</f>
        <v>20757.251861000001</v>
      </c>
      <c r="H7" s="3"/>
      <c r="K7" s="440" t="s">
        <v>500</v>
      </c>
      <c r="L7" s="440" t="s">
        <v>248</v>
      </c>
      <c r="M7" s="440" t="s">
        <v>133</v>
      </c>
    </row>
    <row r="8" spans="1:19" x14ac:dyDescent="0.35">
      <c r="C8" s="1" t="s">
        <v>107</v>
      </c>
      <c r="E8" s="3">
        <f>C56</f>
        <v>56</v>
      </c>
      <c r="F8" s="74">
        <f>D56</f>
        <v>1097560</v>
      </c>
      <c r="G8" s="3">
        <f>F62</f>
        <v>12155.317640000001</v>
      </c>
      <c r="H8" s="3"/>
      <c r="K8" s="1">
        <f>ExBAw!G12</f>
        <v>1207833.3156999999</v>
      </c>
      <c r="L8" s="78">
        <f>G12-K8</f>
        <v>142127.49753599986</v>
      </c>
      <c r="M8" s="590">
        <f>L8/K8</f>
        <v>0.11767144993316388</v>
      </c>
    </row>
    <row r="9" spans="1:19" ht="16" x14ac:dyDescent="0.5">
      <c r="C9" s="1" t="s">
        <v>582</v>
      </c>
      <c r="E9" s="72">
        <f>C68</f>
        <v>12</v>
      </c>
      <c r="F9" s="131">
        <f>D68</f>
        <v>896486</v>
      </c>
      <c r="G9" s="72">
        <f>F68</f>
        <v>3489.1235120000001</v>
      </c>
      <c r="H9" s="3"/>
    </row>
    <row r="10" spans="1:19" x14ac:dyDescent="0.35">
      <c r="C10" s="1" t="s">
        <v>42</v>
      </c>
      <c r="E10" s="43">
        <f>SUM(E6:E9)</f>
        <v>29500</v>
      </c>
      <c r="F10" s="6">
        <f>SUM(F6:F9)</f>
        <v>95913216</v>
      </c>
      <c r="G10" s="5">
        <f>SUM(G6:G9)</f>
        <v>1365910.6132359998</v>
      </c>
      <c r="H10" s="5"/>
    </row>
    <row r="11" spans="1:19" x14ac:dyDescent="0.35">
      <c r="C11" s="1" t="s">
        <v>29</v>
      </c>
      <c r="E11" s="3"/>
      <c r="F11" s="74"/>
      <c r="G11" s="3">
        <f>-16338.57+-616.84+-66.71+1072.32</f>
        <v>-15949.8</v>
      </c>
      <c r="H11" s="3"/>
      <c r="J11" s="142" t="s">
        <v>597</v>
      </c>
      <c r="K11" s="3"/>
      <c r="L11" s="3"/>
    </row>
    <row r="12" spans="1:19" x14ac:dyDescent="0.35">
      <c r="F12" s="8" t="s">
        <v>202</v>
      </c>
      <c r="G12" s="78">
        <f>G10+G11</f>
        <v>1349960.8132359998</v>
      </c>
      <c r="H12" s="78"/>
      <c r="I12" s="78"/>
      <c r="L12" s="78"/>
    </row>
    <row r="13" spans="1:19" x14ac:dyDescent="0.35">
      <c r="F13" s="8"/>
      <c r="G13" s="203"/>
      <c r="I13" s="78"/>
    </row>
    <row r="14" spans="1:19" ht="16" x14ac:dyDescent="0.5">
      <c r="F14" s="8"/>
      <c r="G14" s="135"/>
      <c r="I14" s="78"/>
    </row>
    <row r="15" spans="1:19" x14ac:dyDescent="0.35">
      <c r="F15" s="202" t="s">
        <v>182</v>
      </c>
      <c r="G15" s="78">
        <f>SUM(G12:G14)</f>
        <v>1349960.8132359998</v>
      </c>
      <c r="K15" s="303"/>
    </row>
    <row r="16" spans="1:19" ht="16" x14ac:dyDescent="0.5">
      <c r="F16" s="78" t="s">
        <v>409</v>
      </c>
      <c r="G16" s="585">
        <f>SAOw!G58</f>
        <v>1346656.6036157424</v>
      </c>
    </row>
    <row r="17" spans="1:12" x14ac:dyDescent="0.35">
      <c r="F17" s="78" t="s">
        <v>248</v>
      </c>
      <c r="G17" s="78">
        <f>G15-G16</f>
        <v>3304.2096202573739</v>
      </c>
    </row>
    <row r="18" spans="1:12" x14ac:dyDescent="0.35">
      <c r="F18" s="78"/>
      <c r="G18" s="78"/>
    </row>
    <row r="19" spans="1:12" ht="15.5" x14ac:dyDescent="0.35">
      <c r="A19" s="132" t="s">
        <v>102</v>
      </c>
    </row>
    <row r="20" spans="1:12" x14ac:dyDescent="0.35">
      <c r="E20" s="2" t="s">
        <v>49</v>
      </c>
      <c r="F20" s="2" t="s">
        <v>79</v>
      </c>
      <c r="G20" s="2" t="s">
        <v>79</v>
      </c>
      <c r="H20" s="2" t="s">
        <v>50</v>
      </c>
    </row>
    <row r="21" spans="1:12" x14ac:dyDescent="0.35">
      <c r="B21" s="11" t="s">
        <v>51</v>
      </c>
      <c r="C21" s="12" t="s">
        <v>52</v>
      </c>
      <c r="D21" s="12" t="s">
        <v>53</v>
      </c>
      <c r="E21" s="12">
        <f>B22</f>
        <v>2000</v>
      </c>
      <c r="F21" s="12">
        <f>B23</f>
        <v>2000</v>
      </c>
      <c r="G21" s="12">
        <f>B24</f>
        <v>2000</v>
      </c>
      <c r="H21" s="12">
        <f>B25</f>
        <v>6000</v>
      </c>
      <c r="I21" s="11" t="s">
        <v>54</v>
      </c>
    </row>
    <row r="22" spans="1:12" x14ac:dyDescent="0.35">
      <c r="A22" s="13" t="s">
        <v>49</v>
      </c>
      <c r="B22" s="14">
        <v>2000</v>
      </c>
      <c r="C22" s="79">
        <f>ExBAw!C24</f>
        <v>12497</v>
      </c>
      <c r="D22" s="79">
        <v>12157010</v>
      </c>
      <c r="E22" s="79">
        <f>D22</f>
        <v>12157010</v>
      </c>
      <c r="F22" s="79">
        <v>0</v>
      </c>
      <c r="G22" s="79">
        <v>0</v>
      </c>
      <c r="H22" s="79">
        <v>0</v>
      </c>
      <c r="I22" s="79">
        <f>SUM(E22:H22)</f>
        <v>12157010</v>
      </c>
    </row>
    <row r="23" spans="1:12" x14ac:dyDescent="0.35">
      <c r="A23" s="13" t="s">
        <v>79</v>
      </c>
      <c r="B23" s="14">
        <v>2000</v>
      </c>
      <c r="C23" s="79">
        <f>ExBAw!C25</f>
        <v>10109</v>
      </c>
      <c r="D23" s="79">
        <v>29133600</v>
      </c>
      <c r="E23" s="79">
        <f>C23*E$21</f>
        <v>20218000</v>
      </c>
      <c r="F23" s="79">
        <f>D23-E23</f>
        <v>8915600</v>
      </c>
      <c r="G23" s="79">
        <v>0</v>
      </c>
      <c r="H23" s="79">
        <v>0</v>
      </c>
      <c r="I23" s="79">
        <f>SUM(E23:H23)</f>
        <v>29133600</v>
      </c>
    </row>
    <row r="24" spans="1:12" x14ac:dyDescent="0.35">
      <c r="A24" s="13" t="s">
        <v>79</v>
      </c>
      <c r="B24" s="14">
        <v>2000</v>
      </c>
      <c r="C24" s="79">
        <f>ExBAw!C26</f>
        <v>3918</v>
      </c>
      <c r="D24" s="79">
        <v>18918030</v>
      </c>
      <c r="E24" s="79">
        <f>C24*E$21</f>
        <v>7836000</v>
      </c>
      <c r="F24" s="79">
        <f>$C24*F$21</f>
        <v>7836000</v>
      </c>
      <c r="G24" s="79">
        <f>D24-(F24+E24)</f>
        <v>3246030</v>
      </c>
      <c r="H24" s="79">
        <v>0</v>
      </c>
      <c r="I24" s="79">
        <f>SUM(E24:H24)</f>
        <v>18918030</v>
      </c>
    </row>
    <row r="25" spans="1:12" x14ac:dyDescent="0.35">
      <c r="A25" s="13" t="s">
        <v>50</v>
      </c>
      <c r="B25" s="16">
        <v>6000</v>
      </c>
      <c r="C25" s="80">
        <f>ExBAw!C27-C42-C56</f>
        <v>2806</v>
      </c>
      <c r="D25" s="80">
        <f>34808090-D42-D56</f>
        <v>31942560</v>
      </c>
      <c r="E25" s="80">
        <f>C25*E$21</f>
        <v>5612000</v>
      </c>
      <c r="F25" s="80">
        <f>$C25*F$21</f>
        <v>5612000</v>
      </c>
      <c r="G25" s="80">
        <f>$C25*G$21</f>
        <v>5612000</v>
      </c>
      <c r="H25" s="80">
        <f>D25-(+G25+F25+E25)</f>
        <v>15106560</v>
      </c>
      <c r="I25" s="80">
        <f>SUM(E25:H25)</f>
        <v>31942560</v>
      </c>
    </row>
    <row r="26" spans="1:12" x14ac:dyDescent="0.35">
      <c r="A26" s="13"/>
      <c r="B26" s="14"/>
      <c r="C26" s="81">
        <f t="shared" ref="C26:I26" si="0">SUM(C22:C25)</f>
        <v>29330</v>
      </c>
      <c r="D26" s="81">
        <f t="shared" si="0"/>
        <v>92151200</v>
      </c>
      <c r="E26" s="81">
        <f t="shared" si="0"/>
        <v>45823010</v>
      </c>
      <c r="F26" s="81">
        <f t="shared" si="0"/>
        <v>22363600</v>
      </c>
      <c r="G26" s="81">
        <f t="shared" si="0"/>
        <v>8858030</v>
      </c>
      <c r="H26" s="81">
        <f t="shared" si="0"/>
        <v>15106560</v>
      </c>
      <c r="I26" s="81">
        <f t="shared" si="0"/>
        <v>92151200</v>
      </c>
    </row>
    <row r="27" spans="1:12" x14ac:dyDescent="0.35">
      <c r="A27" s="13"/>
      <c r="B27" s="14"/>
      <c r="D27" s="14"/>
      <c r="E27" s="14"/>
      <c r="F27" s="14"/>
      <c r="G27" s="14"/>
      <c r="H27" s="14"/>
      <c r="I27" s="14"/>
    </row>
    <row r="28" spans="1:12" x14ac:dyDescent="0.35">
      <c r="A28" s="18" t="s">
        <v>55</v>
      </c>
      <c r="B28" s="18"/>
      <c r="D28" s="14"/>
      <c r="E28" s="14"/>
      <c r="F28" s="14"/>
      <c r="G28" s="14"/>
      <c r="H28" s="14"/>
      <c r="I28" s="14"/>
    </row>
    <row r="29" spans="1:12" x14ac:dyDescent="0.35">
      <c r="A29" s="13"/>
      <c r="B29" s="11"/>
      <c r="C29" s="12" t="s">
        <v>52</v>
      </c>
      <c r="D29" s="11" t="s">
        <v>53</v>
      </c>
      <c r="E29" s="12" t="s">
        <v>56</v>
      </c>
      <c r="F29" s="12" t="s">
        <v>57</v>
      </c>
      <c r="G29" s="14"/>
      <c r="H29" s="14"/>
      <c r="I29" s="14"/>
    </row>
    <row r="30" spans="1:12" x14ac:dyDescent="0.35">
      <c r="A30" s="13" t="s">
        <v>49</v>
      </c>
      <c r="B30" s="14">
        <f>B22</f>
        <v>2000</v>
      </c>
      <c r="C30" s="15">
        <f>C26</f>
        <v>29330</v>
      </c>
      <c r="D30" s="79">
        <f>E26</f>
        <v>45823010</v>
      </c>
      <c r="E30" s="19">
        <f>RatesW!L12</f>
        <v>27.544239999999999</v>
      </c>
      <c r="F30" s="9">
        <f>E30*C30</f>
        <v>807872.5591999999</v>
      </c>
      <c r="G30" s="14"/>
      <c r="L30" s="1" t="s">
        <v>581</v>
      </c>
    </row>
    <row r="31" spans="1:12" x14ac:dyDescent="0.35">
      <c r="A31" s="13" t="s">
        <v>79</v>
      </c>
      <c r="B31" s="14">
        <f>B23</f>
        <v>2000</v>
      </c>
      <c r="C31" s="15"/>
      <c r="D31" s="79">
        <f>F26</f>
        <v>22363600</v>
      </c>
      <c r="E31" s="258">
        <f>RatesW!L13</f>
        <v>1.2043E-2</v>
      </c>
      <c r="F31" s="3">
        <f>E31*D31</f>
        <v>269324.83480000001</v>
      </c>
      <c r="G31" s="14"/>
      <c r="L31" s="1">
        <f>D34/C34</f>
        <v>3141.8752130923967</v>
      </c>
    </row>
    <row r="32" spans="1:12" x14ac:dyDescent="0.35">
      <c r="A32" s="13" t="s">
        <v>79</v>
      </c>
      <c r="B32" s="14">
        <f>B24</f>
        <v>2000</v>
      </c>
      <c r="C32" s="15"/>
      <c r="D32" s="79">
        <f>G26</f>
        <v>8858030</v>
      </c>
      <c r="E32" s="258">
        <f>RatesW!L14</f>
        <v>1.09421E-2</v>
      </c>
      <c r="F32" s="3">
        <f>E32*D32</f>
        <v>96925.450062999997</v>
      </c>
      <c r="G32" s="14"/>
    </row>
    <row r="33" spans="1:12" x14ac:dyDescent="0.35">
      <c r="A33" s="13" t="s">
        <v>50</v>
      </c>
      <c r="B33" s="16">
        <f>B25</f>
        <v>6000</v>
      </c>
      <c r="C33" s="17"/>
      <c r="D33" s="80">
        <f>H26</f>
        <v>15106560</v>
      </c>
      <c r="E33" s="259">
        <f>RatesW!L15</f>
        <v>1.0286E-2</v>
      </c>
      <c r="F33" s="84">
        <f>E33*D33</f>
        <v>155386.07616</v>
      </c>
      <c r="G33" s="14"/>
    </row>
    <row r="34" spans="1:12" x14ac:dyDescent="0.35">
      <c r="A34" s="13"/>
      <c r="B34" s="14" t="s">
        <v>54</v>
      </c>
      <c r="C34" s="3">
        <f>SUM(C30:C33)</f>
        <v>29330</v>
      </c>
      <c r="D34" s="81">
        <f>SUM(D30:D33)</f>
        <v>92151200</v>
      </c>
      <c r="F34" s="9">
        <f>SUM(F30:F33)</f>
        <v>1329508.9202229998</v>
      </c>
      <c r="G34" s="14"/>
      <c r="H34" s="14"/>
      <c r="I34" s="14"/>
    </row>
    <row r="35" spans="1:12" x14ac:dyDescent="0.35">
      <c r="A35" s="13"/>
      <c r="B35" s="14"/>
      <c r="C35" s="3"/>
      <c r="D35" s="81"/>
      <c r="F35" s="9"/>
      <c r="G35" s="14"/>
      <c r="H35" s="14"/>
      <c r="I35" s="14"/>
    </row>
    <row r="36" spans="1:12" ht="15.5" x14ac:dyDescent="0.35">
      <c r="A36" s="132" t="s">
        <v>103</v>
      </c>
    </row>
    <row r="37" spans="1:12" x14ac:dyDescent="0.35">
      <c r="E37" s="2" t="s">
        <v>49</v>
      </c>
      <c r="F37" s="2" t="s">
        <v>79</v>
      </c>
      <c r="G37" s="2" t="s">
        <v>50</v>
      </c>
    </row>
    <row r="38" spans="1:12" x14ac:dyDescent="0.35">
      <c r="B38" s="11" t="s">
        <v>51</v>
      </c>
      <c r="C38" s="12" t="s">
        <v>52</v>
      </c>
      <c r="D38" s="12" t="s">
        <v>53</v>
      </c>
      <c r="E38" s="12">
        <f>B39</f>
        <v>4000</v>
      </c>
      <c r="F38" s="12">
        <f>B40</f>
        <v>2000</v>
      </c>
      <c r="G38" s="12">
        <f>B41</f>
        <v>6000</v>
      </c>
      <c r="H38" s="11" t="s">
        <v>54</v>
      </c>
    </row>
    <row r="39" spans="1:12" x14ac:dyDescent="0.35">
      <c r="A39" s="13" t="s">
        <v>49</v>
      </c>
      <c r="B39" s="14">
        <v>4000</v>
      </c>
      <c r="C39" s="79">
        <v>54</v>
      </c>
      <c r="D39" s="79">
        <v>75840</v>
      </c>
      <c r="E39" s="79">
        <f>D39</f>
        <v>75840</v>
      </c>
      <c r="F39" s="79">
        <v>0</v>
      </c>
      <c r="G39" s="79"/>
      <c r="H39" s="43">
        <f>SUM(E39:G39)</f>
        <v>75840</v>
      </c>
    </row>
    <row r="40" spans="1:12" x14ac:dyDescent="0.35">
      <c r="A40" s="13" t="s">
        <v>79</v>
      </c>
      <c r="B40" s="14">
        <v>2000</v>
      </c>
      <c r="C40" s="79">
        <v>3</v>
      </c>
      <c r="D40" s="79">
        <v>14410</v>
      </c>
      <c r="E40" s="79">
        <f>C40*E38</f>
        <v>12000</v>
      </c>
      <c r="F40" s="79">
        <f>D40-E40</f>
        <v>2410</v>
      </c>
      <c r="G40" s="79"/>
      <c r="H40" s="43">
        <f t="shared" ref="H40:H41" si="1">SUM(E40:G40)</f>
        <v>14410</v>
      </c>
    </row>
    <row r="41" spans="1:12" x14ac:dyDescent="0.35">
      <c r="A41" s="13" t="s">
        <v>50</v>
      </c>
      <c r="B41" s="16">
        <v>6000</v>
      </c>
      <c r="C41" s="80">
        <v>45</v>
      </c>
      <c r="D41" s="80">
        <v>1677720</v>
      </c>
      <c r="E41" s="80">
        <f>$C41*E$38</f>
        <v>180000</v>
      </c>
      <c r="F41" s="80">
        <f>C41*F38</f>
        <v>90000</v>
      </c>
      <c r="G41" s="80">
        <f>D41-E41-F41</f>
        <v>1407720</v>
      </c>
      <c r="H41" s="588">
        <f t="shared" si="1"/>
        <v>1677720</v>
      </c>
    </row>
    <row r="42" spans="1:12" x14ac:dyDescent="0.35">
      <c r="A42" s="13"/>
      <c r="B42" s="14"/>
      <c r="C42" s="81">
        <f>SUM(C39:C41)</f>
        <v>102</v>
      </c>
      <c r="D42" s="81">
        <f>SUM(D39:D41)</f>
        <v>1767970</v>
      </c>
      <c r="E42" s="81">
        <f>SUM(E39:E41)</f>
        <v>267840</v>
      </c>
      <c r="F42" s="81">
        <f t="shared" ref="F42:G42" si="2">SUM(F39:F41)</f>
        <v>92410</v>
      </c>
      <c r="G42" s="81">
        <f t="shared" si="2"/>
        <v>1407720</v>
      </c>
      <c r="H42" s="43">
        <f>SUM(H39:H41)</f>
        <v>1767970</v>
      </c>
    </row>
    <row r="43" spans="1:12" x14ac:dyDescent="0.35">
      <c r="A43" s="13"/>
      <c r="B43" s="14"/>
      <c r="D43" s="14"/>
      <c r="E43" s="14"/>
      <c r="F43" s="14"/>
      <c r="G43" s="14"/>
      <c r="H43" s="14"/>
      <c r="I43" s="14"/>
    </row>
    <row r="44" spans="1:12" x14ac:dyDescent="0.35">
      <c r="A44" s="18" t="s">
        <v>55</v>
      </c>
      <c r="B44" s="18"/>
      <c r="D44" s="14"/>
      <c r="E44" s="14"/>
      <c r="F44" s="14"/>
      <c r="G44" s="14"/>
      <c r="H44" s="14"/>
      <c r="I44" s="14"/>
    </row>
    <row r="45" spans="1:12" x14ac:dyDescent="0.35">
      <c r="A45" s="13"/>
      <c r="B45" s="11"/>
      <c r="C45" s="12" t="s">
        <v>52</v>
      </c>
      <c r="D45" s="11" t="s">
        <v>53</v>
      </c>
      <c r="E45" s="12" t="s">
        <v>56</v>
      </c>
      <c r="F45" s="12" t="s">
        <v>57</v>
      </c>
      <c r="G45" s="14"/>
      <c r="H45" s="14"/>
      <c r="I45" s="14"/>
    </row>
    <row r="46" spans="1:12" x14ac:dyDescent="0.35">
      <c r="A46" s="13" t="s">
        <v>49</v>
      </c>
      <c r="B46" s="14">
        <v>4000</v>
      </c>
      <c r="C46" s="15">
        <f>C42</f>
        <v>102</v>
      </c>
      <c r="D46" s="79">
        <f>E42</f>
        <v>267840</v>
      </c>
      <c r="E46" s="19">
        <f>RatesW!L18</f>
        <v>51.630240000000001</v>
      </c>
      <c r="F46" s="19">
        <f>E46*C46</f>
        <v>5266.2844800000003</v>
      </c>
      <c r="G46" s="14"/>
      <c r="L46" s="1" t="s">
        <v>581</v>
      </c>
    </row>
    <row r="47" spans="1:12" x14ac:dyDescent="0.35">
      <c r="A47" s="13" t="s">
        <v>79</v>
      </c>
      <c r="B47" s="14">
        <v>2000</v>
      </c>
      <c r="C47" s="15"/>
      <c r="D47" s="79">
        <f>F42</f>
        <v>92410</v>
      </c>
      <c r="E47" s="589">
        <f>RatesW!L19</f>
        <v>1.09421E-2</v>
      </c>
      <c r="F47" s="19">
        <f>D47*E47</f>
        <v>1011.159461</v>
      </c>
      <c r="G47" s="14"/>
    </row>
    <row r="48" spans="1:12" x14ac:dyDescent="0.35">
      <c r="A48" s="13" t="s">
        <v>50</v>
      </c>
      <c r="B48" s="16">
        <v>6000</v>
      </c>
      <c r="C48" s="20"/>
      <c r="D48" s="80">
        <f>G42</f>
        <v>1407720</v>
      </c>
      <c r="E48" s="259">
        <f>RatesW!L20</f>
        <v>1.0286E-2</v>
      </c>
      <c r="F48" s="84">
        <f>E48*D48</f>
        <v>14479.807919999999</v>
      </c>
      <c r="G48" s="14"/>
      <c r="L48" s="1">
        <f>D49/C49</f>
        <v>17333.039215686276</v>
      </c>
    </row>
    <row r="49" spans="1:12" x14ac:dyDescent="0.35">
      <c r="A49" s="13"/>
      <c r="B49" s="14" t="s">
        <v>54</v>
      </c>
      <c r="C49" s="3">
        <f>SUM(C46:C48)</f>
        <v>102</v>
      </c>
      <c r="D49" s="81">
        <f>SUM(D46:D48)</f>
        <v>1767970</v>
      </c>
      <c r="F49" s="19">
        <f>SUM(F46:F48)</f>
        <v>20757.251861000001</v>
      </c>
      <c r="G49" s="14"/>
      <c r="H49" s="14"/>
      <c r="I49" s="14"/>
    </row>
    <row r="50" spans="1:12" x14ac:dyDescent="0.35">
      <c r="A50" s="13"/>
      <c r="B50" s="14"/>
      <c r="C50" s="22"/>
      <c r="D50" s="81"/>
      <c r="F50" s="19"/>
      <c r="G50" s="14"/>
      <c r="H50" s="14"/>
      <c r="I50" s="14"/>
    </row>
    <row r="51" spans="1:12" ht="15.5" x14ac:dyDescent="0.35">
      <c r="A51" s="132" t="s">
        <v>104</v>
      </c>
    </row>
    <row r="52" spans="1:12" x14ac:dyDescent="0.35">
      <c r="E52" s="2" t="s">
        <v>49</v>
      </c>
      <c r="F52" s="2" t="s">
        <v>50</v>
      </c>
    </row>
    <row r="53" spans="1:12" x14ac:dyDescent="0.35">
      <c r="B53" s="11" t="s">
        <v>51</v>
      </c>
      <c r="C53" s="12" t="s">
        <v>52</v>
      </c>
      <c r="D53" s="12" t="s">
        <v>53</v>
      </c>
      <c r="E53" s="12">
        <f>B54</f>
        <v>6000</v>
      </c>
      <c r="F53" s="12">
        <f>B55</f>
        <v>6000</v>
      </c>
      <c r="G53" s="11" t="s">
        <v>54</v>
      </c>
    </row>
    <row r="54" spans="1:12" x14ac:dyDescent="0.35">
      <c r="A54" s="13" t="s">
        <v>49</v>
      </c>
      <c r="B54" s="14">
        <v>6000</v>
      </c>
      <c r="C54" s="79">
        <v>47</v>
      </c>
      <c r="D54" s="79">
        <v>262060</v>
      </c>
      <c r="E54" s="79">
        <f>D54</f>
        <v>262060</v>
      </c>
      <c r="F54" s="402">
        <v>0</v>
      </c>
      <c r="G54" s="79">
        <f>SUM(E54:F54)</f>
        <v>262060</v>
      </c>
    </row>
    <row r="55" spans="1:12" x14ac:dyDescent="0.35">
      <c r="A55" s="13" t="s">
        <v>50</v>
      </c>
      <c r="B55" s="16">
        <v>6000</v>
      </c>
      <c r="C55" s="80">
        <v>9</v>
      </c>
      <c r="D55" s="80">
        <v>835500</v>
      </c>
      <c r="E55" s="80">
        <f>$C55*E$53</f>
        <v>54000</v>
      </c>
      <c r="F55" s="392">
        <f>D55-E55</f>
        <v>781500</v>
      </c>
      <c r="G55" s="80">
        <f>SUM(E55:F55)</f>
        <v>835500</v>
      </c>
      <c r="H55" s="3"/>
      <c r="I55" s="3"/>
    </row>
    <row r="56" spans="1:12" x14ac:dyDescent="0.35">
      <c r="A56" s="13"/>
      <c r="B56" s="14"/>
      <c r="C56" s="226">
        <f>SUM(C54:C55)</f>
        <v>56</v>
      </c>
      <c r="D56" s="393">
        <f>SUM(D54:D55)</f>
        <v>1097560</v>
      </c>
      <c r="E56" s="393">
        <f>SUM(E54:E55)</f>
        <v>316060</v>
      </c>
      <c r="F56" s="397">
        <f>SUM(F54:F55)</f>
        <v>781500</v>
      </c>
      <c r="G56" s="393">
        <f>SUM(G54:G55)</f>
        <v>1097560</v>
      </c>
    </row>
    <row r="57" spans="1:12" x14ac:dyDescent="0.35">
      <c r="A57" s="13"/>
      <c r="B57" s="14"/>
      <c r="D57" s="14"/>
      <c r="E57" s="14"/>
      <c r="F57" s="14"/>
      <c r="G57" s="14"/>
      <c r="H57" s="14"/>
      <c r="I57" s="14"/>
    </row>
    <row r="58" spans="1:12" x14ac:dyDescent="0.35">
      <c r="A58" s="18" t="s">
        <v>55</v>
      </c>
      <c r="B58" s="18"/>
      <c r="D58" s="14"/>
      <c r="E58" s="14"/>
      <c r="F58" s="14"/>
      <c r="G58" s="14"/>
      <c r="H58" s="14"/>
      <c r="I58" s="14"/>
    </row>
    <row r="59" spans="1:12" x14ac:dyDescent="0.35">
      <c r="A59" s="13"/>
      <c r="B59" s="11"/>
      <c r="C59" s="12" t="s">
        <v>52</v>
      </c>
      <c r="D59" s="11" t="s">
        <v>53</v>
      </c>
      <c r="E59" s="12" t="s">
        <v>56</v>
      </c>
      <c r="F59" s="12" t="s">
        <v>57</v>
      </c>
      <c r="G59" s="14"/>
      <c r="H59" s="14"/>
      <c r="I59" s="14"/>
    </row>
    <row r="60" spans="1:12" x14ac:dyDescent="0.35">
      <c r="A60" s="13" t="s">
        <v>49</v>
      </c>
      <c r="B60" s="14">
        <f>B54</f>
        <v>6000</v>
      </c>
      <c r="C60" s="79">
        <f>C56</f>
        <v>56</v>
      </c>
      <c r="D60" s="79">
        <f>E56</f>
        <v>316060</v>
      </c>
      <c r="E60" s="391">
        <f>RatesW!L23</f>
        <v>73.514440000000008</v>
      </c>
      <c r="F60" s="391">
        <f>E60*C60</f>
        <v>4116.8086400000002</v>
      </c>
      <c r="G60" s="14"/>
      <c r="H60" s="14"/>
      <c r="I60" s="14"/>
      <c r="L60" s="1" t="s">
        <v>581</v>
      </c>
    </row>
    <row r="61" spans="1:12" x14ac:dyDescent="0.35">
      <c r="A61" s="13" t="s">
        <v>50</v>
      </c>
      <c r="B61" s="16">
        <f>B55</f>
        <v>6000</v>
      </c>
      <c r="C61" s="359"/>
      <c r="D61" s="80">
        <f>F56</f>
        <v>781500</v>
      </c>
      <c r="E61" s="403">
        <f>RatesW!L24</f>
        <v>1.0286E-2</v>
      </c>
      <c r="F61" s="359">
        <f>E61*D61</f>
        <v>8038.509</v>
      </c>
      <c r="G61" s="14"/>
      <c r="H61" s="14"/>
      <c r="I61" s="14"/>
      <c r="L61" s="1">
        <f>D62/C62</f>
        <v>19599.285714285714</v>
      </c>
    </row>
    <row r="62" spans="1:12" x14ac:dyDescent="0.35">
      <c r="A62" s="13"/>
      <c r="B62" s="14" t="s">
        <v>54</v>
      </c>
      <c r="C62" s="226">
        <f>SUM(C60:C61)</f>
        <v>56</v>
      </c>
      <c r="D62" s="393">
        <f>SUM(D60:D61)</f>
        <v>1097560</v>
      </c>
      <c r="F62" s="391">
        <f>SUM(F60:F61)</f>
        <v>12155.317640000001</v>
      </c>
      <c r="G62" s="14"/>
      <c r="H62" s="14"/>
      <c r="I62" s="14"/>
    </row>
    <row r="63" spans="1:12" x14ac:dyDescent="0.35">
      <c r="A63" s="13"/>
      <c r="B63" s="14"/>
      <c r="C63" s="22"/>
      <c r="D63" s="81"/>
      <c r="F63" s="19"/>
      <c r="G63" s="14"/>
      <c r="H63" s="14"/>
      <c r="I63" s="14"/>
    </row>
    <row r="65" spans="1:8" ht="15.5" x14ac:dyDescent="0.35">
      <c r="A65" s="201" t="s">
        <v>405</v>
      </c>
      <c r="B65" s="200"/>
      <c r="C65" s="200"/>
      <c r="D65" s="200"/>
      <c r="E65" s="200"/>
      <c r="F65" s="200"/>
    </row>
    <row r="66" spans="1:8" x14ac:dyDescent="0.35">
      <c r="E66" s="2" t="s">
        <v>56</v>
      </c>
      <c r="F66" s="2"/>
    </row>
    <row r="67" spans="1:8" x14ac:dyDescent="0.35">
      <c r="B67" s="11" t="s">
        <v>51</v>
      </c>
      <c r="C67" s="12" t="s">
        <v>52</v>
      </c>
      <c r="D67" s="12" t="s">
        <v>53</v>
      </c>
      <c r="E67" s="12" t="s">
        <v>406</v>
      </c>
      <c r="F67" s="12" t="s">
        <v>57</v>
      </c>
      <c r="G67" s="11"/>
    </row>
    <row r="68" spans="1:8" x14ac:dyDescent="0.35">
      <c r="A68" s="13"/>
      <c r="B68" s="14"/>
      <c r="C68" s="79">
        <v>12</v>
      </c>
      <c r="D68" s="79">
        <v>896486</v>
      </c>
      <c r="E68" s="401">
        <f>RatesW!L27</f>
        <v>3.8920000000000001E-3</v>
      </c>
      <c r="F68" s="398">
        <f>D68*E68</f>
        <v>3489.1235120000001</v>
      </c>
      <c r="G68" s="79"/>
    </row>
    <row r="69" spans="1:8" x14ac:dyDescent="0.35">
      <c r="A69" s="13"/>
      <c r="B69" s="14"/>
      <c r="C69" s="393"/>
      <c r="D69" s="393"/>
      <c r="E69" s="393"/>
      <c r="F69" s="393"/>
      <c r="G69" s="393"/>
    </row>
    <row r="70" spans="1:8" x14ac:dyDescent="0.35">
      <c r="A70" s="13"/>
      <c r="B70" s="14"/>
      <c r="C70" s="203"/>
      <c r="D70" s="393"/>
      <c r="E70" s="393"/>
      <c r="F70" s="393"/>
      <c r="G70" s="393"/>
    </row>
    <row r="71" spans="1:8" x14ac:dyDescent="0.35">
      <c r="A71" s="13"/>
      <c r="B71" s="14"/>
      <c r="D71" s="14"/>
      <c r="E71" s="14"/>
      <c r="F71" s="14"/>
      <c r="G71" s="14"/>
    </row>
    <row r="72" spans="1:8" x14ac:dyDescent="0.35">
      <c r="A72" s="18"/>
      <c r="B72" s="18"/>
      <c r="D72" s="14"/>
      <c r="E72" s="14"/>
      <c r="F72" s="14"/>
      <c r="G72" s="14"/>
    </row>
    <row r="73" spans="1:8" x14ac:dyDescent="0.35">
      <c r="A73" s="13"/>
      <c r="B73" s="2"/>
      <c r="C73" s="394"/>
      <c r="D73" s="2"/>
      <c r="E73" s="394"/>
      <c r="F73" s="394"/>
      <c r="G73" s="14"/>
    </row>
    <row r="74" spans="1:8" x14ac:dyDescent="0.35">
      <c r="A74" s="13"/>
      <c r="B74" s="14"/>
      <c r="C74" s="393"/>
      <c r="D74" s="393"/>
      <c r="E74" s="395"/>
      <c r="F74" s="396"/>
      <c r="G74" s="14"/>
    </row>
    <row r="75" spans="1:8" x14ac:dyDescent="0.35">
      <c r="A75" s="13"/>
      <c r="B75" s="14"/>
      <c r="C75" s="203"/>
      <c r="D75" s="393"/>
      <c r="E75" s="397"/>
      <c r="F75" s="203"/>
      <c r="G75" s="14"/>
    </row>
    <row r="76" spans="1:8" x14ac:dyDescent="0.35">
      <c r="A76" s="13"/>
      <c r="B76" s="14"/>
      <c r="C76" s="203"/>
      <c r="D76" s="393"/>
      <c r="F76" s="396"/>
      <c r="G76" s="14"/>
      <c r="H76" s="112"/>
    </row>
  </sheetData>
  <mergeCells count="1">
    <mergeCell ref="A2:I2"/>
  </mergeCells>
  <printOptions horizontalCentered="1"/>
  <pageMargins left="0.85" right="0.6" top="1" bottom="1" header="0.3" footer="0.3"/>
  <pageSetup scale="86" fitToHeight="2" orientation="portrait" r:id="rId1"/>
  <headerFooter>
    <oddFooter>Page &amp;P of &amp;N</oddFooter>
  </headerFooter>
  <rowBreaks count="1" manualBreakCount="1">
    <brk id="50"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M23"/>
  <sheetViews>
    <sheetView topLeftCell="A5" workbookViewId="0">
      <selection activeCell="K6" sqref="K6:M7"/>
    </sheetView>
  </sheetViews>
  <sheetFormatPr defaultRowHeight="15.5" x14ac:dyDescent="0.35"/>
  <cols>
    <col min="1" max="1" width="8.4609375" customWidth="1"/>
    <col min="2" max="2" width="10.84375" customWidth="1"/>
    <col min="3" max="3" width="8.07421875" customWidth="1"/>
    <col min="4" max="4" width="11.53515625" customWidth="1"/>
    <col min="5" max="5" width="9.765625" customWidth="1"/>
    <col min="6" max="6" width="11" bestFit="1" customWidth="1"/>
    <col min="7" max="7" width="9.765625" customWidth="1"/>
    <col min="11" max="11" width="12.15234375" bestFit="1" customWidth="1"/>
    <col min="12" max="12" width="10.15234375" bestFit="1" customWidth="1"/>
  </cols>
  <sheetData>
    <row r="1" spans="1:13" ht="15.65" customHeight="1" x14ac:dyDescent="0.35">
      <c r="A1" s="621" t="str">
        <f>ExBAs!A1</f>
        <v>POWELL'S VALLEY WATER DISTRICT</v>
      </c>
      <c r="B1" s="623"/>
      <c r="C1" s="623"/>
      <c r="D1" s="623"/>
      <c r="E1" s="623"/>
      <c r="F1" s="623"/>
      <c r="G1" s="623"/>
    </row>
    <row r="2" spans="1:13" ht="15.4" customHeight="1" x14ac:dyDescent="0.35">
      <c r="A2" s="623" t="s">
        <v>447</v>
      </c>
      <c r="B2" s="623"/>
      <c r="C2" s="623"/>
      <c r="D2" s="623"/>
      <c r="E2" s="623"/>
      <c r="F2" s="623"/>
      <c r="G2" s="623"/>
    </row>
    <row r="3" spans="1:13" ht="15.4" customHeight="1" x14ac:dyDescent="0.35">
      <c r="A3" s="623" t="str">
        <f>ExBAs!A3</f>
        <v>SEWER DIVISION</v>
      </c>
      <c r="B3" s="623"/>
      <c r="C3" s="623"/>
      <c r="D3" s="623"/>
      <c r="E3" s="623"/>
      <c r="F3" s="623"/>
      <c r="G3" s="623"/>
    </row>
    <row r="4" spans="1:13" ht="15.4" customHeight="1" x14ac:dyDescent="0.35">
      <c r="A4" s="27"/>
      <c r="B4" s="420" t="s">
        <v>94</v>
      </c>
      <c r="C4" s="27"/>
      <c r="D4" s="27"/>
      <c r="E4" s="27"/>
      <c r="F4" s="27"/>
      <c r="G4" s="257"/>
    </row>
    <row r="5" spans="1:13" ht="15.4" customHeight="1" x14ac:dyDescent="0.35">
      <c r="A5" s="27"/>
      <c r="B5" s="421"/>
      <c r="C5" s="102"/>
      <c r="D5" s="422" t="s">
        <v>83</v>
      </c>
      <c r="E5" s="422" t="s">
        <v>48</v>
      </c>
      <c r="F5" s="422" t="s">
        <v>46</v>
      </c>
      <c r="G5" s="257"/>
    </row>
    <row r="6" spans="1:13" ht="15.4" customHeight="1" x14ac:dyDescent="0.35">
      <c r="A6" s="27"/>
      <c r="B6" s="27" t="s">
        <v>190</v>
      </c>
      <c r="C6" s="27"/>
      <c r="D6" s="423">
        <f>C15</f>
        <v>1379</v>
      </c>
      <c r="E6" s="424">
        <f>D15</f>
        <v>8379870</v>
      </c>
      <c r="F6" s="439">
        <f>F21</f>
        <v>132051.95600000001</v>
      </c>
      <c r="G6" s="257"/>
      <c r="K6" s="234" t="s">
        <v>46</v>
      </c>
      <c r="M6" s="257" t="s">
        <v>132</v>
      </c>
    </row>
    <row r="7" spans="1:13" ht="15.4" customHeight="1" x14ac:dyDescent="0.5">
      <c r="A7" s="27"/>
      <c r="B7" s="1" t="s">
        <v>238</v>
      </c>
      <c r="C7" s="1"/>
      <c r="D7" s="134">
        <v>24</v>
      </c>
      <c r="E7" s="265"/>
      <c r="F7" s="337">
        <f>D7*E19</f>
        <v>701.04</v>
      </c>
      <c r="G7" s="257"/>
      <c r="K7" s="440" t="s">
        <v>446</v>
      </c>
      <c r="L7" s="440" t="s">
        <v>248</v>
      </c>
      <c r="M7" s="440" t="s">
        <v>133</v>
      </c>
    </row>
    <row r="8" spans="1:13" x14ac:dyDescent="0.35">
      <c r="A8" s="27"/>
      <c r="B8" s="27"/>
      <c r="C8" s="27"/>
      <c r="D8" s="27"/>
      <c r="E8" s="425" t="s">
        <v>203</v>
      </c>
      <c r="F8" s="163">
        <f>SUM(F6:F7)</f>
        <v>132752.99600000001</v>
      </c>
      <c r="G8" s="257"/>
      <c r="K8" s="299">
        <f>ExBAs!F10</f>
        <v>125298</v>
      </c>
      <c r="L8" s="325">
        <f>F8-K8</f>
        <v>7454.9960000000137</v>
      </c>
      <c r="M8" s="441">
        <f>L8/K8</f>
        <v>5.9498124471260627E-2</v>
      </c>
    </row>
    <row r="9" spans="1:13" x14ac:dyDescent="0.35">
      <c r="A9" s="27"/>
      <c r="B9" s="27"/>
      <c r="C9" s="27"/>
      <c r="D9" s="27"/>
      <c r="E9" s="27"/>
      <c r="F9" s="426">
        <f>SAOs!G55</f>
        <v>132748.66660742179</v>
      </c>
      <c r="G9" s="426" t="s">
        <v>537</v>
      </c>
    </row>
    <row r="10" spans="1:13" x14ac:dyDescent="0.35">
      <c r="A10" s="132" t="s">
        <v>189</v>
      </c>
      <c r="B10" s="27"/>
      <c r="C10" s="27"/>
      <c r="D10" s="27"/>
      <c r="E10" s="27"/>
      <c r="F10" s="27"/>
      <c r="G10" s="27"/>
    </row>
    <row r="11" spans="1:13" x14ac:dyDescent="0.35">
      <c r="A11" s="27"/>
      <c r="B11" s="27"/>
      <c r="C11" s="27"/>
      <c r="D11" s="27"/>
      <c r="E11" s="412" t="s">
        <v>49</v>
      </c>
      <c r="F11" s="412" t="s">
        <v>50</v>
      </c>
      <c r="G11" s="27"/>
    </row>
    <row r="12" spans="1:13" x14ac:dyDescent="0.35">
      <c r="A12" s="27"/>
      <c r="B12" s="422" t="s">
        <v>51</v>
      </c>
      <c r="C12" s="427" t="s">
        <v>52</v>
      </c>
      <c r="D12" s="427" t="s">
        <v>53</v>
      </c>
      <c r="E12" s="427">
        <f>B13</f>
        <v>2000</v>
      </c>
      <c r="F12" s="427">
        <f>B14</f>
        <v>2000</v>
      </c>
      <c r="G12" s="422" t="s">
        <v>54</v>
      </c>
    </row>
    <row r="13" spans="1:13" x14ac:dyDescent="0.35">
      <c r="A13" s="428" t="s">
        <v>49</v>
      </c>
      <c r="B13" s="211">
        <v>2000</v>
      </c>
      <c r="C13" s="429">
        <f>ExBAs!C18</f>
        <v>576</v>
      </c>
      <c r="D13" s="429">
        <f>ExBAs!D18</f>
        <v>488160</v>
      </c>
      <c r="E13" s="429">
        <f>D13</f>
        <v>488160</v>
      </c>
      <c r="F13" s="429">
        <v>0</v>
      </c>
      <c r="G13" s="429">
        <f>SUM(E13:F13)</f>
        <v>488160</v>
      </c>
    </row>
    <row r="14" spans="1:13" x14ac:dyDescent="0.35">
      <c r="A14" s="428" t="s">
        <v>50</v>
      </c>
      <c r="B14" s="430">
        <v>2000</v>
      </c>
      <c r="C14" s="429">
        <f>ExBAs!C19</f>
        <v>803</v>
      </c>
      <c r="D14" s="429">
        <f>ExBAs!D19</f>
        <v>7891710</v>
      </c>
      <c r="E14" s="431">
        <f>C14*E$12</f>
        <v>1606000</v>
      </c>
      <c r="F14" s="431">
        <f>D14-E14</f>
        <v>6285710</v>
      </c>
      <c r="G14" s="431">
        <f>SUM(E14:F14)</f>
        <v>7891710</v>
      </c>
    </row>
    <row r="15" spans="1:13" x14ac:dyDescent="0.35">
      <c r="A15" s="428"/>
      <c r="B15" s="211"/>
      <c r="C15" s="432">
        <f>SUM(C13:C14)</f>
        <v>1379</v>
      </c>
      <c r="D15" s="432">
        <f>SUM(D13:D14)</f>
        <v>8379870</v>
      </c>
      <c r="E15" s="432">
        <f>SUM(E13:E14)</f>
        <v>2094160</v>
      </c>
      <c r="F15" s="432">
        <f>SUM(F13:F14)</f>
        <v>6285710</v>
      </c>
      <c r="G15" s="432">
        <f>SUM(G13:G14)</f>
        <v>8379870</v>
      </c>
    </row>
    <row r="16" spans="1:13" x14ac:dyDescent="0.35">
      <c r="A16" s="428"/>
      <c r="B16" s="211"/>
      <c r="C16" s="27"/>
      <c r="D16" s="211"/>
      <c r="E16" s="211"/>
      <c r="F16" s="211"/>
      <c r="G16" s="211"/>
    </row>
    <row r="17" spans="1:7" x14ac:dyDescent="0.35">
      <c r="A17" s="433" t="s">
        <v>55</v>
      </c>
      <c r="B17" s="433"/>
      <c r="C17" s="27"/>
      <c r="D17" s="211"/>
      <c r="E17" s="211"/>
      <c r="F17" s="211"/>
      <c r="G17" s="211"/>
    </row>
    <row r="18" spans="1:7" x14ac:dyDescent="0.35">
      <c r="A18" s="428"/>
      <c r="B18" s="422"/>
      <c r="C18" s="427" t="s">
        <v>52</v>
      </c>
      <c r="D18" s="422" t="s">
        <v>53</v>
      </c>
      <c r="E18" s="427" t="s">
        <v>56</v>
      </c>
      <c r="F18" s="427" t="s">
        <v>57</v>
      </c>
      <c r="G18" s="211"/>
    </row>
    <row r="19" spans="1:7" x14ac:dyDescent="0.35">
      <c r="A19" s="428" t="s">
        <v>49</v>
      </c>
      <c r="B19" s="211">
        <f>B13</f>
        <v>2000</v>
      </c>
      <c r="C19" s="434">
        <f>C15</f>
        <v>1379</v>
      </c>
      <c r="D19" s="429">
        <f>E15</f>
        <v>2094160</v>
      </c>
      <c r="E19" s="435">
        <f>RatesS!L12</f>
        <v>29.21</v>
      </c>
      <c r="F19" s="436">
        <f>E19*C19</f>
        <v>40280.590000000004</v>
      </c>
      <c r="G19" s="211"/>
    </row>
    <row r="20" spans="1:7" x14ac:dyDescent="0.35">
      <c r="A20" s="428" t="s">
        <v>50</v>
      </c>
      <c r="B20" s="430">
        <f>B14</f>
        <v>2000</v>
      </c>
      <c r="C20" s="102"/>
      <c r="D20" s="431">
        <f>F15</f>
        <v>6285710</v>
      </c>
      <c r="E20" s="437">
        <f>RatesS!L13</f>
        <v>1.46E-2</v>
      </c>
      <c r="F20" s="438">
        <f>E20*(D20)</f>
        <v>91771.365999999995</v>
      </c>
      <c r="G20" s="211"/>
    </row>
    <row r="21" spans="1:7" x14ac:dyDescent="0.35">
      <c r="A21" s="428"/>
      <c r="B21" s="211" t="s">
        <v>54</v>
      </c>
      <c r="C21" s="423">
        <f>SUM(C19:C20)</f>
        <v>1379</v>
      </c>
      <c r="D21" s="432">
        <f>SUM(D19:D20)</f>
        <v>8379870</v>
      </c>
      <c r="E21" s="27"/>
      <c r="F21" s="436">
        <f>SUM(F19:F20)</f>
        <v>132051.95600000001</v>
      </c>
      <c r="G21" s="211"/>
    </row>
    <row r="22" spans="1:7" x14ac:dyDescent="0.35">
      <c r="A22" s="257"/>
      <c r="B22" s="257"/>
      <c r="C22" s="257"/>
      <c r="D22" s="257"/>
      <c r="E22" s="257"/>
      <c r="F22" s="257"/>
      <c r="G22" s="257"/>
    </row>
    <row r="23" spans="1:7" x14ac:dyDescent="0.35">
      <c r="A23" s="257"/>
      <c r="B23" s="257"/>
      <c r="C23" s="257"/>
      <c r="D23" s="257"/>
      <c r="E23" s="257"/>
      <c r="F23" s="257"/>
      <c r="G23" s="257"/>
    </row>
  </sheetData>
  <mergeCells count="3">
    <mergeCell ref="A1:G1"/>
    <mergeCell ref="A2:G2"/>
    <mergeCell ref="A3:G3"/>
  </mergeCells>
  <printOptions horizontalCentered="1"/>
  <pageMargins left="0.85" right="0.7" top="1.2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R59"/>
  <sheetViews>
    <sheetView workbookViewId="0">
      <selection activeCell="D22" sqref="D22"/>
    </sheetView>
  </sheetViews>
  <sheetFormatPr defaultColWidth="8.765625" defaultRowHeight="14.5" x14ac:dyDescent="0.35"/>
  <cols>
    <col min="1" max="1" width="3.69140625" style="3" customWidth="1"/>
    <col min="2" max="2" width="2.69140625" style="3" customWidth="1"/>
    <col min="3" max="3" width="33.3046875" style="3" customWidth="1"/>
    <col min="4" max="4" width="9.765625" style="3" customWidth="1"/>
    <col min="5" max="5" width="10.23046875" style="3" customWidth="1"/>
    <col min="6" max="6" width="4.84375" style="222" customWidth="1"/>
    <col min="7" max="7" width="9.765625" style="3" customWidth="1"/>
    <col min="8" max="8" width="14.15234375" style="3" customWidth="1"/>
    <col min="9" max="9" width="8.765625" style="3"/>
    <col min="10" max="10" width="36.4609375" style="3" customWidth="1"/>
    <col min="11" max="12" width="8.765625" style="3"/>
    <col min="13" max="13" width="5.4609375" style="3" customWidth="1"/>
    <col min="14" max="16384" width="8.765625" style="3"/>
  </cols>
  <sheetData>
    <row r="1" spans="1:14" ht="18.5" x14ac:dyDescent="0.35">
      <c r="A1" s="596" t="s">
        <v>31</v>
      </c>
      <c r="B1" s="596"/>
      <c r="C1" s="596"/>
      <c r="D1" s="596"/>
      <c r="E1" s="596"/>
      <c r="F1" s="596"/>
      <c r="G1" s="596"/>
    </row>
    <row r="2" spans="1:14" ht="18.5" x14ac:dyDescent="0.35">
      <c r="A2" s="596" t="str">
        <f>SAOw!A2</f>
        <v>POWELL'S VALLEY WATER DISTRICT</v>
      </c>
      <c r="B2" s="596"/>
      <c r="C2" s="596"/>
      <c r="D2" s="596"/>
      <c r="E2" s="596"/>
      <c r="F2" s="596"/>
      <c r="G2" s="596"/>
    </row>
    <row r="3" spans="1:14" ht="18.5" x14ac:dyDescent="0.35">
      <c r="A3" s="596" t="s">
        <v>156</v>
      </c>
      <c r="B3" s="596"/>
      <c r="C3" s="596"/>
      <c r="D3" s="596"/>
      <c r="E3" s="596"/>
      <c r="F3" s="596"/>
      <c r="G3" s="596"/>
    </row>
    <row r="4" spans="1:14" ht="16" x14ac:dyDescent="0.5">
      <c r="D4" s="497" t="s">
        <v>268</v>
      </c>
    </row>
    <row r="5" spans="1:14" x14ac:dyDescent="0.35">
      <c r="D5" s="172" t="s">
        <v>92</v>
      </c>
      <c r="E5" s="172" t="s">
        <v>29</v>
      </c>
      <c r="F5" s="223" t="s">
        <v>45</v>
      </c>
      <c r="G5" s="172" t="s">
        <v>91</v>
      </c>
    </row>
    <row r="6" spans="1:14" x14ac:dyDescent="0.35">
      <c r="A6" s="173" t="s">
        <v>10</v>
      </c>
      <c r="B6" s="31"/>
      <c r="C6" s="31"/>
    </row>
    <row r="7" spans="1:14" x14ac:dyDescent="0.35">
      <c r="A7" s="31"/>
      <c r="B7" s="31" t="s">
        <v>137</v>
      </c>
      <c r="C7" s="31"/>
      <c r="D7" s="3">
        <v>187246</v>
      </c>
      <c r="E7" s="226">
        <f>-ExBAs!V9</f>
        <v>-1982.35</v>
      </c>
      <c r="F7" s="339" t="s">
        <v>479</v>
      </c>
      <c r="G7" s="226"/>
      <c r="H7" s="40"/>
      <c r="J7" s="3" t="s">
        <v>334</v>
      </c>
      <c r="M7" s="3" t="s">
        <v>336</v>
      </c>
    </row>
    <row r="8" spans="1:14" x14ac:dyDescent="0.35">
      <c r="A8" s="31"/>
      <c r="B8" s="31"/>
      <c r="C8" s="31"/>
      <c r="E8" s="226">
        <f>-ExBAs!W5</f>
        <v>-65965.5</v>
      </c>
      <c r="F8" s="339" t="s">
        <v>482</v>
      </c>
      <c r="G8" s="226"/>
      <c r="H8" s="40"/>
      <c r="J8" s="3" t="s">
        <v>359</v>
      </c>
      <c r="M8" s="3" t="s">
        <v>339</v>
      </c>
    </row>
    <row r="9" spans="1:14" x14ac:dyDescent="0.35">
      <c r="A9" s="31"/>
      <c r="B9" s="31"/>
      <c r="C9" s="31"/>
      <c r="E9" s="226">
        <f>ExBAs!F14</f>
        <v>5999</v>
      </c>
      <c r="F9" s="339" t="s">
        <v>463</v>
      </c>
      <c r="G9" s="226">
        <f>D7+E7+E8+E9</f>
        <v>125297.15</v>
      </c>
      <c r="H9" s="40"/>
      <c r="J9" s="3" t="s">
        <v>360</v>
      </c>
      <c r="M9" s="3" t="s">
        <v>333</v>
      </c>
    </row>
    <row r="10" spans="1:14" ht="16" x14ac:dyDescent="0.5">
      <c r="A10" s="31"/>
      <c r="B10" s="31" t="s">
        <v>138</v>
      </c>
      <c r="C10" s="31"/>
      <c r="D10" s="72">
        <v>0</v>
      </c>
      <c r="E10" s="226">
        <f>ExBAs!V9</f>
        <v>1982.35</v>
      </c>
      <c r="F10" s="339" t="s">
        <v>479</v>
      </c>
      <c r="G10" s="135">
        <f>D10+E10</f>
        <v>1982.35</v>
      </c>
      <c r="H10" s="40"/>
      <c r="J10" s="3" t="s">
        <v>334</v>
      </c>
    </row>
    <row r="11" spans="1:14" x14ac:dyDescent="0.35">
      <c r="A11" s="174" t="s">
        <v>11</v>
      </c>
      <c r="B11" s="31"/>
      <c r="C11" s="31"/>
      <c r="D11" s="3">
        <f>SUM(D7:D10)</f>
        <v>187246</v>
      </c>
      <c r="F11" s="339"/>
      <c r="G11" s="3">
        <f>G9+G10</f>
        <v>127279.5</v>
      </c>
    </row>
    <row r="12" spans="1:14" x14ac:dyDescent="0.35">
      <c r="A12" s="31"/>
      <c r="B12" s="31"/>
      <c r="C12" s="31"/>
      <c r="F12" s="339"/>
    </row>
    <row r="13" spans="1:14" x14ac:dyDescent="0.35">
      <c r="A13" s="173" t="s">
        <v>12</v>
      </c>
      <c r="B13" s="31"/>
      <c r="C13" s="31"/>
      <c r="F13" s="339"/>
    </row>
    <row r="14" spans="1:14" x14ac:dyDescent="0.35">
      <c r="A14" s="31"/>
      <c r="B14" s="31" t="s">
        <v>139</v>
      </c>
      <c r="C14" s="31"/>
      <c r="F14" s="339"/>
    </row>
    <row r="15" spans="1:14" x14ac:dyDescent="0.35">
      <c r="A15" s="31"/>
      <c r="B15" s="31"/>
      <c r="C15" s="31" t="s">
        <v>140</v>
      </c>
      <c r="F15" s="339"/>
      <c r="H15" s="40"/>
      <c r="J15" s="419" t="s">
        <v>445</v>
      </c>
      <c r="K15" s="419"/>
      <c r="L15" s="419"/>
      <c r="M15" s="419"/>
      <c r="N15" s="419"/>
    </row>
    <row r="16" spans="1:14" x14ac:dyDescent="0.35">
      <c r="A16" s="31"/>
      <c r="B16" s="31"/>
      <c r="C16" s="29" t="s">
        <v>22</v>
      </c>
      <c r="E16" s="3">
        <f>Wages!I52</f>
        <v>21384.84827685</v>
      </c>
      <c r="F16" s="339" t="s">
        <v>464</v>
      </c>
      <c r="H16" s="40"/>
      <c r="J16" s="3" t="s">
        <v>310</v>
      </c>
      <c r="M16" s="3" t="s">
        <v>318</v>
      </c>
    </row>
    <row r="17" spans="1:13" x14ac:dyDescent="0.35">
      <c r="A17" s="31"/>
      <c r="B17" s="31"/>
      <c r="C17" s="29"/>
      <c r="E17" s="3">
        <f>-Adj!L7</f>
        <v>-19789.649999999998</v>
      </c>
      <c r="F17" s="339" t="s">
        <v>492</v>
      </c>
      <c r="G17" s="3">
        <f>SUM(D16:E17)</f>
        <v>1595.198276850002</v>
      </c>
      <c r="H17" s="40"/>
      <c r="J17" s="79" t="s">
        <v>393</v>
      </c>
      <c r="M17" s="3" t="s">
        <v>483</v>
      </c>
    </row>
    <row r="18" spans="1:13" x14ac:dyDescent="0.35">
      <c r="A18" s="31"/>
      <c r="B18" s="31"/>
      <c r="C18" s="29" t="s">
        <v>392</v>
      </c>
      <c r="E18" s="3">
        <f>Wages!I25</f>
        <v>464.4</v>
      </c>
      <c r="F18" s="339" t="s">
        <v>454</v>
      </c>
      <c r="H18" s="40"/>
      <c r="J18" s="79" t="s">
        <v>508</v>
      </c>
      <c r="M18" s="3" t="s">
        <v>510</v>
      </c>
    </row>
    <row r="19" spans="1:13" x14ac:dyDescent="0.35">
      <c r="A19" s="31"/>
      <c r="B19" s="31"/>
      <c r="C19" s="29" t="s">
        <v>24</v>
      </c>
      <c r="E19" s="226">
        <f>Wages!I64</f>
        <v>4991.2235878167903</v>
      </c>
      <c r="F19" s="339" t="s">
        <v>495</v>
      </c>
      <c r="H19" s="40"/>
      <c r="J19" s="31" t="s">
        <v>379</v>
      </c>
      <c r="M19" s="3" t="s">
        <v>509</v>
      </c>
    </row>
    <row r="20" spans="1:13" x14ac:dyDescent="0.35">
      <c r="A20" s="31"/>
      <c r="B20" s="31"/>
      <c r="C20" s="29"/>
      <c r="E20" s="226">
        <f>Medical!H35</f>
        <v>11871.949200000001</v>
      </c>
      <c r="F20" s="339" t="s">
        <v>503</v>
      </c>
      <c r="G20" s="3">
        <f>E19+E20</f>
        <v>16863.172787816791</v>
      </c>
      <c r="H20" s="40"/>
      <c r="J20" s="411" t="s">
        <v>444</v>
      </c>
      <c r="M20" s="3" t="s">
        <v>511</v>
      </c>
    </row>
    <row r="21" spans="1:13" x14ac:dyDescent="0.35">
      <c r="A21" s="31"/>
      <c r="B21" s="31"/>
      <c r="C21" s="31" t="s">
        <v>141</v>
      </c>
      <c r="F21" s="339"/>
      <c r="G21" s="3">
        <f>D21+E21</f>
        <v>0</v>
      </c>
    </row>
    <row r="22" spans="1:13" x14ac:dyDescent="0.35">
      <c r="A22" s="31"/>
      <c r="B22" s="31"/>
      <c r="C22" s="31" t="s">
        <v>142</v>
      </c>
      <c r="D22" s="3">
        <v>22503</v>
      </c>
      <c r="F22" s="339"/>
      <c r="G22" s="3">
        <f>D22+E22</f>
        <v>22503</v>
      </c>
    </row>
    <row r="23" spans="1:13" x14ac:dyDescent="0.35">
      <c r="A23" s="31"/>
      <c r="B23" s="31"/>
      <c r="C23" s="31" t="s">
        <v>136</v>
      </c>
      <c r="D23" s="3">
        <v>0</v>
      </c>
      <c r="F23" s="339"/>
      <c r="G23" s="3">
        <f>D23+E23</f>
        <v>0</v>
      </c>
    </row>
    <row r="24" spans="1:13" x14ac:dyDescent="0.35">
      <c r="A24" s="31"/>
      <c r="B24" s="31"/>
      <c r="C24" s="31" t="s">
        <v>143</v>
      </c>
      <c r="D24" s="3">
        <v>0</v>
      </c>
      <c r="F24" s="339"/>
      <c r="G24" s="3">
        <f>D24+E24</f>
        <v>0</v>
      </c>
      <c r="H24" s="40"/>
    </row>
    <row r="25" spans="1:13" x14ac:dyDescent="0.35">
      <c r="A25" s="31"/>
      <c r="B25" s="31"/>
      <c r="C25" s="31" t="s">
        <v>157</v>
      </c>
      <c r="F25" s="339"/>
      <c r="G25" s="3">
        <f>D25+E25</f>
        <v>0</v>
      </c>
    </row>
    <row r="26" spans="1:13" x14ac:dyDescent="0.35">
      <c r="A26" s="31"/>
      <c r="B26" s="31" t="s">
        <v>144</v>
      </c>
      <c r="C26" s="31"/>
      <c r="F26" s="339"/>
    </row>
    <row r="27" spans="1:13" x14ac:dyDescent="0.35">
      <c r="A27" s="31"/>
      <c r="B27" s="31"/>
      <c r="C27" s="31" t="s">
        <v>145</v>
      </c>
      <c r="D27" s="3">
        <v>0</v>
      </c>
      <c r="F27" s="339"/>
      <c r="G27" s="3">
        <f>D27+E27</f>
        <v>0</v>
      </c>
    </row>
    <row r="28" spans="1:13" x14ac:dyDescent="0.35">
      <c r="A28" s="31"/>
      <c r="B28" s="31"/>
      <c r="C28" s="31" t="s">
        <v>146</v>
      </c>
      <c r="D28" s="3">
        <v>0</v>
      </c>
      <c r="F28" s="339"/>
      <c r="G28" s="3">
        <f>D28+E28</f>
        <v>0</v>
      </c>
    </row>
    <row r="29" spans="1:13" x14ac:dyDescent="0.35">
      <c r="A29" s="31"/>
      <c r="B29" s="31"/>
      <c r="C29" s="31" t="s">
        <v>147</v>
      </c>
      <c r="F29" s="339"/>
      <c r="G29" s="3">
        <f>D29+E29</f>
        <v>0</v>
      </c>
    </row>
    <row r="30" spans="1:13" x14ac:dyDescent="0.35">
      <c r="A30" s="31"/>
      <c r="B30" s="31" t="s">
        <v>148</v>
      </c>
      <c r="C30" s="31"/>
      <c r="F30" s="339"/>
      <c r="M30" s="40"/>
    </row>
    <row r="31" spans="1:13" x14ac:dyDescent="0.35">
      <c r="A31" s="31"/>
      <c r="B31" s="31"/>
      <c r="C31" s="29" t="s">
        <v>23</v>
      </c>
      <c r="F31" s="339"/>
      <c r="G31" s="3">
        <f t="shared" ref="G31:G40" si="0">D31+E31</f>
        <v>0</v>
      </c>
    </row>
    <row r="32" spans="1:13" x14ac:dyDescent="0.35">
      <c r="A32" s="31"/>
      <c r="B32" s="31"/>
      <c r="C32" s="31" t="s">
        <v>149</v>
      </c>
      <c r="D32" s="3">
        <v>76739</v>
      </c>
      <c r="E32" s="3">
        <f>-Adj!L8</f>
        <v>-46175.85</v>
      </c>
      <c r="F32" s="339" t="s">
        <v>492</v>
      </c>
      <c r="G32" s="3">
        <f t="shared" si="0"/>
        <v>30563.15</v>
      </c>
      <c r="H32" s="40"/>
      <c r="J32" s="79" t="s">
        <v>386</v>
      </c>
      <c r="M32" s="31" t="s">
        <v>488</v>
      </c>
    </row>
    <row r="33" spans="1:18" x14ac:dyDescent="0.35">
      <c r="A33" s="31"/>
      <c r="B33" s="31"/>
      <c r="C33" s="31" t="s">
        <v>150</v>
      </c>
      <c r="D33" s="3">
        <v>6200</v>
      </c>
      <c r="F33" s="339"/>
      <c r="G33" s="3">
        <f t="shared" si="0"/>
        <v>6200</v>
      </c>
      <c r="M33" s="40"/>
    </row>
    <row r="34" spans="1:18" ht="16" x14ac:dyDescent="0.5">
      <c r="A34" s="31"/>
      <c r="B34" s="31"/>
      <c r="C34" s="31" t="s">
        <v>516</v>
      </c>
      <c r="D34" s="3">
        <v>0</v>
      </c>
      <c r="E34" s="3">
        <f>Adj!S14</f>
        <v>231.40900195694715</v>
      </c>
      <c r="F34" s="466" t="s">
        <v>471</v>
      </c>
      <c r="G34" s="3">
        <f t="shared" si="0"/>
        <v>231.40900195694715</v>
      </c>
      <c r="H34" s="40"/>
      <c r="J34" s="3" t="s">
        <v>518</v>
      </c>
      <c r="L34" s="72"/>
      <c r="M34" s="31" t="s">
        <v>530</v>
      </c>
    </row>
    <row r="35" spans="1:18" x14ac:dyDescent="0.35">
      <c r="A35" s="31"/>
      <c r="B35" s="31"/>
      <c r="C35" s="31" t="s">
        <v>519</v>
      </c>
      <c r="E35" s="3">
        <f>Adj!S22</f>
        <v>538.28962818003913</v>
      </c>
      <c r="F35" s="466" t="s">
        <v>471</v>
      </c>
      <c r="G35" s="3">
        <f t="shared" si="0"/>
        <v>538.28962818003913</v>
      </c>
      <c r="H35" s="40"/>
      <c r="J35" s="3" t="s">
        <v>518</v>
      </c>
      <c r="M35" s="31" t="s">
        <v>531</v>
      </c>
    </row>
    <row r="36" spans="1:18" x14ac:dyDescent="0.35">
      <c r="A36" s="31"/>
      <c r="B36" s="31"/>
      <c r="C36" s="31" t="s">
        <v>523</v>
      </c>
      <c r="D36" s="3">
        <v>0</v>
      </c>
      <c r="E36" s="3">
        <f>Adj!S23</f>
        <v>343.2602739726027</v>
      </c>
      <c r="F36" s="466" t="s">
        <v>471</v>
      </c>
      <c r="G36" s="3">
        <f t="shared" si="0"/>
        <v>343.2602739726027</v>
      </c>
      <c r="J36" s="3" t="s">
        <v>518</v>
      </c>
      <c r="M36" s="31" t="s">
        <v>532</v>
      </c>
    </row>
    <row r="37" spans="1:18" x14ac:dyDescent="0.35">
      <c r="A37" s="31"/>
      <c r="B37" s="31"/>
      <c r="C37" s="31" t="s">
        <v>151</v>
      </c>
      <c r="D37" s="3">
        <v>0</v>
      </c>
      <c r="E37" s="3">
        <f>Adj!S17</f>
        <v>839.61643835616428</v>
      </c>
      <c r="F37" s="466" t="s">
        <v>471</v>
      </c>
      <c r="G37" s="3">
        <f t="shared" si="0"/>
        <v>839.61643835616428</v>
      </c>
      <c r="J37" s="3" t="s">
        <v>518</v>
      </c>
      <c r="M37" s="31" t="s">
        <v>533</v>
      </c>
    </row>
    <row r="38" spans="1:18" x14ac:dyDescent="0.35">
      <c r="A38" s="31"/>
      <c r="B38" s="31"/>
      <c r="C38" s="29" t="s">
        <v>109</v>
      </c>
      <c r="D38" s="3">
        <v>0</v>
      </c>
      <c r="E38" s="3">
        <f>Adj!S18</f>
        <v>559.34246575342468</v>
      </c>
      <c r="F38" s="466" t="s">
        <v>471</v>
      </c>
      <c r="G38" s="3">
        <f t="shared" si="0"/>
        <v>559.34246575342468</v>
      </c>
      <c r="J38" s="3" t="s">
        <v>518</v>
      </c>
      <c r="M38" s="31" t="s">
        <v>534</v>
      </c>
    </row>
    <row r="39" spans="1:18" x14ac:dyDescent="0.35">
      <c r="A39" s="31"/>
      <c r="B39" s="31"/>
      <c r="C39" s="29" t="s">
        <v>58</v>
      </c>
      <c r="D39" s="3">
        <v>0</v>
      </c>
      <c r="E39" s="3">
        <f>Adj!S19</f>
        <v>393.54598825831698</v>
      </c>
      <c r="F39" s="466" t="s">
        <v>471</v>
      </c>
      <c r="G39" s="3">
        <f t="shared" si="0"/>
        <v>393.54598825831698</v>
      </c>
      <c r="J39" s="3" t="s">
        <v>518</v>
      </c>
      <c r="M39" s="31" t="s">
        <v>535</v>
      </c>
    </row>
    <row r="40" spans="1:18" ht="16" x14ac:dyDescent="0.5">
      <c r="A40" s="31"/>
      <c r="B40" s="31"/>
      <c r="C40" s="29" t="s">
        <v>245</v>
      </c>
      <c r="D40" s="72">
        <v>0</v>
      </c>
      <c r="E40" s="3">
        <f>Adj!S20</f>
        <v>426.78277886497062</v>
      </c>
      <c r="F40" s="466" t="s">
        <v>471</v>
      </c>
      <c r="G40" s="72">
        <f t="shared" si="0"/>
        <v>426.78277886497062</v>
      </c>
      <c r="J40" s="3" t="s">
        <v>518</v>
      </c>
      <c r="M40" s="31" t="s">
        <v>536</v>
      </c>
    </row>
    <row r="41" spans="1:18" x14ac:dyDescent="0.35">
      <c r="A41" s="31"/>
      <c r="B41" s="174" t="s">
        <v>152</v>
      </c>
      <c r="C41" s="31"/>
      <c r="D41" s="3">
        <f>SUM(D15:D40)</f>
        <v>105442</v>
      </c>
      <c r="F41" s="339"/>
      <c r="G41" s="3">
        <f>SUM(G15:G40)</f>
        <v>81056.767640009261</v>
      </c>
      <c r="I41" s="226"/>
    </row>
    <row r="42" spans="1:18" ht="15.5" x14ac:dyDescent="0.35">
      <c r="A42" s="31"/>
      <c r="B42" s="31" t="s">
        <v>20</v>
      </c>
      <c r="C42" s="31"/>
      <c r="D42" s="3">
        <v>19610</v>
      </c>
      <c r="E42" s="3">
        <f>DeprAdj!K44</f>
        <v>13072.533333333333</v>
      </c>
      <c r="F42" s="339" t="s">
        <v>512</v>
      </c>
      <c r="G42" s="3">
        <f>D42+E42</f>
        <v>32682.533333333333</v>
      </c>
      <c r="H42" s="40"/>
      <c r="J42" s="450" t="s">
        <v>468</v>
      </c>
      <c r="M42" s="3" t="s">
        <v>493</v>
      </c>
    </row>
    <row r="43" spans="1:18" ht="15.5" x14ac:dyDescent="0.35">
      <c r="A43" s="31"/>
      <c r="B43" s="31" t="s">
        <v>21</v>
      </c>
      <c r="C43" s="31"/>
      <c r="D43" s="3">
        <v>0</v>
      </c>
      <c r="E43" s="3">
        <f>Wages!I58</f>
        <v>1671.467493179025</v>
      </c>
      <c r="F43" s="339"/>
      <c r="G43" s="3">
        <f>D43+E43</f>
        <v>1671.467493179025</v>
      </c>
      <c r="H43" s="40"/>
      <c r="J43" s="26" t="s">
        <v>494</v>
      </c>
      <c r="M43" s="3" t="s">
        <v>340</v>
      </c>
    </row>
    <row r="44" spans="1:18" ht="17" x14ac:dyDescent="0.5">
      <c r="A44" s="31"/>
      <c r="B44" s="31" t="s">
        <v>275</v>
      </c>
      <c r="C44" s="31"/>
      <c r="D44" s="72">
        <v>0</v>
      </c>
      <c r="E44" s="3">
        <f>Adj!S8</f>
        <v>161.44814090019568</v>
      </c>
      <c r="F44" s="339" t="s">
        <v>540</v>
      </c>
      <c r="G44" s="72">
        <f>D44+E44</f>
        <v>161.44814090019568</v>
      </c>
      <c r="H44" s="40"/>
      <c r="J44" s="26" t="s">
        <v>513</v>
      </c>
      <c r="K44" s="31"/>
      <c r="L44" s="25"/>
      <c r="M44" s="25"/>
      <c r="N44" s="3" t="s">
        <v>279</v>
      </c>
    </row>
    <row r="45" spans="1:18" x14ac:dyDescent="0.35">
      <c r="A45" s="174" t="s">
        <v>13</v>
      </c>
      <c r="B45" s="31"/>
      <c r="C45" s="31"/>
      <c r="D45" s="3">
        <f>SUM(D41:D43)</f>
        <v>125052</v>
      </c>
      <c r="G45" s="3">
        <f>SUM(G41:G44)</f>
        <v>115572.2166074218</v>
      </c>
    </row>
    <row r="46" spans="1:18" x14ac:dyDescent="0.35">
      <c r="A46" s="174" t="s">
        <v>33</v>
      </c>
      <c r="B46" s="31"/>
      <c r="C46" s="31"/>
      <c r="D46" s="3">
        <f>D11-D45</f>
        <v>62194</v>
      </c>
      <c r="G46" s="3">
        <f>G11-G45</f>
        <v>11707.283392578203</v>
      </c>
    </row>
    <row r="47" spans="1:18" x14ac:dyDescent="0.35">
      <c r="A47" s="31"/>
      <c r="B47" s="31"/>
      <c r="C47" s="31"/>
      <c r="M47" s="333" t="s">
        <v>206</v>
      </c>
      <c r="N47" s="333"/>
      <c r="O47" s="333"/>
      <c r="P47" s="333"/>
      <c r="Q47" s="333"/>
      <c r="R47" s="333">
        <f>PropBAs!F8</f>
        <v>132752.99600000001</v>
      </c>
    </row>
    <row r="48" spans="1:18" x14ac:dyDescent="0.35">
      <c r="A48" s="597" t="s">
        <v>43</v>
      </c>
      <c r="B48" s="597"/>
      <c r="C48" s="597"/>
      <c r="D48" s="597"/>
      <c r="E48" s="597"/>
      <c r="F48" s="597"/>
      <c r="G48" s="597"/>
      <c r="M48" s="333"/>
      <c r="N48" s="333"/>
      <c r="O48" s="333"/>
      <c r="P48" s="333"/>
      <c r="Q48" s="333"/>
      <c r="R48" s="333"/>
    </row>
    <row r="49" spans="1:18" x14ac:dyDescent="0.35">
      <c r="A49" s="174" t="s">
        <v>14</v>
      </c>
      <c r="B49" s="31"/>
      <c r="C49" s="31"/>
      <c r="G49" s="76">
        <f>G45</f>
        <v>115572.2166074218</v>
      </c>
      <c r="I49" s="226"/>
      <c r="J49" s="226"/>
      <c r="K49" s="226"/>
      <c r="M49" s="333" t="s">
        <v>14</v>
      </c>
      <c r="N49" s="333"/>
      <c r="O49" s="333"/>
      <c r="P49" s="333"/>
      <c r="Q49" s="333">
        <f>G49</f>
        <v>115572.2166074218</v>
      </c>
      <c r="R49" s="333"/>
    </row>
    <row r="50" spans="1:18" ht="16" x14ac:dyDescent="0.5">
      <c r="A50" s="31" t="s">
        <v>96</v>
      </c>
      <c r="B50" s="31"/>
      <c r="C50" s="31" t="s">
        <v>153</v>
      </c>
      <c r="F50" s="339" t="s">
        <v>541</v>
      </c>
      <c r="G50" s="3">
        <f>'Debt Sch'!M28</f>
        <v>16359</v>
      </c>
      <c r="I50" s="135" t="s">
        <v>235</v>
      </c>
      <c r="J50" s="226"/>
      <c r="K50" s="226"/>
      <c r="M50" s="333" t="s">
        <v>96</v>
      </c>
      <c r="N50" s="333" t="s">
        <v>204</v>
      </c>
      <c r="O50" s="333"/>
      <c r="P50" s="333"/>
      <c r="Q50" s="333">
        <f>G50</f>
        <v>16359</v>
      </c>
      <c r="R50" s="333"/>
    </row>
    <row r="51" spans="1:18" ht="16" x14ac:dyDescent="0.5">
      <c r="A51" s="31"/>
      <c r="B51" s="31"/>
      <c r="C51" s="31" t="s">
        <v>28</v>
      </c>
      <c r="F51" s="339" t="s">
        <v>545</v>
      </c>
      <c r="G51" s="72">
        <f>'Debt Sch'!M29</f>
        <v>3271.8</v>
      </c>
      <c r="I51" s="226" t="s">
        <v>236</v>
      </c>
      <c r="J51" s="226"/>
      <c r="K51" s="226"/>
      <c r="M51" s="333"/>
      <c r="N51" s="333" t="s">
        <v>28</v>
      </c>
      <c r="O51" s="333"/>
      <c r="P51" s="333"/>
      <c r="Q51" s="451">
        <f>G51</f>
        <v>3271.8</v>
      </c>
      <c r="R51" s="333"/>
    </row>
    <row r="52" spans="1:18" x14ac:dyDescent="0.35">
      <c r="A52" s="174" t="s">
        <v>34</v>
      </c>
      <c r="B52" s="31"/>
      <c r="C52" s="31"/>
      <c r="G52" s="76">
        <f>SUM(G49:G51)</f>
        <v>135203.0166074218</v>
      </c>
      <c r="I52" s="226"/>
      <c r="J52" s="226"/>
      <c r="K52" s="226"/>
      <c r="M52" s="333" t="s">
        <v>34</v>
      </c>
      <c r="N52" s="333"/>
      <c r="O52" s="333"/>
      <c r="P52" s="333"/>
      <c r="Q52" s="333">
        <f>SUM(Q49:Q51)</f>
        <v>135203.0166074218</v>
      </c>
      <c r="R52" s="333"/>
    </row>
    <row r="53" spans="1:18" x14ac:dyDescent="0.35">
      <c r="A53" s="31" t="s">
        <v>97</v>
      </c>
      <c r="B53" s="31"/>
      <c r="C53" s="31" t="s">
        <v>17</v>
      </c>
      <c r="G53" s="3">
        <f>G10</f>
        <v>1982.35</v>
      </c>
      <c r="I53" s="226"/>
      <c r="J53" s="226"/>
      <c r="K53" s="226"/>
      <c r="M53" s="333" t="s">
        <v>97</v>
      </c>
      <c r="N53" s="333" t="s">
        <v>17</v>
      </c>
      <c r="O53" s="333"/>
      <c r="P53" s="333"/>
      <c r="Q53" s="333">
        <f>G53</f>
        <v>1982.35</v>
      </c>
      <c r="R53" s="333"/>
    </row>
    <row r="54" spans="1:18" ht="16" x14ac:dyDescent="0.5">
      <c r="A54" s="31"/>
      <c r="B54" s="31"/>
      <c r="C54" s="31" t="s">
        <v>154</v>
      </c>
      <c r="G54" s="72">
        <f>424+48</f>
        <v>472</v>
      </c>
      <c r="I54" s="226" t="s">
        <v>337</v>
      </c>
      <c r="J54" s="226"/>
      <c r="K54" s="226"/>
      <c r="M54" s="333"/>
      <c r="N54" s="333" t="s">
        <v>20</v>
      </c>
      <c r="O54" s="333"/>
      <c r="P54" s="333"/>
      <c r="Q54" s="451">
        <f>-G42</f>
        <v>-32682.533333333333</v>
      </c>
      <c r="R54" s="333"/>
    </row>
    <row r="55" spans="1:18" ht="16" x14ac:dyDescent="0.5">
      <c r="A55" s="174" t="s">
        <v>201</v>
      </c>
      <c r="B55" s="31"/>
      <c r="C55" s="31"/>
      <c r="G55" s="76">
        <f>G52-G53-G54</f>
        <v>132748.66660742179</v>
      </c>
      <c r="I55" s="78"/>
      <c r="J55" s="226"/>
      <c r="K55" s="226"/>
      <c r="M55" s="333" t="s">
        <v>201</v>
      </c>
      <c r="N55" s="333"/>
      <c r="O55" s="333"/>
      <c r="P55" s="333"/>
      <c r="Q55" s="333"/>
      <c r="R55" s="451">
        <f>SUM(Q52:Q54)</f>
        <v>104502.83327408848</v>
      </c>
    </row>
    <row r="56" spans="1:18" ht="16" x14ac:dyDescent="0.5">
      <c r="A56" s="31" t="s">
        <v>97</v>
      </c>
      <c r="B56" s="31"/>
      <c r="C56" s="31" t="s">
        <v>35</v>
      </c>
      <c r="G56" s="72">
        <f>-G9</f>
        <v>-125297.15</v>
      </c>
      <c r="I56" s="226"/>
      <c r="J56" s="226"/>
      <c r="K56" s="226"/>
      <c r="M56" s="452" t="s">
        <v>205</v>
      </c>
      <c r="N56" s="333"/>
      <c r="O56" s="333"/>
      <c r="P56" s="333"/>
      <c r="Q56" s="333"/>
      <c r="R56" s="333">
        <f>R47-R55</f>
        <v>28250.162725911534</v>
      </c>
    </row>
    <row r="57" spans="1:18" x14ac:dyDescent="0.35">
      <c r="A57" s="174" t="s">
        <v>15</v>
      </c>
      <c r="B57" s="31"/>
      <c r="C57" s="31"/>
      <c r="G57" s="76">
        <f>+G55+G56</f>
        <v>7451.5166074217996</v>
      </c>
    </row>
    <row r="58" spans="1:18" ht="15.5" x14ac:dyDescent="0.35">
      <c r="A58" s="174" t="s">
        <v>16</v>
      </c>
      <c r="B58" s="31"/>
      <c r="C58" s="31"/>
      <c r="G58" s="303">
        <f>G57/-G56</f>
        <v>5.9470758971148188E-2</v>
      </c>
      <c r="H58"/>
      <c r="I58"/>
      <c r="J58"/>
    </row>
    <row r="59" spans="1:18" x14ac:dyDescent="0.35">
      <c r="A59" s="174"/>
      <c r="B59" s="31"/>
      <c r="C59" s="31"/>
    </row>
  </sheetData>
  <mergeCells count="4">
    <mergeCell ref="A2:G2"/>
    <mergeCell ref="A3:G3"/>
    <mergeCell ref="A48:G48"/>
    <mergeCell ref="A1:G1"/>
  </mergeCells>
  <printOptions horizontalCentered="1"/>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BE423-946E-46BA-A0E9-839FDD1BE4D4}">
  <sheetPr>
    <tabColor rgb="FF92D050"/>
  </sheetPr>
  <dimension ref="B3:C73"/>
  <sheetViews>
    <sheetView topLeftCell="A39" workbookViewId="0">
      <selection activeCell="C10" sqref="C10"/>
    </sheetView>
  </sheetViews>
  <sheetFormatPr defaultRowHeight="15.5" x14ac:dyDescent="0.35"/>
  <cols>
    <col min="3" max="3" width="88.4609375" customWidth="1"/>
  </cols>
  <sheetData>
    <row r="3" spans="2:3" x14ac:dyDescent="0.35">
      <c r="B3" s="598" t="s">
        <v>414</v>
      </c>
      <c r="C3" s="599"/>
    </row>
    <row r="4" spans="2:3" ht="18" x14ac:dyDescent="0.4">
      <c r="B4" s="414"/>
      <c r="C4" s="415"/>
    </row>
    <row r="5" spans="2:3" x14ac:dyDescent="0.35">
      <c r="B5" s="416" t="s">
        <v>415</v>
      </c>
      <c r="C5" s="455" t="s">
        <v>501</v>
      </c>
    </row>
    <row r="6" spans="2:3" ht="17.5" x14ac:dyDescent="0.35">
      <c r="B6" s="414"/>
      <c r="C6" s="456"/>
    </row>
    <row r="7" spans="2:3" x14ac:dyDescent="0.35">
      <c r="B7" s="416" t="s">
        <v>416</v>
      </c>
      <c r="C7" s="455" t="s">
        <v>480</v>
      </c>
    </row>
    <row r="8" spans="2:3" ht="17.5" x14ac:dyDescent="0.35">
      <c r="B8" s="416"/>
      <c r="C8" s="456"/>
    </row>
    <row r="9" spans="2:3" x14ac:dyDescent="0.35">
      <c r="B9" s="416" t="s">
        <v>417</v>
      </c>
      <c r="C9" s="449" t="s">
        <v>585</v>
      </c>
    </row>
    <row r="10" spans="2:3" x14ac:dyDescent="0.35">
      <c r="B10" s="416"/>
      <c r="C10" s="457"/>
    </row>
    <row r="11" spans="2:3" ht="31" x14ac:dyDescent="0.35">
      <c r="B11" s="416" t="s">
        <v>418</v>
      </c>
      <c r="C11" s="454" t="s">
        <v>451</v>
      </c>
    </row>
    <row r="12" spans="2:3" x14ac:dyDescent="0.35">
      <c r="B12" s="416"/>
      <c r="C12" s="449"/>
    </row>
    <row r="13" spans="2:3" ht="62" x14ac:dyDescent="0.35">
      <c r="B13" s="416" t="s">
        <v>419</v>
      </c>
      <c r="C13" s="449" t="s">
        <v>453</v>
      </c>
    </row>
    <row r="14" spans="2:3" x14ac:dyDescent="0.35">
      <c r="B14" s="416"/>
      <c r="C14" s="449"/>
    </row>
    <row r="15" spans="2:3" x14ac:dyDescent="0.35">
      <c r="B15" s="416" t="s">
        <v>420</v>
      </c>
      <c r="C15" s="449" t="s">
        <v>458</v>
      </c>
    </row>
    <row r="16" spans="2:3" x14ac:dyDescent="0.35">
      <c r="B16" s="416"/>
      <c r="C16" s="457"/>
    </row>
    <row r="17" spans="2:3" ht="31" x14ac:dyDescent="0.35">
      <c r="B17" s="416" t="s">
        <v>421</v>
      </c>
      <c r="C17" s="449" t="s">
        <v>457</v>
      </c>
    </row>
    <row r="18" spans="2:3" x14ac:dyDescent="0.35">
      <c r="B18" s="414"/>
      <c r="C18" s="449"/>
    </row>
    <row r="19" spans="2:3" x14ac:dyDescent="0.35">
      <c r="B19" s="416" t="s">
        <v>422</v>
      </c>
      <c r="C19" s="449" t="s">
        <v>460</v>
      </c>
    </row>
    <row r="20" spans="2:3" x14ac:dyDescent="0.35">
      <c r="B20" s="414"/>
      <c r="C20" s="458"/>
    </row>
    <row r="21" spans="2:3" ht="80.5" customHeight="1" x14ac:dyDescent="0.35">
      <c r="B21" s="416" t="s">
        <v>423</v>
      </c>
      <c r="C21" s="449" t="s">
        <v>465</v>
      </c>
    </row>
    <row r="22" spans="2:3" x14ac:dyDescent="0.35">
      <c r="B22" s="414"/>
      <c r="C22" s="458"/>
    </row>
    <row r="23" spans="2:3" x14ac:dyDescent="0.35">
      <c r="B23" s="416" t="s">
        <v>424</v>
      </c>
      <c r="C23" t="s">
        <v>539</v>
      </c>
    </row>
    <row r="24" spans="2:3" x14ac:dyDescent="0.35">
      <c r="B24" s="414"/>
    </row>
    <row r="25" spans="2:3" ht="62" x14ac:dyDescent="0.35">
      <c r="B25" s="416" t="s">
        <v>425</v>
      </c>
      <c r="C25" s="454" t="s">
        <v>490</v>
      </c>
    </row>
    <row r="26" spans="2:3" x14ac:dyDescent="0.35">
      <c r="B26" s="414"/>
      <c r="C26" s="458"/>
    </row>
    <row r="27" spans="2:3" x14ac:dyDescent="0.35">
      <c r="B27" s="416" t="s">
        <v>426</v>
      </c>
      <c r="C27" s="459" t="s">
        <v>472</v>
      </c>
    </row>
    <row r="28" spans="2:3" x14ac:dyDescent="0.35">
      <c r="B28" s="416"/>
      <c r="C28" s="458"/>
    </row>
    <row r="29" spans="2:3" x14ac:dyDescent="0.35">
      <c r="B29" s="416" t="s">
        <v>427</v>
      </c>
      <c r="C29" s="449" t="s">
        <v>474</v>
      </c>
    </row>
    <row r="30" spans="2:3" x14ac:dyDescent="0.35">
      <c r="B30" s="414"/>
      <c r="C30" s="458"/>
    </row>
    <row r="31" spans="2:3" ht="46.5" x14ac:dyDescent="0.35">
      <c r="B31" s="416" t="s">
        <v>428</v>
      </c>
      <c r="C31" s="449" t="s">
        <v>552</v>
      </c>
    </row>
    <row r="32" spans="2:3" x14ac:dyDescent="0.35">
      <c r="B32" s="414"/>
      <c r="C32" s="457"/>
    </row>
    <row r="33" spans="2:3" ht="31" x14ac:dyDescent="0.35">
      <c r="B33" s="416" t="s">
        <v>429</v>
      </c>
      <c r="C33" s="454" t="s">
        <v>499</v>
      </c>
    </row>
    <row r="34" spans="2:3" x14ac:dyDescent="0.35">
      <c r="B34" s="414"/>
      <c r="C34" s="458"/>
    </row>
    <row r="35" spans="2:3" x14ac:dyDescent="0.35">
      <c r="B35" s="416" t="s">
        <v>430</v>
      </c>
      <c r="C35" s="449" t="s">
        <v>542</v>
      </c>
    </row>
    <row r="36" spans="2:3" x14ac:dyDescent="0.35">
      <c r="B36" s="417"/>
      <c r="C36" s="458"/>
    </row>
    <row r="37" spans="2:3" x14ac:dyDescent="0.35">
      <c r="B37" s="414" t="s">
        <v>431</v>
      </c>
      <c r="C37" s="449" t="s">
        <v>543</v>
      </c>
    </row>
    <row r="38" spans="2:3" x14ac:dyDescent="0.35">
      <c r="B38" s="414"/>
      <c r="C38" s="458"/>
    </row>
    <row r="39" spans="2:3" x14ac:dyDescent="0.35">
      <c r="B39" s="414" t="s">
        <v>484</v>
      </c>
      <c r="C39" s="449" t="s">
        <v>481</v>
      </c>
    </row>
    <row r="40" spans="2:3" x14ac:dyDescent="0.35">
      <c r="B40" s="234"/>
      <c r="C40" s="457"/>
    </row>
    <row r="41" spans="2:3" x14ac:dyDescent="0.35">
      <c r="B41" s="414" t="s">
        <v>487</v>
      </c>
      <c r="C41" s="454" t="s">
        <v>485</v>
      </c>
    </row>
    <row r="42" spans="2:3" x14ac:dyDescent="0.35">
      <c r="B42" s="234"/>
      <c r="C42" s="457"/>
    </row>
    <row r="43" spans="2:3" ht="62" x14ac:dyDescent="0.35">
      <c r="B43" s="416" t="s">
        <v>491</v>
      </c>
      <c r="C43" s="449" t="s">
        <v>486</v>
      </c>
    </row>
    <row r="44" spans="2:3" x14ac:dyDescent="0.35">
      <c r="B44" s="234"/>
      <c r="C44" s="417"/>
    </row>
    <row r="45" spans="2:3" x14ac:dyDescent="0.35">
      <c r="B45" s="416" t="s">
        <v>496</v>
      </c>
      <c r="C45" s="460" t="s">
        <v>489</v>
      </c>
    </row>
    <row r="46" spans="2:3" x14ac:dyDescent="0.35">
      <c r="B46" s="414"/>
      <c r="C46" s="417"/>
    </row>
    <row r="47" spans="2:3" x14ac:dyDescent="0.35">
      <c r="B47" s="416" t="s">
        <v>497</v>
      </c>
      <c r="C47" t="s">
        <v>538</v>
      </c>
    </row>
    <row r="48" spans="2:3" x14ac:dyDescent="0.35">
      <c r="B48" s="234"/>
    </row>
    <row r="49" spans="2:3" x14ac:dyDescent="0.35">
      <c r="B49" s="416" t="s">
        <v>502</v>
      </c>
      <c r="C49" t="s">
        <v>544</v>
      </c>
    </row>
    <row r="50" spans="2:3" x14ac:dyDescent="0.35">
      <c r="B50" s="234"/>
      <c r="C50" s="417"/>
    </row>
    <row r="51" spans="2:3" ht="62" x14ac:dyDescent="0.35">
      <c r="B51" s="414" t="s">
        <v>514</v>
      </c>
      <c r="C51" s="454" t="s">
        <v>546</v>
      </c>
    </row>
    <row r="52" spans="2:3" x14ac:dyDescent="0.35">
      <c r="B52" s="234"/>
      <c r="C52" s="417"/>
    </row>
    <row r="53" spans="2:3" x14ac:dyDescent="0.35">
      <c r="B53" s="414" t="s">
        <v>547</v>
      </c>
      <c r="C53" s="449" t="s">
        <v>515</v>
      </c>
    </row>
    <row r="54" spans="2:3" x14ac:dyDescent="0.35">
      <c r="B54" s="234"/>
      <c r="C54" s="457"/>
    </row>
    <row r="55" spans="2:3" ht="46.5" x14ac:dyDescent="0.35">
      <c r="B55" s="414" t="s">
        <v>548</v>
      </c>
      <c r="C55" s="449" t="s">
        <v>498</v>
      </c>
    </row>
    <row r="56" spans="2:3" x14ac:dyDescent="0.35">
      <c r="B56" s="234"/>
      <c r="C56" s="457"/>
    </row>
    <row r="57" spans="2:3" ht="31" x14ac:dyDescent="0.35">
      <c r="B57" s="414" t="s">
        <v>549</v>
      </c>
      <c r="C57" s="454" t="s">
        <v>551</v>
      </c>
    </row>
    <row r="58" spans="2:3" x14ac:dyDescent="0.35">
      <c r="B58" s="234"/>
    </row>
    <row r="59" spans="2:3" x14ac:dyDescent="0.35">
      <c r="B59" s="234"/>
    </row>
    <row r="60" spans="2:3" x14ac:dyDescent="0.35">
      <c r="B60" s="234"/>
    </row>
    <row r="61" spans="2:3" x14ac:dyDescent="0.35">
      <c r="B61" s="234"/>
    </row>
    <row r="62" spans="2:3" x14ac:dyDescent="0.35">
      <c r="B62" s="234"/>
    </row>
    <row r="63" spans="2:3" x14ac:dyDescent="0.35">
      <c r="B63" s="234"/>
    </row>
    <row r="64" spans="2:3" x14ac:dyDescent="0.35">
      <c r="B64" s="234"/>
    </row>
    <row r="65" spans="2:2" x14ac:dyDescent="0.35">
      <c r="B65" s="234"/>
    </row>
    <row r="66" spans="2:2" x14ac:dyDescent="0.35">
      <c r="B66" s="234"/>
    </row>
    <row r="67" spans="2:2" x14ac:dyDescent="0.35">
      <c r="B67" s="234"/>
    </row>
    <row r="68" spans="2:2" x14ac:dyDescent="0.35">
      <c r="B68" s="234"/>
    </row>
    <row r="69" spans="2:2" x14ac:dyDescent="0.35">
      <c r="B69" s="234"/>
    </row>
    <row r="70" spans="2:2" x14ac:dyDescent="0.35">
      <c r="B70" s="234"/>
    </row>
    <row r="71" spans="2:2" x14ac:dyDescent="0.35">
      <c r="B71" s="234"/>
    </row>
    <row r="72" spans="2:2" x14ac:dyDescent="0.35">
      <c r="B72" s="234"/>
    </row>
    <row r="73" spans="2:2" x14ac:dyDescent="0.35">
      <c r="B73" s="234"/>
    </row>
  </sheetData>
  <mergeCells count="1">
    <mergeCell ref="B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T63"/>
  <sheetViews>
    <sheetView topLeftCell="E1" workbookViewId="0">
      <selection activeCell="D31" sqref="D31"/>
    </sheetView>
  </sheetViews>
  <sheetFormatPr defaultColWidth="8.84375" defaultRowHeight="14.5" x14ac:dyDescent="0.35"/>
  <cols>
    <col min="1" max="1" width="3.765625" style="1" customWidth="1"/>
    <col min="2" max="2" width="21.23046875" style="1" customWidth="1"/>
    <col min="3" max="3" width="10.07421875" style="1" customWidth="1"/>
    <col min="4" max="4" width="9.3046875" style="1" bestFit="1" customWidth="1"/>
    <col min="5" max="5" width="9.765625" style="1" customWidth="1"/>
    <col min="6" max="7" width="4.765625" style="1" customWidth="1"/>
    <col min="8" max="8" width="8.84375" style="1"/>
    <col min="9" max="9" width="7.765625" style="1" customWidth="1"/>
    <col min="10" max="10" width="10.765625" style="1" customWidth="1"/>
    <col min="11" max="14" width="8.84375" style="1"/>
    <col min="15" max="15" width="16.84375" style="1" customWidth="1"/>
    <col min="16" max="16" width="9.3828125" style="1" bestFit="1" customWidth="1"/>
    <col min="17" max="19" width="8.84375" style="1"/>
    <col min="20" max="20" width="11.07421875" style="1" bestFit="1" customWidth="1"/>
    <col min="21" max="16384" width="8.84375" style="1"/>
  </cols>
  <sheetData>
    <row r="1" spans="1:20" ht="18.5" x14ac:dyDescent="0.35">
      <c r="B1" s="70" t="str">
        <f>SAOw!A2</f>
        <v>POWELL'S VALLEY WATER DISTRICT</v>
      </c>
      <c r="E1" s="144"/>
    </row>
    <row r="2" spans="1:20" x14ac:dyDescent="0.35">
      <c r="B2" s="266"/>
      <c r="C2" s="267" t="s">
        <v>264</v>
      </c>
      <c r="D2" s="268"/>
      <c r="E2" s="269"/>
      <c r="H2" s="48"/>
      <c r="I2" s="104"/>
      <c r="J2" s="104"/>
      <c r="K2" s="104"/>
      <c r="L2" s="104"/>
      <c r="M2" s="105"/>
    </row>
    <row r="3" spans="1:20" x14ac:dyDescent="0.35">
      <c r="A3" s="3"/>
      <c r="B3" s="270" t="s">
        <v>63</v>
      </c>
      <c r="C3" s="410" t="s">
        <v>86</v>
      </c>
      <c r="D3" s="271"/>
      <c r="E3" s="271"/>
      <c r="H3" s="469" t="s">
        <v>64</v>
      </c>
      <c r="M3" s="106"/>
      <c r="O3" s="476" t="s">
        <v>276</v>
      </c>
      <c r="P3" s="104"/>
      <c r="Q3" s="104"/>
      <c r="R3" s="104" t="s">
        <v>264</v>
      </c>
      <c r="S3" s="104"/>
      <c r="T3" s="105"/>
    </row>
    <row r="4" spans="1:20" ht="16" x14ac:dyDescent="0.5">
      <c r="A4" s="3"/>
      <c r="B4" s="271" t="s">
        <v>265</v>
      </c>
      <c r="C4" s="272">
        <v>161881</v>
      </c>
      <c r="D4" s="272"/>
      <c r="E4" s="271"/>
      <c r="G4" s="2"/>
      <c r="H4" s="470"/>
      <c r="K4" s="111" t="s">
        <v>184</v>
      </c>
      <c r="L4" s="111" t="s">
        <v>185</v>
      </c>
      <c r="M4" s="106"/>
      <c r="O4" s="51"/>
      <c r="R4" s="477" t="s">
        <v>184</v>
      </c>
      <c r="S4" s="477" t="s">
        <v>185</v>
      </c>
      <c r="T4" s="478" t="s">
        <v>42</v>
      </c>
    </row>
    <row r="5" spans="1:20" x14ac:dyDescent="0.35">
      <c r="A5" s="3"/>
      <c r="B5" s="271" t="s">
        <v>65</v>
      </c>
      <c r="C5" s="272">
        <v>115267</v>
      </c>
      <c r="D5" s="272"/>
      <c r="E5" s="271"/>
      <c r="G5" s="2"/>
      <c r="H5" s="471" t="s">
        <v>389</v>
      </c>
      <c r="I5" s="203"/>
      <c r="J5" s="472"/>
      <c r="K5" s="203">
        <f>ExBAw!X16</f>
        <v>62232</v>
      </c>
      <c r="L5" s="203">
        <f>ExBAs!W5</f>
        <v>65965.5</v>
      </c>
      <c r="M5" s="106"/>
      <c r="O5" s="51"/>
      <c r="Q5" s="13" t="s">
        <v>187</v>
      </c>
      <c r="R5" s="203">
        <v>2445</v>
      </c>
      <c r="S5" s="203">
        <v>110</v>
      </c>
      <c r="T5" s="479">
        <f>(R5+S5)</f>
        <v>2555</v>
      </c>
    </row>
    <row r="6" spans="1:20" x14ac:dyDescent="0.35">
      <c r="A6" s="3"/>
      <c r="B6" s="271" t="s">
        <v>66</v>
      </c>
      <c r="C6" s="272"/>
      <c r="D6" s="272"/>
      <c r="E6" s="271"/>
      <c r="G6" s="2"/>
      <c r="H6" s="471"/>
      <c r="I6" s="203"/>
      <c r="J6" s="203"/>
      <c r="K6" s="203"/>
      <c r="L6" s="203"/>
      <c r="M6" s="106"/>
      <c r="O6" s="51"/>
      <c r="Q6" s="13" t="s">
        <v>197</v>
      </c>
      <c r="R6" s="480">
        <f>R5/$T$5</f>
        <v>0.95694716242661448</v>
      </c>
      <c r="S6" s="480">
        <f>S5/$T$5</f>
        <v>4.3052837573385516E-2</v>
      </c>
      <c r="T6" s="481">
        <f>R6+S6</f>
        <v>1</v>
      </c>
    </row>
    <row r="7" spans="1:20" x14ac:dyDescent="0.35">
      <c r="A7" s="3"/>
      <c r="B7" s="266" t="s">
        <v>67</v>
      </c>
      <c r="C7" s="272">
        <v>120</v>
      </c>
      <c r="D7" s="272"/>
      <c r="E7" s="271"/>
      <c r="G7" s="3"/>
      <c r="H7" s="51"/>
      <c r="I7" s="473">
        <v>0.3</v>
      </c>
      <c r="J7" s="203" t="s">
        <v>68</v>
      </c>
      <c r="K7" s="472">
        <f>0.3*K5</f>
        <v>18669.599999999999</v>
      </c>
      <c r="L7" s="472">
        <f>0.3*L5</f>
        <v>19789.649999999998</v>
      </c>
      <c r="M7" s="106"/>
      <c r="O7" s="51" t="s">
        <v>277</v>
      </c>
      <c r="P7" s="482">
        <v>11250</v>
      </c>
      <c r="Q7" s="13" t="s">
        <v>188</v>
      </c>
      <c r="R7" s="203">
        <f>P7*R6</f>
        <v>10765.655577299412</v>
      </c>
      <c r="S7" s="203">
        <f>P7*S6</f>
        <v>484.34442270058707</v>
      </c>
      <c r="T7" s="483">
        <f>(R7+S7)</f>
        <v>11250</v>
      </c>
    </row>
    <row r="8" spans="1:20" ht="16" x14ac:dyDescent="0.5">
      <c r="A8" s="3"/>
      <c r="B8" s="266" t="s">
        <v>158</v>
      </c>
      <c r="C8" s="272">
        <v>125</v>
      </c>
      <c r="D8" s="272"/>
      <c r="E8" s="271"/>
      <c r="G8" s="3"/>
      <c r="H8" s="51"/>
      <c r="I8" s="473">
        <v>0.7</v>
      </c>
      <c r="J8" s="203" t="s">
        <v>70</v>
      </c>
      <c r="K8" s="474">
        <f>0.7*K5</f>
        <v>43562.399999999994</v>
      </c>
      <c r="L8" s="474">
        <f>0.7*L5</f>
        <v>46175.85</v>
      </c>
      <c r="M8" s="106"/>
      <c r="O8" s="56" t="s">
        <v>278</v>
      </c>
      <c r="P8" s="20"/>
      <c r="Q8" s="20"/>
      <c r="R8" s="484">
        <f>R7/3</f>
        <v>3588.551859099804</v>
      </c>
      <c r="S8" s="484">
        <f>S7/3</f>
        <v>161.44814090019568</v>
      </c>
      <c r="T8" s="110"/>
    </row>
    <row r="9" spans="1:20" x14ac:dyDescent="0.35">
      <c r="A9" s="3"/>
      <c r="B9" s="271" t="s">
        <v>69</v>
      </c>
      <c r="C9" s="272">
        <v>1650</v>
      </c>
      <c r="D9" s="272"/>
      <c r="E9" s="271"/>
      <c r="G9" s="3"/>
      <c r="H9" s="51"/>
      <c r="I9" s="475"/>
      <c r="J9" s="158"/>
      <c r="K9" s="43">
        <f>K7+K8</f>
        <v>62231.999999999993</v>
      </c>
      <c r="L9" s="43">
        <f>L7+L8</f>
        <v>65965.5</v>
      </c>
      <c r="M9" s="106"/>
    </row>
    <row r="10" spans="1:20" x14ac:dyDescent="0.35">
      <c r="A10" s="3"/>
      <c r="B10" s="271" t="s">
        <v>71</v>
      </c>
      <c r="C10" s="272">
        <v>61</v>
      </c>
      <c r="D10" s="272"/>
      <c r="E10" s="271"/>
      <c r="H10" s="51"/>
      <c r="I10" s="475"/>
      <c r="J10" s="158"/>
      <c r="K10" s="43"/>
      <c r="M10" s="106"/>
    </row>
    <row r="11" spans="1:20" x14ac:dyDescent="0.35">
      <c r="A11" s="3"/>
      <c r="B11" s="271" t="s">
        <v>72</v>
      </c>
      <c r="C11" s="273">
        <v>0</v>
      </c>
      <c r="D11" s="272"/>
      <c r="E11" s="271"/>
      <c r="H11" s="51"/>
      <c r="I11" s="1" t="s">
        <v>387</v>
      </c>
      <c r="M11" s="106"/>
    </row>
    <row r="12" spans="1:20" ht="16" x14ac:dyDescent="0.5">
      <c r="A12" s="3"/>
      <c r="B12" s="271"/>
      <c r="C12" s="272"/>
      <c r="D12" s="272">
        <f>SUM(C7:C11)</f>
        <v>1956</v>
      </c>
      <c r="E12" s="271"/>
      <c r="H12" s="56"/>
      <c r="I12" s="20" t="s">
        <v>388</v>
      </c>
      <c r="J12" s="20"/>
      <c r="K12" s="20"/>
      <c r="L12" s="20"/>
      <c r="M12" s="110"/>
      <c r="R12" s="371" t="s">
        <v>184</v>
      </c>
      <c r="S12" s="371" t="s">
        <v>185</v>
      </c>
    </row>
    <row r="13" spans="1:20" x14ac:dyDescent="0.35">
      <c r="A13" s="3"/>
      <c r="B13" s="271" t="s">
        <v>73</v>
      </c>
      <c r="C13" s="272"/>
      <c r="D13" s="272"/>
      <c r="E13" s="271"/>
      <c r="O13" s="137" t="s">
        <v>550</v>
      </c>
      <c r="R13" s="210">
        <f>R6</f>
        <v>0.95694716242661448</v>
      </c>
      <c r="S13" s="210">
        <f>S6</f>
        <v>4.3052837573385516E-2</v>
      </c>
    </row>
    <row r="14" spans="1:20" x14ac:dyDescent="0.35">
      <c r="A14" s="3"/>
      <c r="B14" s="271" t="s">
        <v>266</v>
      </c>
      <c r="C14" s="273">
        <v>44658</v>
      </c>
      <c r="D14" s="272"/>
      <c r="E14" s="271"/>
      <c r="H14" s="137"/>
      <c r="O14" s="29" t="s">
        <v>242</v>
      </c>
      <c r="Q14" s="467">
        <v>5375</v>
      </c>
      <c r="R14" s="468">
        <f>Q14*R13</f>
        <v>5143.5909980430524</v>
      </c>
      <c r="S14" s="468">
        <f>Q14*S13</f>
        <v>231.40900195694715</v>
      </c>
    </row>
    <row r="15" spans="1:20" ht="16" x14ac:dyDescent="0.5">
      <c r="A15" s="3"/>
      <c r="B15" s="271"/>
      <c r="C15" s="272"/>
      <c r="D15" s="272">
        <f>C13+C14</f>
        <v>44658</v>
      </c>
      <c r="E15" s="266"/>
      <c r="G15" s="155"/>
      <c r="K15" s="371"/>
      <c r="L15" s="371"/>
      <c r="M15" s="371"/>
      <c r="O15" s="29"/>
      <c r="Q15" s="411"/>
      <c r="R15" s="226"/>
      <c r="S15" s="226"/>
    </row>
    <row r="16" spans="1:20" x14ac:dyDescent="0.35">
      <c r="A16" s="3"/>
      <c r="B16" s="274" t="s">
        <v>75</v>
      </c>
      <c r="C16" s="272">
        <f>SUM(C5:C15)</f>
        <v>161881</v>
      </c>
      <c r="D16" s="272"/>
      <c r="E16" s="266"/>
      <c r="I16" s="226"/>
      <c r="J16" s="13"/>
      <c r="K16" s="226"/>
      <c r="L16" s="226"/>
      <c r="M16" s="226"/>
      <c r="O16" s="29"/>
      <c r="Q16" s="411"/>
      <c r="R16" s="226"/>
      <c r="S16" s="226"/>
    </row>
    <row r="17" spans="1:19" ht="16" x14ac:dyDescent="0.5">
      <c r="A17" s="3"/>
      <c r="B17" s="275"/>
      <c r="C17" s="271"/>
      <c r="D17" s="266"/>
      <c r="E17" s="266"/>
      <c r="I17" s="135"/>
      <c r="J17" s="13"/>
      <c r="K17" s="372"/>
      <c r="L17" s="372"/>
      <c r="M17" s="210"/>
      <c r="O17" s="29" t="s">
        <v>32</v>
      </c>
      <c r="Q17" s="411">
        <v>19502</v>
      </c>
      <c r="R17" s="226">
        <f>Q17*R13</f>
        <v>18662.383561643837</v>
      </c>
      <c r="S17" s="226">
        <f>Q17*S13</f>
        <v>839.61643835616428</v>
      </c>
    </row>
    <row r="18" spans="1:19" x14ac:dyDescent="0.35">
      <c r="A18" s="3"/>
      <c r="B18" s="266"/>
      <c r="C18" s="276">
        <f>D15/C4</f>
        <v>0.2758693114077625</v>
      </c>
      <c r="D18" s="271" t="s">
        <v>74</v>
      </c>
      <c r="E18" s="266"/>
      <c r="I18" s="43"/>
      <c r="J18" s="13"/>
      <c r="K18" s="413"/>
      <c r="L18" s="413"/>
      <c r="M18" s="226"/>
      <c r="O18" s="29" t="s">
        <v>109</v>
      </c>
      <c r="Q18" s="411">
        <v>12992</v>
      </c>
      <c r="R18" s="226">
        <f>Q18*R13</f>
        <v>12432.657534246575</v>
      </c>
      <c r="S18" s="226">
        <f>Q18*S13</f>
        <v>559.34246575342468</v>
      </c>
    </row>
    <row r="19" spans="1:19" ht="16" x14ac:dyDescent="0.5">
      <c r="A19" s="3"/>
      <c r="B19" s="266"/>
      <c r="C19" s="277">
        <v>0.15</v>
      </c>
      <c r="D19" s="271" t="s">
        <v>76</v>
      </c>
      <c r="E19" s="266"/>
      <c r="I19" s="135"/>
      <c r="O19" s="29" t="s">
        <v>58</v>
      </c>
      <c r="Q19" s="411">
        <v>9141</v>
      </c>
      <c r="R19" s="226">
        <f>Q19*R13</f>
        <v>8747.4540117416836</v>
      </c>
      <c r="S19" s="226">
        <f>Q19*S13</f>
        <v>393.54598825831698</v>
      </c>
    </row>
    <row r="20" spans="1:19" x14ac:dyDescent="0.35">
      <c r="A20" s="3"/>
      <c r="B20" s="266"/>
      <c r="C20" s="278">
        <f>C18-C19</f>
        <v>0.1258693114077625</v>
      </c>
      <c r="D20" s="279" t="s">
        <v>77</v>
      </c>
      <c r="E20" s="266"/>
      <c r="O20" s="29" t="s">
        <v>245</v>
      </c>
      <c r="Q20" s="411">
        <v>9913</v>
      </c>
      <c r="R20" s="226">
        <f>Q20*R13</f>
        <v>9486.2172211350298</v>
      </c>
      <c r="S20" s="226">
        <f>Q20*S13</f>
        <v>426.78277886497062</v>
      </c>
    </row>
    <row r="21" spans="1:19" x14ac:dyDescent="0.35">
      <c r="A21" s="3"/>
      <c r="B21" s="270"/>
      <c r="C21" s="280"/>
      <c r="D21" s="280"/>
      <c r="E21" s="281"/>
      <c r="O21" s="149" t="s">
        <v>520</v>
      </c>
    </row>
    <row r="22" spans="1:19" x14ac:dyDescent="0.35">
      <c r="A22" s="230"/>
      <c r="B22" s="282"/>
      <c r="C22" s="283"/>
      <c r="D22" s="283" t="s">
        <v>9</v>
      </c>
      <c r="E22" s="284"/>
      <c r="F22" s="3"/>
      <c r="O22" s="1" t="s">
        <v>519</v>
      </c>
      <c r="Q22" s="3">
        <v>12503</v>
      </c>
      <c r="R22" s="3">
        <f>Q22*R13</f>
        <v>11964.710371819961</v>
      </c>
      <c r="S22" s="3">
        <f>Q22*S13</f>
        <v>538.28962818003913</v>
      </c>
    </row>
    <row r="23" spans="1:19" ht="16" x14ac:dyDescent="0.5">
      <c r="A23" s="51"/>
      <c r="B23" s="365" t="s">
        <v>25</v>
      </c>
      <c r="C23" s="366">
        <v>408141</v>
      </c>
      <c r="D23" s="298">
        <f>C23*C20</f>
        <v>51372.426627275592</v>
      </c>
      <c r="E23" s="285"/>
      <c r="F23" s="3"/>
      <c r="H23" s="137"/>
      <c r="O23" s="1" t="s">
        <v>521</v>
      </c>
      <c r="Q23" s="3">
        <v>7973</v>
      </c>
      <c r="R23" s="3">
        <f>Q23*R13</f>
        <v>7629.7397260273974</v>
      </c>
      <c r="S23" s="72">
        <f>Q23*S13</f>
        <v>343.2602739726027</v>
      </c>
    </row>
    <row r="24" spans="1:19" ht="16" x14ac:dyDescent="0.5">
      <c r="A24" s="51"/>
      <c r="B24" s="365" t="s">
        <v>26</v>
      </c>
      <c r="C24" s="367">
        <v>4405</v>
      </c>
      <c r="D24" s="271">
        <f>C24*C20</f>
        <v>554.4543167511938</v>
      </c>
      <c r="E24" s="285"/>
      <c r="F24" s="3"/>
      <c r="R24" s="43">
        <f>SUM(R22:R23)</f>
        <v>19594.450097847359</v>
      </c>
      <c r="S24" s="43">
        <f>SUM(S22:S23)</f>
        <v>881.54990215264183</v>
      </c>
    </row>
    <row r="25" spans="1:19" x14ac:dyDescent="0.35">
      <c r="A25" s="51"/>
      <c r="B25" s="365" t="s">
        <v>241</v>
      </c>
      <c r="C25" s="367">
        <v>122040</v>
      </c>
      <c r="D25" s="368">
        <f>C25*C20</f>
        <v>15361.090764203336</v>
      </c>
      <c r="E25" s="287"/>
      <c r="F25" s="3"/>
      <c r="H25" s="149"/>
      <c r="M25" s="227"/>
    </row>
    <row r="26" spans="1:19" x14ac:dyDescent="0.35">
      <c r="A26" s="51"/>
      <c r="B26" s="271"/>
      <c r="C26" s="286"/>
      <c r="D26" s="369">
        <f>SUM(D23:D25)</f>
        <v>67287.971708230121</v>
      </c>
      <c r="E26" s="287"/>
      <c r="F26" s="3"/>
      <c r="J26" s="3"/>
      <c r="L26" s="13"/>
      <c r="M26" s="3"/>
    </row>
    <row r="27" spans="1:19" ht="16" x14ac:dyDescent="0.5">
      <c r="A27" s="51"/>
      <c r="B27" s="266"/>
      <c r="C27" s="286"/>
      <c r="D27" s="286"/>
      <c r="E27" s="287"/>
      <c r="F27" s="3"/>
      <c r="J27" s="72"/>
      <c r="L27" s="13"/>
      <c r="M27" s="72"/>
    </row>
    <row r="28" spans="1:19" x14ac:dyDescent="0.35">
      <c r="A28" s="51"/>
      <c r="B28" s="408" t="s">
        <v>408</v>
      </c>
      <c r="C28" s="286"/>
      <c r="D28" s="286"/>
      <c r="E28" s="287"/>
      <c r="F28" s="3"/>
      <c r="J28" s="3"/>
      <c r="L28" s="13"/>
      <c r="M28" s="159"/>
    </row>
    <row r="29" spans="1:19" ht="16" x14ac:dyDescent="0.5">
      <c r="A29" s="51"/>
      <c r="B29" s="266" t="s">
        <v>380</v>
      </c>
      <c r="C29" s="286"/>
      <c r="D29" s="363">
        <f>D26</f>
        <v>67287.971708230121</v>
      </c>
      <c r="E29" s="288"/>
      <c r="F29" s="3"/>
      <c r="H29" s="2"/>
      <c r="I29" s="210"/>
      <c r="J29" s="72"/>
      <c r="M29" s="72"/>
    </row>
    <row r="30" spans="1:19" x14ac:dyDescent="0.35">
      <c r="A30" s="51"/>
      <c r="B30" s="266" t="s">
        <v>399</v>
      </c>
      <c r="C30" s="286"/>
      <c r="D30" s="409">
        <f>ExBAw!E10</f>
        <v>29500</v>
      </c>
      <c r="E30" s="288"/>
      <c r="F30" s="3"/>
      <c r="J30" s="159"/>
      <c r="L30" s="158"/>
      <c r="M30" s="159"/>
    </row>
    <row r="31" spans="1:19" ht="16" x14ac:dyDescent="0.5">
      <c r="A31" s="51"/>
      <c r="B31" s="266" t="s">
        <v>381</v>
      </c>
      <c r="C31" s="286"/>
      <c r="D31" s="362">
        <f>D29/D30</f>
        <v>2.2809481934993263</v>
      </c>
      <c r="E31" s="364" t="s">
        <v>382</v>
      </c>
      <c r="F31" s="3"/>
      <c r="G31" s="3"/>
      <c r="J31" s="143"/>
    </row>
    <row r="32" spans="1:19" x14ac:dyDescent="0.35">
      <c r="A32" s="51"/>
      <c r="B32" s="271"/>
      <c r="C32" s="286"/>
      <c r="D32" s="286"/>
      <c r="E32" s="289"/>
      <c r="F32" s="3"/>
      <c r="G32" s="3"/>
      <c r="J32" s="142"/>
    </row>
    <row r="33" spans="1:7" x14ac:dyDescent="0.35">
      <c r="A33" s="51"/>
      <c r="B33" s="271"/>
      <c r="C33" s="286"/>
      <c r="D33" s="286"/>
      <c r="E33" s="287"/>
      <c r="F33" s="3"/>
      <c r="G33" s="3"/>
    </row>
    <row r="34" spans="1:7" x14ac:dyDescent="0.35">
      <c r="A34" s="51"/>
      <c r="B34" s="271"/>
      <c r="C34" s="286"/>
      <c r="D34" s="286"/>
      <c r="E34" s="287"/>
      <c r="F34" s="3"/>
      <c r="G34" s="3"/>
    </row>
    <row r="35" spans="1:7" x14ac:dyDescent="0.35">
      <c r="A35" s="51"/>
      <c r="B35" s="271"/>
      <c r="C35" s="286"/>
      <c r="D35" s="286"/>
      <c r="E35" s="287"/>
      <c r="F35" s="3"/>
      <c r="G35" s="3"/>
    </row>
    <row r="36" spans="1:7" x14ac:dyDescent="0.35">
      <c r="A36" s="51"/>
      <c r="B36" s="274"/>
      <c r="C36" s="286"/>
      <c r="D36" s="286"/>
      <c r="E36" s="287"/>
      <c r="F36" s="3"/>
      <c r="G36" s="3"/>
    </row>
    <row r="37" spans="1:7" x14ac:dyDescent="0.35">
      <c r="A37" s="51"/>
      <c r="B37" s="290"/>
      <c r="C37" s="271"/>
      <c r="D37" s="266"/>
      <c r="E37" s="287"/>
      <c r="F37" s="3"/>
      <c r="G37" s="3"/>
    </row>
    <row r="38" spans="1:7" x14ac:dyDescent="0.35">
      <c r="A38" s="51"/>
      <c r="B38" s="266"/>
      <c r="C38" s="291"/>
      <c r="D38" s="271"/>
      <c r="E38" s="292"/>
      <c r="F38" s="3"/>
      <c r="G38" s="3"/>
    </row>
    <row r="39" spans="1:7" x14ac:dyDescent="0.35">
      <c r="A39" s="51"/>
      <c r="B39" s="266"/>
      <c r="C39" s="293"/>
      <c r="D39" s="271"/>
      <c r="E39" s="292"/>
      <c r="G39" s="3"/>
    </row>
    <row r="40" spans="1:7" x14ac:dyDescent="0.35">
      <c r="A40" s="51"/>
      <c r="B40" s="266"/>
      <c r="C40" s="294"/>
      <c r="D40" s="279"/>
      <c r="E40" s="292"/>
      <c r="G40" s="3"/>
    </row>
    <row r="41" spans="1:7" x14ac:dyDescent="0.35">
      <c r="A41" s="56"/>
      <c r="B41" s="295"/>
      <c r="C41" s="295"/>
      <c r="D41" s="296"/>
      <c r="E41" s="297"/>
      <c r="G41" s="3"/>
    </row>
    <row r="42" spans="1:7" x14ac:dyDescent="0.35">
      <c r="B42" s="39"/>
      <c r="E42" s="15"/>
      <c r="G42" s="3"/>
    </row>
    <row r="43" spans="1:7" x14ac:dyDescent="0.35">
      <c r="B43" s="39"/>
      <c r="C43" s="39"/>
      <c r="D43" s="39"/>
      <c r="G43" s="3"/>
    </row>
    <row r="44" spans="1:7" x14ac:dyDescent="0.35">
      <c r="B44" s="39"/>
      <c r="G44" s="3"/>
    </row>
    <row r="45" spans="1:7" x14ac:dyDescent="0.35">
      <c r="B45" s="39"/>
      <c r="G45" s="3"/>
    </row>
    <row r="46" spans="1:7" x14ac:dyDescent="0.35">
      <c r="B46" s="39"/>
      <c r="G46" s="3"/>
    </row>
    <row r="47" spans="1:7" x14ac:dyDescent="0.35">
      <c r="G47" s="3"/>
    </row>
    <row r="48" spans="1:7" x14ac:dyDescent="0.35">
      <c r="G48" s="3"/>
    </row>
    <row r="58" spans="5:5" x14ac:dyDescent="0.35">
      <c r="E58" s="3"/>
    </row>
    <row r="59" spans="5:5" x14ac:dyDescent="0.35">
      <c r="E59" s="3"/>
    </row>
    <row r="60" spans="5:5" x14ac:dyDescent="0.35">
      <c r="E60" s="3"/>
    </row>
    <row r="61" spans="5:5" x14ac:dyDescent="0.35">
      <c r="E61" s="3"/>
    </row>
    <row r="62" spans="5:5" x14ac:dyDescent="0.35">
      <c r="E62" s="3"/>
    </row>
    <row r="63" spans="5:5" x14ac:dyDescent="0.35">
      <c r="E63" s="3"/>
    </row>
  </sheetData>
  <pageMargins left="0.7" right="0.7" top="0.75" bottom="0.75" header="0.3" footer="0.3"/>
  <pageSetup orientation="portrait" r:id="rId1"/>
  <ignoredErrors>
    <ignoredError sqref="C1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B4DEB-1D4F-488A-BD06-2702BE8F4A49}">
  <sheetPr>
    <tabColor rgb="FF92D050"/>
  </sheetPr>
  <dimension ref="A3:N64"/>
  <sheetViews>
    <sheetView topLeftCell="A30" workbookViewId="0">
      <selection activeCell="L39" sqref="L39:M40"/>
    </sheetView>
  </sheetViews>
  <sheetFormatPr defaultRowHeight="15.5" x14ac:dyDescent="0.35"/>
  <cols>
    <col min="3" max="3" width="10.765625" customWidth="1"/>
    <col min="4" max="4" width="11.61328125" bestFit="1" customWidth="1"/>
    <col min="7" max="7" width="13" bestFit="1" customWidth="1"/>
    <col min="8" max="8" width="11.15234375" bestFit="1" customWidth="1"/>
    <col min="9" max="9" width="11.07421875" customWidth="1"/>
    <col min="10" max="10" width="10.23046875" bestFit="1" customWidth="1"/>
    <col min="11" max="12" width="11.15234375" bestFit="1" customWidth="1"/>
  </cols>
  <sheetData>
    <row r="3" spans="1:14" x14ac:dyDescent="0.35">
      <c r="C3" s="137" t="s">
        <v>125</v>
      </c>
    </row>
    <row r="4" spans="1:14" x14ac:dyDescent="0.35">
      <c r="L4" s="257" t="s">
        <v>270</v>
      </c>
    </row>
    <row r="5" spans="1:14" x14ac:dyDescent="0.35">
      <c r="E5" s="234"/>
      <c r="G5" s="234">
        <v>2023</v>
      </c>
    </row>
    <row r="6" spans="1:14" x14ac:dyDescent="0.35">
      <c r="C6" s="600" t="s">
        <v>115</v>
      </c>
      <c r="D6" s="600"/>
      <c r="E6" s="11" t="s">
        <v>129</v>
      </c>
      <c r="F6" s="11" t="s">
        <v>186</v>
      </c>
      <c r="G6" s="11" t="s">
        <v>112</v>
      </c>
      <c r="H6" s="11" t="s">
        <v>128</v>
      </c>
      <c r="I6" s="11" t="s">
        <v>114</v>
      </c>
      <c r="J6" s="11" t="s">
        <v>113</v>
      </c>
    </row>
    <row r="7" spans="1:14" x14ac:dyDescent="0.35">
      <c r="A7" t="s">
        <v>290</v>
      </c>
      <c r="C7" s="234" t="s">
        <v>249</v>
      </c>
      <c r="D7" s="234" t="s">
        <v>250</v>
      </c>
      <c r="E7" s="336">
        <v>1747.25</v>
      </c>
      <c r="F7" s="74">
        <v>0</v>
      </c>
      <c r="G7" s="255">
        <v>13.430199999999999</v>
      </c>
      <c r="H7" s="246">
        <f t="shared" ref="H7:H12" si="0">E7*G7</f>
        <v>23465.916949999999</v>
      </c>
      <c r="I7" s="246">
        <f t="shared" ref="I7:I12" si="1">F7*G7*1.5</f>
        <v>0</v>
      </c>
      <c r="J7" s="246">
        <f t="shared" ref="J7:J12" si="2">H7+I7</f>
        <v>23465.916949999999</v>
      </c>
    </row>
    <row r="8" spans="1:14" x14ac:dyDescent="0.35">
      <c r="A8" t="s">
        <v>289</v>
      </c>
      <c r="C8" s="234" t="s">
        <v>251</v>
      </c>
      <c r="D8" s="234" t="s">
        <v>252</v>
      </c>
      <c r="E8" s="142">
        <v>2080</v>
      </c>
      <c r="F8" s="3"/>
      <c r="G8" s="255">
        <v>17.5214</v>
      </c>
      <c r="H8" s="142">
        <f t="shared" si="0"/>
        <v>36444.512000000002</v>
      </c>
      <c r="I8" s="142">
        <f t="shared" si="1"/>
        <v>0</v>
      </c>
      <c r="J8" s="142">
        <f t="shared" si="2"/>
        <v>36444.512000000002</v>
      </c>
      <c r="L8" s="262">
        <f>700.86*52</f>
        <v>36444.720000000001</v>
      </c>
      <c r="M8" s="261" t="s">
        <v>263</v>
      </c>
    </row>
    <row r="9" spans="1:14" x14ac:dyDescent="0.35">
      <c r="A9" s="257" t="s">
        <v>291</v>
      </c>
      <c r="C9" s="234" t="s">
        <v>253</v>
      </c>
      <c r="D9" s="234" t="s">
        <v>254</v>
      </c>
      <c r="E9" s="318">
        <v>2080</v>
      </c>
      <c r="F9" s="3"/>
      <c r="G9" s="255">
        <v>13.430199999999999</v>
      </c>
      <c r="H9" s="142">
        <f t="shared" si="0"/>
        <v>27934.815999999999</v>
      </c>
      <c r="I9" s="142">
        <f t="shared" si="1"/>
        <v>0</v>
      </c>
      <c r="J9" s="142">
        <f t="shared" si="2"/>
        <v>27934.815999999999</v>
      </c>
      <c r="L9" s="262"/>
      <c r="M9" s="260"/>
    </row>
    <row r="10" spans="1:14" x14ac:dyDescent="0.35">
      <c r="A10" s="257" t="s">
        <v>290</v>
      </c>
      <c r="C10" s="234" t="s">
        <v>255</v>
      </c>
      <c r="D10" s="234" t="s">
        <v>256</v>
      </c>
      <c r="E10" s="318">
        <f>32.5*52</f>
        <v>1690</v>
      </c>
      <c r="F10" s="3"/>
      <c r="G10" s="255">
        <v>10.5</v>
      </c>
      <c r="H10" s="142">
        <f t="shared" si="0"/>
        <v>17745</v>
      </c>
      <c r="I10" s="142">
        <f t="shared" si="1"/>
        <v>0</v>
      </c>
      <c r="J10" s="142">
        <f t="shared" si="2"/>
        <v>17745</v>
      </c>
      <c r="L10" s="262"/>
      <c r="M10" s="260"/>
    </row>
    <row r="11" spans="1:14" x14ac:dyDescent="0.35">
      <c r="A11" t="s">
        <v>288</v>
      </c>
      <c r="C11" s="234" t="s">
        <v>257</v>
      </c>
      <c r="D11" s="234" t="s">
        <v>258</v>
      </c>
      <c r="E11" s="142">
        <v>2080</v>
      </c>
      <c r="F11" s="3"/>
      <c r="G11" s="255">
        <v>29.274000000000001</v>
      </c>
      <c r="H11" s="142">
        <f t="shared" si="0"/>
        <v>60889.919999999998</v>
      </c>
      <c r="I11" s="142">
        <f t="shared" si="1"/>
        <v>0</v>
      </c>
      <c r="J11" s="142">
        <f t="shared" si="2"/>
        <v>60889.919999999998</v>
      </c>
      <c r="L11" s="262">
        <f>1170.96*52</f>
        <v>60889.919999999998</v>
      </c>
      <c r="M11" s="261" t="s">
        <v>263</v>
      </c>
    </row>
    <row r="12" spans="1:14" x14ac:dyDescent="0.35">
      <c r="A12" t="s">
        <v>289</v>
      </c>
      <c r="C12" s="234" t="s">
        <v>259</v>
      </c>
      <c r="D12" s="234" t="s">
        <v>260</v>
      </c>
      <c r="E12" s="142">
        <v>2080</v>
      </c>
      <c r="F12" s="3"/>
      <c r="G12" s="255">
        <v>20.443300000000001</v>
      </c>
      <c r="H12" s="142">
        <f t="shared" si="0"/>
        <v>42522.063999999998</v>
      </c>
      <c r="I12" s="142">
        <f t="shared" si="1"/>
        <v>0</v>
      </c>
      <c r="J12" s="142">
        <f t="shared" si="2"/>
        <v>42522.063999999998</v>
      </c>
      <c r="L12" s="262">
        <f>817.73*52</f>
        <v>42521.96</v>
      </c>
      <c r="M12" s="261" t="s">
        <v>263</v>
      </c>
      <c r="N12" t="s">
        <v>309</v>
      </c>
    </row>
    <row r="13" spans="1:14" x14ac:dyDescent="0.35">
      <c r="B13" s="257"/>
      <c r="C13" s="263"/>
      <c r="D13" s="234"/>
      <c r="E13" s="3"/>
      <c r="F13" s="3"/>
      <c r="G13" s="235"/>
      <c r="H13" s="142"/>
      <c r="I13" s="3"/>
      <c r="J13" s="142"/>
    </row>
    <row r="14" spans="1:14" ht="17" x14ac:dyDescent="0.5">
      <c r="C14" s="234"/>
      <c r="D14" s="263" t="s">
        <v>3</v>
      </c>
      <c r="E14" s="3"/>
      <c r="F14" s="3"/>
      <c r="G14" s="235"/>
      <c r="H14" s="3"/>
      <c r="I14" s="3"/>
      <c r="J14" s="307">
        <f>SUM(J7:J13)</f>
        <v>209002.22895000002</v>
      </c>
    </row>
    <row r="15" spans="1:14" ht="17" x14ac:dyDescent="0.5">
      <c r="C15" s="234"/>
      <c r="D15" s="263"/>
      <c r="E15" s="3"/>
      <c r="F15" s="3"/>
      <c r="G15" s="235"/>
      <c r="H15" s="3"/>
      <c r="I15" s="3"/>
      <c r="J15" s="307"/>
    </row>
    <row r="16" spans="1:14" ht="17" x14ac:dyDescent="0.5">
      <c r="A16" t="s">
        <v>292</v>
      </c>
      <c r="C16" s="234"/>
      <c r="D16" s="263"/>
      <c r="E16" s="3"/>
      <c r="F16" s="3"/>
      <c r="G16" s="235"/>
      <c r="H16" s="3"/>
      <c r="I16" s="3"/>
      <c r="J16" s="307"/>
    </row>
    <row r="17" spans="2:10" ht="17" x14ac:dyDescent="0.5">
      <c r="C17" s="234"/>
      <c r="D17" s="263"/>
      <c r="E17" s="3"/>
      <c r="F17" s="3"/>
      <c r="G17" s="235"/>
      <c r="H17" s="3"/>
      <c r="I17" s="3"/>
      <c r="J17" s="307"/>
    </row>
    <row r="18" spans="2:10" ht="17" x14ac:dyDescent="0.5">
      <c r="C18" s="234"/>
      <c r="D18" s="263"/>
      <c r="E18" s="3"/>
      <c r="F18" s="3"/>
      <c r="G18" s="235"/>
      <c r="H18" s="3"/>
      <c r="I18" s="3"/>
      <c r="J18" s="307"/>
    </row>
    <row r="19" spans="2:10" ht="17" x14ac:dyDescent="0.5">
      <c r="C19" s="256" t="s">
        <v>261</v>
      </c>
      <c r="D19" s="234"/>
      <c r="E19" s="3"/>
      <c r="F19" s="3"/>
      <c r="G19" s="235"/>
      <c r="H19" s="3"/>
      <c r="I19" s="3"/>
      <c r="J19" s="72"/>
    </row>
    <row r="20" spans="2:10" ht="17" x14ac:dyDescent="0.5">
      <c r="C20" s="234"/>
      <c r="D20" s="234"/>
      <c r="E20" s="246">
        <v>300</v>
      </c>
      <c r="F20" s="3" t="s">
        <v>262</v>
      </c>
      <c r="G20" s="235">
        <f>E20*12</f>
        <v>3600</v>
      </c>
      <c r="H20" s="3"/>
      <c r="I20" s="3"/>
      <c r="J20" s="72"/>
    </row>
    <row r="21" spans="2:10" ht="17" x14ac:dyDescent="0.5">
      <c r="C21" s="234"/>
      <c r="D21" s="234"/>
      <c r="E21" s="246">
        <v>300</v>
      </c>
      <c r="F21" s="3" t="s">
        <v>262</v>
      </c>
      <c r="G21" s="235">
        <f>E21*12</f>
        <v>3600</v>
      </c>
      <c r="H21" s="3"/>
      <c r="I21" s="3"/>
      <c r="J21" s="72"/>
    </row>
    <row r="22" spans="2:10" ht="17" x14ac:dyDescent="0.5">
      <c r="C22" s="234"/>
      <c r="D22" s="234"/>
      <c r="E22" s="246">
        <v>300</v>
      </c>
      <c r="F22" s="3" t="s">
        <v>262</v>
      </c>
      <c r="G22" s="326">
        <f>E22*12</f>
        <v>3600</v>
      </c>
      <c r="H22" s="3"/>
      <c r="I22" s="3"/>
      <c r="J22" s="72"/>
    </row>
    <row r="23" spans="2:10" ht="18.5" x14ac:dyDescent="0.65">
      <c r="C23" s="234"/>
      <c r="D23" s="234"/>
      <c r="E23" s="3"/>
      <c r="F23" s="3"/>
      <c r="G23" s="235">
        <f>SUM(G20:G22)</f>
        <v>10800</v>
      </c>
      <c r="H23" s="329">
        <v>0.95699999999999996</v>
      </c>
      <c r="I23" s="329">
        <v>4.2999999999999997E-2</v>
      </c>
      <c r="J23" s="313" t="s">
        <v>313</v>
      </c>
    </row>
    <row r="24" spans="2:10" ht="18.5" x14ac:dyDescent="0.65">
      <c r="C24" s="234"/>
      <c r="D24" s="234"/>
      <c r="E24" s="3"/>
      <c r="F24" s="3"/>
      <c r="G24" s="235"/>
      <c r="H24" s="330" t="s">
        <v>184</v>
      </c>
      <c r="I24" s="330" t="s">
        <v>185</v>
      </c>
      <c r="J24" s="313"/>
    </row>
    <row r="25" spans="2:10" ht="18.5" x14ac:dyDescent="0.65">
      <c r="C25" s="234"/>
      <c r="D25" s="234"/>
      <c r="E25" s="3"/>
      <c r="F25" s="3"/>
      <c r="G25" s="305"/>
      <c r="H25" s="335">
        <f>G23*H23</f>
        <v>10335.6</v>
      </c>
      <c r="I25" s="335">
        <f>G23*I23</f>
        <v>464.4</v>
      </c>
      <c r="J25" s="313"/>
    </row>
    <row r="26" spans="2:10" ht="17" x14ac:dyDescent="0.5">
      <c r="B26" t="s">
        <v>308</v>
      </c>
      <c r="C26" s="234"/>
      <c r="D26" s="234"/>
      <c r="E26" s="3"/>
      <c r="F26" s="3"/>
      <c r="G26" s="235"/>
      <c r="H26" s="303"/>
      <c r="I26" s="303"/>
      <c r="J26" s="306"/>
    </row>
    <row r="27" spans="2:10" ht="17" x14ac:dyDescent="0.5">
      <c r="D27" s="600" t="s">
        <v>115</v>
      </c>
      <c r="E27" s="600"/>
      <c r="F27" s="3"/>
      <c r="G27" s="235"/>
      <c r="H27" s="3"/>
      <c r="I27" s="3"/>
      <c r="J27" s="72"/>
    </row>
    <row r="28" spans="2:10" ht="17" x14ac:dyDescent="0.5">
      <c r="B28" t="s">
        <v>290</v>
      </c>
      <c r="D28" s="234" t="s">
        <v>249</v>
      </c>
      <c r="E28" s="234" t="s">
        <v>250</v>
      </c>
      <c r="F28" s="3"/>
      <c r="G28" s="235">
        <f>J7</f>
        <v>23465.916949999999</v>
      </c>
      <c r="H28" s="311">
        <f>G28*H23</f>
        <v>22456.882521149997</v>
      </c>
      <c r="I28" s="311">
        <f>G28*I23</f>
        <v>1009.0344288499999</v>
      </c>
      <c r="J28" s="72"/>
    </row>
    <row r="29" spans="2:10" ht="17" x14ac:dyDescent="0.5">
      <c r="B29" s="257" t="s">
        <v>291</v>
      </c>
      <c r="D29" s="234" t="s">
        <v>253</v>
      </c>
      <c r="E29" s="234" t="s">
        <v>254</v>
      </c>
      <c r="F29" s="3"/>
      <c r="G29" s="235">
        <f>J9</f>
        <v>27934.815999999999</v>
      </c>
      <c r="H29" s="311">
        <f>G29*H23</f>
        <v>26733.618911999998</v>
      </c>
      <c r="I29" s="311">
        <f>G29*I23</f>
        <v>1201.1970879999999</v>
      </c>
      <c r="J29" s="72"/>
    </row>
    <row r="30" spans="2:10" ht="17" x14ac:dyDescent="0.5">
      <c r="B30" s="257" t="s">
        <v>290</v>
      </c>
      <c r="D30" s="234" t="s">
        <v>255</v>
      </c>
      <c r="E30" s="234" t="s">
        <v>256</v>
      </c>
      <c r="F30" s="3"/>
      <c r="G30" s="235">
        <f>J10</f>
        <v>17745</v>
      </c>
      <c r="H30" s="311">
        <f>G30*H23</f>
        <v>16981.965</v>
      </c>
      <c r="I30" s="311">
        <f>G30*I23</f>
        <v>763.03499999999997</v>
      </c>
      <c r="J30" s="72"/>
    </row>
    <row r="31" spans="2:10" ht="17" x14ac:dyDescent="0.5">
      <c r="B31" t="s">
        <v>288</v>
      </c>
      <c r="D31" s="234" t="s">
        <v>257</v>
      </c>
      <c r="E31" s="234" t="s">
        <v>258</v>
      </c>
      <c r="F31" s="3"/>
      <c r="G31" s="327">
        <f>J11</f>
        <v>60889.919999999998</v>
      </c>
      <c r="H31" s="331">
        <f>G31*H23</f>
        <v>58271.653439999995</v>
      </c>
      <c r="I31" s="331">
        <f>G31*I23</f>
        <v>2618.2665599999996</v>
      </c>
      <c r="J31" s="72"/>
    </row>
    <row r="32" spans="2:10" ht="17" x14ac:dyDescent="0.5">
      <c r="F32" s="3"/>
      <c r="G32" s="235">
        <f>SUM(G28:G31)</f>
        <v>130035.65295</v>
      </c>
      <c r="H32" s="305">
        <f>SUM(H28:H31)</f>
        <v>124444.11987314999</v>
      </c>
      <c r="I32" s="305">
        <f>SUM(I28:I31)</f>
        <v>5591.5330768499989</v>
      </c>
      <c r="J32" s="72"/>
    </row>
    <row r="33" spans="2:13" ht="17" x14ac:dyDescent="0.5">
      <c r="C33" s="234"/>
      <c r="D33" s="234" t="s">
        <v>314</v>
      </c>
      <c r="E33" s="3"/>
      <c r="F33" s="3"/>
      <c r="G33" s="327">
        <f>G23</f>
        <v>10800</v>
      </c>
      <c r="H33" s="331">
        <f>H25</f>
        <v>10335.6</v>
      </c>
      <c r="I33" s="331">
        <f>I25</f>
        <v>464.4</v>
      </c>
      <c r="J33" s="72"/>
    </row>
    <row r="34" spans="2:13" ht="17" x14ac:dyDescent="0.5">
      <c r="C34" s="332" t="s">
        <v>315</v>
      </c>
      <c r="D34" s="234"/>
      <c r="E34" s="3"/>
      <c r="F34" s="3"/>
      <c r="G34" s="235">
        <f>G32+G33</f>
        <v>140835.65295000002</v>
      </c>
      <c r="H34" s="235">
        <f>H32+H33</f>
        <v>134779.71987315</v>
      </c>
      <c r="I34" s="235">
        <f>I32+I33</f>
        <v>6055.9330768499985</v>
      </c>
      <c r="J34" s="72"/>
    </row>
    <row r="35" spans="2:13" ht="17" x14ac:dyDescent="0.5">
      <c r="C35" s="234"/>
      <c r="D35" s="234"/>
      <c r="E35" s="3"/>
      <c r="F35" s="3"/>
      <c r="G35" s="235"/>
      <c r="H35" s="3"/>
      <c r="I35" s="3"/>
      <c r="J35" s="72"/>
    </row>
    <row r="36" spans="2:13" ht="17" x14ac:dyDescent="0.5">
      <c r="C36" s="234"/>
      <c r="D36" s="234"/>
      <c r="E36" s="3"/>
      <c r="F36" s="3"/>
      <c r="G36" s="235"/>
      <c r="H36" s="487">
        <v>0.8</v>
      </c>
      <c r="I36" s="487">
        <v>0.2</v>
      </c>
      <c r="J36" s="72"/>
      <c r="K36" t="s">
        <v>553</v>
      </c>
    </row>
    <row r="37" spans="2:13" ht="17" x14ac:dyDescent="0.5">
      <c r="C37" s="234"/>
      <c r="D37" s="234"/>
      <c r="E37" s="3"/>
      <c r="F37" s="3"/>
      <c r="G37" s="235"/>
      <c r="H37" s="488" t="s">
        <v>184</v>
      </c>
      <c r="I37" s="488" t="s">
        <v>185</v>
      </c>
      <c r="J37" s="72"/>
    </row>
    <row r="38" spans="2:13" ht="17" x14ac:dyDescent="0.5">
      <c r="B38" t="s">
        <v>289</v>
      </c>
      <c r="D38" s="234" t="s">
        <v>251</v>
      </c>
      <c r="E38" s="234" t="s">
        <v>252</v>
      </c>
      <c r="F38" s="486"/>
      <c r="G38" s="235">
        <f>J8</f>
        <v>36444.512000000002</v>
      </c>
      <c r="H38" s="226">
        <f>G38*H36</f>
        <v>29155.609600000003</v>
      </c>
      <c r="I38" s="226">
        <f>G38*I36</f>
        <v>7288.9024000000009</v>
      </c>
      <c r="J38" s="72"/>
    </row>
    <row r="39" spans="2:13" ht="17" x14ac:dyDescent="0.5">
      <c r="B39" t="s">
        <v>289</v>
      </c>
      <c r="D39" s="234" t="s">
        <v>259</v>
      </c>
      <c r="E39" s="234" t="s">
        <v>260</v>
      </c>
      <c r="F39" s="486"/>
      <c r="G39" s="327">
        <f>J12</f>
        <v>42522.063999999998</v>
      </c>
      <c r="H39" s="359">
        <f>G39*H36</f>
        <v>34017.6512</v>
      </c>
      <c r="I39" s="359">
        <f>G39*I36</f>
        <v>8504.4128000000001</v>
      </c>
      <c r="J39" s="72"/>
      <c r="L39" s="315"/>
      <c r="M39" s="315"/>
    </row>
    <row r="40" spans="2:13" ht="17" x14ac:dyDescent="0.5">
      <c r="C40" s="332" t="s">
        <v>316</v>
      </c>
      <c r="D40" s="234"/>
      <c r="E40" s="3"/>
      <c r="F40" s="3"/>
      <c r="G40" s="235">
        <f>SUM(G38:G39)</f>
        <v>78966.576000000001</v>
      </c>
      <c r="H40" s="226">
        <f>SUM(H38:H39)</f>
        <v>63173.260800000004</v>
      </c>
      <c r="I40" s="226">
        <f>SUM(I38:I39)</f>
        <v>15793.315200000001</v>
      </c>
      <c r="J40" s="72"/>
      <c r="L40" s="441"/>
      <c r="M40" s="485"/>
    </row>
    <row r="41" spans="2:13" ht="17" x14ac:dyDescent="0.5">
      <c r="C41" s="234"/>
      <c r="D41" s="234"/>
      <c r="E41" s="3"/>
      <c r="F41" s="3"/>
      <c r="G41" s="235"/>
      <c r="H41" s="3"/>
      <c r="I41" s="3"/>
      <c r="J41" s="72"/>
    </row>
    <row r="42" spans="2:13" ht="17" x14ac:dyDescent="0.5">
      <c r="C42" s="332" t="s">
        <v>317</v>
      </c>
      <c r="D42" s="234"/>
      <c r="E42" s="3"/>
      <c r="F42" s="3"/>
      <c r="G42" s="235">
        <f>G32+G40</f>
        <v>209002.22895000002</v>
      </c>
      <c r="H42" s="235">
        <f>H32+H40</f>
        <v>187617.38067315001</v>
      </c>
      <c r="I42" s="235">
        <f>I32+I40</f>
        <v>21384.84827685</v>
      </c>
      <c r="J42" s="72"/>
    </row>
    <row r="43" spans="2:13" ht="17" x14ac:dyDescent="0.5">
      <c r="C43" s="234"/>
      <c r="D43" s="234"/>
      <c r="E43" s="3"/>
      <c r="F43" s="3"/>
      <c r="G43" s="235"/>
      <c r="H43" s="3"/>
      <c r="I43" s="3"/>
      <c r="J43" s="72"/>
    </row>
    <row r="44" spans="2:13" x14ac:dyDescent="0.35">
      <c r="C44" s="234"/>
      <c r="D44" s="234"/>
      <c r="E44" s="3"/>
      <c r="F44" s="3"/>
      <c r="G44" s="235"/>
      <c r="H44" s="3"/>
      <c r="I44" s="3"/>
      <c r="J44" s="3">
        <f>SUM(J7:J12)</f>
        <v>209002.22895000002</v>
      </c>
    </row>
    <row r="45" spans="2:13" x14ac:dyDescent="0.35">
      <c r="C45" s="3"/>
      <c r="D45" s="1"/>
      <c r="E45" s="3"/>
      <c r="F45" s="3"/>
      <c r="G45" s="142"/>
      <c r="H45" s="3"/>
      <c r="I45" s="3"/>
      <c r="J45" s="3"/>
    </row>
    <row r="46" spans="2:13" ht="17" x14ac:dyDescent="0.5">
      <c r="C46" s="3"/>
      <c r="D46" s="1"/>
      <c r="E46" s="3"/>
      <c r="F46" s="3"/>
      <c r="G46" s="142"/>
      <c r="H46" s="206" t="s">
        <v>184</v>
      </c>
      <c r="I46" s="206" t="s">
        <v>185</v>
      </c>
      <c r="J46" s="3"/>
    </row>
    <row r="47" spans="2:13" x14ac:dyDescent="0.35">
      <c r="C47" s="3"/>
      <c r="D47" s="1"/>
      <c r="E47" s="3"/>
      <c r="F47" s="3"/>
      <c r="G47" s="209" t="s">
        <v>208</v>
      </c>
      <c r="H47" s="207">
        <f>H42</f>
        <v>187617.38067315001</v>
      </c>
      <c r="I47" s="207">
        <f>I42</f>
        <v>21384.84827685</v>
      </c>
      <c r="J47" s="3"/>
      <c r="L47" s="370"/>
    </row>
    <row r="48" spans="2:13" x14ac:dyDescent="0.35">
      <c r="C48" s="3"/>
      <c r="D48" s="1"/>
      <c r="E48" s="3"/>
      <c r="F48" s="3"/>
      <c r="G48" s="1"/>
      <c r="H48" s="208">
        <f>H47/G42</f>
        <v>0.89768124299781538</v>
      </c>
      <c r="I48" s="208">
        <f>I47/G42</f>
        <v>0.10231875700218458</v>
      </c>
      <c r="J48" s="155"/>
    </row>
    <row r="49" spans="3:12" ht="17" x14ac:dyDescent="0.5">
      <c r="C49" s="3"/>
      <c r="D49" s="1"/>
      <c r="E49" s="3"/>
      <c r="F49" s="3"/>
      <c r="G49" s="155" t="s">
        <v>29</v>
      </c>
      <c r="H49" s="206" t="s">
        <v>184</v>
      </c>
      <c r="I49" s="206" t="s">
        <v>185</v>
      </c>
      <c r="J49" s="1"/>
    </row>
    <row r="50" spans="3:12" x14ac:dyDescent="0.35">
      <c r="C50" s="1" t="s">
        <v>116</v>
      </c>
      <c r="D50" s="1"/>
      <c r="E50" s="1"/>
      <c r="F50" s="1"/>
      <c r="G50" s="154">
        <f>J14</f>
        <v>209002.22895000002</v>
      </c>
      <c r="H50" s="154">
        <f>H42</f>
        <v>187617.38067315001</v>
      </c>
      <c r="I50" s="154">
        <f>I42</f>
        <v>21384.84827685</v>
      </c>
      <c r="J50" s="154"/>
    </row>
    <row r="51" spans="3:12" ht="17" x14ac:dyDescent="0.5">
      <c r="C51" s="1" t="s">
        <v>126</v>
      </c>
      <c r="D51" s="1"/>
      <c r="E51" s="1"/>
      <c r="F51" s="1"/>
      <c r="G51" s="72">
        <f>-SAOw!D21</f>
        <v>-272790</v>
      </c>
      <c r="H51" s="72">
        <f>G51</f>
        <v>-272790</v>
      </c>
      <c r="I51" s="447"/>
      <c r="J51" s="72" t="s">
        <v>361</v>
      </c>
    </row>
    <row r="52" spans="3:12" x14ac:dyDescent="0.35">
      <c r="C52" s="156" t="s">
        <v>127</v>
      </c>
      <c r="D52" s="1"/>
      <c r="E52" s="156"/>
      <c r="F52" s="156"/>
      <c r="G52" s="76"/>
      <c r="H52" s="204">
        <f>H50+H51</f>
        <v>-85172.619326849992</v>
      </c>
      <c r="I52" s="204">
        <f>I50</f>
        <v>21384.84827685</v>
      </c>
      <c r="J52" s="204"/>
    </row>
    <row r="53" spans="3:12" x14ac:dyDescent="0.35">
      <c r="C53" s="1"/>
      <c r="D53" s="1"/>
      <c r="E53" s="1"/>
      <c r="F53" s="1"/>
      <c r="G53" s="1" t="s">
        <v>117</v>
      </c>
      <c r="H53" s="1"/>
      <c r="I53" s="1"/>
      <c r="J53" s="1"/>
    </row>
    <row r="54" spans="3:12" x14ac:dyDescent="0.35">
      <c r="C54" s="1" t="s">
        <v>362</v>
      </c>
      <c r="D54" s="1"/>
      <c r="E54" s="1"/>
      <c r="F54" s="1"/>
      <c r="G54" s="76">
        <f>J14+G23</f>
        <v>219802.22895000002</v>
      </c>
      <c r="H54" s="76">
        <f>H33+H42</f>
        <v>197952.98067315001</v>
      </c>
      <c r="I54" s="76">
        <f>I33+I42</f>
        <v>21849.248276850001</v>
      </c>
      <c r="J54" s="76"/>
    </row>
    <row r="55" spans="3:12" x14ac:dyDescent="0.35">
      <c r="C55" s="1" t="s">
        <v>118</v>
      </c>
      <c r="D55" s="1"/>
      <c r="E55" s="1"/>
      <c r="F55" s="1"/>
      <c r="G55" s="157">
        <v>7.6499999999999999E-2</v>
      </c>
      <c r="H55" s="157">
        <v>7.6499999999999999E-2</v>
      </c>
      <c r="I55" s="157">
        <v>7.6499999999999999E-2</v>
      </c>
      <c r="J55" s="205"/>
    </row>
    <row r="56" spans="3:12" x14ac:dyDescent="0.35">
      <c r="C56" s="1" t="s">
        <v>119</v>
      </c>
      <c r="D56" s="1"/>
      <c r="E56" s="1"/>
      <c r="F56" s="1"/>
      <c r="G56" s="3">
        <f>+G54*G55</f>
        <v>16814.870514675</v>
      </c>
      <c r="H56" s="204">
        <f>H54*H55</f>
        <v>15143.403021495977</v>
      </c>
      <c r="I56" s="204">
        <f>I54*I55</f>
        <v>1671.467493179025</v>
      </c>
      <c r="J56" s="3"/>
    </row>
    <row r="57" spans="3:12" x14ac:dyDescent="0.35">
      <c r="C57" s="1" t="s">
        <v>320</v>
      </c>
      <c r="D57" s="1"/>
      <c r="E57" s="1"/>
      <c r="F57" s="1"/>
      <c r="G57" s="334">
        <f>-SAOw!D45</f>
        <v>-15211</v>
      </c>
      <c r="H57" s="446">
        <f>G57</f>
        <v>-15211</v>
      </c>
      <c r="I57" s="446"/>
      <c r="J57" s="5" t="s">
        <v>364</v>
      </c>
      <c r="L57" s="352"/>
    </row>
    <row r="58" spans="3:12" x14ac:dyDescent="0.35">
      <c r="C58" s="156" t="s">
        <v>363</v>
      </c>
      <c r="D58" s="1"/>
      <c r="E58" s="156"/>
      <c r="F58" s="156"/>
      <c r="G58" s="76"/>
      <c r="H58" s="204">
        <f>H56+H57</f>
        <v>-67.596978504023355</v>
      </c>
      <c r="I58" s="204">
        <f>I56</f>
        <v>1671.467493179025</v>
      </c>
      <c r="J58" s="204"/>
      <c r="L58" s="352"/>
    </row>
    <row r="59" spans="3:12" x14ac:dyDescent="0.35">
      <c r="C59" s="1"/>
      <c r="D59" s="1"/>
      <c r="E59" s="1"/>
      <c r="F59" s="1"/>
      <c r="G59" s="1"/>
      <c r="H59" s="1"/>
      <c r="I59" s="1"/>
      <c r="J59" s="1"/>
    </row>
    <row r="60" spans="3:12" x14ac:dyDescent="0.35">
      <c r="C60" s="1" t="s">
        <v>124</v>
      </c>
      <c r="D60" s="1"/>
      <c r="E60" s="1"/>
      <c r="F60" s="1"/>
      <c r="G60" s="76">
        <f>G42</f>
        <v>209002.22895000002</v>
      </c>
      <c r="H60" s="76">
        <f>H42</f>
        <v>187617.38067315001</v>
      </c>
      <c r="I60" s="76">
        <f>I42</f>
        <v>21384.84827685</v>
      </c>
      <c r="J60" s="76"/>
    </row>
    <row r="61" spans="3:12" x14ac:dyDescent="0.35">
      <c r="C61" s="1" t="s">
        <v>123</v>
      </c>
      <c r="D61" s="1"/>
      <c r="E61" s="1"/>
      <c r="F61" s="1"/>
      <c r="G61" s="157">
        <v>0.2334</v>
      </c>
      <c r="H61" s="157">
        <v>0.2334</v>
      </c>
      <c r="I61" s="157">
        <v>0.2334</v>
      </c>
      <c r="J61" s="205" t="s">
        <v>378</v>
      </c>
    </row>
    <row r="62" spans="3:12" x14ac:dyDescent="0.35">
      <c r="C62" s="1" t="s">
        <v>120</v>
      </c>
      <c r="D62" s="1"/>
      <c r="E62" s="1"/>
      <c r="F62" s="1"/>
      <c r="G62" s="3">
        <f>+G60*G61</f>
        <v>48781.120236930001</v>
      </c>
      <c r="H62" s="3">
        <f>+H60*H61</f>
        <v>43789.896649113209</v>
      </c>
      <c r="I62" s="3">
        <f>+I60*I61</f>
        <v>4991.2235878167903</v>
      </c>
      <c r="J62" s="3"/>
    </row>
    <row r="63" spans="3:12" x14ac:dyDescent="0.35">
      <c r="C63" s="1" t="s">
        <v>121</v>
      </c>
      <c r="D63" s="1"/>
      <c r="E63" s="1"/>
      <c r="F63" s="1"/>
      <c r="G63" s="359">
        <v>-73311</v>
      </c>
      <c r="H63" s="84">
        <f>G63</f>
        <v>-73311</v>
      </c>
      <c r="I63" s="84"/>
      <c r="J63" s="6"/>
      <c r="K63" s="328">
        <v>73311.199999999997</v>
      </c>
      <c r="L63" s="257" t="s">
        <v>311</v>
      </c>
    </row>
    <row r="64" spans="3:12" x14ac:dyDescent="0.35">
      <c r="C64" s="156" t="s">
        <v>122</v>
      </c>
      <c r="D64" s="1"/>
      <c r="E64" s="156"/>
      <c r="F64" s="156"/>
      <c r="G64" s="76">
        <f>+G62+G63</f>
        <v>-24529.879763069999</v>
      </c>
      <c r="H64" s="76">
        <f>+H62+H63</f>
        <v>-29521.103350886791</v>
      </c>
      <c r="I64" s="76">
        <f>+I62+I63</f>
        <v>4991.2235878167903</v>
      </c>
      <c r="J64" s="204"/>
    </row>
  </sheetData>
  <mergeCells count="2">
    <mergeCell ref="C6:D6"/>
    <mergeCell ref="D27:E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A06DA-7659-47C0-878D-A39D7AD07F01}">
  <sheetPr>
    <tabColor rgb="FF92D050"/>
  </sheetPr>
  <dimension ref="A5:S41"/>
  <sheetViews>
    <sheetView topLeftCell="A29" workbookViewId="0">
      <selection activeCell="G41" sqref="G41"/>
    </sheetView>
  </sheetViews>
  <sheetFormatPr defaultRowHeight="15.5" x14ac:dyDescent="0.35"/>
  <cols>
    <col min="5" max="5" width="10.15234375" bestFit="1" customWidth="1"/>
    <col min="6" max="6" width="11.15234375" bestFit="1" customWidth="1"/>
    <col min="7" max="7" width="11.765625" bestFit="1" customWidth="1"/>
    <col min="8" max="8" width="11.15234375" bestFit="1" customWidth="1"/>
    <col min="9" max="9" width="12.4609375" bestFit="1" customWidth="1"/>
    <col min="10" max="10" width="10.15234375" bestFit="1" customWidth="1"/>
    <col min="11" max="11" width="12.4609375" bestFit="1" customWidth="1"/>
    <col min="15" max="15" width="12.15234375" bestFit="1" customWidth="1"/>
  </cols>
  <sheetData>
    <row r="5" spans="1:19" x14ac:dyDescent="0.35">
      <c r="D5" s="158" t="s">
        <v>293</v>
      </c>
      <c r="E5" s="1"/>
      <c r="F5" s="1"/>
      <c r="G5" s="1"/>
      <c r="H5" s="1"/>
      <c r="I5" s="1"/>
      <c r="J5" s="319"/>
      <c r="K5" s="1"/>
    </row>
    <row r="6" spans="1:19" x14ac:dyDescent="0.35">
      <c r="D6" s="1"/>
      <c r="E6" s="1"/>
      <c r="F6" s="1"/>
      <c r="G6" s="1"/>
      <c r="H6" s="1"/>
      <c r="I6" s="1"/>
      <c r="J6" s="319"/>
      <c r="K6" s="1"/>
    </row>
    <row r="7" spans="1:19" x14ac:dyDescent="0.35">
      <c r="D7" s="1"/>
      <c r="E7" s="1" t="s">
        <v>307</v>
      </c>
      <c r="F7" s="2" t="s">
        <v>294</v>
      </c>
      <c r="G7" s="1"/>
      <c r="H7" s="1"/>
      <c r="I7" s="2" t="s">
        <v>295</v>
      </c>
      <c r="J7" s="319" t="s">
        <v>296</v>
      </c>
      <c r="K7" s="2" t="s">
        <v>296</v>
      </c>
    </row>
    <row r="8" spans="1:19" x14ac:dyDescent="0.35">
      <c r="D8" s="1"/>
      <c r="E8" s="2" t="s">
        <v>294</v>
      </c>
      <c r="F8" s="2" t="s">
        <v>297</v>
      </c>
      <c r="G8" s="2" t="s">
        <v>297</v>
      </c>
      <c r="H8" s="2" t="s">
        <v>298</v>
      </c>
      <c r="I8" s="2" t="s">
        <v>299</v>
      </c>
      <c r="J8" s="319" t="s">
        <v>300</v>
      </c>
      <c r="K8" s="2" t="s">
        <v>300</v>
      </c>
    </row>
    <row r="9" spans="1:19" x14ac:dyDescent="0.35">
      <c r="D9" s="320" t="s">
        <v>301</v>
      </c>
      <c r="E9" s="11" t="s">
        <v>302</v>
      </c>
      <c r="F9" s="11" t="s">
        <v>303</v>
      </c>
      <c r="G9" s="11" t="s">
        <v>304</v>
      </c>
      <c r="H9" s="11" t="s">
        <v>304</v>
      </c>
      <c r="I9" s="321" t="s">
        <v>302</v>
      </c>
      <c r="J9" s="322" t="s">
        <v>305</v>
      </c>
      <c r="K9" s="321" t="s">
        <v>306</v>
      </c>
    </row>
    <row r="10" spans="1:19" x14ac:dyDescent="0.35">
      <c r="A10" t="s">
        <v>290</v>
      </c>
      <c r="C10" s="234" t="s">
        <v>249</v>
      </c>
      <c r="D10" s="234" t="s">
        <v>250</v>
      </c>
      <c r="E10" s="299">
        <v>1025.94</v>
      </c>
      <c r="H10" s="323">
        <v>1</v>
      </c>
      <c r="I10" s="299">
        <f t="shared" ref="I10:I15" si="0">E10*12</f>
        <v>12311.28</v>
      </c>
      <c r="J10" s="323">
        <v>0.78</v>
      </c>
      <c r="K10" s="299">
        <f t="shared" ref="K10:K15" si="1">I10*J10</f>
        <v>9602.7984000000015</v>
      </c>
      <c r="M10" t="s">
        <v>323</v>
      </c>
      <c r="S10" t="s">
        <v>324</v>
      </c>
    </row>
    <row r="11" spans="1:19" x14ac:dyDescent="0.35">
      <c r="A11" t="s">
        <v>289</v>
      </c>
      <c r="C11" s="234" t="s">
        <v>251</v>
      </c>
      <c r="D11" s="234" t="s">
        <v>252</v>
      </c>
      <c r="E11" s="299">
        <v>3542.16</v>
      </c>
      <c r="H11" s="323">
        <v>1</v>
      </c>
      <c r="I11" s="299">
        <f t="shared" si="0"/>
        <v>42505.919999999998</v>
      </c>
      <c r="J11" s="323">
        <v>0.67</v>
      </c>
      <c r="K11" s="299">
        <f t="shared" si="1"/>
        <v>28478.966400000001</v>
      </c>
    </row>
    <row r="12" spans="1:19" x14ac:dyDescent="0.35">
      <c r="A12" s="257" t="s">
        <v>291</v>
      </c>
      <c r="C12" s="234" t="s">
        <v>253</v>
      </c>
      <c r="D12" s="234" t="s">
        <v>254</v>
      </c>
      <c r="E12" s="299">
        <v>512.97</v>
      </c>
      <c r="H12" s="323">
        <v>1</v>
      </c>
      <c r="I12" s="299">
        <f t="shared" si="0"/>
        <v>6155.64</v>
      </c>
      <c r="J12" s="323">
        <v>0.78</v>
      </c>
      <c r="K12" s="299">
        <f t="shared" si="1"/>
        <v>4801.3992000000007</v>
      </c>
      <c r="M12" t="s">
        <v>323</v>
      </c>
    </row>
    <row r="13" spans="1:19" x14ac:dyDescent="0.35">
      <c r="A13" s="257" t="s">
        <v>290</v>
      </c>
      <c r="C13" s="234" t="s">
        <v>255</v>
      </c>
      <c r="D13" s="234" t="s">
        <v>256</v>
      </c>
      <c r="E13" s="299">
        <v>2299.7199999999998</v>
      </c>
      <c r="H13" s="323">
        <v>1</v>
      </c>
      <c r="I13" s="299">
        <f t="shared" si="0"/>
        <v>27596.639999999999</v>
      </c>
      <c r="J13" s="323">
        <v>0.67</v>
      </c>
      <c r="K13" s="299">
        <f t="shared" si="1"/>
        <v>18489.748800000001</v>
      </c>
    </row>
    <row r="14" spans="1:19" x14ac:dyDescent="0.35">
      <c r="A14" t="s">
        <v>288</v>
      </c>
      <c r="C14" s="234" t="s">
        <v>257</v>
      </c>
      <c r="D14" s="234" t="s">
        <v>258</v>
      </c>
      <c r="E14" s="299">
        <v>1506.33</v>
      </c>
      <c r="H14" s="323">
        <v>1</v>
      </c>
      <c r="I14" s="299">
        <f t="shared" si="0"/>
        <v>18075.96</v>
      </c>
      <c r="J14" s="323">
        <v>0.78</v>
      </c>
      <c r="K14" s="299">
        <f t="shared" si="1"/>
        <v>14099.248799999999</v>
      </c>
    </row>
    <row r="15" spans="1:19" x14ac:dyDescent="0.35">
      <c r="A15" t="s">
        <v>289</v>
      </c>
      <c r="C15" s="234" t="s">
        <v>259</v>
      </c>
      <c r="D15" s="234" t="s">
        <v>260</v>
      </c>
      <c r="E15" s="299">
        <v>2582.69</v>
      </c>
      <c r="H15" s="323">
        <v>1</v>
      </c>
      <c r="I15" s="324">
        <f t="shared" si="0"/>
        <v>30992.28</v>
      </c>
      <c r="J15" s="323">
        <v>0.67</v>
      </c>
      <c r="K15" s="324">
        <f t="shared" si="1"/>
        <v>20764.827600000001</v>
      </c>
    </row>
    <row r="16" spans="1:19" x14ac:dyDescent="0.35">
      <c r="I16" s="325">
        <f>SUM(I10:I15)</f>
        <v>137637.72</v>
      </c>
      <c r="K16" s="325">
        <f>SUM(K10:K15)</f>
        <v>96236.989200000011</v>
      </c>
    </row>
    <row r="19" spans="2:10" ht="17" x14ac:dyDescent="0.5">
      <c r="F19" s="1"/>
      <c r="G19" s="371" t="s">
        <v>184</v>
      </c>
      <c r="H19" s="371" t="s">
        <v>185</v>
      </c>
      <c r="I19" s="371" t="s">
        <v>42</v>
      </c>
    </row>
    <row r="20" spans="2:10" x14ac:dyDescent="0.35">
      <c r="B20" t="s">
        <v>390</v>
      </c>
      <c r="C20" s="234"/>
      <c r="D20" s="234"/>
      <c r="E20" s="3"/>
      <c r="F20" s="2" t="s">
        <v>187</v>
      </c>
      <c r="G20" s="226">
        <v>2445</v>
      </c>
      <c r="H20" s="226">
        <v>110</v>
      </c>
      <c r="I20" s="226">
        <f>(G20+H20)</f>
        <v>2555</v>
      </c>
    </row>
    <row r="21" spans="2:10" x14ac:dyDescent="0.35">
      <c r="D21" s="600" t="s">
        <v>115</v>
      </c>
      <c r="E21" s="600"/>
      <c r="F21" s="11" t="s">
        <v>197</v>
      </c>
      <c r="G21" s="372">
        <f>G20/$I$20</f>
        <v>0.95694716242661448</v>
      </c>
      <c r="H21" s="372">
        <f>H20/$I$20</f>
        <v>4.3052837573385516E-2</v>
      </c>
      <c r="I21" s="210">
        <f>G21+H21</f>
        <v>1</v>
      </c>
    </row>
    <row r="22" spans="2:10" x14ac:dyDescent="0.35">
      <c r="B22" t="s">
        <v>290</v>
      </c>
      <c r="D22" s="234" t="s">
        <v>249</v>
      </c>
      <c r="E22" s="234" t="s">
        <v>250</v>
      </c>
      <c r="F22" s="325">
        <f>K10</f>
        <v>9602.7984000000015</v>
      </c>
      <c r="G22" s="325">
        <f>F22*G21</f>
        <v>9189.3706802348352</v>
      </c>
      <c r="H22" s="325">
        <f>F22*H21</f>
        <v>413.42771976516639</v>
      </c>
      <c r="I22" s="325"/>
    </row>
    <row r="23" spans="2:10" x14ac:dyDescent="0.35">
      <c r="B23" s="257" t="s">
        <v>291</v>
      </c>
      <c r="D23" s="234" t="s">
        <v>253</v>
      </c>
      <c r="E23" s="234" t="s">
        <v>254</v>
      </c>
      <c r="F23" s="325">
        <f>K12</f>
        <v>4801.3992000000007</v>
      </c>
      <c r="G23" s="325">
        <f>F23*G21</f>
        <v>4594.6853401174176</v>
      </c>
      <c r="H23" s="325">
        <f>F23*H21</f>
        <v>206.71385988258319</v>
      </c>
      <c r="I23" s="325"/>
    </row>
    <row r="24" spans="2:10" x14ac:dyDescent="0.35">
      <c r="B24" s="257" t="s">
        <v>290</v>
      </c>
      <c r="D24" s="234" t="s">
        <v>255</v>
      </c>
      <c r="E24" s="234" t="s">
        <v>256</v>
      </c>
      <c r="F24" s="325">
        <f>K13</f>
        <v>18489.748800000001</v>
      </c>
      <c r="G24" s="325">
        <f>F24*G21</f>
        <v>17693.712648140903</v>
      </c>
      <c r="H24" s="325">
        <f>F24*H21</f>
        <v>796.03615185909985</v>
      </c>
      <c r="I24" s="325"/>
    </row>
    <row r="25" spans="2:10" x14ac:dyDescent="0.35">
      <c r="B25" t="s">
        <v>288</v>
      </c>
      <c r="D25" s="234" t="s">
        <v>257</v>
      </c>
      <c r="E25" s="234" t="s">
        <v>258</v>
      </c>
      <c r="F25" s="373">
        <f>K14</f>
        <v>14099.248799999999</v>
      </c>
      <c r="G25" s="373">
        <f>F25*G21</f>
        <v>13492.236131506848</v>
      </c>
      <c r="H25" s="373">
        <f>F25*H21</f>
        <v>607.01266849315061</v>
      </c>
      <c r="I25" s="373"/>
    </row>
    <row r="26" spans="2:10" x14ac:dyDescent="0.35">
      <c r="F26" s="325">
        <f>SUM(F22:F25)</f>
        <v>46993.195200000002</v>
      </c>
      <c r="G26" s="325">
        <f t="shared" ref="G26:H26" si="2">SUM(G22:G25)</f>
        <v>44970.004800000002</v>
      </c>
      <c r="H26" s="325">
        <f t="shared" si="2"/>
        <v>2023.1904</v>
      </c>
      <c r="I26" s="325">
        <f>SUM(G26:H26)</f>
        <v>46993.195200000002</v>
      </c>
    </row>
    <row r="27" spans="2:10" x14ac:dyDescent="0.35">
      <c r="F27" s="325"/>
      <c r="G27" s="325"/>
      <c r="H27" s="325"/>
      <c r="I27" s="325"/>
    </row>
    <row r="28" spans="2:10" x14ac:dyDescent="0.35">
      <c r="F28" s="325"/>
      <c r="G28" s="325"/>
      <c r="H28" s="325"/>
      <c r="I28" s="325"/>
    </row>
    <row r="29" spans="2:10" x14ac:dyDescent="0.35">
      <c r="G29" s="319">
        <f>Wages!H36</f>
        <v>0.8</v>
      </c>
      <c r="H29" s="374">
        <f>Wages!I36</f>
        <v>0.2</v>
      </c>
    </row>
    <row r="30" spans="2:10" x14ac:dyDescent="0.35">
      <c r="B30" t="s">
        <v>289</v>
      </c>
      <c r="D30" s="234" t="s">
        <v>251</v>
      </c>
      <c r="E30" s="234" t="s">
        <v>252</v>
      </c>
      <c r="F30" s="325">
        <f>K11</f>
        <v>28478.966400000001</v>
      </c>
      <c r="G30" s="375">
        <f>F30*G29</f>
        <v>22783.173120000003</v>
      </c>
      <c r="H30" s="325">
        <f>F30*H29</f>
        <v>5695.7932800000008</v>
      </c>
      <c r="I30" s="325"/>
      <c r="J30" s="325"/>
    </row>
    <row r="31" spans="2:10" x14ac:dyDescent="0.35">
      <c r="B31" t="s">
        <v>289</v>
      </c>
      <c r="D31" s="234" t="s">
        <v>259</v>
      </c>
      <c r="E31" s="234" t="s">
        <v>260</v>
      </c>
      <c r="F31" s="373">
        <f>K15</f>
        <v>20764.827600000001</v>
      </c>
      <c r="G31" s="373">
        <f>F31*G29</f>
        <v>16611.862080000003</v>
      </c>
      <c r="H31" s="373">
        <f>F31*H29</f>
        <v>4152.9655200000007</v>
      </c>
      <c r="I31" s="373"/>
    </row>
    <row r="32" spans="2:10" x14ac:dyDescent="0.35">
      <c r="F32" s="325">
        <f>SUM(F30:F31)</f>
        <v>49243.794000000002</v>
      </c>
      <c r="G32" s="325">
        <f t="shared" ref="G32:H32" si="3">SUM(G30:G31)</f>
        <v>39395.035200000006</v>
      </c>
      <c r="H32" s="325">
        <f t="shared" si="3"/>
        <v>9848.7588000000014</v>
      </c>
      <c r="I32" s="325">
        <f>SUM(G32:H32)</f>
        <v>49243.794000000009</v>
      </c>
    </row>
    <row r="34" spans="2:11" ht="17" x14ac:dyDescent="0.5">
      <c r="G34" s="371" t="s">
        <v>184</v>
      </c>
      <c r="H34" s="371" t="s">
        <v>185</v>
      </c>
    </row>
    <row r="35" spans="2:11" x14ac:dyDescent="0.35">
      <c r="E35" s="376" t="s">
        <v>391</v>
      </c>
      <c r="G35" s="325">
        <f>G26+G32</f>
        <v>84365.040000000008</v>
      </c>
      <c r="H35" s="325">
        <f>H26+H32</f>
        <v>11871.949200000001</v>
      </c>
      <c r="I35" s="325">
        <f>SUM(G35:H35)</f>
        <v>96236.989200000011</v>
      </c>
      <c r="K35" s="325"/>
    </row>
    <row r="37" spans="2:11" x14ac:dyDescent="0.35">
      <c r="C37" t="s">
        <v>396</v>
      </c>
      <c r="F37" s="328">
        <v>173497</v>
      </c>
    </row>
    <row r="38" spans="2:11" x14ac:dyDescent="0.35">
      <c r="C38" t="s">
        <v>440</v>
      </c>
      <c r="F38" s="418">
        <v>97103</v>
      </c>
    </row>
    <row r="39" spans="2:11" x14ac:dyDescent="0.35">
      <c r="B39" t="s">
        <v>264</v>
      </c>
      <c r="C39" t="s">
        <v>439</v>
      </c>
      <c r="F39" s="352">
        <f>SUM(F37:F38)</f>
        <v>270600</v>
      </c>
      <c r="H39" t="s">
        <v>441</v>
      </c>
    </row>
    <row r="41" spans="2:11" x14ac:dyDescent="0.35">
      <c r="C41" t="s">
        <v>442</v>
      </c>
      <c r="G41" s="325">
        <f>G35-F37</f>
        <v>-89131.959999999992</v>
      </c>
    </row>
  </sheetData>
  <mergeCells count="1">
    <mergeCell ref="D21:E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IW64"/>
  <sheetViews>
    <sheetView topLeftCell="A28" workbookViewId="0">
      <selection activeCell="M48" sqref="A1:M48"/>
    </sheetView>
  </sheetViews>
  <sheetFormatPr defaultColWidth="8.84375" defaultRowHeight="14.5" x14ac:dyDescent="0.35"/>
  <cols>
    <col min="1" max="1" width="1.84375" style="1" customWidth="1"/>
    <col min="2" max="2" width="1.765625" style="1" customWidth="1"/>
    <col min="3" max="3" width="1.69140625" style="22" customWidth="1"/>
    <col min="4" max="4" width="23.07421875" style="22" customWidth="1"/>
    <col min="5" max="5" width="8.69140625" style="22" customWidth="1"/>
    <col min="6" max="6" width="10.07421875" style="22" customWidth="1"/>
    <col min="7" max="7" width="5.765625" style="63" customWidth="1"/>
    <col min="8" max="8" width="8.765625" style="22" customWidth="1"/>
    <col min="9" max="9" width="5.765625" style="63" customWidth="1"/>
    <col min="10" max="10" width="8.765625" style="22" customWidth="1"/>
    <col min="11" max="11" width="10" style="22" customWidth="1"/>
    <col min="12" max="12" width="1.765625" style="22" customWidth="1"/>
    <col min="13" max="13" width="2.3046875" style="22" customWidth="1"/>
    <col min="14" max="14" width="9.69140625" style="22" customWidth="1"/>
    <col min="15" max="15" width="20" style="22" bestFit="1" customWidth="1"/>
    <col min="16" max="17" width="9.69140625" style="22" customWidth="1"/>
    <col min="18" max="18" width="3.84375" style="22" customWidth="1"/>
    <col min="19" max="257" width="9.69140625" style="22" customWidth="1"/>
    <col min="258" max="16384" width="8.84375" style="1"/>
  </cols>
  <sheetData>
    <row r="1" spans="2:26" x14ac:dyDescent="0.35">
      <c r="N1" s="47"/>
      <c r="T1" s="22" t="s">
        <v>264</v>
      </c>
    </row>
    <row r="2" spans="2:26" x14ac:dyDescent="0.35">
      <c r="B2" s="48"/>
      <c r="C2" s="49"/>
      <c r="D2" s="49"/>
      <c r="E2" s="49"/>
      <c r="F2" s="49"/>
      <c r="G2" s="64"/>
      <c r="H2" s="49"/>
      <c r="I2" s="64"/>
      <c r="J2" s="49"/>
      <c r="K2" s="49"/>
      <c r="L2" s="50"/>
      <c r="S2" s="22" t="s">
        <v>184</v>
      </c>
      <c r="T2" s="22">
        <f>SAOw!D44</f>
        <v>269980</v>
      </c>
    </row>
    <row r="3" spans="2:26" ht="18.5" x14ac:dyDescent="0.45">
      <c r="B3" s="51"/>
      <c r="C3" s="603" t="s">
        <v>44</v>
      </c>
      <c r="D3" s="603"/>
      <c r="E3" s="603"/>
      <c r="F3" s="603"/>
      <c r="G3" s="603"/>
      <c r="H3" s="603"/>
      <c r="I3" s="603"/>
      <c r="J3" s="603"/>
      <c r="K3" s="603"/>
      <c r="L3" s="53"/>
      <c r="S3" s="22" t="s">
        <v>185</v>
      </c>
      <c r="T3" s="57">
        <f>SAOs!D42</f>
        <v>19610</v>
      </c>
    </row>
    <row r="4" spans="2:26" ht="18.5" x14ac:dyDescent="0.45">
      <c r="B4" s="51"/>
      <c r="C4" s="602" t="s">
        <v>1</v>
      </c>
      <c r="D4" s="602"/>
      <c r="E4" s="602"/>
      <c r="F4" s="602"/>
      <c r="G4" s="602"/>
      <c r="H4" s="602"/>
      <c r="I4" s="602"/>
      <c r="J4" s="602"/>
      <c r="K4" s="602"/>
      <c r="L4" s="53"/>
      <c r="T4" s="22">
        <f>SUM(T2:T3)</f>
        <v>289590</v>
      </c>
    </row>
    <row r="5" spans="2:26" ht="15" customHeight="1" x14ac:dyDescent="0.35">
      <c r="B5" s="51"/>
      <c r="C5" s="594" t="str">
        <f>SAOw!A2</f>
        <v>POWELL'S VALLEY WATER DISTRICT</v>
      </c>
      <c r="D5" s="594"/>
      <c r="E5" s="594"/>
      <c r="F5" s="594"/>
      <c r="G5" s="594"/>
      <c r="H5" s="594"/>
      <c r="I5" s="594"/>
      <c r="J5" s="594"/>
      <c r="K5" s="594"/>
      <c r="L5" s="53"/>
      <c r="O5" s="22" t="s">
        <v>368</v>
      </c>
      <c r="R5" s="71"/>
      <c r="S5" s="71"/>
      <c r="T5" s="71"/>
      <c r="U5" s="71"/>
      <c r="V5" s="71"/>
      <c r="W5" s="71"/>
      <c r="X5" s="71"/>
      <c r="Y5" s="71"/>
      <c r="Z5" s="71"/>
    </row>
    <row r="6" spans="2:26" ht="23.5" customHeight="1" x14ac:dyDescent="0.35">
      <c r="B6" s="51"/>
      <c r="C6" s="133"/>
      <c r="D6" s="133"/>
      <c r="E6" s="133"/>
      <c r="F6" s="133"/>
      <c r="G6" s="133"/>
      <c r="H6" s="133"/>
      <c r="I6" s="133"/>
      <c r="J6" s="133"/>
      <c r="K6" s="133"/>
      <c r="L6" s="53"/>
      <c r="O6" s="54" t="s">
        <v>365</v>
      </c>
      <c r="P6" s="357" t="s">
        <v>369</v>
      </c>
      <c r="Q6" s="54" t="s">
        <v>367</v>
      </c>
      <c r="R6" s="28" t="s">
        <v>7</v>
      </c>
      <c r="S6" s="28" t="s">
        <v>134</v>
      </c>
      <c r="T6" s="71"/>
      <c r="U6" s="71"/>
      <c r="V6" s="71"/>
      <c r="W6" s="71"/>
      <c r="X6" s="71"/>
      <c r="Y6" s="71"/>
      <c r="Z6" s="71"/>
    </row>
    <row r="7" spans="2:26" ht="15" customHeight="1" x14ac:dyDescent="0.35">
      <c r="B7" s="51"/>
      <c r="G7" s="65"/>
      <c r="I7" s="65"/>
      <c r="K7" s="54" t="s">
        <v>38</v>
      </c>
      <c r="L7" s="53"/>
      <c r="O7" s="22" t="s">
        <v>366</v>
      </c>
      <c r="P7" s="358">
        <v>41275</v>
      </c>
      <c r="Q7" s="76">
        <v>980476</v>
      </c>
      <c r="R7" s="22">
        <v>50</v>
      </c>
      <c r="S7" s="76">
        <v>19610</v>
      </c>
    </row>
    <row r="8" spans="2:26" ht="15" customHeight="1" x14ac:dyDescent="0.35">
      <c r="B8" s="51"/>
      <c r="C8" s="55"/>
      <c r="D8" s="55"/>
      <c r="E8" s="55" t="s">
        <v>4</v>
      </c>
      <c r="F8" s="55" t="s">
        <v>6</v>
      </c>
      <c r="G8" s="66" t="s">
        <v>59</v>
      </c>
      <c r="H8" s="52"/>
      <c r="I8" s="66" t="s">
        <v>30</v>
      </c>
      <c r="J8" s="52"/>
      <c r="K8" s="54" t="s">
        <v>39</v>
      </c>
      <c r="L8" s="53"/>
      <c r="N8" s="54"/>
      <c r="O8" s="22" t="s">
        <v>370</v>
      </c>
      <c r="P8" s="358">
        <v>44561</v>
      </c>
      <c r="Q8" s="22">
        <v>9035</v>
      </c>
      <c r="R8" s="22">
        <v>50</v>
      </c>
      <c r="S8" s="22">
        <v>181</v>
      </c>
    </row>
    <row r="9" spans="2:26" ht="15" customHeight="1" x14ac:dyDescent="0.35">
      <c r="B9" s="51"/>
      <c r="C9" s="54"/>
      <c r="D9" s="54" t="s">
        <v>2</v>
      </c>
      <c r="E9" s="54" t="s">
        <v>5</v>
      </c>
      <c r="F9" s="54" t="s">
        <v>95</v>
      </c>
      <c r="G9" s="67" t="s">
        <v>7</v>
      </c>
      <c r="H9" s="54" t="s">
        <v>8</v>
      </c>
      <c r="I9" s="67" t="s">
        <v>7</v>
      </c>
      <c r="J9" s="54" t="s">
        <v>8</v>
      </c>
      <c r="K9" s="54" t="s">
        <v>9</v>
      </c>
      <c r="L9" s="53"/>
      <c r="N9" s="54"/>
      <c r="O9" s="22" t="s">
        <v>376</v>
      </c>
      <c r="P9" s="358">
        <v>42181</v>
      </c>
      <c r="Q9" s="22">
        <v>19996</v>
      </c>
      <c r="R9" s="22">
        <v>10</v>
      </c>
      <c r="S9" s="22">
        <v>655</v>
      </c>
    </row>
    <row r="10" spans="2:26" ht="15" customHeight="1" x14ac:dyDescent="0.35">
      <c r="B10" s="51"/>
      <c r="C10" s="54"/>
      <c r="D10" s="54"/>
      <c r="E10" s="54"/>
      <c r="F10" s="54"/>
      <c r="G10" s="67"/>
      <c r="H10" s="54"/>
      <c r="I10" s="67"/>
      <c r="J10" s="54"/>
      <c r="K10" s="54"/>
      <c r="L10" s="53"/>
      <c r="N10" s="54"/>
      <c r="O10" s="22" t="s">
        <v>170</v>
      </c>
      <c r="P10" s="358">
        <v>41275</v>
      </c>
      <c r="Q10" s="22">
        <v>92575</v>
      </c>
      <c r="R10" s="22">
        <v>10</v>
      </c>
      <c r="S10" s="22">
        <v>9258</v>
      </c>
    </row>
    <row r="11" spans="2:26" ht="25" customHeight="1" x14ac:dyDescent="0.35">
      <c r="B11" s="48"/>
      <c r="C11" s="601" t="s">
        <v>173</v>
      </c>
      <c r="D11" s="601"/>
      <c r="E11" s="198"/>
      <c r="F11" s="198"/>
      <c r="G11" s="199"/>
      <c r="H11" s="198"/>
      <c r="I11" s="199"/>
      <c r="J11" s="198"/>
      <c r="K11" s="198"/>
      <c r="L11" s="50"/>
      <c r="N11" s="54"/>
      <c r="O11" s="22" t="s">
        <v>371</v>
      </c>
      <c r="P11" s="358">
        <v>43405</v>
      </c>
      <c r="Q11" s="22">
        <v>845037</v>
      </c>
      <c r="R11" s="22">
        <v>10</v>
      </c>
      <c r="S11" s="22">
        <v>84504</v>
      </c>
    </row>
    <row r="12" spans="2:26" ht="15" customHeight="1" x14ac:dyDescent="0.35">
      <c r="B12" s="51"/>
      <c r="C12" s="44" t="s">
        <v>167</v>
      </c>
      <c r="E12" s="42"/>
      <c r="F12" s="43"/>
      <c r="G12" s="65"/>
      <c r="H12" s="43"/>
      <c r="I12" s="65"/>
      <c r="J12" s="43"/>
      <c r="K12" s="43"/>
      <c r="L12" s="53"/>
      <c r="N12" s="54"/>
      <c r="O12" s="22" t="s">
        <v>372</v>
      </c>
      <c r="P12" s="358">
        <v>41275</v>
      </c>
      <c r="Q12" s="22">
        <v>2145381</v>
      </c>
      <c r="R12" s="22">
        <v>50</v>
      </c>
      <c r="S12" s="22">
        <v>42908</v>
      </c>
    </row>
    <row r="13" spans="2:26" ht="15" customHeight="1" x14ac:dyDescent="0.35">
      <c r="B13" s="51"/>
      <c r="D13" s="22" t="s">
        <v>370</v>
      </c>
      <c r="E13" s="358">
        <v>44561</v>
      </c>
      <c r="F13" s="22">
        <v>9035</v>
      </c>
      <c r="G13" s="22">
        <v>50</v>
      </c>
      <c r="H13" s="22">
        <v>181</v>
      </c>
      <c r="I13" s="65">
        <v>22.5</v>
      </c>
      <c r="J13" s="5">
        <f>F13/I13</f>
        <v>401.55555555555554</v>
      </c>
      <c r="K13" s="5">
        <f>J13-H13</f>
        <v>220.55555555555554</v>
      </c>
      <c r="L13" s="53"/>
      <c r="N13" s="54"/>
      <c r="O13" s="22" t="s">
        <v>373</v>
      </c>
      <c r="P13" s="358">
        <v>41275</v>
      </c>
      <c r="Q13" s="22">
        <v>3318571</v>
      </c>
      <c r="R13" s="22">
        <v>50</v>
      </c>
      <c r="S13" s="22">
        <v>66372</v>
      </c>
    </row>
    <row r="14" spans="2:26" ht="15" customHeight="1" x14ac:dyDescent="0.35">
      <c r="B14" s="51"/>
      <c r="C14" s="54"/>
      <c r="D14" s="54"/>
      <c r="E14" s="54"/>
      <c r="F14" s="153"/>
      <c r="G14" s="67"/>
      <c r="H14" s="54"/>
      <c r="I14" s="67"/>
      <c r="J14" s="54"/>
      <c r="K14" s="54"/>
      <c r="L14" s="53"/>
      <c r="N14" s="54"/>
      <c r="O14" s="22" t="s">
        <v>377</v>
      </c>
      <c r="P14" s="358">
        <v>41275</v>
      </c>
      <c r="Q14" s="22">
        <v>2729214</v>
      </c>
      <c r="R14" s="22">
        <v>50</v>
      </c>
      <c r="S14" s="22">
        <v>54585</v>
      </c>
    </row>
    <row r="15" spans="2:26" ht="15" customHeight="1" x14ac:dyDescent="0.35">
      <c r="B15" s="51"/>
      <c r="C15" s="44" t="s">
        <v>168</v>
      </c>
      <c r="E15" s="42"/>
      <c r="F15" s="6"/>
      <c r="G15" s="62"/>
      <c r="H15" s="43"/>
      <c r="I15" s="65"/>
      <c r="J15" s="43"/>
      <c r="K15" s="43"/>
      <c r="L15" s="53"/>
      <c r="N15" s="54"/>
      <c r="O15" s="22" t="s">
        <v>374</v>
      </c>
      <c r="P15" s="358"/>
    </row>
    <row r="16" spans="2:26" ht="15" customHeight="1" x14ac:dyDescent="0.35">
      <c r="B16" s="51"/>
      <c r="C16" s="41"/>
      <c r="D16" s="22" t="s">
        <v>375</v>
      </c>
      <c r="E16" s="358">
        <v>43019</v>
      </c>
      <c r="F16" s="22">
        <v>25499</v>
      </c>
      <c r="G16" s="22">
        <v>5</v>
      </c>
      <c r="H16" s="22">
        <v>3825</v>
      </c>
      <c r="I16" s="65">
        <v>7</v>
      </c>
      <c r="J16" s="6">
        <f>F16/I16</f>
        <v>3642.7142857142858</v>
      </c>
      <c r="K16" s="6">
        <f>J16-H16</f>
        <v>-182.28571428571422</v>
      </c>
      <c r="L16" s="53"/>
      <c r="N16" s="54"/>
      <c r="O16" s="22" t="s">
        <v>375</v>
      </c>
      <c r="P16" s="358">
        <v>43019</v>
      </c>
      <c r="Q16" s="22">
        <v>25499</v>
      </c>
      <c r="R16" s="22">
        <v>5</v>
      </c>
      <c r="S16" s="22">
        <v>3825</v>
      </c>
    </row>
    <row r="17" spans="2:19" ht="15" customHeight="1" x14ac:dyDescent="0.35">
      <c r="B17" s="51"/>
      <c r="C17" s="41"/>
      <c r="D17" s="22" t="s">
        <v>375</v>
      </c>
      <c r="E17" s="358">
        <v>43019</v>
      </c>
      <c r="F17" s="22">
        <v>25799</v>
      </c>
      <c r="G17" s="22">
        <v>5</v>
      </c>
      <c r="H17" s="22">
        <v>3870</v>
      </c>
      <c r="I17" s="65">
        <v>7</v>
      </c>
      <c r="J17" s="6">
        <f>F17/I17</f>
        <v>3685.5714285714284</v>
      </c>
      <c r="K17" s="6">
        <f>J17-H17</f>
        <v>-184.42857142857156</v>
      </c>
      <c r="L17" s="53"/>
      <c r="N17" s="54"/>
      <c r="O17" s="22" t="s">
        <v>375</v>
      </c>
      <c r="P17" s="358">
        <v>43019</v>
      </c>
      <c r="Q17" s="22">
        <v>25799</v>
      </c>
      <c r="R17" s="22">
        <v>5</v>
      </c>
      <c r="S17" s="22">
        <v>3870</v>
      </c>
    </row>
    <row r="18" spans="2:19" ht="15" customHeight="1" x14ac:dyDescent="0.35">
      <c r="B18" s="51"/>
      <c r="C18" s="41"/>
      <c r="D18" s="22" t="s">
        <v>375</v>
      </c>
      <c r="E18" s="358">
        <v>43019</v>
      </c>
      <c r="F18" s="22">
        <v>25499</v>
      </c>
      <c r="G18" s="22">
        <v>5</v>
      </c>
      <c r="H18" s="22">
        <v>3825</v>
      </c>
      <c r="I18" s="65">
        <v>7</v>
      </c>
      <c r="J18" s="6">
        <f>F18/I18</f>
        <v>3642.7142857142858</v>
      </c>
      <c r="K18" s="6">
        <f>J18-H18</f>
        <v>-182.28571428571422</v>
      </c>
      <c r="L18" s="53"/>
      <c r="N18" s="54"/>
      <c r="O18" s="22" t="s">
        <v>375</v>
      </c>
      <c r="P18" s="358">
        <v>43019</v>
      </c>
      <c r="Q18" s="22">
        <v>25499</v>
      </c>
      <c r="R18" s="22">
        <v>5</v>
      </c>
      <c r="S18" s="22">
        <v>3825</v>
      </c>
    </row>
    <row r="19" spans="2:19" ht="15" customHeight="1" x14ac:dyDescent="0.35">
      <c r="B19" s="51"/>
      <c r="C19" s="44" t="s">
        <v>169</v>
      </c>
      <c r="E19" s="152"/>
      <c r="F19" s="6"/>
      <c r="G19" s="62"/>
      <c r="H19" s="6"/>
      <c r="I19" s="65"/>
      <c r="J19" s="6"/>
      <c r="K19" s="6"/>
      <c r="L19" s="53"/>
      <c r="N19" s="54"/>
      <c r="P19" s="358"/>
      <c r="Q19" s="22">
        <f>SUM(Q7:Q18)</f>
        <v>10217082</v>
      </c>
      <c r="S19" s="22">
        <f>SUM(S7:S18)</f>
        <v>289593</v>
      </c>
    </row>
    <row r="20" spans="2:19" ht="15" customHeight="1" x14ac:dyDescent="0.35">
      <c r="B20" s="51"/>
      <c r="C20" s="41"/>
      <c r="D20" s="22" t="s">
        <v>377</v>
      </c>
      <c r="E20" s="358">
        <v>41275</v>
      </c>
      <c r="F20" s="22">
        <v>2729214</v>
      </c>
      <c r="G20" s="22">
        <v>50</v>
      </c>
      <c r="H20" s="22">
        <v>54585</v>
      </c>
      <c r="I20" s="65">
        <v>62.5</v>
      </c>
      <c r="J20" s="6">
        <f>F20/I20</f>
        <v>43667.423999999999</v>
      </c>
      <c r="K20" s="6">
        <f>J20-H20</f>
        <v>-10917.576000000001</v>
      </c>
      <c r="L20" s="53"/>
      <c r="N20" s="54"/>
      <c r="P20" s="358"/>
    </row>
    <row r="21" spans="2:19" ht="15" customHeight="1" x14ac:dyDescent="0.35">
      <c r="B21" s="51"/>
      <c r="C21" s="41"/>
      <c r="E21" s="152"/>
      <c r="F21" s="6"/>
      <c r="G21" s="62"/>
      <c r="H21" s="6"/>
      <c r="I21" s="65"/>
      <c r="J21" s="6"/>
      <c r="K21" s="6"/>
      <c r="L21" s="53"/>
      <c r="N21" s="54"/>
      <c r="P21" s="358"/>
    </row>
    <row r="22" spans="2:19" ht="15" customHeight="1" x14ac:dyDescent="0.35">
      <c r="B22" s="51"/>
      <c r="C22" s="44" t="s">
        <v>373</v>
      </c>
      <c r="E22" s="152"/>
      <c r="F22" s="6"/>
      <c r="G22" s="62"/>
      <c r="H22" s="6"/>
      <c r="I22" s="65"/>
      <c r="J22" s="6"/>
      <c r="K22" s="6"/>
      <c r="L22" s="53"/>
      <c r="N22" s="54"/>
      <c r="P22" s="358"/>
    </row>
    <row r="23" spans="2:19" ht="15" customHeight="1" x14ac:dyDescent="0.35">
      <c r="B23" s="51"/>
      <c r="C23" s="41"/>
      <c r="D23" s="22" t="s">
        <v>373</v>
      </c>
      <c r="E23" s="358">
        <v>41275</v>
      </c>
      <c r="F23" s="22">
        <v>3318571</v>
      </c>
      <c r="G23" s="22">
        <v>50</v>
      </c>
      <c r="H23" s="22">
        <v>66372</v>
      </c>
      <c r="I23" s="65">
        <v>62.5</v>
      </c>
      <c r="J23" s="6">
        <f>F23/I23</f>
        <v>53097.135999999999</v>
      </c>
      <c r="K23" s="6">
        <f>J23-H23</f>
        <v>-13274.864000000001</v>
      </c>
      <c r="L23" s="53"/>
      <c r="N23" s="54"/>
      <c r="P23" s="358"/>
    </row>
    <row r="24" spans="2:19" ht="15" customHeight="1" x14ac:dyDescent="0.35">
      <c r="B24" s="51"/>
      <c r="C24" s="41"/>
      <c r="D24" s="22" t="s">
        <v>371</v>
      </c>
      <c r="E24" s="358">
        <v>43405</v>
      </c>
      <c r="F24" s="22">
        <v>845037</v>
      </c>
      <c r="G24" s="22">
        <v>10</v>
      </c>
      <c r="H24" s="22">
        <v>84504</v>
      </c>
      <c r="I24" s="65">
        <v>37.5</v>
      </c>
      <c r="J24" s="6">
        <f>F24/I24</f>
        <v>22534.32</v>
      </c>
      <c r="K24" s="6">
        <f>J24-H24</f>
        <v>-61969.68</v>
      </c>
      <c r="L24" s="53"/>
      <c r="N24" s="54"/>
      <c r="P24" s="358"/>
    </row>
    <row r="25" spans="2:19" ht="15" customHeight="1" x14ac:dyDescent="0.35">
      <c r="B25" s="51"/>
      <c r="C25" s="41"/>
      <c r="E25" s="152"/>
      <c r="F25" s="6"/>
      <c r="G25" s="62"/>
      <c r="H25" s="6"/>
      <c r="I25" s="65"/>
      <c r="J25" s="6"/>
      <c r="K25" s="6"/>
      <c r="L25" s="53"/>
      <c r="N25" s="54"/>
      <c r="P25" s="358"/>
    </row>
    <row r="26" spans="2:19" ht="15" customHeight="1" x14ac:dyDescent="0.35">
      <c r="B26" s="51"/>
      <c r="C26" s="41"/>
      <c r="E26" s="152"/>
      <c r="F26" s="6"/>
      <c r="G26" s="62"/>
      <c r="H26" s="6"/>
      <c r="I26" s="65"/>
      <c r="J26" s="6"/>
      <c r="K26" s="6"/>
      <c r="L26" s="53"/>
      <c r="N26" s="54"/>
      <c r="P26" s="358"/>
    </row>
    <row r="27" spans="2:19" ht="15" customHeight="1" x14ac:dyDescent="0.35">
      <c r="B27" s="51"/>
      <c r="C27" s="44" t="s">
        <v>170</v>
      </c>
      <c r="E27" s="152"/>
      <c r="F27" s="6"/>
      <c r="G27" s="62"/>
      <c r="H27" s="6"/>
      <c r="I27" s="65"/>
      <c r="J27" s="6"/>
      <c r="K27" s="6"/>
      <c r="L27" s="53"/>
      <c r="N27" s="54"/>
      <c r="P27" s="358"/>
    </row>
    <row r="28" spans="2:19" ht="15" customHeight="1" x14ac:dyDescent="0.35">
      <c r="B28" s="51"/>
      <c r="C28" s="41"/>
      <c r="D28" s="22" t="s">
        <v>376</v>
      </c>
      <c r="E28" s="358">
        <v>42181</v>
      </c>
      <c r="F28" s="22">
        <v>19996</v>
      </c>
      <c r="G28" s="22">
        <v>10</v>
      </c>
      <c r="H28" s="22">
        <v>655</v>
      </c>
      <c r="I28" s="65">
        <v>20</v>
      </c>
      <c r="J28" s="6">
        <f>F28/I28</f>
        <v>999.8</v>
      </c>
      <c r="K28" s="6">
        <f>J28-H28</f>
        <v>344.79999999999995</v>
      </c>
      <c r="L28" s="53"/>
      <c r="N28" s="54"/>
      <c r="P28" s="358"/>
    </row>
    <row r="29" spans="2:19" ht="15" customHeight="1" x14ac:dyDescent="0.35">
      <c r="B29" s="51"/>
      <c r="C29" s="41"/>
      <c r="D29" s="22" t="s">
        <v>170</v>
      </c>
      <c r="E29" s="358">
        <v>41275</v>
      </c>
      <c r="F29" s="22">
        <v>92575</v>
      </c>
      <c r="G29" s="22">
        <v>10</v>
      </c>
      <c r="H29" s="22">
        <v>9258</v>
      </c>
      <c r="I29" s="65">
        <v>20</v>
      </c>
      <c r="J29" s="6">
        <f>F29/I29</f>
        <v>4628.75</v>
      </c>
      <c r="K29" s="6">
        <f>J29-H29</f>
        <v>-4629.25</v>
      </c>
      <c r="L29" s="53"/>
      <c r="N29" s="54"/>
      <c r="P29" s="358"/>
    </row>
    <row r="30" spans="2:19" ht="15" customHeight="1" x14ac:dyDescent="0.35">
      <c r="B30" s="51"/>
      <c r="C30" s="44" t="s">
        <v>171</v>
      </c>
      <c r="E30" s="152"/>
      <c r="F30" s="5"/>
      <c r="G30" s="62"/>
      <c r="H30" s="5"/>
      <c r="I30" s="65"/>
      <c r="J30" s="5"/>
      <c r="K30" s="5"/>
      <c r="L30" s="53"/>
      <c r="N30" s="54"/>
      <c r="P30" s="358"/>
    </row>
    <row r="31" spans="2:19" ht="15" customHeight="1" x14ac:dyDescent="0.35">
      <c r="B31" s="51"/>
      <c r="C31" s="41"/>
      <c r="D31" s="22" t="s">
        <v>372</v>
      </c>
      <c r="E31" s="358">
        <v>41275</v>
      </c>
      <c r="F31" s="22">
        <v>2145381</v>
      </c>
      <c r="G31" s="22">
        <v>50</v>
      </c>
      <c r="H31" s="22">
        <v>42908</v>
      </c>
      <c r="I31" s="65">
        <v>62.5</v>
      </c>
      <c r="J31" s="6">
        <f>F31/I31</f>
        <v>34326.095999999998</v>
      </c>
      <c r="K31" s="6">
        <f>J31-H31</f>
        <v>-8581.9040000000023</v>
      </c>
      <c r="L31" s="53"/>
      <c r="N31" s="54"/>
      <c r="P31" s="358"/>
    </row>
    <row r="32" spans="2:19" ht="15" customHeight="1" x14ac:dyDescent="0.35">
      <c r="B32" s="51"/>
      <c r="C32" s="41"/>
      <c r="E32" s="152"/>
      <c r="F32" s="6"/>
      <c r="G32" s="62"/>
      <c r="H32" s="6"/>
      <c r="I32" s="65"/>
      <c r="J32" s="6"/>
      <c r="K32" s="6"/>
      <c r="L32" s="53"/>
      <c r="N32" s="54"/>
      <c r="P32" s="358"/>
    </row>
    <row r="33" spans="2:18" ht="15" customHeight="1" x14ac:dyDescent="0.35">
      <c r="B33" s="51"/>
      <c r="C33" s="41"/>
      <c r="E33" s="152"/>
      <c r="F33" s="5"/>
      <c r="G33" s="62"/>
      <c r="H33" s="5"/>
      <c r="I33" s="65"/>
      <c r="J33" s="5"/>
      <c r="K33" s="5"/>
      <c r="L33" s="53"/>
      <c r="N33" s="54"/>
      <c r="P33" s="358"/>
    </row>
    <row r="34" spans="2:18" ht="15" customHeight="1" x14ac:dyDescent="0.35">
      <c r="B34" s="51"/>
      <c r="D34" s="44" t="s">
        <v>172</v>
      </c>
      <c r="F34" s="45"/>
      <c r="G34" s="65"/>
      <c r="H34" s="46">
        <f>SUM(H13:H33)</f>
        <v>269983</v>
      </c>
      <c r="I34" s="69"/>
      <c r="J34" s="46">
        <f>SUM(J13:J33)</f>
        <v>170626.08155555555</v>
      </c>
      <c r="K34" s="46">
        <f>SUM(K13:K33)</f>
        <v>-99356.918444444455</v>
      </c>
      <c r="L34" s="53"/>
      <c r="P34" s="358"/>
    </row>
    <row r="35" spans="2:18" ht="15" customHeight="1" x14ac:dyDescent="0.35">
      <c r="B35" s="51"/>
      <c r="D35" s="44"/>
      <c r="F35" s="45"/>
      <c r="G35" s="65"/>
      <c r="H35" s="46"/>
      <c r="I35" s="69"/>
      <c r="J35" s="46"/>
      <c r="K35" s="46"/>
      <c r="L35" s="53"/>
      <c r="P35" s="358"/>
    </row>
    <row r="36" spans="2:18" ht="25" customHeight="1" x14ac:dyDescent="0.35">
      <c r="B36" s="48"/>
      <c r="C36" s="601" t="s">
        <v>174</v>
      </c>
      <c r="D36" s="601"/>
      <c r="E36" s="49"/>
      <c r="F36" s="194"/>
      <c r="G36" s="195"/>
      <c r="H36" s="196"/>
      <c r="I36" s="197"/>
      <c r="J36" s="196"/>
      <c r="K36" s="196"/>
      <c r="L36" s="50"/>
      <c r="P36" s="358"/>
    </row>
    <row r="37" spans="2:18" ht="15" customHeight="1" x14ac:dyDescent="0.35">
      <c r="B37" s="51"/>
      <c r="C37" s="44" t="s">
        <v>175</v>
      </c>
      <c r="E37" s="42"/>
      <c r="F37" s="43"/>
      <c r="G37" s="65"/>
      <c r="H37" s="43"/>
      <c r="I37" s="65"/>
      <c r="J37" s="43"/>
      <c r="K37" s="43"/>
      <c r="L37" s="53"/>
      <c r="P37" s="358"/>
    </row>
    <row r="38" spans="2:18" ht="15" customHeight="1" x14ac:dyDescent="0.35">
      <c r="B38" s="51"/>
      <c r="D38" s="22" t="s">
        <v>178</v>
      </c>
      <c r="E38" s="358">
        <v>41275</v>
      </c>
      <c r="F38" s="76">
        <v>980476</v>
      </c>
      <c r="G38" s="22">
        <v>50</v>
      </c>
      <c r="H38" s="76">
        <v>19610</v>
      </c>
      <c r="I38" s="360">
        <v>30</v>
      </c>
      <c r="J38" s="6">
        <f>F38/I38</f>
        <v>32682.533333333333</v>
      </c>
      <c r="K38" s="6">
        <f>J38-H38</f>
        <v>13072.533333333333</v>
      </c>
      <c r="L38" s="53"/>
      <c r="P38" s="358"/>
    </row>
    <row r="39" spans="2:18" ht="15" customHeight="1" x14ac:dyDescent="0.35">
      <c r="B39" s="51"/>
      <c r="D39" s="44"/>
      <c r="F39" s="45"/>
      <c r="G39" s="65"/>
      <c r="H39" s="46"/>
      <c r="I39" s="69"/>
      <c r="J39" s="46"/>
      <c r="K39" s="46"/>
      <c r="L39" s="53"/>
      <c r="P39" s="358"/>
    </row>
    <row r="40" spans="2:18" ht="15" hidden="1" customHeight="1" x14ac:dyDescent="0.35">
      <c r="B40" s="51"/>
      <c r="C40" s="44" t="s">
        <v>176</v>
      </c>
      <c r="D40" s="44"/>
      <c r="F40" s="45"/>
      <c r="G40" s="65"/>
      <c r="H40" s="46"/>
      <c r="I40" s="69"/>
      <c r="J40" s="46"/>
      <c r="K40" s="46"/>
      <c r="L40" s="53"/>
      <c r="P40" s="358"/>
    </row>
    <row r="41" spans="2:18" ht="15" hidden="1" customHeight="1" x14ac:dyDescent="0.35">
      <c r="B41" s="51"/>
      <c r="D41" s="22" t="s">
        <v>176</v>
      </c>
      <c r="E41" s="152"/>
      <c r="F41" s="6"/>
      <c r="G41" s="62"/>
      <c r="H41" s="6"/>
      <c r="I41" s="65">
        <v>52.5</v>
      </c>
      <c r="J41" s="6">
        <f>F41/I41</f>
        <v>0</v>
      </c>
      <c r="K41" s="6">
        <f>J41-H41</f>
        <v>0</v>
      </c>
      <c r="L41" s="53"/>
      <c r="P41" s="358"/>
    </row>
    <row r="42" spans="2:18" ht="15" hidden="1" customHeight="1" x14ac:dyDescent="0.35">
      <c r="B42" s="51"/>
      <c r="D42" s="22" t="s">
        <v>192</v>
      </c>
      <c r="E42" s="152"/>
      <c r="F42" s="6"/>
      <c r="G42" s="62"/>
      <c r="H42" s="6"/>
      <c r="I42" s="65">
        <v>52.5</v>
      </c>
      <c r="J42" s="6">
        <f>F42/I42</f>
        <v>0</v>
      </c>
      <c r="K42" s="6">
        <f>J42-H42</f>
        <v>0</v>
      </c>
      <c r="L42" s="53"/>
      <c r="P42" s="358"/>
      <c r="Q42" s="63"/>
    </row>
    <row r="43" spans="2:18" ht="15" hidden="1" customHeight="1" x14ac:dyDescent="0.35">
      <c r="B43" s="51"/>
      <c r="D43" s="44"/>
      <c r="F43" s="45"/>
      <c r="G43" s="65"/>
      <c r="H43" s="46"/>
      <c r="I43" s="69"/>
      <c r="J43" s="46"/>
      <c r="K43" s="46"/>
      <c r="L43" s="53"/>
      <c r="P43" s="358"/>
      <c r="R43" s="228"/>
    </row>
    <row r="44" spans="2:18" ht="15" customHeight="1" x14ac:dyDescent="0.35">
      <c r="B44" s="51"/>
      <c r="D44" s="44" t="s">
        <v>177</v>
      </c>
      <c r="F44" s="45"/>
      <c r="G44" s="65"/>
      <c r="H44" s="46">
        <f>SUM(H38:H43)</f>
        <v>19610</v>
      </c>
      <c r="I44" s="69"/>
      <c r="J44" s="46">
        <f>SUM(J38:J43)</f>
        <v>32682.533333333333</v>
      </c>
      <c r="K44" s="46">
        <f>SUM(K38:K43)</f>
        <v>13072.533333333333</v>
      </c>
      <c r="L44" s="53"/>
      <c r="P44" s="358"/>
    </row>
    <row r="45" spans="2:18" ht="15" customHeight="1" x14ac:dyDescent="0.35">
      <c r="B45" s="56"/>
      <c r="C45" s="57"/>
      <c r="D45" s="57"/>
      <c r="E45" s="57"/>
      <c r="F45" s="57"/>
      <c r="G45" s="68"/>
      <c r="H45" s="57"/>
      <c r="I45" s="68"/>
      <c r="J45" s="57"/>
      <c r="K45" s="58"/>
      <c r="L45" s="59"/>
      <c r="M45" s="60"/>
      <c r="P45" s="358"/>
      <c r="R45" s="228"/>
    </row>
    <row r="46" spans="2:18" ht="15" customHeight="1" x14ac:dyDescent="0.35">
      <c r="G46" s="61"/>
      <c r="I46" s="61"/>
      <c r="P46" s="358"/>
    </row>
    <row r="47" spans="2:18" ht="15" customHeight="1" x14ac:dyDescent="0.35">
      <c r="D47" s="22" t="s">
        <v>179</v>
      </c>
      <c r="E47" s="47"/>
      <c r="P47" s="358"/>
    </row>
    <row r="48" spans="2:18" ht="15" customHeight="1" x14ac:dyDescent="0.35">
      <c r="P48" s="358"/>
    </row>
    <row r="49" spans="2:18" ht="15" customHeight="1" x14ac:dyDescent="0.35">
      <c r="H49" s="22">
        <f>H34+H44</f>
        <v>289593</v>
      </c>
      <c r="P49" s="358"/>
    </row>
    <row r="50" spans="2:18" ht="15" customHeight="1" x14ac:dyDescent="0.35">
      <c r="P50" s="358"/>
    </row>
    <row r="51" spans="2:18" ht="15" customHeight="1" x14ac:dyDescent="0.35">
      <c r="P51" s="358"/>
    </row>
    <row r="52" spans="2:18" ht="15" customHeight="1" x14ac:dyDescent="0.35">
      <c r="P52" s="358"/>
      <c r="R52" s="228"/>
    </row>
    <row r="53" spans="2:18" ht="15.5" x14ac:dyDescent="0.35">
      <c r="B53" s="48"/>
      <c r="C53" s="601"/>
      <c r="D53" s="601"/>
      <c r="E53" s="49"/>
      <c r="F53" s="194"/>
      <c r="G53" s="195"/>
      <c r="H53" s="196"/>
      <c r="I53" s="197"/>
      <c r="J53" s="196"/>
      <c r="K53" s="196"/>
      <c r="L53" s="50"/>
    </row>
    <row r="54" spans="2:18" x14ac:dyDescent="0.35">
      <c r="B54" s="51"/>
      <c r="C54" s="44"/>
      <c r="E54" s="42"/>
      <c r="F54" s="43"/>
      <c r="G54" s="65"/>
      <c r="H54" s="43"/>
      <c r="I54" s="65"/>
      <c r="J54" s="43"/>
      <c r="K54" s="43"/>
      <c r="L54" s="53"/>
      <c r="R54" s="228"/>
    </row>
    <row r="55" spans="2:18" x14ac:dyDescent="0.35">
      <c r="B55" s="51"/>
      <c r="E55" s="42"/>
      <c r="F55" s="6"/>
      <c r="G55" s="62"/>
      <c r="H55" s="6"/>
      <c r="I55" s="65"/>
      <c r="J55" s="6"/>
      <c r="K55" s="6"/>
      <c r="L55" s="53"/>
    </row>
    <row r="56" spans="2:18" x14ac:dyDescent="0.35">
      <c r="B56" s="51"/>
      <c r="D56" s="44"/>
      <c r="F56" s="45"/>
      <c r="G56" s="65"/>
      <c r="H56" s="46"/>
      <c r="I56" s="69"/>
      <c r="J56" s="46"/>
      <c r="K56" s="46"/>
      <c r="L56" s="53"/>
    </row>
    <row r="57" spans="2:18" x14ac:dyDescent="0.35">
      <c r="B57" s="51"/>
      <c r="C57" s="44"/>
      <c r="D57" s="44"/>
      <c r="F57" s="45"/>
      <c r="G57" s="65"/>
      <c r="H57" s="46"/>
      <c r="I57" s="69"/>
      <c r="J57" s="46"/>
      <c r="K57" s="46"/>
      <c r="L57" s="53"/>
    </row>
    <row r="58" spans="2:18" x14ac:dyDescent="0.35">
      <c r="B58" s="51"/>
      <c r="E58" s="152"/>
      <c r="F58" s="6"/>
      <c r="G58" s="62"/>
      <c r="H58" s="6"/>
      <c r="I58" s="65"/>
      <c r="J58" s="6"/>
      <c r="K58" s="6"/>
      <c r="L58" s="53"/>
    </row>
    <row r="59" spans="2:18" x14ac:dyDescent="0.35">
      <c r="B59" s="51"/>
      <c r="E59" s="152"/>
      <c r="F59" s="6"/>
      <c r="G59" s="62"/>
      <c r="H59" s="6"/>
      <c r="I59" s="65"/>
      <c r="J59" s="6"/>
      <c r="K59" s="6"/>
      <c r="L59" s="53"/>
    </row>
    <row r="60" spans="2:18" x14ac:dyDescent="0.35">
      <c r="B60" s="51"/>
      <c r="E60" s="152"/>
      <c r="F60" s="6"/>
      <c r="G60" s="62"/>
      <c r="H60" s="6"/>
      <c r="I60" s="65"/>
      <c r="J60" s="6"/>
      <c r="K60" s="6"/>
      <c r="L60" s="53"/>
    </row>
    <row r="61" spans="2:18" x14ac:dyDescent="0.35">
      <c r="B61" s="51"/>
      <c r="E61" s="152"/>
      <c r="F61" s="6"/>
      <c r="G61" s="62"/>
      <c r="H61" s="6"/>
      <c r="I61" s="65"/>
      <c r="J61" s="6"/>
      <c r="K61" s="6"/>
      <c r="L61" s="53"/>
    </row>
    <row r="62" spans="2:18" x14ac:dyDescent="0.35">
      <c r="B62" s="51"/>
      <c r="D62" s="44"/>
      <c r="F62" s="45"/>
      <c r="G62" s="65"/>
      <c r="H62" s="46"/>
      <c r="I62" s="69"/>
      <c r="J62" s="46"/>
      <c r="K62" s="46"/>
      <c r="L62" s="53"/>
    </row>
    <row r="63" spans="2:18" x14ac:dyDescent="0.35">
      <c r="B63" s="51"/>
      <c r="D63" s="44"/>
      <c r="F63" s="45"/>
      <c r="G63" s="65"/>
      <c r="H63" s="46"/>
      <c r="I63" s="69"/>
      <c r="J63" s="46"/>
      <c r="K63" s="46"/>
      <c r="L63" s="53"/>
    </row>
    <row r="64" spans="2:18" x14ac:dyDescent="0.35">
      <c r="B64" s="56"/>
      <c r="C64" s="57"/>
      <c r="D64" s="57"/>
      <c r="E64" s="57"/>
      <c r="F64" s="57"/>
      <c r="G64" s="68"/>
      <c r="H64" s="57"/>
      <c r="I64" s="68"/>
      <c r="J64" s="57"/>
      <c r="K64" s="58"/>
      <c r="L64" s="59"/>
    </row>
  </sheetData>
  <mergeCells count="6">
    <mergeCell ref="C53:D53"/>
    <mergeCell ref="C5:K5"/>
    <mergeCell ref="C4:K4"/>
    <mergeCell ref="C3:K3"/>
    <mergeCell ref="C11:D11"/>
    <mergeCell ref="C36:D36"/>
  </mergeCells>
  <printOptions horizontalCentered="1"/>
  <pageMargins left="0.75" right="0.55000000000000004" top="0.75" bottom="0.25"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T30"/>
  <sheetViews>
    <sheetView topLeftCell="A14" workbookViewId="0">
      <selection activeCell="M6" sqref="M6"/>
    </sheetView>
  </sheetViews>
  <sheetFormatPr defaultColWidth="8.84375" defaultRowHeight="14.5" x14ac:dyDescent="0.35"/>
  <cols>
    <col min="1" max="1" width="1.69140625" style="15" customWidth="1"/>
    <col min="2" max="2" width="12.84375" style="15" customWidth="1"/>
    <col min="3" max="10" width="7.3046875" style="15" customWidth="1"/>
    <col min="11" max="11" width="8.3046875" style="15" customWidth="1"/>
    <col min="12" max="12" width="7.3046875" style="15" customWidth="1"/>
    <col min="13" max="13" width="11.15234375" style="15" customWidth="1"/>
    <col min="14" max="14" width="0.765625" style="15" customWidth="1"/>
    <col min="15" max="15" width="2.23046875" style="15" customWidth="1"/>
    <col min="16" max="17" width="8.84375" style="15"/>
    <col min="18" max="18" width="10.23046875" style="15" bestFit="1" customWidth="1"/>
    <col min="19" max="16384" width="8.84375" style="15"/>
  </cols>
  <sheetData>
    <row r="1" spans="1:20" ht="15.5" x14ac:dyDescent="0.35">
      <c r="A1"/>
    </row>
    <row r="2" spans="1:20" ht="15.5" x14ac:dyDescent="0.35">
      <c r="A2"/>
      <c r="B2" s="85"/>
      <c r="C2" s="86"/>
      <c r="D2" s="86"/>
      <c r="E2" s="86"/>
      <c r="F2" s="86"/>
      <c r="G2" s="86"/>
      <c r="H2" s="86"/>
      <c r="I2" s="86"/>
      <c r="J2" s="86"/>
      <c r="K2" s="86"/>
      <c r="L2" s="86"/>
      <c r="M2" s="86"/>
      <c r="N2" s="87"/>
    </row>
    <row r="3" spans="1:20" ht="18.5" x14ac:dyDescent="0.45">
      <c r="A3"/>
      <c r="B3" s="114" t="s">
        <v>0</v>
      </c>
      <c r="C3" s="115"/>
      <c r="D3" s="115"/>
      <c r="E3" s="115"/>
      <c r="F3" s="115"/>
      <c r="G3" s="115"/>
      <c r="H3" s="115"/>
      <c r="I3" s="115"/>
      <c r="J3" s="115"/>
      <c r="K3" s="115"/>
      <c r="L3" s="115"/>
      <c r="M3" s="115"/>
      <c r="N3" s="89"/>
    </row>
    <row r="4" spans="1:20" ht="18.5" x14ac:dyDescent="0.45">
      <c r="A4"/>
      <c r="B4" s="116" t="s">
        <v>159</v>
      </c>
      <c r="C4" s="117"/>
      <c r="D4" s="117"/>
      <c r="E4" s="117"/>
      <c r="F4" s="117"/>
      <c r="G4" s="117"/>
      <c r="H4" s="117"/>
      <c r="I4" s="117"/>
      <c r="J4" s="117"/>
      <c r="K4" s="117"/>
      <c r="L4" s="117"/>
      <c r="M4" s="117"/>
      <c r="N4" s="89"/>
    </row>
    <row r="5" spans="1:20" ht="15.5" x14ac:dyDescent="0.35">
      <c r="A5"/>
      <c r="B5" s="175" t="str">
        <f>SAOw!A2</f>
        <v>POWELL'S VALLEY WATER DISTRICT</v>
      </c>
      <c r="C5" s="115"/>
      <c r="D5" s="115"/>
      <c r="E5" s="115"/>
      <c r="F5" s="115"/>
      <c r="G5" s="115"/>
      <c r="H5" s="115"/>
      <c r="I5" s="115"/>
      <c r="J5" s="115"/>
      <c r="K5" s="115"/>
      <c r="L5" s="115"/>
      <c r="M5" s="115"/>
      <c r="N5" s="89"/>
    </row>
    <row r="6" spans="1:20" ht="15.5" x14ac:dyDescent="0.35">
      <c r="A6"/>
      <c r="B6" s="176" t="s">
        <v>398</v>
      </c>
      <c r="C6" s="118"/>
      <c r="D6" s="118"/>
      <c r="E6" s="118"/>
      <c r="F6" s="118"/>
      <c r="G6" s="118"/>
      <c r="H6" s="118"/>
      <c r="I6" s="118"/>
      <c r="J6" s="118"/>
      <c r="K6" s="118"/>
      <c r="L6" s="118"/>
      <c r="M6" s="118"/>
      <c r="N6" s="89"/>
    </row>
    <row r="7" spans="1:20" ht="15.5" x14ac:dyDescent="0.35">
      <c r="A7"/>
      <c r="B7" s="119"/>
      <c r="C7" s="118"/>
      <c r="D7" s="118"/>
      <c r="E7" s="118"/>
      <c r="F7" s="118"/>
      <c r="G7" s="118"/>
      <c r="H7" s="118"/>
      <c r="I7" s="118"/>
      <c r="J7" s="118"/>
      <c r="K7" s="118"/>
      <c r="L7" s="118"/>
      <c r="M7" s="118"/>
      <c r="N7" s="89"/>
    </row>
    <row r="8" spans="1:20" ht="15.5" x14ac:dyDescent="0.35">
      <c r="A8"/>
      <c r="B8" s="177"/>
      <c r="C8" s="120"/>
      <c r="D8" s="138"/>
      <c r="E8" s="120"/>
      <c r="F8" s="139"/>
      <c r="G8" s="120"/>
      <c r="H8" s="139"/>
      <c r="I8" s="120"/>
      <c r="J8" s="139"/>
      <c r="K8" s="120"/>
      <c r="L8" s="139"/>
      <c r="M8" s="138"/>
      <c r="N8" s="87"/>
    </row>
    <row r="9" spans="1:20" ht="15.75" customHeight="1" x14ac:dyDescent="0.35">
      <c r="A9"/>
      <c r="B9" s="178"/>
      <c r="C9" s="140" t="s">
        <v>160</v>
      </c>
      <c r="D9" s="117"/>
      <c r="E9" s="140" t="s">
        <v>161</v>
      </c>
      <c r="F9" s="179"/>
      <c r="G9" s="140" t="s">
        <v>162</v>
      </c>
      <c r="H9" s="179"/>
      <c r="I9" s="140" t="s">
        <v>213</v>
      </c>
      <c r="J9" s="179"/>
      <c r="K9" s="140" t="s">
        <v>397</v>
      </c>
      <c r="L9" s="179"/>
      <c r="N9" s="89"/>
    </row>
    <row r="10" spans="1:20" ht="17" x14ac:dyDescent="0.5">
      <c r="A10"/>
      <c r="B10" s="178"/>
      <c r="C10" s="121" t="s">
        <v>40</v>
      </c>
      <c r="D10" s="180" t="s">
        <v>41</v>
      </c>
      <c r="E10" s="121" t="s">
        <v>40</v>
      </c>
      <c r="F10" s="181" t="s">
        <v>41</v>
      </c>
      <c r="G10" s="121" t="s">
        <v>40</v>
      </c>
      <c r="H10" s="181" t="s">
        <v>41</v>
      </c>
      <c r="I10" s="121" t="s">
        <v>40</v>
      </c>
      <c r="J10" s="181" t="s">
        <v>41</v>
      </c>
      <c r="K10" s="121" t="s">
        <v>40</v>
      </c>
      <c r="L10" s="181" t="s">
        <v>41</v>
      </c>
      <c r="M10" s="141" t="s">
        <v>3</v>
      </c>
      <c r="N10" s="89"/>
      <c r="Q10" s="248" t="s">
        <v>215</v>
      </c>
      <c r="R10" s="248"/>
    </row>
    <row r="11" spans="1:20" ht="17" x14ac:dyDescent="0.5">
      <c r="A11"/>
      <c r="B11" s="187" t="s">
        <v>155</v>
      </c>
      <c r="C11" s="121"/>
      <c r="D11" s="180"/>
      <c r="E11" s="121"/>
      <c r="F11" s="181"/>
      <c r="G11" s="121"/>
      <c r="H11" s="181"/>
      <c r="I11" s="121"/>
      <c r="J11" s="181"/>
      <c r="K11" s="121"/>
      <c r="L11" s="181"/>
      <c r="M11" s="141"/>
      <c r="N11" s="89"/>
      <c r="Q11" s="248" t="s">
        <v>216</v>
      </c>
      <c r="R11" s="248" t="s">
        <v>232</v>
      </c>
    </row>
    <row r="12" spans="1:20" ht="15.5" x14ac:dyDescent="0.35">
      <c r="A12"/>
      <c r="B12" s="182" t="s">
        <v>212</v>
      </c>
      <c r="C12" s="122">
        <v>11500</v>
      </c>
      <c r="D12" s="183">
        <f>1262.5+975</f>
        <v>2237.5</v>
      </c>
      <c r="E12" s="122">
        <v>12500</v>
      </c>
      <c r="F12" s="183">
        <f>975+662.5</f>
        <v>1637.5</v>
      </c>
      <c r="G12" s="122">
        <v>13000</v>
      </c>
      <c r="H12" s="183">
        <f>662.5+337.5</f>
        <v>1000</v>
      </c>
      <c r="I12" s="122">
        <v>13500</v>
      </c>
      <c r="J12" s="183">
        <v>337.5</v>
      </c>
      <c r="K12" s="122"/>
      <c r="L12" s="183"/>
      <c r="M12" s="236">
        <f t="shared" ref="M12:M17" si="0">SUM(C12:L12)</f>
        <v>55712.5</v>
      </c>
      <c r="N12" s="89"/>
      <c r="P12" s="15" t="s">
        <v>218</v>
      </c>
      <c r="Q12" s="249">
        <v>9819</v>
      </c>
      <c r="R12" s="246">
        <v>239000</v>
      </c>
      <c r="S12" s="247"/>
      <c r="T12" s="79"/>
    </row>
    <row r="13" spans="1:20" ht="15.5" x14ac:dyDescent="0.35">
      <c r="A13"/>
      <c r="B13" s="182" t="s">
        <v>214</v>
      </c>
      <c r="C13" s="123">
        <v>7000</v>
      </c>
      <c r="D13" s="184">
        <f>1700+1525</f>
        <v>3225</v>
      </c>
      <c r="E13" s="123">
        <v>8000</v>
      </c>
      <c r="F13" s="184">
        <f>1525+1325</f>
        <v>2850</v>
      </c>
      <c r="G13" s="123">
        <v>8000</v>
      </c>
      <c r="H13" s="184">
        <f>1325+1125</f>
        <v>2450</v>
      </c>
      <c r="I13" s="123">
        <v>8000</v>
      </c>
      <c r="J13" s="184">
        <f>1125+925</f>
        <v>2050</v>
      </c>
      <c r="K13" s="123">
        <v>9000</v>
      </c>
      <c r="L13" s="184">
        <f>925+700</f>
        <v>1625</v>
      </c>
      <c r="M13" s="237">
        <f t="shared" si="0"/>
        <v>52200</v>
      </c>
      <c r="N13" s="89"/>
      <c r="P13" s="15" t="s">
        <v>219</v>
      </c>
      <c r="Q13" s="15" t="s">
        <v>217</v>
      </c>
      <c r="R13" s="246">
        <v>194000</v>
      </c>
      <c r="S13" s="247"/>
      <c r="T13" s="79"/>
    </row>
    <row r="14" spans="1:20" ht="15.5" x14ac:dyDescent="0.35">
      <c r="A14"/>
      <c r="B14" s="182" t="s">
        <v>223</v>
      </c>
      <c r="C14" s="123">
        <v>23000</v>
      </c>
      <c r="D14" s="184">
        <f>6480+5962.5</f>
        <v>12442.5</v>
      </c>
      <c r="E14" s="123">
        <v>24000</v>
      </c>
      <c r="F14" s="184">
        <f>5962.5+5422.5</f>
        <v>11385</v>
      </c>
      <c r="G14" s="123">
        <v>25500</v>
      </c>
      <c r="H14" s="184">
        <f>5422.5+4848.75</f>
        <v>10271.25</v>
      </c>
      <c r="I14" s="123">
        <v>26500</v>
      </c>
      <c r="J14" s="184">
        <f>4848.75+4252.5</f>
        <v>9101.25</v>
      </c>
      <c r="K14" s="123">
        <v>28000</v>
      </c>
      <c r="L14" s="184">
        <f>4252.5+3622.5</f>
        <v>7875</v>
      </c>
      <c r="M14" s="237">
        <f t="shared" si="0"/>
        <v>178075</v>
      </c>
      <c r="N14" s="89"/>
      <c r="P14" s="15" t="s">
        <v>224</v>
      </c>
      <c r="Q14" s="15" t="s">
        <v>226</v>
      </c>
      <c r="R14" s="246">
        <v>631000</v>
      </c>
      <c r="S14" s="247"/>
      <c r="T14" s="79"/>
    </row>
    <row r="15" spans="1:20" ht="15.5" x14ac:dyDescent="0.35">
      <c r="A15"/>
      <c r="B15" s="182" t="s">
        <v>223</v>
      </c>
      <c r="C15" s="123">
        <v>16500</v>
      </c>
      <c r="D15" s="184">
        <f>4567.5+4196.25</f>
        <v>8763.75</v>
      </c>
      <c r="E15" s="123">
        <v>17000</v>
      </c>
      <c r="F15" s="184">
        <f>4196.25+3813.75</f>
        <v>8010</v>
      </c>
      <c r="G15" s="123">
        <v>18000</v>
      </c>
      <c r="H15" s="184">
        <f>3813.75+3408.75</f>
        <v>7222.5</v>
      </c>
      <c r="I15" s="123">
        <v>18500</v>
      </c>
      <c r="J15" s="184">
        <f>3408.75+2992.5</f>
        <v>6401.25</v>
      </c>
      <c r="K15" s="123">
        <v>19500</v>
      </c>
      <c r="L15" s="184">
        <f>2992.5+2553.75</f>
        <v>5546.25</v>
      </c>
      <c r="M15" s="237">
        <f t="shared" si="0"/>
        <v>125443.75</v>
      </c>
      <c r="N15" s="89"/>
      <c r="P15" s="15" t="s">
        <v>225</v>
      </c>
      <c r="Q15" s="15" t="s">
        <v>226</v>
      </c>
      <c r="R15" s="246">
        <v>460000</v>
      </c>
      <c r="S15" s="247"/>
      <c r="T15" s="79"/>
    </row>
    <row r="16" spans="1:20" ht="15.5" x14ac:dyDescent="0.35">
      <c r="A16"/>
      <c r="B16" s="182" t="s">
        <v>229</v>
      </c>
      <c r="C16" s="123">
        <v>14000</v>
      </c>
      <c r="D16" s="124">
        <f>9720+9405</f>
        <v>19125</v>
      </c>
      <c r="E16" s="123">
        <v>14000</v>
      </c>
      <c r="F16" s="124">
        <f>9405+9090</f>
        <v>18495</v>
      </c>
      <c r="G16" s="123">
        <v>15000</v>
      </c>
      <c r="H16" s="124">
        <f>9090+8752.5</f>
        <v>17842.5</v>
      </c>
      <c r="I16" s="123">
        <v>16000</v>
      </c>
      <c r="J16" s="184">
        <f>8752.5+8392.5</f>
        <v>17145</v>
      </c>
      <c r="K16" s="123">
        <v>16000</v>
      </c>
      <c r="L16" s="184">
        <f>8392.5+8032.5</f>
        <v>16425</v>
      </c>
      <c r="M16" s="237">
        <f t="shared" si="0"/>
        <v>164032.5</v>
      </c>
      <c r="N16" s="89"/>
      <c r="P16" s="15" t="s">
        <v>230</v>
      </c>
      <c r="Q16" s="15" t="s">
        <v>231</v>
      </c>
      <c r="R16" s="246">
        <v>600000</v>
      </c>
      <c r="S16" s="247"/>
      <c r="T16" s="79"/>
    </row>
    <row r="17" spans="1:20" ht="15.5" x14ac:dyDescent="0.35">
      <c r="A17"/>
      <c r="B17" s="442" t="s">
        <v>438</v>
      </c>
      <c r="C17" s="443">
        <v>9000</v>
      </c>
      <c r="D17" s="444">
        <v>13269</v>
      </c>
      <c r="E17" s="443">
        <v>9000</v>
      </c>
      <c r="F17" s="444">
        <v>13021</v>
      </c>
      <c r="G17" s="443">
        <v>9500</v>
      </c>
      <c r="H17" s="444">
        <v>12767</v>
      </c>
      <c r="I17" s="443">
        <v>9500</v>
      </c>
      <c r="J17" s="445">
        <v>12506</v>
      </c>
      <c r="K17" s="443">
        <v>10000</v>
      </c>
      <c r="L17" s="445">
        <v>12237.5</v>
      </c>
      <c r="M17" s="237">
        <f t="shared" si="0"/>
        <v>110800.5</v>
      </c>
      <c r="N17" s="89"/>
      <c r="P17" s="15" t="s">
        <v>437</v>
      </c>
      <c r="Q17" s="15" t="s">
        <v>285</v>
      </c>
      <c r="R17" s="246">
        <v>520000</v>
      </c>
      <c r="S17" s="247"/>
      <c r="T17" s="79"/>
    </row>
    <row r="18" spans="1:20" ht="15.5" x14ac:dyDescent="0.35">
      <c r="A18"/>
      <c r="B18" s="129" t="s">
        <v>42</v>
      </c>
      <c r="C18" s="192">
        <f t="shared" ref="C18:J18" si="1">SUM(C12:C17)</f>
        <v>81000</v>
      </c>
      <c r="D18" s="193">
        <f t="shared" si="1"/>
        <v>59062.75</v>
      </c>
      <c r="E18" s="192">
        <f t="shared" si="1"/>
        <v>84500</v>
      </c>
      <c r="F18" s="193">
        <f t="shared" si="1"/>
        <v>55398.5</v>
      </c>
      <c r="G18" s="192">
        <f t="shared" si="1"/>
        <v>89000</v>
      </c>
      <c r="H18" s="193">
        <f t="shared" si="1"/>
        <v>51553.25</v>
      </c>
      <c r="I18" s="192">
        <f t="shared" si="1"/>
        <v>92000</v>
      </c>
      <c r="J18" s="193">
        <f t="shared" si="1"/>
        <v>47541</v>
      </c>
      <c r="K18" s="192">
        <f t="shared" ref="K18:M18" si="2">SUM(K12:K17)</f>
        <v>82500</v>
      </c>
      <c r="L18" s="193">
        <f t="shared" si="2"/>
        <v>43708.75</v>
      </c>
      <c r="M18" s="238">
        <f t="shared" si="2"/>
        <v>686264.25</v>
      </c>
      <c r="N18" s="92"/>
      <c r="R18" s="246"/>
    </row>
    <row r="19" spans="1:20" ht="15.5" x14ac:dyDescent="0.35">
      <c r="A19"/>
      <c r="B19" s="125"/>
      <c r="C19" s="126"/>
      <c r="D19" s="126"/>
      <c r="E19" s="126"/>
      <c r="F19" s="126"/>
      <c r="G19" s="126"/>
      <c r="H19" s="126"/>
      <c r="I19" s="126"/>
      <c r="J19" s="96"/>
      <c r="K19" s="96"/>
      <c r="L19" s="96"/>
      <c r="M19" s="126"/>
      <c r="N19" s="89"/>
    </row>
    <row r="20" spans="1:20" ht="15.5" x14ac:dyDescent="0.35">
      <c r="A20"/>
      <c r="B20" s="185"/>
      <c r="C20" s="128"/>
      <c r="D20" s="127"/>
      <c r="E20" s="128"/>
      <c r="F20" s="128"/>
      <c r="G20" s="128"/>
      <c r="H20" s="127" t="s">
        <v>164</v>
      </c>
      <c r="K20" s="90"/>
      <c r="L20" s="186"/>
      <c r="M20" s="239">
        <f>M18/5</f>
        <v>137252.85</v>
      </c>
      <c r="N20" s="89"/>
    </row>
    <row r="21" spans="1:20" ht="15.5" x14ac:dyDescent="0.35">
      <c r="A21"/>
      <c r="B21" s="185"/>
      <c r="C21" s="127"/>
      <c r="D21" s="127"/>
      <c r="E21" s="127"/>
      <c r="F21" s="127"/>
      <c r="G21" s="127"/>
      <c r="H21" s="127" t="s">
        <v>166</v>
      </c>
      <c r="K21" s="90"/>
      <c r="L21" s="127"/>
      <c r="M21" s="239">
        <f>M20*0.2</f>
        <v>27450.570000000003</v>
      </c>
      <c r="N21" s="89"/>
      <c r="P21" s="15">
        <f>M21+M20</f>
        <v>164703.42000000001</v>
      </c>
    </row>
    <row r="22" spans="1:20" ht="15.5" x14ac:dyDescent="0.35">
      <c r="A22"/>
      <c r="B22" s="129"/>
      <c r="C22" s="130"/>
      <c r="D22" s="130"/>
      <c r="E22" s="130"/>
      <c r="F22" s="130"/>
      <c r="G22" s="130"/>
      <c r="H22" s="130"/>
      <c r="I22" s="130"/>
      <c r="J22" s="130"/>
      <c r="K22" s="130"/>
      <c r="L22" s="130"/>
      <c r="M22" s="240"/>
      <c r="N22" s="92"/>
    </row>
    <row r="23" spans="1:20" ht="7" customHeight="1" x14ac:dyDescent="0.35">
      <c r="A23"/>
      <c r="B23" s="189"/>
      <c r="C23" s="190"/>
      <c r="D23" s="191"/>
      <c r="E23" s="190"/>
      <c r="F23" s="191"/>
      <c r="G23" s="190"/>
      <c r="H23" s="191"/>
      <c r="I23" s="190"/>
      <c r="J23" s="191"/>
      <c r="K23" s="190"/>
      <c r="L23" s="191"/>
      <c r="M23" s="241"/>
      <c r="N23" s="87"/>
    </row>
    <row r="24" spans="1:20" ht="16" x14ac:dyDescent="0.5">
      <c r="B24" s="187" t="s">
        <v>156</v>
      </c>
      <c r="C24" s="88"/>
      <c r="D24" s="89"/>
      <c r="E24" s="88"/>
      <c r="F24" s="89"/>
      <c r="G24" s="88"/>
      <c r="H24" s="89"/>
      <c r="I24" s="88"/>
      <c r="J24" s="89"/>
      <c r="K24" s="88"/>
      <c r="L24" s="89"/>
      <c r="M24" s="242"/>
      <c r="N24" s="89"/>
    </row>
    <row r="25" spans="1:20" x14ac:dyDescent="0.35">
      <c r="B25" s="178" t="s">
        <v>220</v>
      </c>
      <c r="C25" s="88">
        <v>600</v>
      </c>
      <c r="D25" s="81">
        <f>452.81+439.69</f>
        <v>892.5</v>
      </c>
      <c r="E25" s="88">
        <v>600</v>
      </c>
      <c r="F25" s="81">
        <f>439.69+426.56</f>
        <v>866.25</v>
      </c>
      <c r="G25" s="88">
        <v>600</v>
      </c>
      <c r="H25" s="81">
        <f>426.56+413.44</f>
        <v>840</v>
      </c>
      <c r="I25" s="88">
        <v>600</v>
      </c>
      <c r="J25" s="89">
        <f>413.44+400.31</f>
        <v>813.75</v>
      </c>
      <c r="K25" s="88">
        <v>700</v>
      </c>
      <c r="L25" s="89">
        <f>400.31+385</f>
        <v>785.31</v>
      </c>
      <c r="M25" s="237">
        <f>SUM(C25:L25)</f>
        <v>7297.8099999999995</v>
      </c>
      <c r="N25" s="89"/>
      <c r="P25" s="15" t="s">
        <v>222</v>
      </c>
      <c r="Q25" s="15" t="s">
        <v>221</v>
      </c>
      <c r="R25" s="246">
        <v>27000</v>
      </c>
    </row>
    <row r="26" spans="1:20" x14ac:dyDescent="0.35">
      <c r="B26" s="188" t="s">
        <v>163</v>
      </c>
      <c r="C26" s="123">
        <v>7000</v>
      </c>
      <c r="D26" s="124">
        <f>4702.5+4545</f>
        <v>9247.5</v>
      </c>
      <c r="E26" s="123">
        <v>7500</v>
      </c>
      <c r="F26" s="124">
        <f>4545+4376.25</f>
        <v>8921.25</v>
      </c>
      <c r="G26" s="123">
        <v>8000</v>
      </c>
      <c r="H26" s="124">
        <f>4376.25+4196.25</f>
        <v>8572.5</v>
      </c>
      <c r="I26" s="123">
        <v>8000</v>
      </c>
      <c r="J26" s="184">
        <f>4196.25+4016.25</f>
        <v>8212.5</v>
      </c>
      <c r="K26" s="123">
        <v>8500</v>
      </c>
      <c r="L26" s="184">
        <f>4016.25+3825</f>
        <v>7841.25</v>
      </c>
      <c r="M26" s="237">
        <f>SUM(C26:L26)</f>
        <v>81795</v>
      </c>
      <c r="N26" s="92"/>
      <c r="P26" s="15" t="s">
        <v>227</v>
      </c>
      <c r="Q26" s="15" t="s">
        <v>228</v>
      </c>
      <c r="R26" s="246">
        <v>300000</v>
      </c>
    </row>
    <row r="27" spans="1:20" x14ac:dyDescent="0.35">
      <c r="B27" s="85"/>
      <c r="C27" s="86"/>
      <c r="D27" s="86"/>
      <c r="E27" s="86"/>
      <c r="F27" s="86"/>
      <c r="G27" s="86"/>
      <c r="H27" s="86"/>
      <c r="I27" s="86"/>
      <c r="J27" s="86"/>
      <c r="K27" s="86"/>
      <c r="L27" s="86"/>
      <c r="M27" s="243"/>
      <c r="N27" s="87"/>
    </row>
    <row r="28" spans="1:20" x14ac:dyDescent="0.35">
      <c r="B28" s="88"/>
      <c r="C28" s="81"/>
      <c r="D28" s="81"/>
      <c r="E28" s="81"/>
      <c r="F28" s="81"/>
      <c r="G28" s="81"/>
      <c r="H28" s="90" t="s">
        <v>165</v>
      </c>
      <c r="J28" s="81"/>
      <c r="K28" s="90"/>
      <c r="L28" s="186"/>
      <c r="M28" s="244">
        <f>M26/5</f>
        <v>16359</v>
      </c>
      <c r="N28" s="89"/>
    </row>
    <row r="29" spans="1:20" x14ac:dyDescent="0.35">
      <c r="B29" s="88"/>
      <c r="C29" s="81"/>
      <c r="D29" s="81"/>
      <c r="E29" s="81"/>
      <c r="F29" s="81"/>
      <c r="G29" s="81"/>
      <c r="H29" s="127" t="s">
        <v>166</v>
      </c>
      <c r="J29" s="81"/>
      <c r="K29" s="90"/>
      <c r="L29" s="90"/>
      <c r="M29" s="244">
        <f>M28*0.2</f>
        <v>3271.8</v>
      </c>
      <c r="N29" s="89"/>
    </row>
    <row r="30" spans="1:20" x14ac:dyDescent="0.35">
      <c r="B30" s="91"/>
      <c r="C30" s="17"/>
      <c r="D30" s="17"/>
      <c r="E30" s="17"/>
      <c r="F30" s="17"/>
      <c r="G30" s="17"/>
      <c r="H30" s="17"/>
      <c r="I30" s="17"/>
      <c r="J30" s="17"/>
      <c r="K30" s="17"/>
      <c r="L30" s="17"/>
      <c r="M30" s="245"/>
      <c r="N30" s="92"/>
    </row>
  </sheetData>
  <printOptions horizontalCentered="1"/>
  <pageMargins left="0.6" right="0.5" top="1.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2:T42"/>
  <sheetViews>
    <sheetView topLeftCell="A10" workbookViewId="0">
      <selection activeCell="L23" sqref="L23"/>
    </sheetView>
  </sheetViews>
  <sheetFormatPr defaultColWidth="8.84375" defaultRowHeight="15.5" x14ac:dyDescent="0.35"/>
  <cols>
    <col min="1" max="1" width="3.07421875" style="27" customWidth="1"/>
    <col min="2" max="2" width="1.69140625" style="27" customWidth="1"/>
    <col min="3" max="3" width="4.765625" style="27" customWidth="1"/>
    <col min="4" max="4" width="6.765625" style="27" customWidth="1"/>
    <col min="5" max="5" width="6.3046875" style="27" customWidth="1"/>
    <col min="6" max="6" width="7.3046875" style="27" customWidth="1"/>
    <col min="7" max="7" width="13.3046875" style="27" customWidth="1"/>
    <col min="8" max="8" width="1.23046875" style="27" customWidth="1"/>
    <col min="9" max="9" width="4.765625" style="27" customWidth="1"/>
    <col min="10" max="10" width="7" style="27" customWidth="1"/>
    <col min="11" max="11" width="6.3046875" style="27" customWidth="1"/>
    <col min="12" max="12" width="8.15234375" style="27" bestFit="1" customWidth="1"/>
    <col min="13" max="13" width="13.3046875" style="27" customWidth="1"/>
    <col min="14" max="15" width="9.69140625" style="27" customWidth="1"/>
    <col min="16" max="16" width="1.69140625" style="27" customWidth="1"/>
    <col min="17" max="17" width="2.84375" style="27" customWidth="1"/>
    <col min="18" max="206" width="9.69140625" style="27" customWidth="1"/>
    <col min="207" max="16384" width="8.84375" style="27"/>
  </cols>
  <sheetData>
    <row r="2" spans="2:17" x14ac:dyDescent="0.35">
      <c r="B2" s="48"/>
      <c r="C2" s="104"/>
      <c r="D2" s="104"/>
      <c r="E2" s="104"/>
      <c r="F2" s="104"/>
      <c r="G2" s="99"/>
      <c r="H2" s="104"/>
      <c r="I2" s="104"/>
      <c r="J2" s="104"/>
      <c r="K2" s="104"/>
      <c r="L2" s="104"/>
      <c r="M2" s="104"/>
      <c r="N2" s="99"/>
      <c r="O2" s="99"/>
      <c r="P2" s="404"/>
    </row>
    <row r="3" spans="2:17" ht="18.5" hidden="1" x14ac:dyDescent="0.45">
      <c r="B3" s="51"/>
      <c r="C3" s="604" t="s">
        <v>131</v>
      </c>
      <c r="D3" s="604"/>
      <c r="E3" s="604"/>
      <c r="F3" s="604"/>
      <c r="G3" s="604"/>
      <c r="H3" s="604"/>
      <c r="I3" s="604"/>
      <c r="J3" s="604"/>
      <c r="K3" s="604"/>
      <c r="L3" s="604"/>
      <c r="M3" s="604"/>
      <c r="N3" s="604"/>
      <c r="O3" s="604"/>
      <c r="P3" s="100"/>
    </row>
    <row r="4" spans="2:17" ht="18.5" x14ac:dyDescent="0.45">
      <c r="B4" s="51"/>
      <c r="C4" s="604" t="s">
        <v>595</v>
      </c>
      <c r="D4" s="604"/>
      <c r="E4" s="604"/>
      <c r="F4" s="604"/>
      <c r="G4" s="604"/>
      <c r="H4" s="604"/>
      <c r="I4" s="604"/>
      <c r="J4" s="604"/>
      <c r="K4" s="604"/>
      <c r="L4" s="604"/>
      <c r="M4" s="604"/>
      <c r="N4" s="604"/>
      <c r="O4" s="604"/>
      <c r="P4" s="100"/>
    </row>
    <row r="5" spans="2:17" ht="18.5" x14ac:dyDescent="0.45">
      <c r="B5" s="51"/>
      <c r="C5" s="603" t="str">
        <f>SAOw!A2</f>
        <v>POWELL'S VALLEY WATER DISTRICT</v>
      </c>
      <c r="D5" s="603"/>
      <c r="E5" s="603"/>
      <c r="F5" s="603"/>
      <c r="G5" s="603"/>
      <c r="H5" s="603"/>
      <c r="I5" s="603"/>
      <c r="J5" s="603"/>
      <c r="K5" s="603"/>
      <c r="L5" s="603"/>
      <c r="M5" s="603"/>
      <c r="N5" s="603"/>
      <c r="O5" s="603"/>
      <c r="P5" s="213"/>
      <c r="Q5" s="133"/>
    </row>
    <row r="6" spans="2:17" ht="18.5" x14ac:dyDescent="0.35">
      <c r="B6" s="51"/>
      <c r="C6" s="594" t="s">
        <v>199</v>
      </c>
      <c r="D6" s="594"/>
      <c r="E6" s="594"/>
      <c r="F6" s="594"/>
      <c r="G6" s="594"/>
      <c r="H6" s="594"/>
      <c r="I6" s="594"/>
      <c r="J6" s="594"/>
      <c r="K6" s="594"/>
      <c r="L6" s="594"/>
      <c r="M6" s="594"/>
      <c r="N6" s="594"/>
      <c r="O6" s="594"/>
      <c r="P6" s="213"/>
      <c r="Q6" s="133"/>
    </row>
    <row r="7" spans="2:17" x14ac:dyDescent="0.35">
      <c r="B7" s="51"/>
      <c r="C7" s="1"/>
      <c r="D7" s="1"/>
      <c r="E7" s="1"/>
      <c r="F7" s="1"/>
      <c r="G7" s="1"/>
      <c r="H7" s="1"/>
      <c r="I7" s="1"/>
      <c r="J7" s="1"/>
      <c r="K7" s="1"/>
      <c r="L7" s="1"/>
      <c r="M7" s="1"/>
      <c r="P7" s="100"/>
    </row>
    <row r="8" spans="2:17" x14ac:dyDescent="0.35">
      <c r="B8" s="51"/>
      <c r="C8" s="1"/>
      <c r="D8" s="1"/>
      <c r="E8" s="1"/>
      <c r="F8" s="1"/>
      <c r="G8" s="1"/>
      <c r="H8" s="1"/>
      <c r="I8" s="1"/>
      <c r="J8" s="1"/>
      <c r="K8" s="1"/>
      <c r="L8" s="1"/>
      <c r="M8" s="1"/>
      <c r="P8" s="100"/>
    </row>
    <row r="9" spans="2:17" x14ac:dyDescent="0.35">
      <c r="B9" s="51"/>
      <c r="C9" s="608" t="s">
        <v>88</v>
      </c>
      <c r="D9" s="609"/>
      <c r="E9" s="609"/>
      <c r="F9" s="609"/>
      <c r="G9" s="610"/>
      <c r="H9" s="1"/>
      <c r="I9" s="605" t="s">
        <v>193</v>
      </c>
      <c r="J9" s="605"/>
      <c r="K9" s="605"/>
      <c r="L9" s="605"/>
      <c r="M9" s="605"/>
      <c r="P9" s="100"/>
    </row>
    <row r="10" spans="2:17" x14ac:dyDescent="0.35">
      <c r="B10" s="51"/>
      <c r="C10" s="51"/>
      <c r="D10" s="1"/>
      <c r="E10" s="1"/>
      <c r="F10" s="1"/>
      <c r="G10" s="106"/>
      <c r="H10" s="1"/>
      <c r="I10" s="1"/>
      <c r="J10" s="1"/>
      <c r="K10" s="1"/>
      <c r="L10" s="1"/>
      <c r="M10" s="1"/>
      <c r="O10" s="390" t="s">
        <v>132</v>
      </c>
      <c r="P10" s="100"/>
    </row>
    <row r="11" spans="2:17" x14ac:dyDescent="0.35">
      <c r="B11" s="51"/>
      <c r="C11" s="470" t="s">
        <v>210</v>
      </c>
      <c r="D11" s="1"/>
      <c r="E11" s="1"/>
      <c r="F11" s="1"/>
      <c r="G11" s="106"/>
      <c r="H11" s="1"/>
      <c r="I11" s="10" t="s">
        <v>404</v>
      </c>
      <c r="J11" s="1"/>
      <c r="K11" s="1"/>
      <c r="L11" s="111"/>
      <c r="M11" s="1"/>
      <c r="N11" s="390" t="s">
        <v>248</v>
      </c>
      <c r="O11" s="390" t="s">
        <v>133</v>
      </c>
      <c r="P11" s="100"/>
    </row>
    <row r="12" spans="2:17" x14ac:dyDescent="0.35">
      <c r="B12" s="51"/>
      <c r="C12" s="525" t="s">
        <v>80</v>
      </c>
      <c r="D12" s="107">
        <v>2000</v>
      </c>
      <c r="E12" s="1" t="s">
        <v>84</v>
      </c>
      <c r="F12" s="108">
        <v>24.77</v>
      </c>
      <c r="G12" s="106" t="s">
        <v>85</v>
      </c>
      <c r="H12" s="1"/>
      <c r="I12" s="13" t="s">
        <v>80</v>
      </c>
      <c r="J12" s="107">
        <f>D12</f>
        <v>2000</v>
      </c>
      <c r="K12" s="1" t="s">
        <v>84</v>
      </c>
      <c r="L12" s="108">
        <f>ROUND(F12*(1+(SAOw!$G$61)),5)</f>
        <v>27.544239999999999</v>
      </c>
      <c r="M12" s="1" t="s">
        <v>85</v>
      </c>
      <c r="N12" s="163">
        <f>L12-F12</f>
        <v>2.7742399999999989</v>
      </c>
      <c r="O12" s="508">
        <f>(L12-F12)/F12</f>
        <v>0.11199999999999996</v>
      </c>
      <c r="P12" s="100"/>
      <c r="Q12" s="163"/>
    </row>
    <row r="13" spans="2:17" x14ac:dyDescent="0.35">
      <c r="B13" s="51"/>
      <c r="C13" s="525" t="s">
        <v>81</v>
      </c>
      <c r="D13" s="107">
        <v>2000</v>
      </c>
      <c r="E13" s="1" t="s">
        <v>84</v>
      </c>
      <c r="F13" s="250">
        <v>1.0829999999999999E-2</v>
      </c>
      <c r="G13" s="106" t="s">
        <v>237</v>
      </c>
      <c r="H13" s="1"/>
      <c r="I13" s="13" t="s">
        <v>81</v>
      </c>
      <c r="J13" s="107">
        <f>D13</f>
        <v>2000</v>
      </c>
      <c r="K13" s="1" t="s">
        <v>84</v>
      </c>
      <c r="L13" s="250">
        <f>ROUND(F13*(1+(SAOw!$G$61)),7)</f>
        <v>1.2043E-2</v>
      </c>
      <c r="M13" s="1" t="s">
        <v>413</v>
      </c>
      <c r="N13" s="253">
        <f t="shared" ref="N13:N15" si="0">L13-F13</f>
        <v>1.2130000000000005E-3</v>
      </c>
      <c r="O13" s="508">
        <f>(L13-F13)/F13</f>
        <v>0.11200369344413671</v>
      </c>
      <c r="P13" s="100"/>
      <c r="Q13" s="254"/>
    </row>
    <row r="14" spans="2:17" x14ac:dyDescent="0.35">
      <c r="B14" s="51"/>
      <c r="C14" s="525" t="s">
        <v>81</v>
      </c>
      <c r="D14" s="107">
        <v>2000</v>
      </c>
      <c r="E14" s="1" t="s">
        <v>84</v>
      </c>
      <c r="F14" s="250">
        <v>9.8399999999999998E-3</v>
      </c>
      <c r="G14" s="106" t="s">
        <v>237</v>
      </c>
      <c r="H14" s="1"/>
      <c r="I14" s="13" t="s">
        <v>81</v>
      </c>
      <c r="J14" s="107">
        <f>D14</f>
        <v>2000</v>
      </c>
      <c r="K14" s="1" t="s">
        <v>84</v>
      </c>
      <c r="L14" s="250">
        <f>ROUND(F14*(1+(SAOw!$G$61)),7)</f>
        <v>1.09421E-2</v>
      </c>
      <c r="M14" s="1" t="s">
        <v>413</v>
      </c>
      <c r="N14" s="253">
        <f t="shared" si="0"/>
        <v>1.1021E-3</v>
      </c>
      <c r="O14" s="407">
        <f>(L14-F14)/F14</f>
        <v>0.1120020325203252</v>
      </c>
      <c r="P14" s="100"/>
      <c r="Q14" s="254"/>
    </row>
    <row r="15" spans="2:17" x14ac:dyDescent="0.35">
      <c r="B15" s="51"/>
      <c r="C15" s="526" t="s">
        <v>82</v>
      </c>
      <c r="D15" s="527">
        <v>6000</v>
      </c>
      <c r="E15" s="20" t="s">
        <v>84</v>
      </c>
      <c r="F15" s="528">
        <v>9.2499999999999995E-3</v>
      </c>
      <c r="G15" s="110" t="s">
        <v>237</v>
      </c>
      <c r="H15" s="1"/>
      <c r="I15" s="13" t="s">
        <v>82</v>
      </c>
      <c r="J15" s="107">
        <f>D15</f>
        <v>6000</v>
      </c>
      <c r="K15" s="1" t="s">
        <v>84</v>
      </c>
      <c r="L15" s="250">
        <f>ROUND(F15*(1+(SAOw!$G$61)),7)</f>
        <v>1.0286E-2</v>
      </c>
      <c r="M15" s="1" t="s">
        <v>413</v>
      </c>
      <c r="N15" s="253">
        <f t="shared" si="0"/>
        <v>1.0360000000000005E-3</v>
      </c>
      <c r="O15" s="407">
        <f>(L15-F15)/F15</f>
        <v>0.11200000000000006</v>
      </c>
      <c r="P15" s="100"/>
      <c r="Q15" s="254"/>
    </row>
    <row r="16" spans="2:17" x14ac:dyDescent="0.35">
      <c r="B16" s="51"/>
      <c r="C16" s="107"/>
      <c r="D16" s="1"/>
      <c r="E16" s="1"/>
      <c r="F16" s="1"/>
      <c r="G16" s="1"/>
      <c r="H16" s="1"/>
      <c r="I16" s="107"/>
      <c r="J16" s="1"/>
      <c r="K16" s="1"/>
      <c r="L16" s="1"/>
      <c r="M16" s="1"/>
      <c r="P16" s="100"/>
    </row>
    <row r="17" spans="2:17" x14ac:dyDescent="0.35">
      <c r="B17" s="51"/>
      <c r="C17" s="529"/>
      <c r="D17" s="104" t="s">
        <v>568</v>
      </c>
      <c r="E17" s="104"/>
      <c r="F17" s="104"/>
      <c r="G17" s="105"/>
      <c r="H17" s="1"/>
      <c r="I17" s="10" t="s">
        <v>110</v>
      </c>
      <c r="J17" s="1"/>
      <c r="K17" s="1"/>
      <c r="L17" s="1"/>
      <c r="M17" s="1"/>
      <c r="P17" s="100"/>
    </row>
    <row r="18" spans="2:17" x14ac:dyDescent="0.35">
      <c r="B18" s="51"/>
      <c r="C18" s="525"/>
      <c r="D18" s="353"/>
      <c r="E18" s="1"/>
      <c r="F18" s="523">
        <f>F12+(2000*F13)</f>
        <v>46.43</v>
      </c>
      <c r="G18" s="106" t="s">
        <v>584</v>
      </c>
      <c r="H18" s="1"/>
      <c r="I18" s="13" t="s">
        <v>80</v>
      </c>
      <c r="J18" s="353">
        <v>4000</v>
      </c>
      <c r="K18" s="1" t="s">
        <v>84</v>
      </c>
      <c r="L18" s="112">
        <f>L12+(2000*L13)</f>
        <v>51.630240000000001</v>
      </c>
      <c r="M18" s="1" t="s">
        <v>85</v>
      </c>
      <c r="N18" s="522">
        <f>L18-F18</f>
        <v>5.2002400000000009</v>
      </c>
      <c r="O18" s="508">
        <f t="shared" ref="O18:O20" si="1">(L18-F18)/F18</f>
        <v>0.11200172302390697</v>
      </c>
      <c r="P18" s="100"/>
      <c r="Q18" s="215"/>
    </row>
    <row r="19" spans="2:17" x14ac:dyDescent="0.35">
      <c r="B19" s="51"/>
      <c r="C19" s="525"/>
      <c r="D19" s="353"/>
      <c r="E19" s="1"/>
      <c r="F19" s="586">
        <f>F14</f>
        <v>9.8399999999999998E-3</v>
      </c>
      <c r="G19" s="106" t="s">
        <v>237</v>
      </c>
      <c r="H19" s="1"/>
      <c r="I19" s="13" t="s">
        <v>81</v>
      </c>
      <c r="J19" s="353">
        <v>2000</v>
      </c>
      <c r="K19" s="1" t="s">
        <v>84</v>
      </c>
      <c r="L19" s="587">
        <f>L14</f>
        <v>1.09421E-2</v>
      </c>
      <c r="M19" s="1" t="s">
        <v>413</v>
      </c>
      <c r="N19" s="524">
        <f>L19-F19</f>
        <v>1.1021E-3</v>
      </c>
      <c r="O19" s="407">
        <f t="shared" si="1"/>
        <v>0.1120020325203252</v>
      </c>
      <c r="P19" s="100"/>
      <c r="Q19" s="215"/>
    </row>
    <row r="20" spans="2:17" x14ac:dyDescent="0.35">
      <c r="B20" s="51"/>
      <c r="C20" s="525"/>
      <c r="D20" s="353"/>
      <c r="E20" s="1"/>
      <c r="F20" s="250">
        <v>9.2499999999999995E-3</v>
      </c>
      <c r="G20" s="106" t="s">
        <v>237</v>
      </c>
      <c r="H20" s="1"/>
      <c r="I20" s="13" t="s">
        <v>82</v>
      </c>
      <c r="J20" s="353">
        <v>6000</v>
      </c>
      <c r="K20" s="1" t="s">
        <v>84</v>
      </c>
      <c r="L20" s="356">
        <f>L15</f>
        <v>1.0286E-2</v>
      </c>
      <c r="M20" s="1" t="s">
        <v>413</v>
      </c>
      <c r="N20" s="524">
        <f>L20-F20</f>
        <v>1.0360000000000005E-3</v>
      </c>
      <c r="O20" s="407">
        <f t="shared" si="1"/>
        <v>0.11200000000000006</v>
      </c>
      <c r="P20" s="100"/>
      <c r="Q20" s="215"/>
    </row>
    <row r="21" spans="2:17" x14ac:dyDescent="0.35">
      <c r="B21" s="51"/>
      <c r="C21" s="530"/>
      <c r="D21" s="1"/>
      <c r="E21" s="1"/>
      <c r="F21" s="1"/>
      <c r="G21" s="106"/>
      <c r="H21" s="1"/>
      <c r="I21" s="353"/>
      <c r="J21" s="1"/>
      <c r="K21" s="1"/>
      <c r="L21" s="1"/>
      <c r="M21" s="1"/>
      <c r="P21" s="100"/>
    </row>
    <row r="22" spans="2:17" x14ac:dyDescent="0.35">
      <c r="B22" s="51"/>
      <c r="C22" s="470"/>
      <c r="D22" s="1"/>
      <c r="E22" s="1"/>
      <c r="F22" s="1"/>
      <c r="G22" s="106"/>
      <c r="H22" s="1"/>
      <c r="I22" s="10" t="s">
        <v>111</v>
      </c>
      <c r="J22" s="1"/>
      <c r="K22" s="1"/>
      <c r="L22" s="1"/>
      <c r="M22" s="1"/>
      <c r="P22" s="100"/>
    </row>
    <row r="23" spans="2:17" x14ac:dyDescent="0.35">
      <c r="B23" s="51"/>
      <c r="C23" s="525"/>
      <c r="D23" s="353"/>
      <c r="E23" s="1"/>
      <c r="F23" s="523">
        <f>F12+(2000*F13)+(2000*F14)</f>
        <v>66.11</v>
      </c>
      <c r="G23" s="106" t="s">
        <v>567</v>
      </c>
      <c r="H23" s="1"/>
      <c r="I23" s="13" t="s">
        <v>80</v>
      </c>
      <c r="J23" s="353">
        <v>6000</v>
      </c>
      <c r="K23" s="1" t="s">
        <v>84</v>
      </c>
      <c r="L23" s="354">
        <f>L12+(2000*L13)+(2000*L14)</f>
        <v>73.514440000000008</v>
      </c>
      <c r="M23" s="1" t="s">
        <v>85</v>
      </c>
      <c r="N23" s="522">
        <f t="shared" ref="N23:N24" si="2">L23-F23</f>
        <v>7.4044400000000081</v>
      </c>
      <c r="O23" s="508">
        <f t="shared" ref="O23:O24" si="3">(L23-F23)/F23</f>
        <v>0.11200181515655738</v>
      </c>
      <c r="P23" s="100"/>
      <c r="Q23" s="163"/>
    </row>
    <row r="24" spans="2:17" x14ac:dyDescent="0.35">
      <c r="B24" s="51"/>
      <c r="C24" s="526"/>
      <c r="D24" s="531"/>
      <c r="E24" s="20"/>
      <c r="F24" s="532">
        <f>F15</f>
        <v>9.2499999999999995E-3</v>
      </c>
      <c r="G24" s="110" t="s">
        <v>237</v>
      </c>
      <c r="H24" s="1"/>
      <c r="I24" s="13" t="s">
        <v>82</v>
      </c>
      <c r="J24" s="353">
        <v>6000</v>
      </c>
      <c r="K24" s="1" t="s">
        <v>84</v>
      </c>
      <c r="L24" s="356">
        <f>L15</f>
        <v>1.0286E-2</v>
      </c>
      <c r="M24" s="1" t="s">
        <v>413</v>
      </c>
      <c r="N24" s="524">
        <f t="shared" si="2"/>
        <v>1.0360000000000005E-3</v>
      </c>
      <c r="O24" s="407">
        <f t="shared" si="3"/>
        <v>0.11200000000000006</v>
      </c>
      <c r="P24" s="100"/>
      <c r="Q24" s="215"/>
    </row>
    <row r="25" spans="2:17" x14ac:dyDescent="0.35">
      <c r="B25" s="51"/>
      <c r="D25" s="353"/>
      <c r="E25" s="1"/>
      <c r="F25" s="355"/>
      <c r="G25" s="1"/>
      <c r="H25" s="1"/>
      <c r="J25" s="353"/>
      <c r="K25" s="1"/>
      <c r="L25" s="1"/>
      <c r="M25" s="1"/>
      <c r="O25" s="390" t="s">
        <v>132</v>
      </c>
      <c r="P25" s="100"/>
    </row>
    <row r="26" spans="2:17" ht="18.5" x14ac:dyDescent="0.65">
      <c r="B26" s="51"/>
      <c r="C26" s="13"/>
      <c r="D26" s="361"/>
      <c r="E26" s="1"/>
      <c r="F26" s="509" t="s">
        <v>134</v>
      </c>
      <c r="G26" s="510"/>
      <c r="H26" s="510"/>
      <c r="I26" s="511"/>
      <c r="J26" s="512"/>
      <c r="K26" s="510"/>
      <c r="L26" s="509" t="s">
        <v>135</v>
      </c>
      <c r="M26" s="510"/>
      <c r="N26" s="513" t="s">
        <v>248</v>
      </c>
      <c r="O26" s="390" t="s">
        <v>133</v>
      </c>
      <c r="P26" s="100"/>
      <c r="Q26" s="163"/>
    </row>
    <row r="27" spans="2:17" x14ac:dyDescent="0.35">
      <c r="B27" s="51"/>
      <c r="C27" s="10" t="s">
        <v>356</v>
      </c>
      <c r="D27" s="361"/>
      <c r="E27" s="1"/>
      <c r="F27" s="356">
        <v>3.5000000000000001E-3</v>
      </c>
      <c r="G27" s="1" t="s">
        <v>413</v>
      </c>
      <c r="H27" s="1"/>
      <c r="I27" s="10" t="s">
        <v>356</v>
      </c>
      <c r="J27" s="361"/>
      <c r="K27" s="1"/>
      <c r="L27" s="356">
        <f>ROUND(F27*(1+(SAOw!$G$61)),7)</f>
        <v>3.8920000000000001E-3</v>
      </c>
      <c r="M27" s="1" t="s">
        <v>413</v>
      </c>
      <c r="N27" s="253">
        <f t="shared" ref="N27" si="4">L27-F27</f>
        <v>3.9199999999999999E-4</v>
      </c>
      <c r="O27" s="508">
        <f>(L27-F27)/F27</f>
        <v>0.11199999999999999</v>
      </c>
      <c r="P27" s="100"/>
      <c r="Q27" s="215"/>
    </row>
    <row r="28" spans="2:17" x14ac:dyDescent="0.35">
      <c r="B28" s="51"/>
      <c r="C28" s="514" t="s">
        <v>569</v>
      </c>
      <c r="D28" s="361"/>
      <c r="E28" s="1"/>
      <c r="F28" s="356"/>
      <c r="G28" s="1"/>
      <c r="H28" s="1"/>
      <c r="I28" s="10"/>
      <c r="J28" s="361"/>
      <c r="K28" s="1"/>
      <c r="L28" s="356"/>
      <c r="M28" s="1"/>
      <c r="N28" s="253"/>
      <c r="O28" s="508"/>
      <c r="P28" s="100"/>
      <c r="Q28" s="215"/>
    </row>
    <row r="29" spans="2:17" ht="17" x14ac:dyDescent="0.5">
      <c r="B29" s="51"/>
      <c r="D29" s="361"/>
      <c r="E29" s="1"/>
      <c r="F29" s="509" t="s">
        <v>134</v>
      </c>
      <c r="G29" s="1"/>
      <c r="H29" s="1"/>
      <c r="I29" s="13"/>
      <c r="J29" s="361"/>
      <c r="K29" s="1"/>
      <c r="L29" s="355"/>
      <c r="M29" s="1"/>
      <c r="O29" s="508"/>
      <c r="P29" s="100"/>
      <c r="Q29" s="215"/>
    </row>
    <row r="30" spans="2:17" x14ac:dyDescent="0.35">
      <c r="B30" s="51"/>
      <c r="C30" s="13"/>
      <c r="D30" s="501"/>
      <c r="E30" s="1"/>
      <c r="F30" s="521">
        <v>0</v>
      </c>
      <c r="G30" s="1" t="s">
        <v>198</v>
      </c>
      <c r="H30" s="1"/>
      <c r="I30" s="514"/>
      <c r="J30" s="361"/>
      <c r="K30" s="1"/>
      <c r="L30" s="354">
        <f>Adj!D31</f>
        <v>2.2809481934993263</v>
      </c>
      <c r="M30" s="1" t="s">
        <v>198</v>
      </c>
      <c r="N30" s="515">
        <f>L30</f>
        <v>2.2809481934993263</v>
      </c>
      <c r="O30" s="508">
        <f>N30/L30</f>
        <v>1</v>
      </c>
      <c r="P30" s="100"/>
      <c r="Q30" s="215"/>
    </row>
    <row r="31" spans="2:17" x14ac:dyDescent="0.35">
      <c r="B31" s="56"/>
      <c r="C31" s="102"/>
      <c r="D31" s="102"/>
      <c r="E31" s="20"/>
      <c r="F31" s="516"/>
      <c r="G31" s="20"/>
      <c r="H31" s="20"/>
      <c r="I31" s="517"/>
      <c r="J31" s="518"/>
      <c r="K31" s="20"/>
      <c r="L31" s="519"/>
      <c r="M31" s="20"/>
      <c r="N31" s="102"/>
      <c r="O31" s="520"/>
      <c r="P31" s="103"/>
      <c r="Q31" s="215"/>
    </row>
    <row r="32" spans="2:17" x14ac:dyDescent="0.35">
      <c r="B32" s="1"/>
      <c r="C32" s="353"/>
      <c r="D32" s="1"/>
      <c r="E32" s="1"/>
      <c r="F32" s="1"/>
      <c r="G32" s="1"/>
      <c r="H32" s="1"/>
      <c r="I32" s="1"/>
      <c r="J32" s="1"/>
      <c r="K32" s="1"/>
      <c r="L32" s="1"/>
      <c r="M32" s="1"/>
    </row>
    <row r="33" spans="2:20" ht="18.5" x14ac:dyDescent="0.35">
      <c r="B33" s="98"/>
      <c r="C33" s="607" t="s">
        <v>200</v>
      </c>
      <c r="D33" s="607"/>
      <c r="E33" s="607"/>
      <c r="F33" s="607"/>
      <c r="G33" s="607"/>
      <c r="H33" s="607"/>
      <c r="I33" s="607"/>
      <c r="J33" s="607"/>
      <c r="K33" s="607"/>
      <c r="L33" s="607"/>
      <c r="M33" s="607"/>
      <c r="N33" s="607"/>
      <c r="O33" s="607"/>
      <c r="P33" s="404"/>
    </row>
    <row r="34" spans="2:20" x14ac:dyDescent="0.35">
      <c r="B34" s="97"/>
      <c r="C34" s="405"/>
      <c r="P34" s="106"/>
      <c r="Q34" s="1"/>
      <c r="R34" s="111"/>
      <c r="S34" s="111"/>
      <c r="T34" s="111"/>
    </row>
    <row r="35" spans="2:20" x14ac:dyDescent="0.35">
      <c r="B35" s="97"/>
      <c r="C35" s="605" t="s">
        <v>88</v>
      </c>
      <c r="D35" s="605"/>
      <c r="E35" s="605"/>
      <c r="F35" s="605"/>
      <c r="G35" s="606"/>
      <c r="I35" s="605" t="s">
        <v>193</v>
      </c>
      <c r="J35" s="605"/>
      <c r="K35" s="605"/>
      <c r="L35" s="605"/>
      <c r="M35" s="605"/>
      <c r="P35" s="406"/>
      <c r="Q35" s="1"/>
      <c r="R35" s="112"/>
      <c r="S35" s="112"/>
      <c r="T35" s="113"/>
    </row>
    <row r="36" spans="2:20" x14ac:dyDescent="0.35">
      <c r="B36" s="97"/>
      <c r="C36" s="1"/>
      <c r="D36" s="1"/>
      <c r="E36" s="1"/>
      <c r="F36" s="1"/>
      <c r="G36" s="106"/>
      <c r="I36" s="1"/>
      <c r="J36" s="1"/>
      <c r="K36" s="1"/>
      <c r="L36" s="1"/>
      <c r="M36" s="1"/>
      <c r="O36" s="390" t="s">
        <v>132</v>
      </c>
      <c r="P36" s="406"/>
      <c r="Q36" s="1"/>
      <c r="R36" s="147"/>
      <c r="S36" s="147"/>
      <c r="T36" s="113"/>
    </row>
    <row r="37" spans="2:20" x14ac:dyDescent="0.35">
      <c r="B37" s="97"/>
      <c r="C37" s="10" t="s">
        <v>194</v>
      </c>
      <c r="D37" s="1"/>
      <c r="E37" s="1"/>
      <c r="F37" s="1"/>
      <c r="G37" s="106"/>
      <c r="I37" s="10" t="s">
        <v>194</v>
      </c>
      <c r="J37" s="1"/>
      <c r="K37" s="1"/>
      <c r="L37" s="111"/>
      <c r="M37" s="1"/>
      <c r="N37" s="390" t="s">
        <v>248</v>
      </c>
      <c r="O37" s="390" t="s">
        <v>133</v>
      </c>
      <c r="P37" s="406"/>
      <c r="Q37" s="1"/>
      <c r="R37" s="147"/>
      <c r="S37" s="147"/>
      <c r="T37" s="113"/>
    </row>
    <row r="38" spans="2:20" x14ac:dyDescent="0.35">
      <c r="B38" s="97"/>
      <c r="C38" s="13" t="s">
        <v>80</v>
      </c>
      <c r="D38" s="216">
        <v>2000</v>
      </c>
      <c r="E38" s="1" t="s">
        <v>84</v>
      </c>
      <c r="F38" s="217">
        <v>27.57</v>
      </c>
      <c r="G38" s="106" t="s">
        <v>85</v>
      </c>
      <c r="I38" s="13" t="s">
        <v>80</v>
      </c>
      <c r="J38" s="216">
        <f>D38</f>
        <v>2000</v>
      </c>
      <c r="K38" s="1" t="s">
        <v>84</v>
      </c>
      <c r="L38" s="217">
        <f>RatesS!L12</f>
        <v>29.21</v>
      </c>
      <c r="M38" s="1" t="s">
        <v>85</v>
      </c>
      <c r="N38" s="163">
        <f t="shared" ref="N38:N39" si="5">L38-F38</f>
        <v>1.6400000000000006</v>
      </c>
      <c r="O38" s="407">
        <f t="shared" ref="O38:O39" si="6">(L38-F38)/F38</f>
        <v>5.9484947406601402E-2</v>
      </c>
      <c r="P38" s="406"/>
      <c r="Q38" s="1"/>
      <c r="R38" s="147"/>
      <c r="S38" s="147"/>
      <c r="T38" s="113"/>
    </row>
    <row r="39" spans="2:20" x14ac:dyDescent="0.35">
      <c r="B39" s="97"/>
      <c r="C39" s="13" t="s">
        <v>82</v>
      </c>
      <c r="D39" s="216">
        <v>2000</v>
      </c>
      <c r="E39" s="1" t="s">
        <v>84</v>
      </c>
      <c r="F39" s="252">
        <v>1.3780000000000001E-2</v>
      </c>
      <c r="G39" s="106" t="s">
        <v>413</v>
      </c>
      <c r="I39" s="13" t="s">
        <v>82</v>
      </c>
      <c r="J39" s="216">
        <f>D39</f>
        <v>2000</v>
      </c>
      <c r="K39" s="1" t="s">
        <v>84</v>
      </c>
      <c r="L39" s="250">
        <f>RatesS!L13</f>
        <v>1.46E-2</v>
      </c>
      <c r="M39" s="1" t="s">
        <v>413</v>
      </c>
      <c r="N39" s="253">
        <f t="shared" si="5"/>
        <v>8.1999999999999955E-4</v>
      </c>
      <c r="O39" s="407">
        <f t="shared" si="6"/>
        <v>5.9506531204644379E-2</v>
      </c>
      <c r="P39" s="100"/>
    </row>
    <row r="40" spans="2:20" x14ac:dyDescent="0.35">
      <c r="B40" s="97"/>
      <c r="C40" s="13"/>
      <c r="D40" s="216"/>
      <c r="E40" s="1"/>
      <c r="F40" s="219"/>
      <c r="G40" s="106"/>
      <c r="I40" s="13"/>
      <c r="J40" s="216"/>
      <c r="K40" s="1"/>
      <c r="L40" s="109"/>
      <c r="M40" s="1"/>
      <c r="P40" s="100"/>
    </row>
    <row r="41" spans="2:20" x14ac:dyDescent="0.35">
      <c r="B41" s="97"/>
      <c r="C41" s="18" t="s">
        <v>238</v>
      </c>
      <c r="D41" s="216"/>
      <c r="E41" s="1"/>
      <c r="F41" s="108">
        <f>F38</f>
        <v>27.57</v>
      </c>
      <c r="G41" s="106" t="s">
        <v>240</v>
      </c>
      <c r="I41" s="18" t="s">
        <v>238</v>
      </c>
      <c r="J41" s="216"/>
      <c r="K41" s="1"/>
      <c r="L41" s="217">
        <f>RatesS!L15</f>
        <v>29.21</v>
      </c>
      <c r="M41" s="1" t="s">
        <v>240</v>
      </c>
      <c r="N41" s="163">
        <f>L41-F41</f>
        <v>1.6400000000000006</v>
      </c>
      <c r="O41" s="407">
        <f>(L41-F41)/F41</f>
        <v>5.9484947406601402E-2</v>
      </c>
      <c r="P41" s="100"/>
    </row>
    <row r="42" spans="2:20" x14ac:dyDescent="0.35">
      <c r="B42" s="101"/>
      <c r="C42" s="102"/>
      <c r="D42" s="102"/>
      <c r="E42" s="102"/>
      <c r="F42" s="102"/>
      <c r="G42" s="102"/>
      <c r="H42" s="102"/>
      <c r="I42" s="102"/>
      <c r="J42" s="102"/>
      <c r="K42" s="102"/>
      <c r="L42" s="102"/>
      <c r="M42" s="102"/>
      <c r="N42" s="102"/>
      <c r="O42" s="102"/>
      <c r="P42" s="103"/>
    </row>
  </sheetData>
  <mergeCells count="9">
    <mergeCell ref="C3:O3"/>
    <mergeCell ref="C35:G35"/>
    <mergeCell ref="I35:M35"/>
    <mergeCell ref="C4:O4"/>
    <mergeCell ref="C5:O5"/>
    <mergeCell ref="C6:O6"/>
    <mergeCell ref="C33:O33"/>
    <mergeCell ref="C9:G9"/>
    <mergeCell ref="I9:M9"/>
  </mergeCells>
  <printOptions horizontalCentered="1"/>
  <pageMargins left="0.55000000000000004" right="0.55000000000000004" top="1.7" bottom="0.5" header="0" footer="0"/>
  <pageSetup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SAOw</vt:lpstr>
      <vt:lpstr>SAOs</vt:lpstr>
      <vt:lpstr>References</vt:lpstr>
      <vt:lpstr>Adj</vt:lpstr>
      <vt:lpstr>Wages</vt:lpstr>
      <vt:lpstr>Medical</vt:lpstr>
      <vt:lpstr>DeprAdj</vt:lpstr>
      <vt:lpstr>Debt Sch</vt:lpstr>
      <vt:lpstr>RatesW</vt:lpstr>
      <vt:lpstr>RatesS</vt:lpstr>
      <vt:lpstr>ExBAs</vt:lpstr>
      <vt:lpstr>Bills</vt:lpstr>
      <vt:lpstr>ExBAw</vt:lpstr>
      <vt:lpstr>PropBAw</vt:lpstr>
      <vt:lpstr>PropBAs</vt:lpstr>
      <vt:lpstr>Bills!Print_Area</vt:lpstr>
      <vt:lpstr>'Debt Sch'!Print_Area</vt:lpstr>
      <vt:lpstr>DeprAdj!Print_Area</vt:lpstr>
      <vt:lpstr>ExBAs!Print_Area</vt:lpstr>
      <vt:lpstr>ExBAw!Print_Area</vt:lpstr>
      <vt:lpstr>PropBAs!Print_Area</vt:lpstr>
      <vt:lpstr>PropBAw!Print_Area</vt:lpstr>
      <vt:lpstr>RatesS!Print_Area</vt:lpstr>
      <vt:lpstr>RatesW!Print_Area</vt:lpstr>
      <vt:lpstr>SAOs!Print_Area</vt:lpstr>
      <vt:lpstr>SAOw!Print_Area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Janet Reid</cp:lastModifiedBy>
  <cp:lastPrinted>2021-02-19T21:33:12Z</cp:lastPrinted>
  <dcterms:created xsi:type="dcterms:W3CDTF">2016-05-18T14:12:06Z</dcterms:created>
  <dcterms:modified xsi:type="dcterms:W3CDTF">2024-01-03T19:24:21Z</dcterms:modified>
</cp:coreProperties>
</file>