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478FC152-4570-4FD8-AED3-32267D6CC0F7}" xr6:coauthVersionLast="47" xr6:coauthVersionMax="47" xr10:uidLastSave="{00000000-0000-0000-0000-000000000000}"/>
  <bookViews>
    <workbookView xWindow="-120" yWindow="-120" windowWidth="29040" windowHeight="17025" tabRatio="770" xr2:uid="{00000000-000D-0000-FFFF-FFFF00000000}"/>
  </bookViews>
  <sheets>
    <sheet name="Project 32" sheetId="36" r:id="rId1"/>
    <sheet name="Project 33" sheetId="33" r:id="rId2"/>
    <sheet name="Project 40" sheetId="42" r:id="rId3"/>
    <sheet name="Project 41" sheetId="39" r:id="rId4"/>
    <sheet name="Project 42" sheetId="43" r:id="rId5"/>
    <sheet name="Project 43" sheetId="44" r:id="rId6"/>
  </sheets>
  <definedNames>
    <definedName name="_xlnm.Print_Area" localSheetId="0">'Project 32'!$A$1:$N$50</definedName>
    <definedName name="_xlnm.Print_Area" localSheetId="1">'Project 33'!$A$1:$N$35</definedName>
    <definedName name="_xlnm.Print_Area" localSheetId="2">'Project 40'!$A$1:$N$15</definedName>
    <definedName name="_xlnm.Print_Area" localSheetId="3">'Project 41'!$A$1:$N$39</definedName>
    <definedName name="_xlnm.Print_Area" localSheetId="4">'Project 42'!$A$1:$N$15</definedName>
    <definedName name="_xlnm.Print_Area" localSheetId="5">'Project 43'!$A$1:$N$15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4" l="1"/>
  <c r="E15" i="44"/>
  <c r="F14" i="44"/>
  <c r="E14" i="44"/>
  <c r="F13" i="44"/>
  <c r="E13" i="44"/>
  <c r="F12" i="44"/>
  <c r="E12" i="44"/>
  <c r="F11" i="44"/>
  <c r="E11" i="44"/>
  <c r="F10" i="44"/>
  <c r="E10" i="44"/>
  <c r="F15" i="43"/>
  <c r="E15" i="43"/>
  <c r="F14" i="43"/>
  <c r="E14" i="43"/>
  <c r="F13" i="43"/>
  <c r="E13" i="43"/>
  <c r="F12" i="43"/>
  <c r="E12" i="43"/>
  <c r="F11" i="43"/>
  <c r="E11" i="43"/>
  <c r="F10" i="43"/>
  <c r="E10" i="43"/>
  <c r="E37" i="39"/>
  <c r="E38" i="39" s="1"/>
  <c r="E28" i="39"/>
  <c r="E29" i="39"/>
  <c r="F28" i="39"/>
  <c r="H28" i="39" s="1"/>
  <c r="F15" i="39"/>
  <c r="E15" i="39"/>
  <c r="F14" i="39"/>
  <c r="E14" i="39"/>
  <c r="F13" i="39"/>
  <c r="E13" i="39"/>
  <c r="F12" i="39"/>
  <c r="E12" i="39"/>
  <c r="F11" i="39"/>
  <c r="E11" i="39"/>
  <c r="F10" i="39"/>
  <c r="E10" i="39"/>
  <c r="F36" i="39"/>
  <c r="H36" i="39" s="1"/>
  <c r="F35" i="39"/>
  <c r="H35" i="39" s="1"/>
  <c r="F34" i="39"/>
  <c r="H34" i="39" s="1"/>
  <c r="F27" i="39"/>
  <c r="H27" i="39" s="1"/>
  <c r="F26" i="39"/>
  <c r="H26" i="39" s="1"/>
  <c r="F25" i="39"/>
  <c r="H25" i="39" s="1"/>
  <c r="H29" i="39" s="1"/>
  <c r="F15" i="42"/>
  <c r="E15" i="42"/>
  <c r="F14" i="42"/>
  <c r="E14" i="42"/>
  <c r="F13" i="42"/>
  <c r="E13" i="42"/>
  <c r="F12" i="42"/>
  <c r="E12" i="42"/>
  <c r="F11" i="42"/>
  <c r="E11" i="42"/>
  <c r="F10" i="42"/>
  <c r="E10" i="42"/>
  <c r="K15" i="33"/>
  <c r="K14" i="33"/>
  <c r="K13" i="33"/>
  <c r="K12" i="33"/>
  <c r="K11" i="33"/>
  <c r="K10" i="33"/>
  <c r="F15" i="33"/>
  <c r="E15" i="33"/>
  <c r="F14" i="33"/>
  <c r="E14" i="33"/>
  <c r="F13" i="33"/>
  <c r="E13" i="33"/>
  <c r="F12" i="33"/>
  <c r="E12" i="33"/>
  <c r="F11" i="33"/>
  <c r="E11" i="33"/>
  <c r="F10" i="33"/>
  <c r="E10" i="33"/>
  <c r="E34" i="33"/>
  <c r="F33" i="33"/>
  <c r="H33" i="33" s="1"/>
  <c r="F32" i="33"/>
  <c r="F34" i="33" s="1"/>
  <c r="E27" i="33"/>
  <c r="F26" i="33"/>
  <c r="F27" i="33" s="1"/>
  <c r="F25" i="33"/>
  <c r="H25" i="33" s="1"/>
  <c r="E48" i="36"/>
  <c r="E34" i="36"/>
  <c r="F29" i="39" l="1"/>
  <c r="F37" i="39"/>
  <c r="H27" i="33"/>
  <c r="H26" i="33"/>
  <c r="H32" i="33"/>
  <c r="H34" i="33" s="1"/>
  <c r="H37" i="39" l="1"/>
  <c r="H38" i="39" s="1"/>
  <c r="H30" i="39" s="1"/>
  <c r="H31" i="39" s="1"/>
  <c r="F38" i="39"/>
  <c r="H28" i="33"/>
  <c r="H29" i="33" s="1"/>
  <c r="E35" i="36" l="1"/>
  <c r="F15" i="36"/>
  <c r="E15" i="36"/>
  <c r="F14" i="36"/>
  <c r="E14" i="36"/>
  <c r="G15" i="36"/>
  <c r="G14" i="36"/>
  <c r="F13" i="36"/>
  <c r="E13" i="36"/>
  <c r="F12" i="36"/>
  <c r="E12" i="36"/>
  <c r="F11" i="36"/>
  <c r="E11" i="36"/>
  <c r="E49" i="36"/>
  <c r="F49" i="36"/>
  <c r="F48" i="36"/>
  <c r="H48" i="36" s="1"/>
  <c r="H49" i="36" s="1"/>
  <c r="F34" i="36"/>
  <c r="H34" i="36" s="1"/>
  <c r="H35" i="36" s="1"/>
  <c r="C48" i="36"/>
  <c r="C34" i="36"/>
  <c r="F10" i="36"/>
  <c r="E10" i="36"/>
  <c r="F47" i="36"/>
  <c r="H47" i="36" s="1"/>
  <c r="F46" i="36"/>
  <c r="H46" i="36" s="1"/>
  <c r="F45" i="36"/>
  <c r="H45" i="36" s="1"/>
  <c r="F44" i="36"/>
  <c r="H44" i="36" s="1"/>
  <c r="F43" i="36"/>
  <c r="H43" i="36" s="1"/>
  <c r="F42" i="36"/>
  <c r="F41" i="36"/>
  <c r="H41" i="36" s="1"/>
  <c r="F40" i="36"/>
  <c r="H40" i="36" s="1"/>
  <c r="F33" i="36"/>
  <c r="H33" i="36" s="1"/>
  <c r="F32" i="36"/>
  <c r="H32" i="36" s="1"/>
  <c r="F31" i="36"/>
  <c r="H31" i="36" s="1"/>
  <c r="F30" i="36"/>
  <c r="H30" i="36" s="1"/>
  <c r="F29" i="36"/>
  <c r="H29" i="36" s="1"/>
  <c r="F28" i="36"/>
  <c r="H28" i="36" s="1"/>
  <c r="F27" i="36"/>
  <c r="F26" i="36"/>
  <c r="H26" i="36" s="1"/>
  <c r="F25" i="36"/>
  <c r="H25" i="36" s="1"/>
  <c r="F35" i="36" l="1"/>
  <c r="H27" i="36"/>
  <c r="H42" i="36"/>
  <c r="H36" i="36" l="1"/>
  <c r="H37" i="36" s="1"/>
  <c r="H15" i="44" l="1"/>
  <c r="L15" i="44" s="1"/>
  <c r="G15" i="44"/>
  <c r="H14" i="44"/>
  <c r="L14" i="44" s="1"/>
  <c r="G14" i="44"/>
  <c r="H13" i="44"/>
  <c r="L13" i="44" s="1"/>
  <c r="G13" i="44"/>
  <c r="H12" i="44"/>
  <c r="L12" i="44" s="1"/>
  <c r="G12" i="44"/>
  <c r="H11" i="44"/>
  <c r="L11" i="44" s="1"/>
  <c r="G11" i="44"/>
  <c r="H10" i="44"/>
  <c r="L10" i="44" s="1"/>
  <c r="G10" i="44"/>
  <c r="G12" i="43"/>
  <c r="H12" i="43"/>
  <c r="L12" i="43" s="1"/>
  <c r="H15" i="43"/>
  <c r="L15" i="43" s="1"/>
  <c r="G15" i="43"/>
  <c r="H14" i="43"/>
  <c r="L14" i="43" s="1"/>
  <c r="G14" i="43"/>
  <c r="H13" i="43"/>
  <c r="L13" i="43" s="1"/>
  <c r="G13" i="43"/>
  <c r="H11" i="43"/>
  <c r="L11" i="43" s="1"/>
  <c r="G11" i="43"/>
  <c r="H10" i="43"/>
  <c r="L10" i="43" s="1"/>
  <c r="G10" i="43"/>
  <c r="G12" i="42"/>
  <c r="H12" i="42"/>
  <c r="K14" i="44" l="1"/>
  <c r="K15" i="44"/>
  <c r="K15" i="43"/>
  <c r="K13" i="44"/>
  <c r="K12" i="44"/>
  <c r="K11" i="44"/>
  <c r="K10" i="44"/>
  <c r="M10" i="44" s="1"/>
  <c r="K14" i="43"/>
  <c r="K13" i="43"/>
  <c r="K12" i="43"/>
  <c r="K11" i="43"/>
  <c r="K10" i="43"/>
  <c r="M10" i="43" s="1"/>
  <c r="M11" i="44" l="1"/>
  <c r="M11" i="43"/>
  <c r="M12" i="44" l="1"/>
  <c r="M12" i="43"/>
  <c r="O11" i="44" l="1"/>
  <c r="O12" i="44" s="1"/>
  <c r="M13" i="44"/>
  <c r="O11" i="43"/>
  <c r="O12" i="43" s="1"/>
  <c r="M13" i="43"/>
  <c r="M14" i="44" l="1"/>
  <c r="M15" i="44" s="1"/>
  <c r="M14" i="43"/>
  <c r="L12" i="42"/>
  <c r="G11" i="42"/>
  <c r="H15" i="42"/>
  <c r="L15" i="42" s="1"/>
  <c r="G15" i="42"/>
  <c r="H14" i="42"/>
  <c r="L14" i="42" s="1"/>
  <c r="G14" i="42"/>
  <c r="H13" i="42"/>
  <c r="L13" i="42" s="1"/>
  <c r="G13" i="42"/>
  <c r="H11" i="42"/>
  <c r="L11" i="42" s="1"/>
  <c r="H10" i="42"/>
  <c r="L10" i="42" s="1"/>
  <c r="G10" i="42"/>
  <c r="O15" i="44" l="1"/>
  <c r="O16" i="44" s="1"/>
  <c r="O13" i="44"/>
  <c r="O14" i="44" s="1"/>
  <c r="M15" i="43"/>
  <c r="O13" i="43"/>
  <c r="O14" i="43" s="1"/>
  <c r="K15" i="42"/>
  <c r="K14" i="42"/>
  <c r="K13" i="42"/>
  <c r="K11" i="42"/>
  <c r="K10" i="42"/>
  <c r="M10" i="42" s="1"/>
  <c r="K12" i="42"/>
  <c r="O15" i="43" l="1"/>
  <c r="O16" i="43" s="1"/>
  <c r="M11" i="42"/>
  <c r="M12" i="42" l="1"/>
  <c r="O11" i="42" l="1"/>
  <c r="O12" i="42" s="1"/>
  <c r="M13" i="42"/>
  <c r="M14" i="42" l="1"/>
  <c r="O13" i="42" l="1"/>
  <c r="O14" i="42" s="1"/>
  <c r="M15" i="42"/>
  <c r="O15" i="42" l="1"/>
  <c r="O16" i="42" s="1"/>
  <c r="H13" i="39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M10" i="39" l="1"/>
  <c r="M11" i="39" l="1"/>
  <c r="M12" i="39" l="1"/>
  <c r="M13" i="39" l="1"/>
  <c r="G15" i="39" l="1"/>
  <c r="H15" i="39"/>
  <c r="L15" i="39" s="1"/>
  <c r="H39" i="39" s="1"/>
  <c r="H14" i="39"/>
  <c r="L14" i="39" s="1"/>
  <c r="G14" i="39"/>
  <c r="K15" i="39" l="1"/>
  <c r="H32" i="39" s="1"/>
  <c r="K14" i="39"/>
  <c r="M14" i="39" l="1"/>
  <c r="G14" i="33"/>
  <c r="G13" i="33"/>
  <c r="G15" i="33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35" i="33" s="1"/>
  <c r="H10" i="33"/>
  <c r="L10" i="33" s="1"/>
  <c r="G10" i="33"/>
  <c r="G11" i="36"/>
  <c r="H11" i="36"/>
  <c r="L11" i="36" s="1"/>
  <c r="G12" i="36"/>
  <c r="K12" i="36" s="1"/>
  <c r="H12" i="36"/>
  <c r="L12" i="36" s="1"/>
  <c r="G13" i="36"/>
  <c r="H13" i="36"/>
  <c r="L13" i="36" s="1"/>
  <c r="H14" i="36"/>
  <c r="L14" i="36" s="1"/>
  <c r="K14" i="36" s="1"/>
  <c r="H15" i="36"/>
  <c r="L15" i="36" s="1"/>
  <c r="H10" i="36"/>
  <c r="L10" i="36" s="1"/>
  <c r="G10" i="36"/>
  <c r="H50" i="36" l="1"/>
  <c r="K15" i="36"/>
  <c r="K13" i="36"/>
  <c r="K11" i="36"/>
  <c r="K10" i="36"/>
  <c r="M15" i="39"/>
  <c r="M10" i="33"/>
  <c r="M10" i="36"/>
  <c r="H38" i="36"/>
  <c r="H30" i="33"/>
  <c r="M11" i="33" l="1"/>
  <c r="M11" i="36"/>
  <c r="M12" i="33" l="1"/>
  <c r="M12" i="36"/>
  <c r="M13" i="33" l="1"/>
  <c r="M13" i="36"/>
  <c r="M14" i="33" l="1"/>
  <c r="M14" i="36"/>
  <c r="M15" i="33" l="1"/>
  <c r="M15" i="36"/>
  <c r="O11" i="39"/>
  <c r="O12" i="39" s="1"/>
  <c r="O13" i="39" l="1"/>
  <c r="O14" i="39" s="1"/>
  <c r="O15" i="39" l="1"/>
  <c r="O16" i="39" s="1"/>
</calcChain>
</file>

<file path=xl/sharedStrings.xml><?xml version="1.0" encoding="utf-8"?>
<sst xmlns="http://schemas.openxmlformats.org/spreadsheetml/2006/main" count="174" uniqueCount="46">
  <si>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</si>
  <si>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</si>
  <si>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</si>
  <si>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</si>
  <si>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</si>
  <si>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</si>
  <si>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</si>
  <si>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</si>
  <si>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</si>
  <si>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2009 - Plan</t>
  </si>
  <si>
    <t xml:space="preserve"> </t>
  </si>
  <si>
    <t>Project 33 - Beneficial Reuse</t>
  </si>
  <si>
    <t>Project 32 - Trimble County CCP Storage (Landfill - 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</si>
  <si>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</si>
  <si>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</si>
  <si>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</si>
  <si>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</si>
  <si>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</si>
  <si>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</si>
  <si>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</si>
  <si>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</si>
  <si>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</si>
  <si>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</si>
  <si>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</si>
  <si>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</si>
  <si>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</si>
  <si>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</si>
  <si>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</si>
  <si>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</si>
  <si>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</si>
  <si>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</si>
  <si>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</si>
  <si>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</si>
  <si>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</si>
  <si>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</si>
  <si>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</si>
  <si>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</si>
  <si>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</si>
  <si>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41, the deferred tax calculation for this project </t>
  </si>
  <si>
    <t>Project 40 - Ghent New Process Water System</t>
  </si>
  <si>
    <t>Project 42 - Brown New Process Water Systems</t>
  </si>
  <si>
    <t>2020 - Plan</t>
  </si>
  <si>
    <t>Project 43 - Ghent ELG Water Treatment System, Diffuser, and BATW Recirculation System</t>
  </si>
  <si>
    <t>The federal deferred tax column includes an amount for amortization of excess deferred tax amounts.</t>
  </si>
  <si>
    <t>Excess fed deferred tax amortization</t>
  </si>
  <si>
    <t>depreciation, which reduces the Federal tax basis to 50% of the plant balance.  A sample calculation of deferred taxes for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</si>
</sst>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41" fontId="1" fillId="0" borderId="0" xfId="9" applyNumberFormat="1"/>
    <xf numFmtId="41" fontId="1" fillId="0" borderId="0" xfId="0" quotePrefix="1" applyNumberFormat="1" applyFont="1" applyAlignment="1">
      <alignment horizontal="left"/>
    </xf>
    <xf numFmtId="164" fontId="1" fillId="0" borderId="0" xfId="10" quotePrefix="1" applyNumberFormat="1" applyFont="1" applyFill="1" applyAlignment="1">
      <alignment horizontal="left"/>
    </xf>
    <xf numFmtId="43" fontId="1" fillId="0" borderId="0" xfId="10" applyFont="1" applyFill="1"/>
    <xf numFmtId="41" fontId="1" fillId="0" borderId="0" xfId="0" applyNumberFormat="1" applyFont="1"/>
    <xf numFmtId="166" fontId="1" fillId="0" borderId="0" xfId="0" applyNumberFormat="1" applyFont="1"/>
    <xf numFmtId="0" fontId="1" fillId="0" borderId="0" xfId="9"/>
    <xf numFmtId="164" fontId="1" fillId="0" borderId="0" xfId="10" applyNumberFormat="1" applyFont="1" applyFill="1"/>
    <xf numFmtId="164" fontId="0" fillId="0" borderId="0" xfId="1" applyNumberFormat="1" applyFont="1" applyFill="1" applyBorder="1"/>
    <xf numFmtId="41" fontId="1" fillId="0" borderId="0" xfId="9" quotePrefix="1" applyNumberFormat="1" applyAlignment="1">
      <alignment horizontal="left"/>
    </xf>
    <xf numFmtId="166" fontId="1" fillId="0" borderId="0" xfId="9" applyNumberFormat="1"/>
    <xf numFmtId="41" fontId="8" fillId="0" borderId="0" xfId="9" applyNumberFormat="1" applyFont="1"/>
    <xf numFmtId="164" fontId="1" fillId="0" borderId="0" xfId="9" applyNumberFormat="1"/>
    <xf numFmtId="41" fontId="1" fillId="0" borderId="0" xfId="9" applyNumberFormat="1" applyFont="1"/>
    <xf numFmtId="166" fontId="1" fillId="0" borderId="0" xfId="9" applyNumberFormat="1" applyFont="1"/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2 2 2" xfId="10" xr:uid="{D2E9A7B8-97F1-45CE-9585-B6FC57728FA2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  <cellStyle name="Normal 2 2" xfId="9" xr:uid="{8BF7E296-B7CB-4C83-BFEF-3B7F379F892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tabSelected="1"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4.425781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10</v>
      </c>
      <c r="O4" s="14"/>
    </row>
    <row r="5" spans="1:16" x14ac:dyDescent="0.2">
      <c r="A5" s="9" t="s">
        <v>9</v>
      </c>
    </row>
    <row r="6" spans="1:16" x14ac:dyDescent="0.2">
      <c r="A6" s="11" t="s">
        <v>12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8871534</v>
      </c>
    </row>
    <row r="10" spans="1:16" x14ac:dyDescent="0.2">
      <c r="A10" s="32">
        <v>44994</v>
      </c>
      <c r="C10" s="7">
        <v>96647438</v>
      </c>
      <c r="D10" s="24">
        <v>184718</v>
      </c>
      <c r="E10" s="10">
        <f>303496.49</f>
        <v>303496.49</v>
      </c>
      <c r="F10" s="10">
        <f>455541.28</f>
        <v>455541.28</v>
      </c>
      <c r="G10" s="7">
        <f t="shared" ref="G10:G13" si="0">E10-D10</f>
        <v>118778.48999999999</v>
      </c>
      <c r="H10" s="7">
        <f t="shared" ref="H10:H15" si="1">F10-D10</f>
        <v>270823.28000000003</v>
      </c>
      <c r="I10" s="8">
        <v>0.21</v>
      </c>
      <c r="J10" s="8">
        <v>0.05</v>
      </c>
      <c r="K10" s="7">
        <f t="shared" ref="K10:K15" si="2">G10*I10-L10*I10-38.07</f>
        <v>22061.768459999996</v>
      </c>
      <c r="L10" s="7">
        <f t="shared" ref="L10:L15" si="3">H10*J10</f>
        <v>13541.164000000002</v>
      </c>
      <c r="M10" s="7">
        <f t="shared" ref="M10:M15" si="4">M9+K10+L10</f>
        <v>8907136.9324600007</v>
      </c>
      <c r="N10" s="7">
        <v>0</v>
      </c>
      <c r="O10" s="17"/>
      <c r="P10" s="18"/>
    </row>
    <row r="11" spans="1:16" x14ac:dyDescent="0.2">
      <c r="A11" s="32">
        <v>45017</v>
      </c>
      <c r="C11" s="7">
        <v>146726048</v>
      </c>
      <c r="D11" s="15">
        <v>233544</v>
      </c>
      <c r="E11" s="10">
        <f>512156.85-43405.04</f>
        <v>468751.81</v>
      </c>
      <c r="F11" s="10">
        <f>664202.15-43405.04</f>
        <v>620797.11</v>
      </c>
      <c r="G11" s="7">
        <f t="shared" si="0"/>
        <v>235207.81</v>
      </c>
      <c r="H11" s="7">
        <f t="shared" si="1"/>
        <v>387253.11</v>
      </c>
      <c r="I11" s="8">
        <v>0.21</v>
      </c>
      <c r="J11" s="8">
        <v>0.05</v>
      </c>
      <c r="K11" s="7">
        <f t="shared" si="2"/>
        <v>45289.412444999994</v>
      </c>
      <c r="L11" s="7">
        <f t="shared" si="3"/>
        <v>19362.655500000001</v>
      </c>
      <c r="M11" s="23">
        <f t="shared" si="4"/>
        <v>8971789.0004050005</v>
      </c>
      <c r="N11" s="7">
        <v>0</v>
      </c>
      <c r="O11" s="17"/>
      <c r="P11" s="18"/>
    </row>
    <row r="12" spans="1:16" x14ac:dyDescent="0.2">
      <c r="A12" s="32">
        <v>45047</v>
      </c>
      <c r="C12" s="7">
        <v>147464586</v>
      </c>
      <c r="D12" s="15">
        <v>278426</v>
      </c>
      <c r="E12" s="10">
        <f>515618.75+8880.52</f>
        <v>524499.27</v>
      </c>
      <c r="F12" s="10">
        <f>667664.05+8880.52</f>
        <v>676544.57000000007</v>
      </c>
      <c r="G12" s="7">
        <f t="shared" si="0"/>
        <v>246073.27000000002</v>
      </c>
      <c r="H12" s="7">
        <f t="shared" si="1"/>
        <v>398118.57000000007</v>
      </c>
      <c r="I12" s="8">
        <v>0.21</v>
      </c>
      <c r="J12" s="8">
        <v>0.05</v>
      </c>
      <c r="K12" s="7">
        <f t="shared" si="2"/>
        <v>47457.071715000005</v>
      </c>
      <c r="L12" s="7">
        <f t="shared" si="3"/>
        <v>19905.928500000005</v>
      </c>
      <c r="M12" s="7">
        <f t="shared" si="4"/>
        <v>9039152.0006200001</v>
      </c>
      <c r="N12" s="7">
        <v>0</v>
      </c>
      <c r="O12" s="22"/>
      <c r="P12" s="18"/>
    </row>
    <row r="13" spans="1:16" x14ac:dyDescent="0.2">
      <c r="A13" s="32">
        <v>45078</v>
      </c>
      <c r="C13" s="7">
        <v>147464586</v>
      </c>
      <c r="D13" s="15">
        <v>274481</v>
      </c>
      <c r="E13" s="10">
        <f>515618.75+4931.51</f>
        <v>520550.26</v>
      </c>
      <c r="F13" s="10">
        <f>667664.05+4931.51</f>
        <v>672595.56</v>
      </c>
      <c r="G13" s="7">
        <f t="shared" si="0"/>
        <v>246069.26</v>
      </c>
      <c r="H13" s="7">
        <f t="shared" si="1"/>
        <v>398114.56000000006</v>
      </c>
      <c r="I13" s="8">
        <v>0.21</v>
      </c>
      <c r="J13" s="8">
        <v>0.05</v>
      </c>
      <c r="K13" s="7">
        <f t="shared" si="2"/>
        <v>47456.271719999997</v>
      </c>
      <c r="L13" s="7">
        <f t="shared" si="3"/>
        <v>19905.728000000003</v>
      </c>
      <c r="M13" s="7">
        <f t="shared" si="4"/>
        <v>9106514.0003399998</v>
      </c>
      <c r="N13" s="7">
        <v>0</v>
      </c>
      <c r="O13" s="22"/>
      <c r="P13" s="18"/>
    </row>
    <row r="14" spans="1:16" x14ac:dyDescent="0.2">
      <c r="A14" s="32">
        <v>45108</v>
      </c>
      <c r="C14" s="7">
        <v>147464586</v>
      </c>
      <c r="D14" s="15">
        <v>274481</v>
      </c>
      <c r="E14" s="10">
        <f>515618.75+4931.51</f>
        <v>520550.26</v>
      </c>
      <c r="F14" s="10">
        <f>667664.05+4931.51</f>
        <v>672595.56</v>
      </c>
      <c r="G14" s="7">
        <f t="shared" ref="G14:G15" si="5">E14-D14</f>
        <v>246069.26</v>
      </c>
      <c r="H14" s="7">
        <f t="shared" si="1"/>
        <v>398114.56000000006</v>
      </c>
      <c r="I14" s="8">
        <v>0.21</v>
      </c>
      <c r="J14" s="8">
        <v>0.05</v>
      </c>
      <c r="K14" s="7">
        <f t="shared" si="2"/>
        <v>47456.271719999997</v>
      </c>
      <c r="L14" s="7">
        <f t="shared" si="3"/>
        <v>19905.728000000003</v>
      </c>
      <c r="M14" s="7">
        <f t="shared" si="4"/>
        <v>9173876.0000599995</v>
      </c>
      <c r="N14" s="7">
        <v>0</v>
      </c>
      <c r="O14" s="7"/>
      <c r="P14" s="18"/>
    </row>
    <row r="15" spans="1:16" x14ac:dyDescent="0.2">
      <c r="A15" s="32">
        <v>45139</v>
      </c>
      <c r="C15" s="7">
        <v>147464586</v>
      </c>
      <c r="D15" s="15">
        <v>274481</v>
      </c>
      <c r="E15" s="10">
        <f>515618.75+4931.51</f>
        <v>520550.26</v>
      </c>
      <c r="F15" s="10">
        <f>667664.05+4931.51</f>
        <v>672595.56</v>
      </c>
      <c r="G15" s="7">
        <f t="shared" si="5"/>
        <v>246069.26</v>
      </c>
      <c r="H15" s="7">
        <f t="shared" si="1"/>
        <v>398114.56000000006</v>
      </c>
      <c r="I15" s="8">
        <v>0.21</v>
      </c>
      <c r="J15" s="8">
        <v>0.05</v>
      </c>
      <c r="K15" s="7">
        <f t="shared" si="2"/>
        <v>47456.271719999997</v>
      </c>
      <c r="L15" s="7">
        <f t="shared" si="3"/>
        <v>19905.728000000003</v>
      </c>
      <c r="M15" s="7">
        <f t="shared" si="4"/>
        <v>9241237.9997799993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35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36" t="s">
        <v>36</v>
      </c>
    </row>
    <row r="20" spans="1:14" x14ac:dyDescent="0.2">
      <c r="C20" s="36" t="s">
        <v>23</v>
      </c>
    </row>
    <row r="21" spans="1:14" x14ac:dyDescent="0.2">
      <c r="C21" s="36" t="s">
        <v>45</v>
      </c>
    </row>
    <row r="22" spans="1:14" x14ac:dyDescent="0.2">
      <c r="C22" s="7" t="s">
        <v>24</v>
      </c>
    </row>
    <row r="24" spans="1:14" x14ac:dyDescent="0.2">
      <c r="C24" s="7" t="s">
        <v>25</v>
      </c>
      <c r="D24" s="37" t="s">
        <v>26</v>
      </c>
      <c r="E24" s="38" t="s">
        <v>27</v>
      </c>
      <c r="F24" s="7" t="s">
        <v>28</v>
      </c>
      <c r="G24" s="8" t="s">
        <v>19</v>
      </c>
      <c r="H24" s="7" t="s">
        <v>29</v>
      </c>
    </row>
    <row r="25" spans="1:14" x14ac:dyDescent="0.2">
      <c r="C25" s="7">
        <v>1880068.145</v>
      </c>
      <c r="D25" s="7">
        <v>274481</v>
      </c>
      <c r="E25" s="7">
        <v>6990.72</v>
      </c>
      <c r="F25" s="7">
        <f>-D25+E25+0.6</f>
        <v>-267489.68000000005</v>
      </c>
      <c r="G25" s="8">
        <v>0.21</v>
      </c>
      <c r="H25" s="7">
        <f>F25*G25</f>
        <v>-56172.832800000011</v>
      </c>
    </row>
    <row r="26" spans="1:14" x14ac:dyDescent="0.2">
      <c r="C26" s="7">
        <v>184335</v>
      </c>
      <c r="D26" s="7"/>
      <c r="E26" s="7">
        <v>811.84</v>
      </c>
      <c r="F26" s="7">
        <f>E26</f>
        <v>811.84</v>
      </c>
      <c r="G26" s="8">
        <v>0.21</v>
      </c>
      <c r="H26" s="7">
        <f t="shared" ref="H26:H33" si="6">F26*G26</f>
        <v>170.4864</v>
      </c>
    </row>
    <row r="27" spans="1:14" x14ac:dyDescent="0.2">
      <c r="C27" s="7">
        <v>36765919</v>
      </c>
      <c r="D27" s="7"/>
      <c r="E27" s="7">
        <v>175036.41</v>
      </c>
      <c r="F27" s="7">
        <f t="shared" ref="F27:F33" si="7">E27</f>
        <v>175036.41</v>
      </c>
      <c r="G27" s="8">
        <v>0.21</v>
      </c>
      <c r="H27" s="7">
        <f t="shared" si="6"/>
        <v>36757.646099999998</v>
      </c>
    </row>
    <row r="28" spans="1:14" x14ac:dyDescent="0.2">
      <c r="C28" s="7">
        <v>570444</v>
      </c>
      <c r="D28" s="7"/>
      <c r="E28" s="7"/>
      <c r="F28" s="7">
        <f t="shared" si="7"/>
        <v>0</v>
      </c>
      <c r="G28" s="8">
        <v>0.21</v>
      </c>
      <c r="H28" s="7">
        <f t="shared" si="6"/>
        <v>0</v>
      </c>
    </row>
    <row r="29" spans="1:14" x14ac:dyDescent="0.2">
      <c r="C29" s="7">
        <v>209122</v>
      </c>
      <c r="D29" s="7"/>
      <c r="E29" s="7">
        <v>995.59</v>
      </c>
      <c r="F29" s="7">
        <f t="shared" si="7"/>
        <v>995.59</v>
      </c>
      <c r="G29" s="8">
        <v>0.21</v>
      </c>
      <c r="H29" s="7">
        <f t="shared" si="6"/>
        <v>209.07390000000001</v>
      </c>
    </row>
    <row r="30" spans="1:14" x14ac:dyDescent="0.2">
      <c r="C30" s="7">
        <v>5510178</v>
      </c>
      <c r="D30" s="7"/>
      <c r="E30" s="7"/>
      <c r="F30" s="7">
        <f t="shared" si="7"/>
        <v>0</v>
      </c>
      <c r="G30" s="8">
        <v>0.21</v>
      </c>
      <c r="H30" s="7">
        <f t="shared" si="6"/>
        <v>0</v>
      </c>
    </row>
    <row r="31" spans="1:14" x14ac:dyDescent="0.2">
      <c r="C31" s="7">
        <v>20738213</v>
      </c>
      <c r="D31" s="7"/>
      <c r="E31" s="39">
        <v>106749.95</v>
      </c>
      <c r="F31" s="7">
        <f t="shared" si="7"/>
        <v>106749.95</v>
      </c>
      <c r="G31" s="8">
        <v>0.21</v>
      </c>
      <c r="H31" s="7">
        <f t="shared" si="6"/>
        <v>22417.4895</v>
      </c>
    </row>
    <row r="32" spans="1:14" x14ac:dyDescent="0.2">
      <c r="C32" s="7">
        <v>1400</v>
      </c>
      <c r="D32" s="7"/>
      <c r="E32" s="39">
        <v>7.21</v>
      </c>
      <c r="F32" s="7">
        <f t="shared" si="7"/>
        <v>7.21</v>
      </c>
      <c r="G32" s="8">
        <v>0.21</v>
      </c>
      <c r="H32" s="7">
        <f t="shared" si="6"/>
        <v>1.5141</v>
      </c>
    </row>
    <row r="33" spans="3:9" x14ac:dyDescent="0.2">
      <c r="C33" s="7">
        <v>2506896</v>
      </c>
      <c r="D33" s="7"/>
      <c r="E33" s="39">
        <v>12904.25</v>
      </c>
      <c r="F33" s="39">
        <f t="shared" si="7"/>
        <v>12904.25</v>
      </c>
      <c r="G33" s="40">
        <v>0.21</v>
      </c>
      <c r="H33" s="39">
        <f t="shared" si="6"/>
        <v>2709.8924999999999</v>
      </c>
    </row>
    <row r="34" spans="3:9" ht="15" x14ac:dyDescent="0.35">
      <c r="C34" s="7">
        <f>50078609+738538</f>
        <v>50817147</v>
      </c>
      <c r="D34" s="7"/>
      <c r="E34" s="30">
        <f>156495.65+2307.93+58250</f>
        <v>217053.58</v>
      </c>
      <c r="F34" s="30">
        <f>E34</f>
        <v>217053.58</v>
      </c>
      <c r="G34" s="40">
        <v>0.21</v>
      </c>
      <c r="H34" s="30">
        <f>F34*G34</f>
        <v>45581.251799999998</v>
      </c>
    </row>
    <row r="35" spans="3:9" x14ac:dyDescent="0.2">
      <c r="C35" s="7"/>
      <c r="D35" s="7"/>
      <c r="E35" s="7">
        <f>SUM(E25:E34)</f>
        <v>520549.55000000005</v>
      </c>
      <c r="F35" s="7">
        <f>SUM(F25:F34)</f>
        <v>246069.14999999997</v>
      </c>
      <c r="G35" s="40" t="s">
        <v>34</v>
      </c>
      <c r="H35" s="7">
        <f>SUM(H25:H34)</f>
        <v>51674.521499999988</v>
      </c>
    </row>
    <row r="36" spans="3:9" ht="15" x14ac:dyDescent="0.35">
      <c r="G36" s="31" t="s">
        <v>35</v>
      </c>
      <c r="H36" s="30">
        <f>-H49*0.21</f>
        <v>-4180.2122249999993</v>
      </c>
    </row>
    <row r="37" spans="3:9" x14ac:dyDescent="0.2">
      <c r="H37" s="7">
        <f>H35+H36</f>
        <v>47494.309274999992</v>
      </c>
    </row>
    <row r="38" spans="3:9" x14ac:dyDescent="0.2">
      <c r="H38" s="7">
        <f>H37-K15</f>
        <v>38.037554999995336</v>
      </c>
      <c r="I38" s="41" t="s">
        <v>44</v>
      </c>
    </row>
    <row r="39" spans="3:9" x14ac:dyDescent="0.2">
      <c r="C39" s="7" t="s">
        <v>30</v>
      </c>
      <c r="D39" s="42" t="s">
        <v>26</v>
      </c>
      <c r="E39" s="38" t="s">
        <v>31</v>
      </c>
      <c r="F39" s="7" t="s">
        <v>32</v>
      </c>
      <c r="G39" s="8" t="s">
        <v>20</v>
      </c>
      <c r="H39" s="7" t="s">
        <v>33</v>
      </c>
    </row>
    <row r="40" spans="3:9" x14ac:dyDescent="0.2">
      <c r="C40" s="7">
        <v>3760136.29</v>
      </c>
      <c r="D40" s="7">
        <v>274481</v>
      </c>
      <c r="E40" s="7">
        <v>13981.44</v>
      </c>
      <c r="F40" s="7">
        <f>-D40+E40+0.6</f>
        <v>-260498.96</v>
      </c>
      <c r="G40" s="8">
        <v>0.05</v>
      </c>
      <c r="H40" s="7">
        <f>F40*G40</f>
        <v>-13024.948</v>
      </c>
    </row>
    <row r="41" spans="3:9" x14ac:dyDescent="0.2">
      <c r="C41" s="7">
        <v>184335</v>
      </c>
      <c r="D41" s="7"/>
      <c r="E41" s="7">
        <v>811.84</v>
      </c>
      <c r="F41" s="7">
        <f>E41</f>
        <v>811.84</v>
      </c>
      <c r="G41" s="8">
        <v>0.05</v>
      </c>
      <c r="H41" s="7">
        <f t="shared" ref="H41:H47" si="8">F41*G41</f>
        <v>40.592000000000006</v>
      </c>
    </row>
    <row r="42" spans="3:9" x14ac:dyDescent="0.2">
      <c r="C42" s="43">
        <v>61276531.409999996</v>
      </c>
      <c r="D42" s="7"/>
      <c r="E42" s="7">
        <v>291727.34999999998</v>
      </c>
      <c r="F42" s="7">
        <f t="shared" ref="F42:F47" si="9">E42</f>
        <v>291727.34999999998</v>
      </c>
      <c r="G42" s="8">
        <v>0.05</v>
      </c>
      <c r="H42" s="7">
        <f t="shared" si="8"/>
        <v>14586.3675</v>
      </c>
    </row>
    <row r="43" spans="3:9" x14ac:dyDescent="0.2">
      <c r="C43" s="43">
        <v>570444</v>
      </c>
      <c r="D43" s="7"/>
      <c r="E43" s="7"/>
      <c r="F43" s="7">
        <f t="shared" si="9"/>
        <v>0</v>
      </c>
      <c r="G43" s="8">
        <v>0.05</v>
      </c>
      <c r="H43" s="7">
        <f t="shared" si="8"/>
        <v>0</v>
      </c>
    </row>
    <row r="44" spans="3:9" x14ac:dyDescent="0.2">
      <c r="C44" s="7">
        <v>209122</v>
      </c>
      <c r="D44" s="7"/>
      <c r="E44" s="7">
        <v>995.59</v>
      </c>
      <c r="F44" s="7">
        <f t="shared" si="9"/>
        <v>995.59</v>
      </c>
      <c r="G44" s="8">
        <v>0.05</v>
      </c>
      <c r="H44" s="7">
        <f t="shared" si="8"/>
        <v>49.779500000000006</v>
      </c>
    </row>
    <row r="45" spans="3:9" x14ac:dyDescent="0.2">
      <c r="C45" s="7">
        <v>26248391</v>
      </c>
      <c r="D45" s="7"/>
      <c r="E45" s="39">
        <v>135113.59</v>
      </c>
      <c r="F45" s="7">
        <f t="shared" si="9"/>
        <v>135113.59</v>
      </c>
      <c r="G45" s="8">
        <v>0.05</v>
      </c>
      <c r="H45" s="7">
        <f t="shared" si="8"/>
        <v>6755.6795000000002</v>
      </c>
    </row>
    <row r="46" spans="3:9" x14ac:dyDescent="0.2">
      <c r="C46" s="7">
        <v>1400</v>
      </c>
      <c r="D46" s="7"/>
      <c r="E46" s="39">
        <v>7.21</v>
      </c>
      <c r="F46" s="7">
        <f t="shared" si="9"/>
        <v>7.21</v>
      </c>
      <c r="G46" s="8">
        <v>0.05</v>
      </c>
      <c r="H46" s="7">
        <f t="shared" si="8"/>
        <v>0.36050000000000004</v>
      </c>
    </row>
    <row r="47" spans="3:9" x14ac:dyDescent="0.2">
      <c r="C47" s="7">
        <v>2506896</v>
      </c>
      <c r="D47" s="7"/>
      <c r="E47" s="39">
        <v>12904.25</v>
      </c>
      <c r="F47" s="39">
        <f t="shared" si="9"/>
        <v>12904.25</v>
      </c>
      <c r="G47" s="40">
        <v>0.05</v>
      </c>
      <c r="H47" s="39">
        <f t="shared" si="8"/>
        <v>645.21250000000009</v>
      </c>
    </row>
    <row r="48" spans="3:9" ht="15" x14ac:dyDescent="0.35">
      <c r="C48" s="7">
        <f>C34</f>
        <v>50817147</v>
      </c>
      <c r="D48" s="7"/>
      <c r="E48" s="30">
        <f>156495.65+2307.93+58251</f>
        <v>217054.58</v>
      </c>
      <c r="F48" s="30">
        <f>E48</f>
        <v>217054.58</v>
      </c>
      <c r="G48" s="40">
        <v>0.05</v>
      </c>
      <c r="H48" s="30">
        <f>F48*G48</f>
        <v>10852.728999999999</v>
      </c>
    </row>
    <row r="49" spans="3:8" x14ac:dyDescent="0.2">
      <c r="C49" s="7"/>
      <c r="D49" s="7"/>
      <c r="E49" s="7">
        <f>SUM(E39:E48)</f>
        <v>672595.85000000009</v>
      </c>
      <c r="F49" s="7">
        <f>SUM(F39:F48)</f>
        <v>398115.44999999995</v>
      </c>
      <c r="G49" s="40"/>
      <c r="H49" s="7">
        <f>SUM(H39:H48)</f>
        <v>19905.772499999999</v>
      </c>
    </row>
    <row r="50" spans="3:8" x14ac:dyDescent="0.2">
      <c r="H50" s="7">
        <f>H49-L15</f>
        <v>4.4499999996332917E-2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 of 6
Clements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9</v>
      </c>
    </row>
    <row r="6" spans="1:16" x14ac:dyDescent="0.2">
      <c r="A6" s="11" t="s">
        <v>11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897876</v>
      </c>
    </row>
    <row r="10" spans="1:16" x14ac:dyDescent="0.2">
      <c r="A10" s="32">
        <v>44994</v>
      </c>
      <c r="C10" s="7">
        <v>4193823</v>
      </c>
      <c r="D10" s="24">
        <v>7836</v>
      </c>
      <c r="E10" s="10">
        <f t="shared" ref="E10:E15" si="0">7795.23</f>
        <v>7795.23</v>
      </c>
      <c r="F10" s="10">
        <f t="shared" ref="F10:F15" si="1">15590.47</f>
        <v>15590.47</v>
      </c>
      <c r="G10" s="7">
        <f t="shared" ref="G10:G15" si="2">E10-D10</f>
        <v>-40.770000000000437</v>
      </c>
      <c r="H10" s="7">
        <f t="shared" ref="H10:H15" si="3">F10-D10</f>
        <v>7754.4699999999993</v>
      </c>
      <c r="I10" s="8">
        <v>0.21</v>
      </c>
      <c r="J10" s="8">
        <v>0.05</v>
      </c>
      <c r="K10" s="7">
        <f t="shared" ref="K10:K15" si="4">G10*I10-L10*I10-5.63</f>
        <v>-95.613635000000073</v>
      </c>
      <c r="L10" s="7">
        <f t="shared" ref="L10:L15" si="5">H10*J10</f>
        <v>387.7235</v>
      </c>
      <c r="M10" s="7">
        <f t="shared" ref="M10:M15" si="6">M9+K10+L10</f>
        <v>898168.10986500001</v>
      </c>
      <c r="N10" s="7">
        <v>0</v>
      </c>
      <c r="O10" s="19"/>
      <c r="P10" s="18"/>
    </row>
    <row r="11" spans="1:16" x14ac:dyDescent="0.2">
      <c r="A11" s="32">
        <v>45017</v>
      </c>
      <c r="C11" s="7">
        <v>4193823</v>
      </c>
      <c r="D11" s="15">
        <v>7836</v>
      </c>
      <c r="E11" s="10">
        <f t="shared" si="0"/>
        <v>7795.23</v>
      </c>
      <c r="F11" s="10">
        <f t="shared" si="1"/>
        <v>15590.47</v>
      </c>
      <c r="G11" s="7">
        <f t="shared" si="2"/>
        <v>-40.770000000000437</v>
      </c>
      <c r="H11" s="7">
        <f t="shared" si="3"/>
        <v>7754.4699999999993</v>
      </c>
      <c r="I11" s="8">
        <v>0.21</v>
      </c>
      <c r="J11" s="8">
        <v>0.05</v>
      </c>
      <c r="K11" s="7">
        <f t="shared" si="4"/>
        <v>-95.613635000000073</v>
      </c>
      <c r="L11" s="7">
        <f t="shared" si="5"/>
        <v>387.7235</v>
      </c>
      <c r="M11" s="7">
        <f t="shared" si="6"/>
        <v>898460.21973000001</v>
      </c>
      <c r="N11" s="7">
        <v>0</v>
      </c>
      <c r="O11" s="20"/>
      <c r="P11" s="18"/>
    </row>
    <row r="12" spans="1:16" x14ac:dyDescent="0.2">
      <c r="A12" s="32">
        <v>45047</v>
      </c>
      <c r="C12" s="7">
        <v>4193823</v>
      </c>
      <c r="D12" s="15">
        <v>7836</v>
      </c>
      <c r="E12" s="10">
        <f t="shared" si="0"/>
        <v>7795.23</v>
      </c>
      <c r="F12" s="10">
        <f t="shared" si="1"/>
        <v>15590.47</v>
      </c>
      <c r="G12" s="7">
        <f t="shared" si="2"/>
        <v>-40.770000000000437</v>
      </c>
      <c r="H12" s="7">
        <f t="shared" si="3"/>
        <v>7754.4699999999993</v>
      </c>
      <c r="I12" s="8">
        <v>0.21</v>
      </c>
      <c r="J12" s="8">
        <v>0.05</v>
      </c>
      <c r="K12" s="7">
        <f t="shared" si="4"/>
        <v>-95.613635000000073</v>
      </c>
      <c r="L12" s="7">
        <f t="shared" si="5"/>
        <v>387.7235</v>
      </c>
      <c r="M12" s="7">
        <f t="shared" si="6"/>
        <v>898752.32959500002</v>
      </c>
      <c r="N12" s="7">
        <v>0</v>
      </c>
      <c r="O12" s="17"/>
      <c r="P12" s="18"/>
    </row>
    <row r="13" spans="1:16" x14ac:dyDescent="0.2">
      <c r="A13" s="32">
        <v>45078</v>
      </c>
      <c r="C13" s="7">
        <v>4193823</v>
      </c>
      <c r="D13" s="15">
        <v>7836</v>
      </c>
      <c r="E13" s="10">
        <f t="shared" si="0"/>
        <v>7795.23</v>
      </c>
      <c r="F13" s="10">
        <f t="shared" si="1"/>
        <v>15590.47</v>
      </c>
      <c r="G13" s="7">
        <f t="shared" si="2"/>
        <v>-40.770000000000437</v>
      </c>
      <c r="H13" s="7">
        <f t="shared" si="3"/>
        <v>7754.4699999999993</v>
      </c>
      <c r="I13" s="8">
        <v>0.21</v>
      </c>
      <c r="J13" s="8">
        <v>0.05</v>
      </c>
      <c r="K13" s="7">
        <f t="shared" si="4"/>
        <v>-95.613635000000073</v>
      </c>
      <c r="L13" s="7">
        <f t="shared" si="5"/>
        <v>387.7235</v>
      </c>
      <c r="M13" s="7">
        <f t="shared" si="6"/>
        <v>899044.43946000002</v>
      </c>
      <c r="N13" s="7">
        <v>0</v>
      </c>
      <c r="O13" s="21"/>
      <c r="P13" s="18"/>
    </row>
    <row r="14" spans="1:16" x14ac:dyDescent="0.2">
      <c r="A14" s="32">
        <v>45108</v>
      </c>
      <c r="C14" s="7">
        <v>4193823</v>
      </c>
      <c r="D14" s="15">
        <v>7836</v>
      </c>
      <c r="E14" s="10">
        <f t="shared" si="0"/>
        <v>7795.23</v>
      </c>
      <c r="F14" s="10">
        <f t="shared" si="1"/>
        <v>15590.47</v>
      </c>
      <c r="G14" s="7">
        <f t="shared" si="2"/>
        <v>-40.770000000000437</v>
      </c>
      <c r="H14" s="7">
        <f t="shared" si="3"/>
        <v>7754.4699999999993</v>
      </c>
      <c r="I14" s="8">
        <v>0.21</v>
      </c>
      <c r="J14" s="8">
        <v>0.05</v>
      </c>
      <c r="K14" s="7">
        <f t="shared" si="4"/>
        <v>-95.613635000000073</v>
      </c>
      <c r="L14" s="7">
        <f t="shared" si="5"/>
        <v>387.7235</v>
      </c>
      <c r="M14" s="7">
        <f t="shared" si="6"/>
        <v>899336.54932500003</v>
      </c>
      <c r="N14" s="7">
        <v>0</v>
      </c>
      <c r="O14" s="21"/>
      <c r="P14" s="18"/>
    </row>
    <row r="15" spans="1:16" x14ac:dyDescent="0.2">
      <c r="A15" s="32">
        <v>45139</v>
      </c>
      <c r="C15" s="7">
        <v>4193823</v>
      </c>
      <c r="D15" s="15">
        <v>7836</v>
      </c>
      <c r="E15" s="10">
        <f t="shared" si="0"/>
        <v>7795.23</v>
      </c>
      <c r="F15" s="10">
        <f t="shared" si="1"/>
        <v>15590.47</v>
      </c>
      <c r="G15" s="7">
        <f t="shared" si="2"/>
        <v>-40.770000000000437</v>
      </c>
      <c r="H15" s="7">
        <f t="shared" si="3"/>
        <v>7754.4699999999993</v>
      </c>
      <c r="I15" s="8">
        <v>0.21</v>
      </c>
      <c r="J15" s="8">
        <v>0.05</v>
      </c>
      <c r="K15" s="7">
        <f t="shared" si="4"/>
        <v>-95.613635000000073</v>
      </c>
      <c r="L15" s="7">
        <f t="shared" si="5"/>
        <v>387.7235</v>
      </c>
      <c r="M15" s="7">
        <f t="shared" si="6"/>
        <v>899628.65919000003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35" t="s">
        <v>43</v>
      </c>
      <c r="D17" s="35"/>
      <c r="E17" s="35"/>
      <c r="F17" s="35"/>
      <c r="G17" s="35"/>
      <c r="H17" s="35"/>
      <c r="I17" s="35"/>
      <c r="J17" s="35"/>
      <c r="K17" s="35"/>
      <c r="L17" s="7"/>
      <c r="M17" s="7"/>
      <c r="N17" s="7"/>
    </row>
    <row r="18" spans="1:14" x14ac:dyDescent="0.2">
      <c r="A18" s="16"/>
      <c r="C18" s="35"/>
      <c r="D18" s="35"/>
      <c r="E18" s="35"/>
      <c r="F18" s="35"/>
      <c r="G18" s="35"/>
      <c r="H18" s="35"/>
      <c r="I18" s="35"/>
      <c r="J18" s="35"/>
      <c r="K18" s="35"/>
      <c r="L18" s="7"/>
      <c r="M18" s="7"/>
      <c r="N18" s="7"/>
    </row>
    <row r="19" spans="1:14" x14ac:dyDescent="0.2">
      <c r="C19" s="44" t="s">
        <v>37</v>
      </c>
      <c r="D19" s="41"/>
      <c r="E19" s="41"/>
      <c r="F19" s="41"/>
      <c r="G19" s="41"/>
      <c r="H19" s="41"/>
      <c r="I19" s="41"/>
      <c r="J19" s="41"/>
      <c r="K19" s="41"/>
    </row>
    <row r="20" spans="1:14" x14ac:dyDescent="0.2">
      <c r="C20" s="44" t="s">
        <v>23</v>
      </c>
      <c r="D20" s="41"/>
      <c r="E20" s="41"/>
      <c r="F20" s="41"/>
      <c r="G20" s="41"/>
      <c r="H20" s="41"/>
      <c r="I20" s="41"/>
      <c r="J20" s="41"/>
      <c r="K20" s="41"/>
    </row>
    <row r="21" spans="1:14" x14ac:dyDescent="0.2">
      <c r="C21" s="44" t="s">
        <v>45</v>
      </c>
      <c r="D21" s="41"/>
      <c r="E21" s="41"/>
      <c r="F21" s="41"/>
      <c r="G21" s="41"/>
      <c r="H21" s="41"/>
      <c r="I21" s="41"/>
      <c r="J21" s="41"/>
      <c r="K21" s="41"/>
    </row>
    <row r="22" spans="1:14" x14ac:dyDescent="0.2">
      <c r="C22" s="35" t="s">
        <v>24</v>
      </c>
      <c r="D22" s="41"/>
      <c r="E22" s="41"/>
      <c r="F22" s="41"/>
      <c r="G22" s="41"/>
      <c r="H22" s="41"/>
      <c r="I22" s="41"/>
      <c r="J22" s="41"/>
      <c r="K22" s="41"/>
    </row>
    <row r="24" spans="1:14" x14ac:dyDescent="0.2">
      <c r="C24" s="35" t="s">
        <v>25</v>
      </c>
      <c r="D24" s="37" t="s">
        <v>26</v>
      </c>
      <c r="E24" s="38" t="s">
        <v>27</v>
      </c>
      <c r="F24" s="35" t="s">
        <v>28</v>
      </c>
      <c r="G24" s="45" t="s">
        <v>19</v>
      </c>
      <c r="H24" s="35" t="s">
        <v>29</v>
      </c>
      <c r="I24" s="41"/>
      <c r="J24" s="41"/>
      <c r="K24" s="41"/>
    </row>
    <row r="25" spans="1:14" x14ac:dyDescent="0.2">
      <c r="C25" s="35">
        <v>2139710</v>
      </c>
      <c r="D25" s="35">
        <v>7836</v>
      </c>
      <c r="E25" s="35">
        <v>7954.37</v>
      </c>
      <c r="F25" s="35">
        <f>-D25+E25</f>
        <v>118.36999999999989</v>
      </c>
      <c r="G25" s="45">
        <v>0.21</v>
      </c>
      <c r="H25" s="35">
        <f>F25*G25</f>
        <v>24.857699999999976</v>
      </c>
      <c r="I25" s="41"/>
      <c r="J25" s="41"/>
      <c r="K25" s="41"/>
    </row>
    <row r="26" spans="1:14" ht="15" x14ac:dyDescent="0.35">
      <c r="C26" s="35">
        <v>-42798.530000000028</v>
      </c>
      <c r="D26" s="35"/>
      <c r="E26" s="46">
        <v>-159.13999999999999</v>
      </c>
      <c r="F26" s="46">
        <f>E26</f>
        <v>-159.13999999999999</v>
      </c>
      <c r="G26" s="45">
        <v>0.21</v>
      </c>
      <c r="H26" s="46">
        <f>F26*G26</f>
        <v>-33.419399999999996</v>
      </c>
      <c r="I26" s="41"/>
      <c r="J26" s="41"/>
      <c r="K26" s="41"/>
    </row>
    <row r="27" spans="1:14" x14ac:dyDescent="0.2">
      <c r="C27" s="41"/>
      <c r="D27" s="41"/>
      <c r="E27" s="35">
        <f>SUM(E25:E26)</f>
        <v>7795.23</v>
      </c>
      <c r="F27" s="35">
        <f>SUM(F25:F26)</f>
        <v>-40.770000000000095</v>
      </c>
      <c r="G27" s="41" t="s">
        <v>34</v>
      </c>
      <c r="H27" s="35">
        <f>SUM(H25:H26)</f>
        <v>-8.5617000000000196</v>
      </c>
      <c r="I27" s="41"/>
      <c r="J27" s="41"/>
      <c r="K27" s="41"/>
    </row>
    <row r="28" spans="1:14" ht="15" x14ac:dyDescent="0.35">
      <c r="C28" s="41"/>
      <c r="D28" s="41"/>
      <c r="E28" s="41"/>
      <c r="F28" s="41"/>
      <c r="G28" s="41" t="s">
        <v>35</v>
      </c>
      <c r="H28" s="46">
        <f>-H34*0.21</f>
        <v>-81.42183</v>
      </c>
      <c r="I28" s="41"/>
      <c r="J28" s="41"/>
      <c r="K28" s="41"/>
    </row>
    <row r="29" spans="1:14" x14ac:dyDescent="0.2">
      <c r="C29" s="41"/>
      <c r="D29" s="41"/>
      <c r="E29" s="41"/>
      <c r="F29" s="41"/>
      <c r="G29" s="41"/>
      <c r="H29" s="35">
        <f>H27+H28</f>
        <v>-89.983530000000016</v>
      </c>
      <c r="I29" s="41"/>
      <c r="J29" s="41"/>
      <c r="K29" s="41"/>
    </row>
    <row r="30" spans="1:14" x14ac:dyDescent="0.2">
      <c r="C30" s="41"/>
      <c r="D30" s="41"/>
      <c r="E30" s="41"/>
      <c r="F30" s="41"/>
      <c r="G30" s="41"/>
      <c r="H30" s="35">
        <f>H29-K15</f>
        <v>5.6301050000000572</v>
      </c>
      <c r="I30" s="41" t="s">
        <v>44</v>
      </c>
      <c r="J30" s="41"/>
      <c r="K30" s="41"/>
    </row>
    <row r="31" spans="1:14" x14ac:dyDescent="0.2">
      <c r="C31" s="35" t="s">
        <v>30</v>
      </c>
      <c r="D31" s="42" t="s">
        <v>26</v>
      </c>
      <c r="E31" s="38" t="s">
        <v>31</v>
      </c>
      <c r="F31" s="35" t="s">
        <v>32</v>
      </c>
      <c r="G31" s="45" t="s">
        <v>20</v>
      </c>
      <c r="H31" s="35" t="s">
        <v>33</v>
      </c>
      <c r="I31" s="41"/>
      <c r="J31" s="41"/>
      <c r="K31" s="41"/>
    </row>
    <row r="32" spans="1:14" x14ac:dyDescent="0.2">
      <c r="C32" s="35">
        <v>4279420</v>
      </c>
      <c r="D32" s="35">
        <v>7836</v>
      </c>
      <c r="E32" s="35">
        <v>15908.74</v>
      </c>
      <c r="F32" s="35">
        <f>-D32+E32</f>
        <v>8072.74</v>
      </c>
      <c r="G32" s="45">
        <v>0.05</v>
      </c>
      <c r="H32" s="35">
        <f>F32*G32</f>
        <v>403.637</v>
      </c>
      <c r="I32" s="41"/>
      <c r="J32" s="41"/>
      <c r="K32" s="41"/>
    </row>
    <row r="33" spans="3:8" ht="15" x14ac:dyDescent="0.35">
      <c r="C33" s="35">
        <v>-85597.060000000056</v>
      </c>
      <c r="D33" s="35"/>
      <c r="E33" s="46">
        <v>-318.27999999999997</v>
      </c>
      <c r="F33" s="46">
        <f>E33</f>
        <v>-318.27999999999997</v>
      </c>
      <c r="G33" s="45">
        <v>0.05</v>
      </c>
      <c r="H33" s="46">
        <f>F33*G33</f>
        <v>-15.914</v>
      </c>
    </row>
    <row r="34" spans="3:8" x14ac:dyDescent="0.2">
      <c r="C34" s="41"/>
      <c r="D34" s="41"/>
      <c r="E34" s="35">
        <f>SUM(E32:E33)</f>
        <v>15590.46</v>
      </c>
      <c r="F34" s="35">
        <f>SUM(F32:F33)</f>
        <v>7754.46</v>
      </c>
      <c r="G34" s="41"/>
      <c r="H34" s="35">
        <f>SUM(H32:H33)</f>
        <v>387.72300000000001</v>
      </c>
    </row>
    <row r="35" spans="3:8" x14ac:dyDescent="0.2">
      <c r="C35" s="41"/>
      <c r="D35" s="41"/>
      <c r="E35" s="41"/>
      <c r="F35" s="41"/>
      <c r="G35" s="41"/>
      <c r="H35" s="35">
        <f>H34-L15</f>
        <v>-4.9999999998817657E-4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2 of 6
Clements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374E-388D-4C97-8725-60B636E9F3E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39</v>
      </c>
    </row>
    <row r="7" spans="1:17" x14ac:dyDescent="0.2">
      <c r="Q7" t="s">
        <v>10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4303696</v>
      </c>
    </row>
    <row r="10" spans="1:17" x14ac:dyDescent="0.2">
      <c r="A10" s="32">
        <v>44994</v>
      </c>
      <c r="C10" s="7">
        <v>170744829</v>
      </c>
      <c r="D10" s="24">
        <v>729125</v>
      </c>
      <c r="E10" s="10">
        <f>1177165.27</f>
        <v>1177165.27</v>
      </c>
      <c r="F10" s="10">
        <f>1177165.27</f>
        <v>1177165.27</v>
      </c>
      <c r="G10" s="7">
        <f>E10-D10</f>
        <v>448040.27</v>
      </c>
      <c r="H10" s="7">
        <f>F10-D10</f>
        <v>448040.27</v>
      </c>
      <c r="I10" s="8">
        <v>0.21</v>
      </c>
      <c r="J10" s="8">
        <v>0.05</v>
      </c>
      <c r="K10" s="7">
        <f>G10*I10-L10*I10</f>
        <v>89384.03386499999</v>
      </c>
      <c r="L10" s="7">
        <f>H10*J10</f>
        <v>22402.013500000001</v>
      </c>
      <c r="M10" s="7">
        <f t="shared" ref="M10:M15" si="0">M9+K10+L10</f>
        <v>4415482.0473650005</v>
      </c>
      <c r="N10" s="7">
        <v>0</v>
      </c>
      <c r="P10" s="17"/>
    </row>
    <row r="11" spans="1:17" x14ac:dyDescent="0.2">
      <c r="A11" s="32">
        <v>45017</v>
      </c>
      <c r="C11" s="7">
        <v>170744829</v>
      </c>
      <c r="D11" s="15">
        <v>729125</v>
      </c>
      <c r="E11" s="10">
        <f>1177165.27</f>
        <v>1177165.27</v>
      </c>
      <c r="F11" s="10">
        <f>1177165.27</f>
        <v>1177165.27</v>
      </c>
      <c r="G11" s="7">
        <f t="shared" ref="G11:G13" si="1">E11-D11</f>
        <v>448040.27</v>
      </c>
      <c r="H11" s="7">
        <f t="shared" ref="H11:H13" si="2">F11-D11</f>
        <v>448040.27</v>
      </c>
      <c r="I11" s="8">
        <v>0.21</v>
      </c>
      <c r="J11" s="8">
        <v>0.05</v>
      </c>
      <c r="K11" s="7">
        <f t="shared" ref="K11:K13" si="3">G11*I11-L11*I11</f>
        <v>89384.03386499999</v>
      </c>
      <c r="L11" s="7">
        <f t="shared" ref="L11:L13" si="4">H11*J11</f>
        <v>22402.013500000001</v>
      </c>
      <c r="M11" s="7">
        <f t="shared" si="0"/>
        <v>4527268.0947300009</v>
      </c>
      <c r="N11" s="7">
        <v>0</v>
      </c>
      <c r="O11" s="7">
        <f>1598189-M12</f>
        <v>-3053161.0010950007</v>
      </c>
      <c r="P11" s="17"/>
    </row>
    <row r="12" spans="1:17" x14ac:dyDescent="0.2">
      <c r="A12" s="32">
        <v>45047</v>
      </c>
      <c r="C12" s="7">
        <v>171264039</v>
      </c>
      <c r="D12" s="15">
        <v>704138</v>
      </c>
      <c r="E12" s="10">
        <f>1177165.27+24295</f>
        <v>1201460.27</v>
      </c>
      <c r="F12" s="10">
        <f>1177165.27+24295</f>
        <v>1201460.27</v>
      </c>
      <c r="G12" s="7">
        <f t="shared" ref="G12" si="5">E12-D12</f>
        <v>497322.27</v>
      </c>
      <c r="H12" s="7">
        <f t="shared" ref="H12" si="6">F12-D12</f>
        <v>497322.27</v>
      </c>
      <c r="I12" s="8">
        <v>0.21</v>
      </c>
      <c r="J12" s="8">
        <v>0.05</v>
      </c>
      <c r="K12" s="7">
        <f t="shared" si="3"/>
        <v>99215.792864999996</v>
      </c>
      <c r="L12" s="7">
        <f t="shared" si="4"/>
        <v>24866.113500000003</v>
      </c>
      <c r="M12" s="7">
        <f t="shared" si="0"/>
        <v>4651350.0010950007</v>
      </c>
      <c r="N12" s="7">
        <v>7400</v>
      </c>
      <c r="O12" s="17">
        <f>+O11/0.389</f>
        <v>-7848742.9334061714</v>
      </c>
    </row>
    <row r="13" spans="1:17" x14ac:dyDescent="0.2">
      <c r="A13" s="32">
        <v>45078</v>
      </c>
      <c r="C13" s="7">
        <v>171264039</v>
      </c>
      <c r="D13" s="15">
        <v>679150</v>
      </c>
      <c r="E13" s="10">
        <f t="shared" ref="E13:F15" si="7">1179599.06-3122.41</f>
        <v>1176476.6500000001</v>
      </c>
      <c r="F13" s="10">
        <f t="shared" si="7"/>
        <v>1176476.6500000001</v>
      </c>
      <c r="G13" s="7">
        <f t="shared" si="1"/>
        <v>497326.65000000014</v>
      </c>
      <c r="H13" s="7">
        <f t="shared" si="2"/>
        <v>497326.65000000014</v>
      </c>
      <c r="I13" s="8">
        <v>0.21</v>
      </c>
      <c r="J13" s="8">
        <v>0.05</v>
      </c>
      <c r="K13" s="7">
        <f t="shared" si="3"/>
        <v>99216.666675000029</v>
      </c>
      <c r="L13" s="7">
        <f t="shared" si="4"/>
        <v>24866.332500000008</v>
      </c>
      <c r="M13" s="7">
        <f t="shared" si="0"/>
        <v>4775433.0002700007</v>
      </c>
      <c r="N13" s="7">
        <v>7400</v>
      </c>
      <c r="O13" s="7">
        <f>1923738-M14</f>
        <v>-2975777.9994450007</v>
      </c>
    </row>
    <row r="14" spans="1:17" x14ac:dyDescent="0.2">
      <c r="A14" s="32">
        <v>45108</v>
      </c>
      <c r="C14" s="7">
        <v>171264039</v>
      </c>
      <c r="D14" s="15">
        <v>679150</v>
      </c>
      <c r="E14" s="10">
        <f t="shared" si="7"/>
        <v>1176476.6500000001</v>
      </c>
      <c r="F14" s="10">
        <f t="shared" si="7"/>
        <v>1176476.6500000001</v>
      </c>
      <c r="G14" s="7">
        <f>E14-D14</f>
        <v>497326.65000000014</v>
      </c>
      <c r="H14" s="7">
        <f>F14-D14</f>
        <v>497326.65000000014</v>
      </c>
      <c r="I14" s="8">
        <v>0.21</v>
      </c>
      <c r="J14" s="8">
        <v>0.05</v>
      </c>
      <c r="K14" s="7">
        <f>G14*I14-L14*I14</f>
        <v>99216.666675000029</v>
      </c>
      <c r="L14" s="7">
        <f>H14*J14</f>
        <v>24866.332500000008</v>
      </c>
      <c r="M14" s="7">
        <f t="shared" si="0"/>
        <v>4899515.9994450007</v>
      </c>
      <c r="N14" s="7">
        <v>7400</v>
      </c>
      <c r="O14" s="17">
        <f>+O13/0.389</f>
        <v>-7649814.9085989734</v>
      </c>
      <c r="Q14" s="7"/>
    </row>
    <row r="15" spans="1:17" x14ac:dyDescent="0.2">
      <c r="A15" s="32">
        <v>45139</v>
      </c>
      <c r="C15" s="7">
        <v>171264039</v>
      </c>
      <c r="D15" s="15">
        <v>679150</v>
      </c>
      <c r="E15" s="10">
        <f t="shared" si="7"/>
        <v>1176476.6500000001</v>
      </c>
      <c r="F15" s="10">
        <f t="shared" si="7"/>
        <v>1176476.6500000001</v>
      </c>
      <c r="G15" s="7">
        <f>E15-D15</f>
        <v>497326.65000000014</v>
      </c>
      <c r="H15" s="7">
        <f>F15-D15</f>
        <v>497326.65000000014</v>
      </c>
      <c r="I15" s="8">
        <v>0.21</v>
      </c>
      <c r="J15" s="8">
        <v>0.05</v>
      </c>
      <c r="K15" s="7">
        <f>G15*I15-L15*I15</f>
        <v>99216.666675000029</v>
      </c>
      <c r="L15" s="7">
        <f>H15*J15</f>
        <v>24866.332500000008</v>
      </c>
      <c r="M15" s="7">
        <f t="shared" si="0"/>
        <v>5023598.9986200007</v>
      </c>
      <c r="N15" s="7">
        <v>7400</v>
      </c>
      <c r="O15" s="7">
        <f>+M15-2105354</f>
        <v>2918244.9986200007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7501915.1635475596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3 of 6
Clements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9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4169205</v>
      </c>
    </row>
    <row r="10" spans="1:17" x14ac:dyDescent="0.2">
      <c r="A10" s="32">
        <v>44994</v>
      </c>
      <c r="C10" s="7">
        <v>41905553</v>
      </c>
      <c r="D10" s="24">
        <v>81716</v>
      </c>
      <c r="E10" s="10">
        <f>128665.36</f>
        <v>128665.36</v>
      </c>
      <c r="F10" s="10">
        <f>199680.84</f>
        <v>199680.84</v>
      </c>
      <c r="G10" s="7">
        <f>E10-D10</f>
        <v>46949.36</v>
      </c>
      <c r="H10" s="7">
        <f>F10-D10</f>
        <v>117964.84</v>
      </c>
      <c r="I10" s="8">
        <v>0.21</v>
      </c>
      <c r="J10" s="8">
        <v>0.05</v>
      </c>
      <c r="K10" s="7">
        <f>G10*I10-L10*I10</f>
        <v>8620.7347799999989</v>
      </c>
      <c r="L10" s="7">
        <f>H10*J10</f>
        <v>5898.2420000000002</v>
      </c>
      <c r="M10" s="7">
        <f t="shared" ref="M10:M15" si="0">M9+K10+L10</f>
        <v>4183723.9767800001</v>
      </c>
      <c r="N10" s="7">
        <v>0</v>
      </c>
      <c r="P10" s="17"/>
    </row>
    <row r="11" spans="1:17" x14ac:dyDescent="0.2">
      <c r="A11" s="32">
        <v>45017</v>
      </c>
      <c r="C11" s="7">
        <v>41905553</v>
      </c>
      <c r="D11" s="15">
        <v>81716</v>
      </c>
      <c r="E11" s="10">
        <f>128665.36</f>
        <v>128665.36</v>
      </c>
      <c r="F11" s="10">
        <f>199680.84</f>
        <v>199680.84</v>
      </c>
      <c r="G11" s="7">
        <f t="shared" ref="G11:G13" si="1">E11-D11</f>
        <v>46949.36</v>
      </c>
      <c r="H11" s="7">
        <f t="shared" ref="H11:H13" si="2">F11-D11</f>
        <v>117964.84</v>
      </c>
      <c r="I11" s="8">
        <v>0.21</v>
      </c>
      <c r="J11" s="8">
        <v>0.05</v>
      </c>
      <c r="K11" s="7">
        <f t="shared" ref="K11:K13" si="3">G11*I11-L11*I11</f>
        <v>8620.7347799999989</v>
      </c>
      <c r="L11" s="7">
        <f t="shared" ref="L11:L13" si="4">H11*J11</f>
        <v>5898.2420000000002</v>
      </c>
      <c r="M11" s="7">
        <f t="shared" si="0"/>
        <v>4198242.9535600003</v>
      </c>
      <c r="N11" s="7">
        <v>0</v>
      </c>
      <c r="O11" s="7">
        <f>1598189-M12</f>
        <v>-2614746.0010050004</v>
      </c>
      <c r="P11" s="17"/>
    </row>
    <row r="12" spans="1:17" x14ac:dyDescent="0.2">
      <c r="A12" s="32">
        <v>45047</v>
      </c>
      <c r="C12" s="7">
        <v>42148136</v>
      </c>
      <c r="D12" s="15">
        <v>81952</v>
      </c>
      <c r="E12" s="10">
        <f>128665.36+929.67</f>
        <v>129595.03</v>
      </c>
      <c r="F12" s="10">
        <f>199680.84+929.67</f>
        <v>200610.51</v>
      </c>
      <c r="G12" s="7">
        <f t="shared" si="1"/>
        <v>47643.03</v>
      </c>
      <c r="H12" s="7">
        <f t="shared" si="2"/>
        <v>118658.51000000001</v>
      </c>
      <c r="I12" s="8">
        <v>0.21</v>
      </c>
      <c r="J12" s="8">
        <v>0.05</v>
      </c>
      <c r="K12" s="7">
        <f t="shared" si="3"/>
        <v>8759.121944999999</v>
      </c>
      <c r="L12" s="7">
        <f t="shared" si="4"/>
        <v>5932.9255000000012</v>
      </c>
      <c r="M12" s="7">
        <f t="shared" si="0"/>
        <v>4212935.0010050004</v>
      </c>
      <c r="N12" s="7">
        <v>113921</v>
      </c>
      <c r="O12" s="17">
        <f>+O11/0.389</f>
        <v>-6721712.084845759</v>
      </c>
    </row>
    <row r="13" spans="1:17" x14ac:dyDescent="0.2">
      <c r="A13" s="32">
        <v>45078</v>
      </c>
      <c r="C13" s="7">
        <v>42148136</v>
      </c>
      <c r="D13" s="15">
        <v>82189</v>
      </c>
      <c r="E13" s="10">
        <f>129802.47+29.37</f>
        <v>129831.84</v>
      </c>
      <c r="F13" s="10">
        <f>200817.95+29.37</f>
        <v>200847.32</v>
      </c>
      <c r="G13" s="7">
        <f t="shared" si="1"/>
        <v>47642.84</v>
      </c>
      <c r="H13" s="7">
        <f t="shared" si="2"/>
        <v>118658.32</v>
      </c>
      <c r="I13" s="8">
        <v>0.21</v>
      </c>
      <c r="J13" s="8">
        <v>0.05</v>
      </c>
      <c r="K13" s="7">
        <f t="shared" si="3"/>
        <v>8759.0840399999979</v>
      </c>
      <c r="L13" s="7">
        <f t="shared" si="4"/>
        <v>5932.9160000000011</v>
      </c>
      <c r="M13" s="7">
        <f t="shared" si="0"/>
        <v>4227627.0010450007</v>
      </c>
      <c r="N13" s="7">
        <v>113921</v>
      </c>
      <c r="O13" s="7">
        <f>1923738-M14</f>
        <v>-2318581.001085001</v>
      </c>
    </row>
    <row r="14" spans="1:17" x14ac:dyDescent="0.2">
      <c r="A14" s="32">
        <v>45108</v>
      </c>
      <c r="C14" s="7">
        <v>42148136</v>
      </c>
      <c r="D14" s="15">
        <v>82189</v>
      </c>
      <c r="E14" s="10">
        <f>129802.47+29.37</f>
        <v>129831.84</v>
      </c>
      <c r="F14" s="10">
        <f>200817.95+29.37</f>
        <v>200847.32</v>
      </c>
      <c r="G14" s="7">
        <f>E14-D14</f>
        <v>47642.84</v>
      </c>
      <c r="H14" s="7">
        <f>F14-D14</f>
        <v>118658.32</v>
      </c>
      <c r="I14" s="8">
        <v>0.21</v>
      </c>
      <c r="J14" s="8">
        <v>0.05</v>
      </c>
      <c r="K14" s="7">
        <f>G14*I14-L14*I14</f>
        <v>8759.0840399999979</v>
      </c>
      <c r="L14" s="7">
        <f>H14*J14</f>
        <v>5932.9160000000011</v>
      </c>
      <c r="M14" s="7">
        <f t="shared" si="0"/>
        <v>4242319.001085001</v>
      </c>
      <c r="N14" s="7">
        <v>113921</v>
      </c>
      <c r="O14" s="17">
        <f>+O13/0.389</f>
        <v>-5960362.4706555298</v>
      </c>
      <c r="Q14" s="7"/>
    </row>
    <row r="15" spans="1:17" x14ac:dyDescent="0.2">
      <c r="A15" s="32">
        <v>45139</v>
      </c>
      <c r="C15" s="7">
        <v>42148136</v>
      </c>
      <c r="D15" s="15">
        <v>82189</v>
      </c>
      <c r="E15" s="10">
        <f>129802.47+29.37</f>
        <v>129831.84</v>
      </c>
      <c r="F15" s="10">
        <f>200817.95+29.37</f>
        <v>200847.32</v>
      </c>
      <c r="G15" s="7">
        <f>E15-D15</f>
        <v>47642.84</v>
      </c>
      <c r="H15" s="7">
        <f>F15-D15</f>
        <v>118658.32</v>
      </c>
      <c r="I15" s="8">
        <v>0.21</v>
      </c>
      <c r="J15" s="8">
        <v>0.05</v>
      </c>
      <c r="K15" s="7">
        <f>G15*I15-L15*I15</f>
        <v>8759.0840399999979</v>
      </c>
      <c r="L15" s="7">
        <f>H15*J15</f>
        <v>5932.9160000000011</v>
      </c>
      <c r="M15" s="7">
        <f t="shared" si="0"/>
        <v>4257011.0011250013</v>
      </c>
      <c r="N15" s="7">
        <v>113921</v>
      </c>
      <c r="O15" s="7">
        <f>+M15-2105354</f>
        <v>2151657.0011250013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5531251.9309125999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4" t="s">
        <v>38</v>
      </c>
      <c r="D19" s="41"/>
      <c r="E19" s="41"/>
      <c r="F19" s="41"/>
      <c r="G19" s="41"/>
      <c r="H19" s="41"/>
      <c r="I19" s="41"/>
      <c r="J19" s="41"/>
    </row>
    <row r="20" spans="1:14" x14ac:dyDescent="0.2">
      <c r="C20" s="44" t="s">
        <v>23</v>
      </c>
      <c r="D20" s="41"/>
      <c r="E20" s="41"/>
      <c r="F20" s="41"/>
      <c r="G20" s="41"/>
      <c r="H20" s="41"/>
      <c r="I20" s="41"/>
      <c r="J20" s="41"/>
    </row>
    <row r="21" spans="1:14" x14ac:dyDescent="0.2">
      <c r="C21" s="44" t="s">
        <v>45</v>
      </c>
      <c r="D21" s="41"/>
      <c r="E21" s="41"/>
      <c r="F21" s="41"/>
      <c r="G21" s="41"/>
      <c r="H21" s="41"/>
      <c r="I21" s="41"/>
      <c r="J21" s="41"/>
    </row>
    <row r="22" spans="1:14" x14ac:dyDescent="0.2">
      <c r="C22" s="35" t="s">
        <v>24</v>
      </c>
      <c r="D22" s="41"/>
      <c r="E22" s="41"/>
      <c r="F22" s="41"/>
      <c r="G22" s="41"/>
      <c r="H22" s="41"/>
      <c r="I22" s="41"/>
      <c r="J22" s="41"/>
    </row>
    <row r="24" spans="1:14" x14ac:dyDescent="0.2">
      <c r="C24" s="35" t="s">
        <v>25</v>
      </c>
      <c r="D24" s="37" t="s">
        <v>26</v>
      </c>
      <c r="E24" s="38" t="s">
        <v>27</v>
      </c>
      <c r="F24" s="35" t="s">
        <v>28</v>
      </c>
      <c r="G24" s="45" t="s">
        <v>19</v>
      </c>
      <c r="H24" s="35" t="s">
        <v>29</v>
      </c>
      <c r="I24" s="41"/>
      <c r="J24" s="41"/>
    </row>
    <row r="25" spans="1:14" x14ac:dyDescent="0.2">
      <c r="C25" s="35">
        <v>175037.2</v>
      </c>
      <c r="D25" s="35">
        <v>82189</v>
      </c>
      <c r="E25" s="35">
        <v>712.98</v>
      </c>
      <c r="F25" s="35">
        <f>-D25+E25</f>
        <v>-81476.02</v>
      </c>
      <c r="G25" s="45">
        <v>0.21</v>
      </c>
      <c r="H25" s="35">
        <f>F25*G25</f>
        <v>-17109.964199999999</v>
      </c>
      <c r="I25" s="41"/>
      <c r="J25" s="41"/>
    </row>
    <row r="26" spans="1:14" x14ac:dyDescent="0.2">
      <c r="C26" s="35">
        <v>25712341</v>
      </c>
      <c r="D26" s="35"/>
      <c r="E26" s="35">
        <v>122412.17</v>
      </c>
      <c r="F26" s="35">
        <f>E26</f>
        <v>122412.17</v>
      </c>
      <c r="G26" s="45">
        <v>0.21</v>
      </c>
      <c r="H26" s="35">
        <f>F26*G26</f>
        <v>25706.555699999997</v>
      </c>
      <c r="I26" s="41"/>
      <c r="J26" s="41"/>
    </row>
    <row r="27" spans="1:14" x14ac:dyDescent="0.2">
      <c r="C27" s="47">
        <v>1076291.1100000001</v>
      </c>
      <c r="D27" s="35"/>
      <c r="E27" s="48">
        <v>5540.21</v>
      </c>
      <c r="F27" s="48">
        <f>E27</f>
        <v>5540.21</v>
      </c>
      <c r="G27" s="49">
        <v>0.21</v>
      </c>
      <c r="H27" s="48">
        <f>F27*G27</f>
        <v>1163.4440999999999</v>
      </c>
      <c r="I27" s="41"/>
      <c r="J27" s="41"/>
    </row>
    <row r="28" spans="1:14" ht="15" x14ac:dyDescent="0.35">
      <c r="C28" s="47">
        <v>242582</v>
      </c>
      <c r="D28" s="35"/>
      <c r="E28" s="46">
        <f>758.07+409</f>
        <v>1167.0700000000002</v>
      </c>
      <c r="F28" s="46">
        <f>E28</f>
        <v>1167.0700000000002</v>
      </c>
      <c r="G28" s="49">
        <v>0.21</v>
      </c>
      <c r="H28" s="46">
        <f>F28*G28</f>
        <v>245.08470000000003</v>
      </c>
      <c r="I28" s="41"/>
      <c r="J28" s="41"/>
    </row>
    <row r="29" spans="1:14" x14ac:dyDescent="0.2">
      <c r="C29" s="41"/>
      <c r="D29" s="41"/>
      <c r="E29" s="35">
        <f>SUM(E25:E28)</f>
        <v>129832.43000000001</v>
      </c>
      <c r="F29" s="35">
        <f>SUM(F25:F28)</f>
        <v>47643.429999999993</v>
      </c>
      <c r="G29" s="41" t="s">
        <v>34</v>
      </c>
      <c r="H29" s="35">
        <f>SUM(H25:H28)</f>
        <v>10005.120299999999</v>
      </c>
      <c r="I29" s="41"/>
      <c r="J29" s="41"/>
    </row>
    <row r="30" spans="1:14" ht="15" x14ac:dyDescent="0.35">
      <c r="C30" s="41"/>
      <c r="D30" s="41"/>
      <c r="E30" s="41"/>
      <c r="F30" s="41"/>
      <c r="G30" s="41" t="s">
        <v>35</v>
      </c>
      <c r="H30" s="46">
        <f>-H38*0.21</f>
        <v>-1245.9081600000002</v>
      </c>
      <c r="I30" s="41"/>
      <c r="J30" s="41"/>
    </row>
    <row r="31" spans="1:14" x14ac:dyDescent="0.2">
      <c r="C31" s="41"/>
      <c r="D31" s="41"/>
      <c r="E31" s="41"/>
      <c r="F31" s="41"/>
      <c r="G31" s="41"/>
      <c r="H31" s="35">
        <f>H29+H30</f>
        <v>8759.2121399999978</v>
      </c>
      <c r="I31" s="41"/>
      <c r="J31" s="41"/>
    </row>
    <row r="32" spans="1:14" x14ac:dyDescent="0.2">
      <c r="C32" s="41"/>
      <c r="D32" s="41"/>
      <c r="E32" s="41"/>
      <c r="F32" s="41"/>
      <c r="G32" s="41"/>
      <c r="H32" s="35">
        <f>H31-K15</f>
        <v>0.12809999999990396</v>
      </c>
      <c r="I32" s="41"/>
      <c r="J32" s="41"/>
    </row>
    <row r="33" spans="3:10" x14ac:dyDescent="0.2">
      <c r="C33" s="35" t="s">
        <v>30</v>
      </c>
      <c r="D33" s="42" t="s">
        <v>26</v>
      </c>
      <c r="E33" s="38" t="s">
        <v>31</v>
      </c>
      <c r="F33" s="35" t="s">
        <v>32</v>
      </c>
      <c r="G33" s="45" t="s">
        <v>20</v>
      </c>
      <c r="H33" s="35" t="s">
        <v>33</v>
      </c>
      <c r="I33" s="41"/>
      <c r="J33" s="41"/>
    </row>
    <row r="34" spans="3:10" x14ac:dyDescent="0.2">
      <c r="C34" s="35">
        <v>350074.4</v>
      </c>
      <c r="D34" s="35">
        <v>82189</v>
      </c>
      <c r="E34" s="35">
        <v>1425.97</v>
      </c>
      <c r="F34" s="35">
        <f>-D34+E34</f>
        <v>-80763.03</v>
      </c>
      <c r="G34" s="45">
        <v>0.05</v>
      </c>
      <c r="H34" s="35">
        <f>F34*G34</f>
        <v>-4038.1514999999999</v>
      </c>
    </row>
    <row r="35" spans="3:10" x14ac:dyDescent="0.2">
      <c r="C35" s="35">
        <v>40479188</v>
      </c>
      <c r="D35" s="35"/>
      <c r="E35" s="35">
        <v>192714.67</v>
      </c>
      <c r="F35" s="35">
        <f>E35</f>
        <v>192714.67</v>
      </c>
      <c r="G35" s="45">
        <v>0.05</v>
      </c>
      <c r="H35" s="35">
        <f>F35*G35</f>
        <v>9635.7335000000003</v>
      </c>
    </row>
    <row r="36" spans="3:10" x14ac:dyDescent="0.2">
      <c r="C36" s="35">
        <v>242582</v>
      </c>
      <c r="D36" s="35"/>
      <c r="E36" s="48">
        <v>5540.21</v>
      </c>
      <c r="F36" s="48">
        <f>E36</f>
        <v>5540.21</v>
      </c>
      <c r="G36" s="49">
        <v>0.05</v>
      </c>
      <c r="H36" s="48">
        <f>F36*G36</f>
        <v>277.01050000000004</v>
      </c>
    </row>
    <row r="37" spans="3:10" ht="15" x14ac:dyDescent="0.35">
      <c r="C37" s="35"/>
      <c r="D37" s="35"/>
      <c r="E37" s="46">
        <f>758.07+408</f>
        <v>1166.0700000000002</v>
      </c>
      <c r="F37" s="46">
        <f>E37</f>
        <v>1166.0700000000002</v>
      </c>
      <c r="G37" s="49">
        <v>0.05</v>
      </c>
      <c r="H37" s="46">
        <f>F37*G37</f>
        <v>58.303500000000014</v>
      </c>
    </row>
    <row r="38" spans="3:10" x14ac:dyDescent="0.2">
      <c r="C38" s="41"/>
      <c r="D38" s="41"/>
      <c r="E38" s="35">
        <f>SUM(E34:E37)</f>
        <v>200846.92</v>
      </c>
      <c r="F38" s="35">
        <f>SUM(F34:F37)</f>
        <v>118657.92000000003</v>
      </c>
      <c r="G38" s="41"/>
      <c r="H38" s="35">
        <f>SUM(H34:H37)</f>
        <v>5932.8960000000006</v>
      </c>
    </row>
    <row r="39" spans="3:10" x14ac:dyDescent="0.2">
      <c r="C39" s="41"/>
      <c r="D39" s="41"/>
      <c r="E39" s="41"/>
      <c r="F39" s="41"/>
      <c r="G39" s="41"/>
      <c r="H39" s="35">
        <f>H38-L15</f>
        <v>-2.0000000000436557E-2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6
Clements</oddHead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32C-395C-4F36-A16E-83860B4C88F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40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1874444</v>
      </c>
    </row>
    <row r="10" spans="1:17" x14ac:dyDescent="0.2">
      <c r="A10" s="32">
        <v>44994</v>
      </c>
      <c r="C10" s="7">
        <v>38352938</v>
      </c>
      <c r="D10" s="24">
        <v>163004</v>
      </c>
      <c r="E10" s="24">
        <f>458892.12</f>
        <v>458892.12</v>
      </c>
      <c r="F10" s="24">
        <f>458892.12</f>
        <v>458892.12</v>
      </c>
      <c r="G10" s="7">
        <f>E10-D10</f>
        <v>295888.12</v>
      </c>
      <c r="H10" s="7">
        <f>F10-D10</f>
        <v>295888.12</v>
      </c>
      <c r="I10" s="8">
        <v>0.21</v>
      </c>
      <c r="J10" s="8">
        <v>0.05</v>
      </c>
      <c r="K10" s="7">
        <f>G10*I10-L10*I10</f>
        <v>59029.679940000002</v>
      </c>
      <c r="L10" s="7">
        <f>H10*J10</f>
        <v>14794.406000000001</v>
      </c>
      <c r="M10" s="7">
        <f t="shared" ref="M10:M15" si="0">M9+K10+L10</f>
        <v>1948268.0859399999</v>
      </c>
      <c r="N10" s="7">
        <v>0</v>
      </c>
      <c r="P10" s="17"/>
    </row>
    <row r="11" spans="1:17" x14ac:dyDescent="0.2">
      <c r="A11" s="32">
        <v>45017</v>
      </c>
      <c r="C11" s="7">
        <v>38352938</v>
      </c>
      <c r="D11" s="15">
        <v>163004</v>
      </c>
      <c r="E11" s="24">
        <f>458892.12</f>
        <v>458892.12</v>
      </c>
      <c r="F11" s="24">
        <f>458892.12</f>
        <v>458892.12</v>
      </c>
      <c r="G11" s="7">
        <f t="shared" ref="G11:G13" si="1">E11-D11</f>
        <v>295888.12</v>
      </c>
      <c r="H11" s="7">
        <f t="shared" ref="H11:H13" si="2">F11-D11</f>
        <v>295888.12</v>
      </c>
      <c r="I11" s="8">
        <v>0.21</v>
      </c>
      <c r="J11" s="8">
        <v>0.05</v>
      </c>
      <c r="K11" s="7">
        <f t="shared" ref="K11:K13" si="3">G11*I11-L11*I11</f>
        <v>59029.679940000002</v>
      </c>
      <c r="L11" s="7">
        <f t="shared" ref="L11:L13" si="4">H11*J11</f>
        <v>14794.406000000001</v>
      </c>
      <c r="M11" s="7">
        <f t="shared" si="0"/>
        <v>2022092.1718799998</v>
      </c>
      <c r="N11" s="7">
        <v>0</v>
      </c>
      <c r="O11" s="7">
        <f>1598189-M12</f>
        <v>-498258.99970499985</v>
      </c>
      <c r="P11" s="17"/>
    </row>
    <row r="12" spans="1:17" x14ac:dyDescent="0.2">
      <c r="A12" s="32">
        <v>45047</v>
      </c>
      <c r="C12" s="7">
        <v>38717242</v>
      </c>
      <c r="D12" s="15">
        <v>163725</v>
      </c>
      <c r="E12" s="10">
        <f>458892.44+2851.91</f>
        <v>461744.35</v>
      </c>
      <c r="F12" s="10">
        <f>458892.44+2851.91</f>
        <v>461744.35</v>
      </c>
      <c r="G12" s="7">
        <f t="shared" si="1"/>
        <v>298019.34999999998</v>
      </c>
      <c r="H12" s="7">
        <f t="shared" si="2"/>
        <v>298019.34999999998</v>
      </c>
      <c r="I12" s="8">
        <v>0.21</v>
      </c>
      <c r="J12" s="8">
        <v>0.05</v>
      </c>
      <c r="K12" s="7">
        <f t="shared" si="3"/>
        <v>59454.860324999987</v>
      </c>
      <c r="L12" s="7">
        <f t="shared" si="4"/>
        <v>14900.967499999999</v>
      </c>
      <c r="M12" s="7">
        <f t="shared" si="0"/>
        <v>2096447.9997049998</v>
      </c>
      <c r="N12" s="7">
        <v>0</v>
      </c>
      <c r="O12" s="17">
        <f>+O11/0.389</f>
        <v>-1280871.4645372746</v>
      </c>
    </row>
    <row r="13" spans="1:17" x14ac:dyDescent="0.2">
      <c r="A13" s="32">
        <v>45078</v>
      </c>
      <c r="C13" s="7">
        <v>38717242</v>
      </c>
      <c r="D13" s="15">
        <v>164446</v>
      </c>
      <c r="E13" s="10">
        <f t="shared" ref="E13:F15" si="5">462434.8+31.24</f>
        <v>462466.04</v>
      </c>
      <c r="F13" s="10">
        <f t="shared" si="5"/>
        <v>462466.04</v>
      </c>
      <c r="G13" s="7">
        <f t="shared" si="1"/>
        <v>298020.03999999998</v>
      </c>
      <c r="H13" s="7">
        <f t="shared" si="2"/>
        <v>298020.03999999998</v>
      </c>
      <c r="I13" s="8">
        <v>0.21</v>
      </c>
      <c r="J13" s="8">
        <v>0.05</v>
      </c>
      <c r="K13" s="7">
        <f t="shared" si="3"/>
        <v>59454.997979999993</v>
      </c>
      <c r="L13" s="7">
        <f t="shared" si="4"/>
        <v>14901.002</v>
      </c>
      <c r="M13" s="7">
        <f t="shared" si="0"/>
        <v>2170803.9996849997</v>
      </c>
      <c r="N13" s="7">
        <v>0</v>
      </c>
      <c r="O13" s="7">
        <f>1923738-M14</f>
        <v>-321421.99966499954</v>
      </c>
    </row>
    <row r="14" spans="1:17" x14ac:dyDescent="0.2">
      <c r="A14" s="32">
        <v>45108</v>
      </c>
      <c r="C14" s="7">
        <v>38717242</v>
      </c>
      <c r="D14" s="15">
        <v>164446</v>
      </c>
      <c r="E14" s="10">
        <f t="shared" si="5"/>
        <v>462466.04</v>
      </c>
      <c r="F14" s="10">
        <f t="shared" si="5"/>
        <v>462466.04</v>
      </c>
      <c r="G14" s="7">
        <f>E14-D14</f>
        <v>298020.03999999998</v>
      </c>
      <c r="H14" s="7">
        <f>F14-D14</f>
        <v>298020.03999999998</v>
      </c>
      <c r="I14" s="8">
        <v>0.21</v>
      </c>
      <c r="J14" s="8">
        <v>0.05</v>
      </c>
      <c r="K14" s="7">
        <f>G14*I14-L14*I14</f>
        <v>59454.997979999993</v>
      </c>
      <c r="L14" s="7">
        <f>H14*J14</f>
        <v>14901.002</v>
      </c>
      <c r="M14" s="7">
        <f t="shared" si="0"/>
        <v>2245159.9996649995</v>
      </c>
      <c r="N14" s="7">
        <v>0</v>
      </c>
      <c r="O14" s="17">
        <f>+O13/0.389</f>
        <v>-826277.63410025591</v>
      </c>
      <c r="Q14" s="7"/>
    </row>
    <row r="15" spans="1:17" x14ac:dyDescent="0.2">
      <c r="A15" s="32">
        <v>45139</v>
      </c>
      <c r="C15" s="7">
        <v>38717242</v>
      </c>
      <c r="D15" s="15">
        <v>164446</v>
      </c>
      <c r="E15" s="10">
        <f t="shared" si="5"/>
        <v>462466.04</v>
      </c>
      <c r="F15" s="10">
        <f t="shared" si="5"/>
        <v>462466.04</v>
      </c>
      <c r="G15" s="7">
        <f>E15-D15</f>
        <v>298020.03999999998</v>
      </c>
      <c r="H15" s="7">
        <f>F15-D15</f>
        <v>298020.03999999998</v>
      </c>
      <c r="I15" s="8">
        <v>0.21</v>
      </c>
      <c r="J15" s="8">
        <v>0.05</v>
      </c>
      <c r="K15" s="7">
        <f>G15*I15-L15*I15</f>
        <v>59454.997979999993</v>
      </c>
      <c r="L15" s="7">
        <f>H15*J15</f>
        <v>14901.002</v>
      </c>
      <c r="M15" s="7">
        <f t="shared" si="0"/>
        <v>2319515.9996449994</v>
      </c>
      <c r="N15" s="7">
        <v>0</v>
      </c>
      <c r="O15" s="7">
        <f>+M15-2105354</f>
        <v>214161.99964499939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550544.98623393162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 xml:space="preserve">&amp;R&amp;"Times New Roman,Bold"&amp;12Attachment to Response to Question 3
Page 5 of 6
Clements
</oddHead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F4EA-AC79-4DB9-BA17-B1633DE38C7E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33" t="s">
        <v>41</v>
      </c>
    </row>
    <row r="6" spans="1:17" x14ac:dyDescent="0.2">
      <c r="A6" s="34" t="s">
        <v>42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137118</v>
      </c>
    </row>
    <row r="10" spans="1:17" x14ac:dyDescent="0.2">
      <c r="A10" s="32">
        <v>44994</v>
      </c>
      <c r="C10" s="7">
        <v>7326019</v>
      </c>
      <c r="D10" s="24">
        <v>31380</v>
      </c>
      <c r="E10" s="24">
        <f>52824.05+38.92</f>
        <v>52862.97</v>
      </c>
      <c r="F10" s="24">
        <f>52824.05+38.92</f>
        <v>52862.97</v>
      </c>
      <c r="G10" s="7">
        <f>E10-D10</f>
        <v>21482.97</v>
      </c>
      <c r="H10" s="7">
        <f>F10-D10</f>
        <v>21482.97</v>
      </c>
      <c r="I10" s="8">
        <v>0.21</v>
      </c>
      <c r="J10" s="8">
        <v>0.05</v>
      </c>
      <c r="K10" s="7">
        <f>G10*I10-L10*I10</f>
        <v>4285.8525150000005</v>
      </c>
      <c r="L10" s="7">
        <f>H10*J10</f>
        <v>1074.1485</v>
      </c>
      <c r="M10" s="7">
        <f t="shared" ref="M10:M15" si="0">M9+K10+L10</f>
        <v>142478.00101500002</v>
      </c>
      <c r="N10" s="7">
        <v>0</v>
      </c>
      <c r="P10" s="17"/>
    </row>
    <row r="11" spans="1:17" x14ac:dyDescent="0.2">
      <c r="A11" s="32">
        <v>45017</v>
      </c>
      <c r="C11" s="7">
        <v>7326019</v>
      </c>
      <c r="D11" s="15">
        <v>31380</v>
      </c>
      <c r="E11" s="24">
        <f t="shared" ref="E11:F15" si="1">52824.05+34.9</f>
        <v>52858.950000000004</v>
      </c>
      <c r="F11" s="24">
        <f t="shared" si="1"/>
        <v>52858.950000000004</v>
      </c>
      <c r="G11" s="7">
        <f t="shared" ref="G11:G13" si="2">E11-D11</f>
        <v>21478.950000000004</v>
      </c>
      <c r="H11" s="7">
        <f t="shared" ref="H11:H13" si="3">F11-D11</f>
        <v>21478.950000000004</v>
      </c>
      <c r="I11" s="8">
        <v>0.21</v>
      </c>
      <c r="J11" s="8">
        <v>0.05</v>
      </c>
      <c r="K11" s="7">
        <f t="shared" ref="K11:K13" si="4">G11*I11-L11*I11</f>
        <v>4285.0505250000006</v>
      </c>
      <c r="L11" s="7">
        <f t="shared" ref="L11:L13" si="5">H11*J11</f>
        <v>1073.9475000000002</v>
      </c>
      <c r="M11" s="7">
        <f t="shared" si="0"/>
        <v>147836.99904000002</v>
      </c>
      <c r="N11" s="7">
        <v>0</v>
      </c>
      <c r="O11" s="7">
        <f>1598189-M12</f>
        <v>1444993.002935</v>
      </c>
      <c r="P11" s="17"/>
    </row>
    <row r="12" spans="1:17" x14ac:dyDescent="0.2">
      <c r="A12" s="32">
        <v>45047</v>
      </c>
      <c r="C12" s="7">
        <v>7326019</v>
      </c>
      <c r="D12" s="15">
        <v>31380</v>
      </c>
      <c r="E12" s="24">
        <f t="shared" si="1"/>
        <v>52858.950000000004</v>
      </c>
      <c r="F12" s="24">
        <f t="shared" si="1"/>
        <v>52858.950000000004</v>
      </c>
      <c r="G12" s="7">
        <f t="shared" si="2"/>
        <v>21478.950000000004</v>
      </c>
      <c r="H12" s="7">
        <f t="shared" si="3"/>
        <v>21478.950000000004</v>
      </c>
      <c r="I12" s="8">
        <v>0.21</v>
      </c>
      <c r="J12" s="8">
        <v>0.05</v>
      </c>
      <c r="K12" s="7">
        <f t="shared" si="4"/>
        <v>4285.0505250000006</v>
      </c>
      <c r="L12" s="7">
        <f t="shared" si="5"/>
        <v>1073.9475000000002</v>
      </c>
      <c r="M12" s="7">
        <f t="shared" si="0"/>
        <v>153195.99706500003</v>
      </c>
      <c r="N12" s="7">
        <v>0</v>
      </c>
      <c r="O12" s="17">
        <f>+O11/0.389</f>
        <v>3714634.9689845755</v>
      </c>
    </row>
    <row r="13" spans="1:17" x14ac:dyDescent="0.2">
      <c r="A13" s="32">
        <v>45078</v>
      </c>
      <c r="C13" s="7">
        <v>7326019</v>
      </c>
      <c r="D13" s="15">
        <v>31380</v>
      </c>
      <c r="E13" s="24">
        <f t="shared" si="1"/>
        <v>52858.950000000004</v>
      </c>
      <c r="F13" s="24">
        <f t="shared" si="1"/>
        <v>52858.950000000004</v>
      </c>
      <c r="G13" s="7">
        <f t="shared" si="2"/>
        <v>21478.950000000004</v>
      </c>
      <c r="H13" s="7">
        <f t="shared" si="3"/>
        <v>21478.950000000004</v>
      </c>
      <c r="I13" s="8">
        <v>0.21</v>
      </c>
      <c r="J13" s="8">
        <v>0.05</v>
      </c>
      <c r="K13" s="7">
        <f t="shared" si="4"/>
        <v>4285.0505250000006</v>
      </c>
      <c r="L13" s="7">
        <f t="shared" si="5"/>
        <v>1073.9475000000002</v>
      </c>
      <c r="M13" s="7">
        <f t="shared" si="0"/>
        <v>158554.99509000004</v>
      </c>
      <c r="N13" s="7">
        <v>0</v>
      </c>
      <c r="O13" s="7">
        <f>1923738-M14</f>
        <v>1759824.006885</v>
      </c>
    </row>
    <row r="14" spans="1:17" x14ac:dyDescent="0.2">
      <c r="A14" s="32">
        <v>45108</v>
      </c>
      <c r="C14" s="7">
        <v>7326019</v>
      </c>
      <c r="D14" s="15">
        <v>31380</v>
      </c>
      <c r="E14" s="24">
        <f t="shared" si="1"/>
        <v>52858.950000000004</v>
      </c>
      <c r="F14" s="24">
        <f t="shared" si="1"/>
        <v>52858.950000000004</v>
      </c>
      <c r="G14" s="7">
        <f>E14-D14</f>
        <v>21478.950000000004</v>
      </c>
      <c r="H14" s="7">
        <f>F14-D14</f>
        <v>21478.950000000004</v>
      </c>
      <c r="I14" s="8">
        <v>0.21</v>
      </c>
      <c r="J14" s="8">
        <v>0.05</v>
      </c>
      <c r="K14" s="7">
        <f>G14*I14-L14*I14</f>
        <v>4285.0505250000006</v>
      </c>
      <c r="L14" s="7">
        <f>H14*J14</f>
        <v>1073.9475000000002</v>
      </c>
      <c r="M14" s="7">
        <f t="shared" si="0"/>
        <v>163913.99311500005</v>
      </c>
      <c r="N14" s="7">
        <v>0</v>
      </c>
      <c r="O14" s="17">
        <f>+O13/0.389</f>
        <v>4523969.16937018</v>
      </c>
      <c r="Q14" s="7"/>
    </row>
    <row r="15" spans="1:17" x14ac:dyDescent="0.2">
      <c r="A15" s="32">
        <v>45139</v>
      </c>
      <c r="C15" s="7">
        <v>7326019</v>
      </c>
      <c r="D15" s="15">
        <v>31380</v>
      </c>
      <c r="E15" s="24">
        <f t="shared" si="1"/>
        <v>52858.950000000004</v>
      </c>
      <c r="F15" s="24">
        <f t="shared" si="1"/>
        <v>52858.950000000004</v>
      </c>
      <c r="G15" s="7">
        <f>E15-D15</f>
        <v>21478.950000000004</v>
      </c>
      <c r="H15" s="7">
        <f>F15-D15</f>
        <v>21478.950000000004</v>
      </c>
      <c r="I15" s="8">
        <v>0.21</v>
      </c>
      <c r="J15" s="8">
        <v>0.05</v>
      </c>
      <c r="K15" s="7">
        <f>G15*I15-L15*I15</f>
        <v>4285.0505250000006</v>
      </c>
      <c r="L15" s="7">
        <f>H15*J15</f>
        <v>1073.9475000000002</v>
      </c>
      <c r="M15" s="7">
        <f t="shared" si="0"/>
        <v>169272.99114000006</v>
      </c>
      <c r="N15" s="7">
        <v>0</v>
      </c>
      <c r="O15" s="7">
        <f>+M15-2105354</f>
        <v>-1936081.0088599999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-4977072.0022107968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6
Clements</oddHead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432E26-B3D9-40FE-A588-ED75717E0FF5}">
  <ds:schemaRefs>
    <ds:schemaRef ds:uri="http://purl.org/dc/dcmitype/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65bfb563-8fe2-4d34-a09f-38a217d8feea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2583E8-B421-4E0F-8F21-27275E675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E8026-575E-490D-AF4C-3E14CEF29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Project 32</vt:lpstr>
      <vt:lpstr>Project 33</vt:lpstr>
      <vt:lpstr>Project 40</vt:lpstr>
      <vt:lpstr>Project 41</vt:lpstr>
      <vt:lpstr>Project 42</vt:lpstr>
      <vt:lpstr>Project 43</vt:lpstr>
      <vt:lpstr>'Project 32'!Print_Area</vt:lpstr>
      <vt:lpstr>'Project 33'!Print_Area</vt:lpstr>
      <vt:lpstr>'Project 40'!Print_Area</vt:lpstr>
      <vt:lpstr>'Project 41'!Print_Area</vt:lpstr>
      <vt:lpstr>'Project 42'!Print_Area</vt:lpstr>
      <vt:lpstr>'Project 43'!Print_Area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 Frederic Hall</dc:creator>
  <cp:lastModifiedBy>Fackler, Andrea</cp:lastModifiedBy>
  <cp:lastPrinted>2024-02-14T20:00:03Z</cp:lastPrinted>
  <dcterms:created xsi:type="dcterms:W3CDTF">2006-05-12T17:38:13Z</dcterms:created>
  <dcterms:modified xsi:type="dcterms:W3CDTF">2024-02-14T20:00:08Z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2024-01-25T19:05:58Z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e695335d-d792-47b9-bda6-70a247353249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2024-02-14T20:00:07Z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8dd70f1a-4a67-478c-904d-46b38f0f8120</vt:lpwstr>
  </property>
  <property fmtid="{D5CDD505-2E9C-101B-9397-08002B2CF9AE}" pid="16" name="MSIP_Label_d662fcd2-3ff9-4261-9b26-9dd5808d0bb4_ContentBits">
    <vt:lpwstr>0</vt:lpwstr>
  </property>
</Properties>
</file>