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A76050B9-1824-47B9-8BFD-A1D34ADA9223}" xr6:coauthVersionLast="47" xr6:coauthVersionMax="47" xr10:uidLastSave="{00000000-0000-0000-0000-000000000000}"/>
  <bookViews>
    <workbookView xWindow="-120" yWindow="-120" windowWidth="29040" windowHeight="17025" tabRatio="895" xr2:uid="{00298AF9-6221-4325-BAE7-C44261BC881D}"/>
  </bookViews>
  <sheets>
    <sheet name="Project 28" sheetId="1" r:id="rId1"/>
    <sheet name="Project 29" sheetId="2" r:id="rId2"/>
    <sheet name="Project 29_2011 Plan" sheetId="3" r:id="rId3"/>
    <sheet name="Project 30" sheetId="4" r:id="rId4"/>
    <sheet name="Project 31" sheetId="5" r:id="rId5"/>
    <sheet name="Project 32" sheetId="6" r:id="rId6"/>
    <sheet name="Project 33" sheetId="7" r:id="rId7"/>
    <sheet name="Project 34" sheetId="8" r:id="rId8"/>
    <sheet name="Project 35" sheetId="9" r:id="rId9"/>
    <sheet name="Project 37" sheetId="10" r:id="rId10"/>
    <sheet name="Project 38" sheetId="11" r:id="rId11"/>
    <sheet name="Project 40" sheetId="12" r:id="rId12"/>
    <sheet name="Project 41" sheetId="13" r:id="rId13"/>
    <sheet name="Project 42" sheetId="14" r:id="rId14"/>
    <sheet name="Project 43" sheetId="15" r:id="rId15"/>
  </sheets>
  <definedNames>
    <definedName name="_xlnm.Print_Area" localSheetId="0">'Project 28'!$A$1:$N$79</definedName>
    <definedName name="_xlnm.Print_Area" localSheetId="1">'Project 29'!$A$1:$N$61</definedName>
    <definedName name="_xlnm.Print_Area" localSheetId="2">'Project 29_2011 Plan'!$A$1:$N$80</definedName>
    <definedName name="_xlnm.Print_Area" localSheetId="11">'Project 40'!$A$1:$O$33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9" l="1"/>
  <c r="F10" i="4"/>
  <c r="E10" i="4"/>
  <c r="E30" i="6"/>
  <c r="E51" i="7"/>
  <c r="E45" i="7"/>
  <c r="E44" i="7"/>
  <c r="K33" i="7"/>
  <c r="F33" i="7"/>
  <c r="E33" i="7"/>
  <c r="F27" i="12"/>
  <c r="E27" i="12"/>
  <c r="E25" i="13"/>
  <c r="F25" i="13"/>
  <c r="E21" i="13"/>
  <c r="F21" i="13"/>
  <c r="E24" i="15"/>
  <c r="F24" i="15"/>
  <c r="D16" i="14"/>
  <c r="G33" i="15" l="1"/>
  <c r="F33" i="15"/>
  <c r="H33" i="15" s="1"/>
  <c r="L33" i="15" s="1"/>
  <c r="E33" i="15"/>
  <c r="F32" i="15"/>
  <c r="H32" i="15" s="1"/>
  <c r="L32" i="15" s="1"/>
  <c r="E32" i="15"/>
  <c r="G32" i="15" s="1"/>
  <c r="L31" i="15"/>
  <c r="H31" i="15"/>
  <c r="G31" i="15"/>
  <c r="K31" i="15" s="1"/>
  <c r="L30" i="15"/>
  <c r="K30" i="15"/>
  <c r="H30" i="15"/>
  <c r="G30" i="15"/>
  <c r="H29" i="15"/>
  <c r="L29" i="15" s="1"/>
  <c r="G29" i="15"/>
  <c r="K29" i="15" s="1"/>
  <c r="H28" i="15"/>
  <c r="L28" i="15" s="1"/>
  <c r="G28" i="15"/>
  <c r="F27" i="15"/>
  <c r="H27" i="15" s="1"/>
  <c r="L27" i="15" s="1"/>
  <c r="E27" i="15"/>
  <c r="G27" i="15" s="1"/>
  <c r="K27" i="15" s="1"/>
  <c r="F26" i="15"/>
  <c r="H26" i="15" s="1"/>
  <c r="L26" i="15" s="1"/>
  <c r="E26" i="15"/>
  <c r="G26" i="15" s="1"/>
  <c r="K26" i="15" s="1"/>
  <c r="F25" i="15"/>
  <c r="H25" i="15" s="1"/>
  <c r="L25" i="15" s="1"/>
  <c r="E25" i="15"/>
  <c r="G25" i="15" s="1"/>
  <c r="K25" i="15" s="1"/>
  <c r="H24" i="15"/>
  <c r="L24" i="15" s="1"/>
  <c r="G24" i="15"/>
  <c r="L23" i="15"/>
  <c r="H23" i="15"/>
  <c r="F23" i="15"/>
  <c r="E23" i="15"/>
  <c r="G23" i="15" s="1"/>
  <c r="K23" i="15" s="1"/>
  <c r="H22" i="15"/>
  <c r="L22" i="15" s="1"/>
  <c r="K22" i="15" s="1"/>
  <c r="M22" i="15" s="1"/>
  <c r="M23" i="15" s="1"/>
  <c r="G22" i="15"/>
  <c r="F22" i="15"/>
  <c r="E22" i="15"/>
  <c r="G10" i="15"/>
  <c r="H10" i="15"/>
  <c r="L10" i="15" s="1"/>
  <c r="G11" i="15"/>
  <c r="H11" i="15"/>
  <c r="K11" i="15"/>
  <c r="M11" i="15" s="1"/>
  <c r="L11" i="15"/>
  <c r="G12" i="15"/>
  <c r="H12" i="15"/>
  <c r="L12" i="15" s="1"/>
  <c r="K12" i="15" s="1"/>
  <c r="M12" i="15" s="1"/>
  <c r="G13" i="15"/>
  <c r="H13" i="15"/>
  <c r="L13" i="15" s="1"/>
  <c r="G14" i="15"/>
  <c r="K14" i="15" s="1"/>
  <c r="M14" i="15" s="1"/>
  <c r="H14" i="15"/>
  <c r="L14" i="15"/>
  <c r="G15" i="15"/>
  <c r="K15" i="15" s="1"/>
  <c r="H15" i="15"/>
  <c r="L15" i="15"/>
  <c r="F21" i="15"/>
  <c r="H21" i="15" s="1"/>
  <c r="L21" i="15" s="1"/>
  <c r="E21" i="15"/>
  <c r="G21" i="15" s="1"/>
  <c r="F20" i="15"/>
  <c r="H20" i="15" s="1"/>
  <c r="L20" i="15" s="1"/>
  <c r="E20" i="15"/>
  <c r="G20" i="15" s="1"/>
  <c r="H19" i="15"/>
  <c r="L19" i="15" s="1"/>
  <c r="G19" i="15"/>
  <c r="H18" i="15"/>
  <c r="L18" i="15" s="1"/>
  <c r="G18" i="15"/>
  <c r="H17" i="15"/>
  <c r="L17" i="15" s="1"/>
  <c r="G17" i="15"/>
  <c r="H16" i="15"/>
  <c r="L16" i="15" s="1"/>
  <c r="G16" i="15"/>
  <c r="G33" i="14"/>
  <c r="F33" i="14"/>
  <c r="H33" i="14" s="1"/>
  <c r="L33" i="14" s="1"/>
  <c r="E33" i="14"/>
  <c r="F32" i="14"/>
  <c r="H32" i="14" s="1"/>
  <c r="L32" i="14" s="1"/>
  <c r="E32" i="14"/>
  <c r="G32" i="14" s="1"/>
  <c r="H31" i="14"/>
  <c r="L31" i="14" s="1"/>
  <c r="G31" i="14"/>
  <c r="L30" i="14"/>
  <c r="K30" i="14"/>
  <c r="H30" i="14"/>
  <c r="G30" i="14"/>
  <c r="H29" i="14"/>
  <c r="L29" i="14" s="1"/>
  <c r="G29" i="14"/>
  <c r="K29" i="14" s="1"/>
  <c r="L28" i="14"/>
  <c r="H28" i="14"/>
  <c r="G28" i="14"/>
  <c r="K28" i="14" s="1"/>
  <c r="F27" i="14"/>
  <c r="H27" i="14" s="1"/>
  <c r="L27" i="14" s="1"/>
  <c r="E27" i="14"/>
  <c r="G27" i="14" s="1"/>
  <c r="K27" i="14" s="1"/>
  <c r="F26" i="14"/>
  <c r="H26" i="14" s="1"/>
  <c r="L26" i="14" s="1"/>
  <c r="E26" i="14"/>
  <c r="G26" i="14" s="1"/>
  <c r="K26" i="14" s="1"/>
  <c r="H25" i="14"/>
  <c r="L25" i="14" s="1"/>
  <c r="F25" i="14"/>
  <c r="E25" i="14"/>
  <c r="G25" i="14" s="1"/>
  <c r="H24" i="14"/>
  <c r="L24" i="14" s="1"/>
  <c r="G24" i="14"/>
  <c r="F24" i="14"/>
  <c r="E24" i="14"/>
  <c r="G23" i="14"/>
  <c r="F23" i="14"/>
  <c r="H23" i="14" s="1"/>
  <c r="L23" i="14" s="1"/>
  <c r="E23" i="14"/>
  <c r="F22" i="14"/>
  <c r="H22" i="14" s="1"/>
  <c r="L22" i="14" s="1"/>
  <c r="E22" i="14"/>
  <c r="G22" i="14" s="1"/>
  <c r="F21" i="14"/>
  <c r="H21" i="14" s="1"/>
  <c r="L21" i="14" s="1"/>
  <c r="E21" i="14"/>
  <c r="G21" i="14" s="1"/>
  <c r="H20" i="14"/>
  <c r="L20" i="14" s="1"/>
  <c r="G20" i="14"/>
  <c r="K20" i="14" s="1"/>
  <c r="H19" i="14"/>
  <c r="L19" i="14" s="1"/>
  <c r="F19" i="14"/>
  <c r="E19" i="14"/>
  <c r="G19" i="14" s="1"/>
  <c r="K19" i="14" s="1"/>
  <c r="H18" i="14"/>
  <c r="L18" i="14" s="1"/>
  <c r="G18" i="14"/>
  <c r="F18" i="14"/>
  <c r="E18" i="14"/>
  <c r="G17" i="14"/>
  <c r="K17" i="14" s="1"/>
  <c r="F17" i="14"/>
  <c r="H17" i="14" s="1"/>
  <c r="L17" i="14" s="1"/>
  <c r="E17" i="14"/>
  <c r="D17" i="14"/>
  <c r="C17" i="14"/>
  <c r="H16" i="14"/>
  <c r="L16" i="14" s="1"/>
  <c r="G16" i="14"/>
  <c r="F16" i="14"/>
  <c r="E16" i="14"/>
  <c r="C16" i="14"/>
  <c r="E54" i="13"/>
  <c r="F53" i="13"/>
  <c r="H53" i="13" s="1"/>
  <c r="F52" i="13"/>
  <c r="H52" i="13" s="1"/>
  <c r="F51" i="13"/>
  <c r="H51" i="13" s="1"/>
  <c r="H54" i="13" s="1"/>
  <c r="E46" i="13"/>
  <c r="F45" i="13"/>
  <c r="H45" i="13" s="1"/>
  <c r="F44" i="13"/>
  <c r="H44" i="13" s="1"/>
  <c r="F43" i="13"/>
  <c r="H43" i="13" s="1"/>
  <c r="H46" i="13" s="1"/>
  <c r="G33" i="13"/>
  <c r="K33" i="13" s="1"/>
  <c r="F33" i="13"/>
  <c r="H33" i="13" s="1"/>
  <c r="L33" i="13" s="1"/>
  <c r="E33" i="13"/>
  <c r="F32" i="13"/>
  <c r="H32" i="13" s="1"/>
  <c r="L32" i="13" s="1"/>
  <c r="E32" i="13"/>
  <c r="G32" i="13" s="1"/>
  <c r="K32" i="13" s="1"/>
  <c r="H31" i="13"/>
  <c r="L31" i="13" s="1"/>
  <c r="K31" i="13" s="1"/>
  <c r="G31" i="13"/>
  <c r="L30" i="13"/>
  <c r="H30" i="13"/>
  <c r="G30" i="13"/>
  <c r="K30" i="13" s="1"/>
  <c r="L29" i="13"/>
  <c r="H29" i="13"/>
  <c r="G29" i="13"/>
  <c r="K29" i="13" s="1"/>
  <c r="H28" i="13"/>
  <c r="L28" i="13" s="1"/>
  <c r="G28" i="13"/>
  <c r="K28" i="13" s="1"/>
  <c r="G27" i="13"/>
  <c r="F27" i="13"/>
  <c r="H27" i="13" s="1"/>
  <c r="L27" i="13" s="1"/>
  <c r="E27" i="13"/>
  <c r="F26" i="13"/>
  <c r="H26" i="13" s="1"/>
  <c r="L26" i="13" s="1"/>
  <c r="E26" i="13"/>
  <c r="G26" i="13" s="1"/>
  <c r="K26" i="13" s="1"/>
  <c r="H25" i="13"/>
  <c r="L25" i="13" s="1"/>
  <c r="G25" i="13"/>
  <c r="G24" i="13"/>
  <c r="K24" i="13" s="1"/>
  <c r="F24" i="13"/>
  <c r="H24" i="13" s="1"/>
  <c r="L24" i="13" s="1"/>
  <c r="E24" i="13"/>
  <c r="H23" i="13"/>
  <c r="L23" i="13" s="1"/>
  <c r="F23" i="13"/>
  <c r="E23" i="13"/>
  <c r="G23" i="13" s="1"/>
  <c r="K23" i="13" s="1"/>
  <c r="G22" i="13"/>
  <c r="K22" i="13" s="1"/>
  <c r="F22" i="13"/>
  <c r="H22" i="13" s="1"/>
  <c r="L22" i="13" s="1"/>
  <c r="E22" i="13"/>
  <c r="H21" i="13"/>
  <c r="L21" i="13" s="1"/>
  <c r="G21" i="13"/>
  <c r="D20" i="13"/>
  <c r="H20" i="13" s="1"/>
  <c r="L20" i="13" s="1"/>
  <c r="C20" i="13"/>
  <c r="G19" i="13"/>
  <c r="F19" i="13"/>
  <c r="H19" i="13" s="1"/>
  <c r="L19" i="13" s="1"/>
  <c r="E19" i="13"/>
  <c r="D19" i="13"/>
  <c r="C19" i="13"/>
  <c r="H18" i="13"/>
  <c r="L18" i="13" s="1"/>
  <c r="F18" i="13"/>
  <c r="E18" i="13"/>
  <c r="G18" i="13" s="1"/>
  <c r="K18" i="13" s="1"/>
  <c r="D18" i="13"/>
  <c r="C18" i="13"/>
  <c r="F17" i="13"/>
  <c r="H17" i="13" s="1"/>
  <c r="L17" i="13" s="1"/>
  <c r="E17" i="13"/>
  <c r="G17" i="13" s="1"/>
  <c r="K17" i="13" s="1"/>
  <c r="D17" i="13"/>
  <c r="C17" i="13"/>
  <c r="F16" i="13"/>
  <c r="H16" i="13" s="1"/>
  <c r="L16" i="13" s="1"/>
  <c r="E16" i="13"/>
  <c r="G16" i="13" s="1"/>
  <c r="K16" i="13" s="1"/>
  <c r="M16" i="13" s="1"/>
  <c r="D16" i="13"/>
  <c r="C16" i="13"/>
  <c r="G33" i="12"/>
  <c r="K33" i="12" s="1"/>
  <c r="F33" i="12"/>
  <c r="H33" i="12" s="1"/>
  <c r="L33" i="12" s="1"/>
  <c r="E33" i="12"/>
  <c r="F32" i="12"/>
  <c r="H32" i="12" s="1"/>
  <c r="L32" i="12" s="1"/>
  <c r="E32" i="12"/>
  <c r="G32" i="12" s="1"/>
  <c r="K32" i="12" s="1"/>
  <c r="F31" i="12"/>
  <c r="H31" i="12" s="1"/>
  <c r="L31" i="12" s="1"/>
  <c r="E31" i="12"/>
  <c r="G31" i="12" s="1"/>
  <c r="K31" i="12" s="1"/>
  <c r="L30" i="12"/>
  <c r="K30" i="12"/>
  <c r="H30" i="12"/>
  <c r="G30" i="12"/>
  <c r="H29" i="12"/>
  <c r="L29" i="12" s="1"/>
  <c r="G29" i="12"/>
  <c r="H28" i="12"/>
  <c r="L28" i="12" s="1"/>
  <c r="G28" i="12"/>
  <c r="K28" i="12" s="1"/>
  <c r="G27" i="12"/>
  <c r="H27" i="12"/>
  <c r="L27" i="12" s="1"/>
  <c r="F26" i="12"/>
  <c r="H26" i="12" s="1"/>
  <c r="L26" i="12" s="1"/>
  <c r="E26" i="12"/>
  <c r="G26" i="12" s="1"/>
  <c r="K26" i="12" s="1"/>
  <c r="F25" i="12"/>
  <c r="H25" i="12" s="1"/>
  <c r="L25" i="12" s="1"/>
  <c r="E25" i="12"/>
  <c r="G25" i="12" s="1"/>
  <c r="H24" i="12"/>
  <c r="L24" i="12" s="1"/>
  <c r="F24" i="12"/>
  <c r="E24" i="12"/>
  <c r="G24" i="12" s="1"/>
  <c r="H23" i="12"/>
  <c r="L23" i="12" s="1"/>
  <c r="G23" i="12"/>
  <c r="K23" i="12" s="1"/>
  <c r="F23" i="12"/>
  <c r="E23" i="12"/>
  <c r="G22" i="12"/>
  <c r="F22" i="12"/>
  <c r="H22" i="12" s="1"/>
  <c r="L22" i="12" s="1"/>
  <c r="E22" i="12"/>
  <c r="H21" i="12"/>
  <c r="L21" i="12" s="1"/>
  <c r="F21" i="12"/>
  <c r="E21" i="12"/>
  <c r="G21" i="12" s="1"/>
  <c r="G20" i="12"/>
  <c r="F20" i="12"/>
  <c r="H20" i="12" s="1"/>
  <c r="L20" i="12" s="1"/>
  <c r="E20" i="12"/>
  <c r="C20" i="12"/>
  <c r="G19" i="12"/>
  <c r="F19" i="12"/>
  <c r="H19" i="12" s="1"/>
  <c r="L19" i="12" s="1"/>
  <c r="E19" i="12"/>
  <c r="C19" i="12"/>
  <c r="G18" i="12"/>
  <c r="F18" i="12"/>
  <c r="H18" i="12" s="1"/>
  <c r="L18" i="12" s="1"/>
  <c r="E18" i="12"/>
  <c r="C18" i="12"/>
  <c r="G17" i="12"/>
  <c r="F17" i="12"/>
  <c r="H17" i="12" s="1"/>
  <c r="L17" i="12" s="1"/>
  <c r="E17" i="12"/>
  <c r="C17" i="12"/>
  <c r="F16" i="12"/>
  <c r="H16" i="12" s="1"/>
  <c r="L16" i="12" s="1"/>
  <c r="E16" i="12"/>
  <c r="D16" i="12"/>
  <c r="G16" i="12" s="1"/>
  <c r="C16" i="12"/>
  <c r="G16" i="11"/>
  <c r="H16" i="11"/>
  <c r="L16" i="11" s="1"/>
  <c r="G17" i="11"/>
  <c r="K17" i="11" s="1"/>
  <c r="H17" i="11"/>
  <c r="L17" i="11"/>
  <c r="G18" i="11"/>
  <c r="K18" i="11" s="1"/>
  <c r="H18" i="11"/>
  <c r="L18" i="11" s="1"/>
  <c r="G19" i="11"/>
  <c r="K19" i="11" s="1"/>
  <c r="H19" i="11"/>
  <c r="L19" i="11"/>
  <c r="G20" i="11"/>
  <c r="H20" i="11"/>
  <c r="L20" i="11" s="1"/>
  <c r="G21" i="11"/>
  <c r="K21" i="11" s="1"/>
  <c r="H21" i="11"/>
  <c r="L21" i="11"/>
  <c r="G22" i="11"/>
  <c r="K22" i="11" s="1"/>
  <c r="H22" i="11"/>
  <c r="L22" i="11" s="1"/>
  <c r="G23" i="11"/>
  <c r="K23" i="11" s="1"/>
  <c r="H23" i="11"/>
  <c r="L23" i="11"/>
  <c r="G24" i="11"/>
  <c r="K24" i="11" s="1"/>
  <c r="H24" i="11"/>
  <c r="L24" i="11" s="1"/>
  <c r="G25" i="11"/>
  <c r="K25" i="11" s="1"/>
  <c r="H25" i="11"/>
  <c r="L25" i="11"/>
  <c r="G26" i="11"/>
  <c r="K26" i="11" s="1"/>
  <c r="H26" i="11"/>
  <c r="L26" i="11" s="1"/>
  <c r="G27" i="11"/>
  <c r="K27" i="11" s="1"/>
  <c r="H27" i="11"/>
  <c r="L27" i="11"/>
  <c r="G28" i="11"/>
  <c r="H28" i="11"/>
  <c r="L28" i="11" s="1"/>
  <c r="G29" i="11"/>
  <c r="K29" i="11" s="1"/>
  <c r="H29" i="11"/>
  <c r="L29" i="11"/>
  <c r="G30" i="11"/>
  <c r="H30" i="11"/>
  <c r="L30" i="11" s="1"/>
  <c r="G31" i="11"/>
  <c r="K31" i="11" s="1"/>
  <c r="H31" i="11"/>
  <c r="L31" i="11"/>
  <c r="G32" i="11"/>
  <c r="H32" i="11"/>
  <c r="L32" i="11" s="1"/>
  <c r="G33" i="11"/>
  <c r="K33" i="11" s="1"/>
  <c r="H33" i="11"/>
  <c r="L33" i="11"/>
  <c r="G16" i="10"/>
  <c r="H16" i="10"/>
  <c r="L16" i="10" s="1"/>
  <c r="G17" i="10"/>
  <c r="K17" i="10" s="1"/>
  <c r="H17" i="10"/>
  <c r="L17" i="10"/>
  <c r="G18" i="10"/>
  <c r="K18" i="10" s="1"/>
  <c r="H18" i="10"/>
  <c r="L18" i="10" s="1"/>
  <c r="G19" i="10"/>
  <c r="K19" i="10" s="1"/>
  <c r="H19" i="10"/>
  <c r="L19" i="10"/>
  <c r="G20" i="10"/>
  <c r="K20" i="10" s="1"/>
  <c r="H20" i="10"/>
  <c r="L20" i="10" s="1"/>
  <c r="G21" i="10"/>
  <c r="K21" i="10" s="1"/>
  <c r="H21" i="10"/>
  <c r="L21" i="10"/>
  <c r="G22" i="10"/>
  <c r="K22" i="10" s="1"/>
  <c r="H22" i="10"/>
  <c r="L22" i="10" s="1"/>
  <c r="G23" i="10"/>
  <c r="K23" i="10" s="1"/>
  <c r="H23" i="10"/>
  <c r="L23" i="10"/>
  <c r="G24" i="10"/>
  <c r="K24" i="10" s="1"/>
  <c r="H24" i="10"/>
  <c r="L24" i="10" s="1"/>
  <c r="G25" i="10"/>
  <c r="K25" i="10" s="1"/>
  <c r="H25" i="10"/>
  <c r="L25" i="10"/>
  <c r="G26" i="10"/>
  <c r="K26" i="10" s="1"/>
  <c r="H26" i="10"/>
  <c r="L26" i="10" s="1"/>
  <c r="G27" i="10"/>
  <c r="K27" i="10" s="1"/>
  <c r="H27" i="10"/>
  <c r="L27" i="10"/>
  <c r="G28" i="10"/>
  <c r="H28" i="10"/>
  <c r="L28" i="10" s="1"/>
  <c r="G29" i="10"/>
  <c r="K29" i="10" s="1"/>
  <c r="H29" i="10"/>
  <c r="L29" i="10"/>
  <c r="G30" i="10"/>
  <c r="H30" i="10"/>
  <c r="L30" i="10" s="1"/>
  <c r="G31" i="10"/>
  <c r="K31" i="10" s="1"/>
  <c r="H31" i="10"/>
  <c r="L31" i="10"/>
  <c r="G32" i="10"/>
  <c r="H32" i="10"/>
  <c r="L32" i="10" s="1"/>
  <c r="G33" i="10"/>
  <c r="K33" i="10" s="1"/>
  <c r="H33" i="10"/>
  <c r="L33" i="10"/>
  <c r="G16" i="9"/>
  <c r="K16" i="9" s="1"/>
  <c r="H16" i="9"/>
  <c r="L16" i="9" s="1"/>
  <c r="G17" i="9"/>
  <c r="H17" i="9"/>
  <c r="L17" i="9"/>
  <c r="K17" i="9" s="1"/>
  <c r="G18" i="9"/>
  <c r="H18" i="9"/>
  <c r="L18" i="9" s="1"/>
  <c r="G19" i="9"/>
  <c r="H19" i="9"/>
  <c r="L19" i="9"/>
  <c r="K19" i="9" s="1"/>
  <c r="G20" i="9"/>
  <c r="H20" i="9"/>
  <c r="L20" i="9" s="1"/>
  <c r="G21" i="9"/>
  <c r="H21" i="9"/>
  <c r="L21" i="9"/>
  <c r="K21" i="9" s="1"/>
  <c r="G22" i="9"/>
  <c r="K22" i="9" s="1"/>
  <c r="H22" i="9"/>
  <c r="L22" i="9" s="1"/>
  <c r="G23" i="9"/>
  <c r="H23" i="9"/>
  <c r="L23" i="9"/>
  <c r="K23" i="9" s="1"/>
  <c r="G24" i="9"/>
  <c r="H24" i="9"/>
  <c r="L24" i="9" s="1"/>
  <c r="G25" i="9"/>
  <c r="H25" i="9"/>
  <c r="L25" i="9"/>
  <c r="K25" i="9" s="1"/>
  <c r="G26" i="9"/>
  <c r="K26" i="9" s="1"/>
  <c r="H26" i="9"/>
  <c r="L26" i="9" s="1"/>
  <c r="G27" i="9"/>
  <c r="H27" i="9"/>
  <c r="L27" i="9"/>
  <c r="K27" i="9" s="1"/>
  <c r="G28" i="9"/>
  <c r="H28" i="9"/>
  <c r="L28" i="9" s="1"/>
  <c r="G29" i="9"/>
  <c r="H29" i="9"/>
  <c r="L29" i="9"/>
  <c r="K29" i="9" s="1"/>
  <c r="G30" i="9"/>
  <c r="K30" i="9" s="1"/>
  <c r="H30" i="9"/>
  <c r="L30" i="9" s="1"/>
  <c r="G31" i="9"/>
  <c r="H31" i="9"/>
  <c r="L31" i="9"/>
  <c r="K31" i="9" s="1"/>
  <c r="G32" i="9"/>
  <c r="K32" i="9" s="1"/>
  <c r="H32" i="9"/>
  <c r="L32" i="9" s="1"/>
  <c r="G33" i="9"/>
  <c r="H33" i="9"/>
  <c r="L33" i="9"/>
  <c r="K33" i="9" s="1"/>
  <c r="G16" i="8"/>
  <c r="H16" i="8"/>
  <c r="L16" i="8" s="1"/>
  <c r="G17" i="8"/>
  <c r="H17" i="8"/>
  <c r="L17" i="8"/>
  <c r="K17" i="8" s="1"/>
  <c r="G18" i="8"/>
  <c r="H18" i="8"/>
  <c r="L18" i="8" s="1"/>
  <c r="G19" i="8"/>
  <c r="H19" i="8"/>
  <c r="L19" i="8"/>
  <c r="K19" i="8" s="1"/>
  <c r="G20" i="8"/>
  <c r="K20" i="8" s="1"/>
  <c r="H20" i="8"/>
  <c r="L20" i="8" s="1"/>
  <c r="G21" i="8"/>
  <c r="H21" i="8"/>
  <c r="L21" i="8"/>
  <c r="K21" i="8" s="1"/>
  <c r="G22" i="8"/>
  <c r="K22" i="8" s="1"/>
  <c r="H22" i="8"/>
  <c r="L22" i="8" s="1"/>
  <c r="G23" i="8"/>
  <c r="H23" i="8"/>
  <c r="L23" i="8"/>
  <c r="K23" i="8" s="1"/>
  <c r="G24" i="8"/>
  <c r="H24" i="8"/>
  <c r="L24" i="8" s="1"/>
  <c r="G25" i="8"/>
  <c r="H25" i="8"/>
  <c r="L25" i="8"/>
  <c r="K25" i="8" s="1"/>
  <c r="G26" i="8"/>
  <c r="H26" i="8"/>
  <c r="L26" i="8" s="1"/>
  <c r="G27" i="8"/>
  <c r="H27" i="8"/>
  <c r="L27" i="8"/>
  <c r="K27" i="8" s="1"/>
  <c r="G28" i="8"/>
  <c r="H28" i="8"/>
  <c r="L28" i="8" s="1"/>
  <c r="G29" i="8"/>
  <c r="H29" i="8"/>
  <c r="L29" i="8"/>
  <c r="K29" i="8" s="1"/>
  <c r="G30" i="8"/>
  <c r="H30" i="8"/>
  <c r="L30" i="8" s="1"/>
  <c r="G31" i="8"/>
  <c r="H31" i="8"/>
  <c r="L31" i="8"/>
  <c r="K31" i="8" s="1"/>
  <c r="G32" i="8"/>
  <c r="H32" i="8"/>
  <c r="L32" i="8" s="1"/>
  <c r="G33" i="8"/>
  <c r="H33" i="8"/>
  <c r="L33" i="8"/>
  <c r="K33" i="8" s="1"/>
  <c r="E52" i="7"/>
  <c r="F51" i="7"/>
  <c r="F50" i="7"/>
  <c r="F44" i="7"/>
  <c r="F43" i="7"/>
  <c r="H43" i="7" s="1"/>
  <c r="G33" i="7"/>
  <c r="H33" i="7"/>
  <c r="L33" i="7" s="1"/>
  <c r="F32" i="7"/>
  <c r="H32" i="7" s="1"/>
  <c r="L32" i="7" s="1"/>
  <c r="E32" i="7"/>
  <c r="G32" i="7" s="1"/>
  <c r="H31" i="7"/>
  <c r="L31" i="7" s="1"/>
  <c r="F31" i="7"/>
  <c r="E31" i="7"/>
  <c r="G31" i="7" s="1"/>
  <c r="K31" i="7" s="1"/>
  <c r="G30" i="7"/>
  <c r="F30" i="7"/>
  <c r="H30" i="7" s="1"/>
  <c r="L30" i="7" s="1"/>
  <c r="E30" i="7"/>
  <c r="F29" i="7"/>
  <c r="H29" i="7" s="1"/>
  <c r="L29" i="7" s="1"/>
  <c r="E29" i="7"/>
  <c r="G29" i="7" s="1"/>
  <c r="H28" i="7"/>
  <c r="L28" i="7" s="1"/>
  <c r="F28" i="7"/>
  <c r="E28" i="7"/>
  <c r="G28" i="7" s="1"/>
  <c r="G27" i="7"/>
  <c r="F27" i="7"/>
  <c r="H27" i="7" s="1"/>
  <c r="L27" i="7" s="1"/>
  <c r="E27" i="7"/>
  <c r="F26" i="7"/>
  <c r="H26" i="7" s="1"/>
  <c r="L26" i="7" s="1"/>
  <c r="E26" i="7"/>
  <c r="G26" i="7" s="1"/>
  <c r="K26" i="7" s="1"/>
  <c r="F25" i="7"/>
  <c r="H25" i="7" s="1"/>
  <c r="L25" i="7" s="1"/>
  <c r="E25" i="7"/>
  <c r="G25" i="7" s="1"/>
  <c r="F24" i="7"/>
  <c r="H24" i="7" s="1"/>
  <c r="L24" i="7" s="1"/>
  <c r="E24" i="7"/>
  <c r="G24" i="7" s="1"/>
  <c r="L23" i="7"/>
  <c r="H23" i="7"/>
  <c r="F23" i="7"/>
  <c r="E23" i="7"/>
  <c r="G23" i="7" s="1"/>
  <c r="K23" i="7" s="1"/>
  <c r="L22" i="7"/>
  <c r="K22" i="7"/>
  <c r="M22" i="7" s="1"/>
  <c r="M23" i="7" s="1"/>
  <c r="H22" i="7"/>
  <c r="G22" i="7"/>
  <c r="F22" i="7"/>
  <c r="E22" i="7"/>
  <c r="H21" i="7"/>
  <c r="L21" i="7" s="1"/>
  <c r="F21" i="7"/>
  <c r="E21" i="7"/>
  <c r="G21" i="7" s="1"/>
  <c r="K21" i="7" s="1"/>
  <c r="H20" i="7"/>
  <c r="L20" i="7" s="1"/>
  <c r="E20" i="7"/>
  <c r="G20" i="7" s="1"/>
  <c r="K20" i="7" s="1"/>
  <c r="D20" i="7"/>
  <c r="C20" i="7"/>
  <c r="F19" i="7"/>
  <c r="H19" i="7" s="1"/>
  <c r="L19" i="7" s="1"/>
  <c r="E19" i="7"/>
  <c r="D19" i="7"/>
  <c r="G19" i="7" s="1"/>
  <c r="C19" i="7"/>
  <c r="F18" i="7"/>
  <c r="E18" i="7"/>
  <c r="G18" i="7" s="1"/>
  <c r="D18" i="7"/>
  <c r="H18" i="7" s="1"/>
  <c r="L18" i="7" s="1"/>
  <c r="C18" i="7"/>
  <c r="F17" i="7"/>
  <c r="H17" i="7" s="1"/>
  <c r="L17" i="7" s="1"/>
  <c r="E17" i="7"/>
  <c r="G17" i="7" s="1"/>
  <c r="D17" i="7"/>
  <c r="C17" i="7"/>
  <c r="G16" i="7"/>
  <c r="F16" i="7"/>
  <c r="H16" i="7" s="1"/>
  <c r="L16" i="7" s="1"/>
  <c r="E16" i="7"/>
  <c r="D16" i="7"/>
  <c r="C16" i="7"/>
  <c r="E65" i="6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F65" i="6" s="1"/>
  <c r="E52" i="6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F52" i="6" s="1"/>
  <c r="H33" i="6"/>
  <c r="L33" i="6" s="1"/>
  <c r="F33" i="6"/>
  <c r="E33" i="6"/>
  <c r="G33" i="6" s="1"/>
  <c r="K33" i="6" s="1"/>
  <c r="H32" i="6"/>
  <c r="L32" i="6" s="1"/>
  <c r="G32" i="6"/>
  <c r="K32" i="6" s="1"/>
  <c r="F32" i="6"/>
  <c r="E32" i="6"/>
  <c r="G31" i="6"/>
  <c r="F31" i="6"/>
  <c r="H31" i="6" s="1"/>
  <c r="L31" i="6" s="1"/>
  <c r="E31" i="6"/>
  <c r="F30" i="6"/>
  <c r="H30" i="6" s="1"/>
  <c r="L30" i="6" s="1"/>
  <c r="G30" i="6"/>
  <c r="F29" i="6"/>
  <c r="H29" i="6" s="1"/>
  <c r="L29" i="6" s="1"/>
  <c r="E29" i="6"/>
  <c r="G29" i="6" s="1"/>
  <c r="F28" i="6"/>
  <c r="H28" i="6" s="1"/>
  <c r="L28" i="6" s="1"/>
  <c r="E28" i="6"/>
  <c r="G28" i="6" s="1"/>
  <c r="K28" i="6" s="1"/>
  <c r="M28" i="6" s="1"/>
  <c r="H27" i="6"/>
  <c r="L27" i="6" s="1"/>
  <c r="F27" i="6"/>
  <c r="E27" i="6"/>
  <c r="G27" i="6" s="1"/>
  <c r="K27" i="6" s="1"/>
  <c r="G26" i="6"/>
  <c r="F26" i="6"/>
  <c r="H26" i="6" s="1"/>
  <c r="L26" i="6" s="1"/>
  <c r="E26" i="6"/>
  <c r="F25" i="6"/>
  <c r="H25" i="6" s="1"/>
  <c r="L25" i="6" s="1"/>
  <c r="E25" i="6"/>
  <c r="G25" i="6" s="1"/>
  <c r="K25" i="6" s="1"/>
  <c r="F24" i="6"/>
  <c r="H24" i="6" s="1"/>
  <c r="L24" i="6" s="1"/>
  <c r="E24" i="6"/>
  <c r="G24" i="6" s="1"/>
  <c r="H23" i="6"/>
  <c r="L23" i="6" s="1"/>
  <c r="F23" i="6"/>
  <c r="E23" i="6"/>
  <c r="G23" i="6" s="1"/>
  <c r="K23" i="6" s="1"/>
  <c r="H22" i="6"/>
  <c r="L22" i="6" s="1"/>
  <c r="G22" i="6"/>
  <c r="K22" i="6" s="1"/>
  <c r="M22" i="6" s="1"/>
  <c r="M23" i="6" s="1"/>
  <c r="F22" i="6"/>
  <c r="E22" i="6"/>
  <c r="F21" i="6"/>
  <c r="H21" i="6" s="1"/>
  <c r="L21" i="6" s="1"/>
  <c r="E21" i="6"/>
  <c r="G21" i="6" s="1"/>
  <c r="H20" i="6"/>
  <c r="L20" i="6" s="1"/>
  <c r="E20" i="6"/>
  <c r="G20" i="6" s="1"/>
  <c r="F19" i="6"/>
  <c r="H19" i="6" s="1"/>
  <c r="L19" i="6" s="1"/>
  <c r="E19" i="6"/>
  <c r="G19" i="6" s="1"/>
  <c r="H18" i="6"/>
  <c r="L18" i="6" s="1"/>
  <c r="F18" i="6"/>
  <c r="E18" i="6"/>
  <c r="G18" i="6" s="1"/>
  <c r="H17" i="6"/>
  <c r="L17" i="6" s="1"/>
  <c r="G17" i="6"/>
  <c r="K17" i="6" s="1"/>
  <c r="F17" i="6"/>
  <c r="E17" i="6"/>
  <c r="D17" i="6"/>
  <c r="C17" i="6"/>
  <c r="H16" i="6"/>
  <c r="L16" i="6" s="1"/>
  <c r="F16" i="6"/>
  <c r="E16" i="6"/>
  <c r="G16" i="6" s="1"/>
  <c r="D16" i="6"/>
  <c r="C16" i="6"/>
  <c r="G16" i="5"/>
  <c r="H16" i="5"/>
  <c r="L16" i="5" s="1"/>
  <c r="G17" i="5"/>
  <c r="H17" i="5"/>
  <c r="L17" i="5" s="1"/>
  <c r="G18" i="5"/>
  <c r="H18" i="5"/>
  <c r="L18" i="5" s="1"/>
  <c r="G19" i="5"/>
  <c r="H19" i="5"/>
  <c r="L19" i="5" s="1"/>
  <c r="G20" i="5"/>
  <c r="H20" i="5"/>
  <c r="L20" i="5" s="1"/>
  <c r="G21" i="5"/>
  <c r="H21" i="5"/>
  <c r="L21" i="5" s="1"/>
  <c r="G22" i="5"/>
  <c r="H22" i="5"/>
  <c r="L22" i="5" s="1"/>
  <c r="G23" i="5"/>
  <c r="K23" i="5" s="1"/>
  <c r="H23" i="5"/>
  <c r="L23" i="5"/>
  <c r="G24" i="5"/>
  <c r="K24" i="5" s="1"/>
  <c r="H24" i="5"/>
  <c r="L24" i="5" s="1"/>
  <c r="G25" i="5"/>
  <c r="K25" i="5" s="1"/>
  <c r="H25" i="5"/>
  <c r="L25" i="5"/>
  <c r="G26" i="5"/>
  <c r="H26" i="5"/>
  <c r="L26" i="5" s="1"/>
  <c r="G27" i="5"/>
  <c r="K27" i="5" s="1"/>
  <c r="H27" i="5"/>
  <c r="L27" i="5"/>
  <c r="G28" i="5"/>
  <c r="K28" i="5" s="1"/>
  <c r="H28" i="5"/>
  <c r="L28" i="5" s="1"/>
  <c r="G29" i="5"/>
  <c r="K29" i="5" s="1"/>
  <c r="H29" i="5"/>
  <c r="L29" i="5"/>
  <c r="G30" i="5"/>
  <c r="H30" i="5"/>
  <c r="L30" i="5" s="1"/>
  <c r="G31" i="5"/>
  <c r="K31" i="5" s="1"/>
  <c r="H31" i="5"/>
  <c r="L31" i="5"/>
  <c r="G32" i="5"/>
  <c r="K32" i="5" s="1"/>
  <c r="H32" i="5"/>
  <c r="L32" i="5" s="1"/>
  <c r="G33" i="5"/>
  <c r="K33" i="5" s="1"/>
  <c r="H33" i="5"/>
  <c r="L33" i="5"/>
  <c r="G16" i="4"/>
  <c r="H16" i="4"/>
  <c r="L16" i="4" s="1"/>
  <c r="G17" i="4"/>
  <c r="K17" i="4" s="1"/>
  <c r="H17" i="4"/>
  <c r="L17" i="4"/>
  <c r="G18" i="4"/>
  <c r="K18" i="4" s="1"/>
  <c r="H18" i="4"/>
  <c r="L18" i="4" s="1"/>
  <c r="G19" i="4"/>
  <c r="K19" i="4" s="1"/>
  <c r="H19" i="4"/>
  <c r="L19" i="4"/>
  <c r="G20" i="4"/>
  <c r="H20" i="4"/>
  <c r="L20" i="4" s="1"/>
  <c r="G21" i="4"/>
  <c r="K21" i="4" s="1"/>
  <c r="H21" i="4"/>
  <c r="L21" i="4"/>
  <c r="G22" i="4"/>
  <c r="H22" i="4"/>
  <c r="L22" i="4" s="1"/>
  <c r="K22" i="4" s="1"/>
  <c r="G23" i="4"/>
  <c r="K23" i="4" s="1"/>
  <c r="H23" i="4"/>
  <c r="L23" i="4"/>
  <c r="G24" i="4"/>
  <c r="H24" i="4"/>
  <c r="L24" i="4" s="1"/>
  <c r="K24" i="4" s="1"/>
  <c r="G25" i="4"/>
  <c r="K25" i="4" s="1"/>
  <c r="H25" i="4"/>
  <c r="L25" i="4"/>
  <c r="G26" i="4"/>
  <c r="H26" i="4"/>
  <c r="L26" i="4" s="1"/>
  <c r="K26" i="4" s="1"/>
  <c r="G27" i="4"/>
  <c r="K27" i="4" s="1"/>
  <c r="H27" i="4"/>
  <c r="L27" i="4"/>
  <c r="G28" i="4"/>
  <c r="H28" i="4"/>
  <c r="L28" i="4" s="1"/>
  <c r="K28" i="4" s="1"/>
  <c r="G29" i="4"/>
  <c r="K29" i="4" s="1"/>
  <c r="H29" i="4"/>
  <c r="L29" i="4"/>
  <c r="G30" i="4"/>
  <c r="H30" i="4"/>
  <c r="L30" i="4" s="1"/>
  <c r="K30" i="4" s="1"/>
  <c r="G31" i="4"/>
  <c r="K31" i="4" s="1"/>
  <c r="H31" i="4"/>
  <c r="L31" i="4"/>
  <c r="G32" i="4"/>
  <c r="H32" i="4"/>
  <c r="L32" i="4" s="1"/>
  <c r="K32" i="4" s="1"/>
  <c r="G33" i="4"/>
  <c r="K33" i="4" s="1"/>
  <c r="H33" i="4"/>
  <c r="L33" i="4"/>
  <c r="G16" i="3"/>
  <c r="H16" i="3"/>
  <c r="K16" i="3"/>
  <c r="L16" i="3"/>
  <c r="G17" i="3"/>
  <c r="H17" i="3"/>
  <c r="L17" i="3"/>
  <c r="K17" i="3" s="1"/>
  <c r="G18" i="3"/>
  <c r="H18" i="3"/>
  <c r="K18" i="3"/>
  <c r="L18" i="3"/>
  <c r="G19" i="3"/>
  <c r="H19" i="3"/>
  <c r="L19" i="3"/>
  <c r="K19" i="3" s="1"/>
  <c r="G20" i="3"/>
  <c r="H20" i="3"/>
  <c r="K20" i="3"/>
  <c r="L20" i="3"/>
  <c r="G21" i="3"/>
  <c r="H21" i="3"/>
  <c r="L21" i="3"/>
  <c r="K21" i="3" s="1"/>
  <c r="G22" i="3"/>
  <c r="H22" i="3"/>
  <c r="K22" i="3"/>
  <c r="L22" i="3"/>
  <c r="G23" i="3"/>
  <c r="H23" i="3"/>
  <c r="L23" i="3"/>
  <c r="K23" i="3" s="1"/>
  <c r="G24" i="3"/>
  <c r="H24" i="3"/>
  <c r="K24" i="3"/>
  <c r="L24" i="3"/>
  <c r="G25" i="3"/>
  <c r="H25" i="3"/>
  <c r="L25" i="3"/>
  <c r="K25" i="3" s="1"/>
  <c r="G26" i="3"/>
  <c r="H26" i="3"/>
  <c r="K26" i="3"/>
  <c r="L26" i="3"/>
  <c r="G27" i="3"/>
  <c r="H27" i="3"/>
  <c r="L27" i="3"/>
  <c r="K27" i="3" s="1"/>
  <c r="G28" i="3"/>
  <c r="H28" i="3"/>
  <c r="K28" i="3"/>
  <c r="L28" i="3"/>
  <c r="G29" i="3"/>
  <c r="H29" i="3"/>
  <c r="L29" i="3"/>
  <c r="K29" i="3" s="1"/>
  <c r="G30" i="3"/>
  <c r="H30" i="3"/>
  <c r="K30" i="3"/>
  <c r="L30" i="3"/>
  <c r="G31" i="3"/>
  <c r="H31" i="3"/>
  <c r="L31" i="3"/>
  <c r="K31" i="3" s="1"/>
  <c r="G32" i="3"/>
  <c r="H32" i="3"/>
  <c r="K32" i="3"/>
  <c r="L32" i="3"/>
  <c r="G33" i="3"/>
  <c r="H33" i="3"/>
  <c r="L33" i="3"/>
  <c r="K33" i="3" s="1"/>
  <c r="G16" i="2"/>
  <c r="H16" i="2"/>
  <c r="L16" i="2" s="1"/>
  <c r="K16" i="2" s="1"/>
  <c r="G17" i="2"/>
  <c r="K17" i="2" s="1"/>
  <c r="H17" i="2"/>
  <c r="L17" i="2"/>
  <c r="G18" i="2"/>
  <c r="H18" i="2"/>
  <c r="L18" i="2" s="1"/>
  <c r="K18" i="2" s="1"/>
  <c r="G19" i="2"/>
  <c r="K19" i="2" s="1"/>
  <c r="H19" i="2"/>
  <c r="L19" i="2"/>
  <c r="G20" i="2"/>
  <c r="H20" i="2"/>
  <c r="L20" i="2" s="1"/>
  <c r="K20" i="2" s="1"/>
  <c r="G21" i="2"/>
  <c r="K21" i="2" s="1"/>
  <c r="H21" i="2"/>
  <c r="L21" i="2"/>
  <c r="G22" i="2"/>
  <c r="H22" i="2"/>
  <c r="L22" i="2" s="1"/>
  <c r="K22" i="2" s="1"/>
  <c r="G23" i="2"/>
  <c r="K23" i="2" s="1"/>
  <c r="H23" i="2"/>
  <c r="L23" i="2"/>
  <c r="G24" i="2"/>
  <c r="H24" i="2"/>
  <c r="L24" i="2" s="1"/>
  <c r="K24" i="2" s="1"/>
  <c r="G25" i="2"/>
  <c r="K25" i="2" s="1"/>
  <c r="H25" i="2"/>
  <c r="L25" i="2"/>
  <c r="G26" i="2"/>
  <c r="H26" i="2"/>
  <c r="L26" i="2" s="1"/>
  <c r="K26" i="2" s="1"/>
  <c r="G27" i="2"/>
  <c r="K27" i="2" s="1"/>
  <c r="H27" i="2"/>
  <c r="L27" i="2"/>
  <c r="G28" i="2"/>
  <c r="H28" i="2"/>
  <c r="L28" i="2" s="1"/>
  <c r="K28" i="2" s="1"/>
  <c r="G29" i="2"/>
  <c r="K29" i="2" s="1"/>
  <c r="H29" i="2"/>
  <c r="L29" i="2"/>
  <c r="G30" i="2"/>
  <c r="H30" i="2"/>
  <c r="L30" i="2" s="1"/>
  <c r="K30" i="2" s="1"/>
  <c r="G31" i="2"/>
  <c r="K31" i="2" s="1"/>
  <c r="H31" i="2"/>
  <c r="L31" i="2"/>
  <c r="G32" i="2"/>
  <c r="H32" i="2"/>
  <c r="L32" i="2" s="1"/>
  <c r="K32" i="2" s="1"/>
  <c r="G33" i="2"/>
  <c r="K33" i="2" s="1"/>
  <c r="H33" i="2"/>
  <c r="L33" i="2"/>
  <c r="K16" i="1"/>
  <c r="L16" i="1"/>
  <c r="L17" i="1"/>
  <c r="K17" i="1" s="1"/>
  <c r="L18" i="1"/>
  <c r="K18" i="1" s="1"/>
  <c r="L19" i="1"/>
  <c r="K19" i="1" s="1"/>
  <c r="L20" i="1"/>
  <c r="K20" i="1" s="1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29" i="1"/>
  <c r="K29" i="1" s="1"/>
  <c r="L30" i="1"/>
  <c r="K30" i="1" s="1"/>
  <c r="L31" i="1"/>
  <c r="K31" i="1" s="1"/>
  <c r="L32" i="1"/>
  <c r="K32" i="1" s="1"/>
  <c r="L33" i="1"/>
  <c r="K33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15" i="14"/>
  <c r="H15" i="14" s="1"/>
  <c r="L15" i="14" s="1"/>
  <c r="E15" i="14"/>
  <c r="G15" i="14" s="1"/>
  <c r="H14" i="14"/>
  <c r="L14" i="14" s="1"/>
  <c r="F14" i="14"/>
  <c r="E14" i="14"/>
  <c r="G14" i="14" s="1"/>
  <c r="K14" i="14" s="1"/>
  <c r="H13" i="14"/>
  <c r="L13" i="14" s="1"/>
  <c r="F13" i="14"/>
  <c r="E13" i="14"/>
  <c r="G13" i="14" s="1"/>
  <c r="H12" i="14"/>
  <c r="L12" i="14" s="1"/>
  <c r="F12" i="14"/>
  <c r="E12" i="14"/>
  <c r="G12" i="14" s="1"/>
  <c r="F11" i="14"/>
  <c r="H11" i="14" s="1"/>
  <c r="L11" i="14" s="1"/>
  <c r="E11" i="14"/>
  <c r="G11" i="14" s="1"/>
  <c r="F10" i="14"/>
  <c r="H10" i="14" s="1"/>
  <c r="L10" i="14" s="1"/>
  <c r="E10" i="14"/>
  <c r="G10" i="14" s="1"/>
  <c r="F15" i="13"/>
  <c r="H15" i="13" s="1"/>
  <c r="L15" i="13" s="1"/>
  <c r="E15" i="13"/>
  <c r="G15" i="13" s="1"/>
  <c r="K15" i="13" s="1"/>
  <c r="F14" i="13"/>
  <c r="H14" i="13" s="1"/>
  <c r="L14" i="13" s="1"/>
  <c r="E14" i="13"/>
  <c r="G14" i="13" s="1"/>
  <c r="F13" i="13"/>
  <c r="H13" i="13" s="1"/>
  <c r="L13" i="13" s="1"/>
  <c r="E13" i="13"/>
  <c r="G13" i="13" s="1"/>
  <c r="F12" i="13"/>
  <c r="H12" i="13" s="1"/>
  <c r="L12" i="13" s="1"/>
  <c r="E12" i="13"/>
  <c r="G12" i="13" s="1"/>
  <c r="K12" i="13" s="1"/>
  <c r="G11" i="13"/>
  <c r="F11" i="13"/>
  <c r="H11" i="13" s="1"/>
  <c r="L11" i="13" s="1"/>
  <c r="E11" i="13"/>
  <c r="G10" i="13"/>
  <c r="F10" i="13"/>
  <c r="H10" i="13" s="1"/>
  <c r="L10" i="13" s="1"/>
  <c r="E10" i="13"/>
  <c r="H15" i="12"/>
  <c r="L15" i="12" s="1"/>
  <c r="K15" i="12" s="1"/>
  <c r="G15" i="12"/>
  <c r="F15" i="12"/>
  <c r="E15" i="12"/>
  <c r="L14" i="12"/>
  <c r="K14" i="12"/>
  <c r="H14" i="12"/>
  <c r="F14" i="12"/>
  <c r="E14" i="12"/>
  <c r="G14" i="12" s="1"/>
  <c r="L13" i="12"/>
  <c r="H13" i="12"/>
  <c r="F13" i="12"/>
  <c r="E13" i="12"/>
  <c r="G13" i="12" s="1"/>
  <c r="K13" i="12" s="1"/>
  <c r="L12" i="12"/>
  <c r="H12" i="12"/>
  <c r="F12" i="12"/>
  <c r="E12" i="12"/>
  <c r="G12" i="12" s="1"/>
  <c r="K12" i="12" s="1"/>
  <c r="L11" i="12"/>
  <c r="H11" i="12"/>
  <c r="F11" i="12"/>
  <c r="E11" i="12"/>
  <c r="G11" i="12" s="1"/>
  <c r="K11" i="12" s="1"/>
  <c r="K10" i="12"/>
  <c r="M10" i="12" s="1"/>
  <c r="H10" i="12"/>
  <c r="L10" i="12" s="1"/>
  <c r="G10" i="12"/>
  <c r="F10" i="12"/>
  <c r="E10" i="12"/>
  <c r="E56" i="11"/>
  <c r="F55" i="11"/>
  <c r="H55" i="11" s="1"/>
  <c r="E55" i="11"/>
  <c r="F54" i="11"/>
  <c r="H54" i="11" s="1"/>
  <c r="F53" i="11"/>
  <c r="H53" i="11" s="1"/>
  <c r="F52" i="11"/>
  <c r="H52" i="11" s="1"/>
  <c r="D51" i="11"/>
  <c r="F51" i="11" s="1"/>
  <c r="E46" i="11"/>
  <c r="E45" i="11"/>
  <c r="F45" i="11" s="1"/>
  <c r="H45" i="11" s="1"/>
  <c r="F44" i="11"/>
  <c r="H44" i="11" s="1"/>
  <c r="H43" i="11"/>
  <c r="F43" i="11"/>
  <c r="H42" i="11"/>
  <c r="F42" i="11"/>
  <c r="F41" i="11"/>
  <c r="H41" i="11" s="1"/>
  <c r="H15" i="11"/>
  <c r="L15" i="11" s="1"/>
  <c r="G15" i="11"/>
  <c r="L14" i="11"/>
  <c r="H14" i="11"/>
  <c r="G14" i="11"/>
  <c r="K14" i="11" s="1"/>
  <c r="K13" i="11"/>
  <c r="H13" i="11"/>
  <c r="L13" i="11" s="1"/>
  <c r="G13" i="11"/>
  <c r="F13" i="11"/>
  <c r="E13" i="11"/>
  <c r="H12" i="11"/>
  <c r="L12" i="11" s="1"/>
  <c r="G12" i="11"/>
  <c r="F12" i="11"/>
  <c r="E12" i="11"/>
  <c r="H11" i="11"/>
  <c r="L11" i="11" s="1"/>
  <c r="G11" i="11"/>
  <c r="F11" i="11"/>
  <c r="E11" i="11"/>
  <c r="H10" i="11"/>
  <c r="L10" i="11" s="1"/>
  <c r="G10" i="11"/>
  <c r="F10" i="11"/>
  <c r="E10" i="11"/>
  <c r="E50" i="10"/>
  <c r="F49" i="10"/>
  <c r="H49" i="10" s="1"/>
  <c r="D48" i="10"/>
  <c r="F48" i="10" s="1"/>
  <c r="E43" i="10"/>
  <c r="F42" i="10"/>
  <c r="H42" i="10" s="1"/>
  <c r="F41" i="10"/>
  <c r="H41" i="10" s="1"/>
  <c r="K15" i="10"/>
  <c r="H15" i="10"/>
  <c r="L15" i="10" s="1"/>
  <c r="G15" i="10"/>
  <c r="H14" i="10"/>
  <c r="L14" i="10" s="1"/>
  <c r="G14" i="10"/>
  <c r="L13" i="10"/>
  <c r="K13" i="10" s="1"/>
  <c r="H13" i="10"/>
  <c r="F13" i="10"/>
  <c r="E13" i="10"/>
  <c r="G13" i="10" s="1"/>
  <c r="K12" i="10"/>
  <c r="H12" i="10"/>
  <c r="L12" i="10" s="1"/>
  <c r="G12" i="10"/>
  <c r="F12" i="10"/>
  <c r="E12" i="10"/>
  <c r="H11" i="10"/>
  <c r="L11" i="10" s="1"/>
  <c r="K11" i="10" s="1"/>
  <c r="G11" i="10"/>
  <c r="F11" i="10"/>
  <c r="E11" i="10"/>
  <c r="H10" i="10"/>
  <c r="L10" i="10" s="1"/>
  <c r="K10" i="10" s="1"/>
  <c r="M10" i="10" s="1"/>
  <c r="M11" i="10" s="1"/>
  <c r="M12" i="10" s="1"/>
  <c r="M13" i="10" s="1"/>
  <c r="G10" i="10"/>
  <c r="F10" i="10"/>
  <c r="E10" i="10"/>
  <c r="E103" i="9"/>
  <c r="F103" i="9" s="1"/>
  <c r="H103" i="9" s="1"/>
  <c r="F102" i="9"/>
  <c r="H102" i="9" s="1"/>
  <c r="E101" i="9"/>
  <c r="F101" i="9" s="1"/>
  <c r="H101" i="9" s="1"/>
  <c r="F100" i="9"/>
  <c r="H100" i="9" s="1"/>
  <c r="F99" i="9"/>
  <c r="H99" i="9" s="1"/>
  <c r="F98" i="9"/>
  <c r="H98" i="9" s="1"/>
  <c r="E97" i="9"/>
  <c r="F97" i="9" s="1"/>
  <c r="H97" i="9" s="1"/>
  <c r="E96" i="9"/>
  <c r="F96" i="9" s="1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H83" i="9"/>
  <c r="F83" i="9"/>
  <c r="F82" i="9"/>
  <c r="H82" i="9" s="1"/>
  <c r="F81" i="9"/>
  <c r="H81" i="9" s="1"/>
  <c r="F80" i="9"/>
  <c r="H80" i="9" s="1"/>
  <c r="F79" i="9"/>
  <c r="H79" i="9" s="1"/>
  <c r="F78" i="9"/>
  <c r="H78" i="9" s="1"/>
  <c r="D77" i="9"/>
  <c r="F77" i="9" s="1"/>
  <c r="E71" i="9"/>
  <c r="C71" i="9"/>
  <c r="E70" i="9"/>
  <c r="F70" i="9" s="1"/>
  <c r="H70" i="9" s="1"/>
  <c r="C70" i="9"/>
  <c r="C103" i="9" s="1"/>
  <c r="F69" i="9"/>
  <c r="H69" i="9" s="1"/>
  <c r="E68" i="9"/>
  <c r="F68" i="9" s="1"/>
  <c r="H68" i="9" s="1"/>
  <c r="F67" i="9"/>
  <c r="H67" i="9" s="1"/>
  <c r="F66" i="9"/>
  <c r="H66" i="9" s="1"/>
  <c r="F65" i="9"/>
  <c r="H65" i="9" s="1"/>
  <c r="F64" i="9"/>
  <c r="H64" i="9" s="1"/>
  <c r="E64" i="9"/>
  <c r="E63" i="9"/>
  <c r="E72" i="9" s="1"/>
  <c r="F62" i="9"/>
  <c r="H62" i="9" s="1"/>
  <c r="H61" i="9"/>
  <c r="F61" i="9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H49" i="9"/>
  <c r="F49" i="9"/>
  <c r="F48" i="9"/>
  <c r="H48" i="9" s="1"/>
  <c r="F47" i="9"/>
  <c r="H47" i="9" s="1"/>
  <c r="F46" i="9"/>
  <c r="H46" i="9" s="1"/>
  <c r="H45" i="9"/>
  <c r="F45" i="9"/>
  <c r="F44" i="9"/>
  <c r="H44" i="9" s="1"/>
  <c r="F43" i="9"/>
  <c r="H43" i="9" s="1"/>
  <c r="H15" i="9"/>
  <c r="L15" i="9" s="1"/>
  <c r="K15" i="9" s="1"/>
  <c r="G15" i="9"/>
  <c r="H14" i="9"/>
  <c r="L14" i="9" s="1"/>
  <c r="G14" i="9"/>
  <c r="F13" i="9"/>
  <c r="H13" i="9" s="1"/>
  <c r="L13" i="9" s="1"/>
  <c r="E13" i="9"/>
  <c r="G13" i="9" s="1"/>
  <c r="N12" i="9"/>
  <c r="F12" i="9"/>
  <c r="H12" i="9" s="1"/>
  <c r="L12" i="9" s="1"/>
  <c r="E12" i="9"/>
  <c r="G12" i="9" s="1"/>
  <c r="N11" i="9"/>
  <c r="F11" i="9"/>
  <c r="H11" i="9" s="1"/>
  <c r="L11" i="9" s="1"/>
  <c r="E11" i="9"/>
  <c r="G11" i="9" s="1"/>
  <c r="N10" i="9"/>
  <c r="L10" i="9"/>
  <c r="F10" i="9"/>
  <c r="H10" i="9" s="1"/>
  <c r="E10" i="9"/>
  <c r="G10" i="9" s="1"/>
  <c r="E60" i="8"/>
  <c r="F59" i="8"/>
  <c r="H59" i="8" s="1"/>
  <c r="E59" i="8"/>
  <c r="C59" i="8"/>
  <c r="F58" i="8"/>
  <c r="H58" i="8" s="1"/>
  <c r="F57" i="8"/>
  <c r="H57" i="8" s="1"/>
  <c r="F56" i="8"/>
  <c r="H56" i="8" s="1"/>
  <c r="E56" i="8"/>
  <c r="H55" i="8"/>
  <c r="F55" i="8"/>
  <c r="D54" i="8"/>
  <c r="F54" i="8" s="1"/>
  <c r="E49" i="8"/>
  <c r="F48" i="8"/>
  <c r="H48" i="8" s="1"/>
  <c r="E48" i="8"/>
  <c r="C48" i="8"/>
  <c r="F47" i="8"/>
  <c r="H47" i="8" s="1"/>
  <c r="F46" i="8"/>
  <c r="H46" i="8" s="1"/>
  <c r="F45" i="8"/>
  <c r="H45" i="8" s="1"/>
  <c r="E45" i="8"/>
  <c r="F44" i="8"/>
  <c r="H44" i="8" s="1"/>
  <c r="F43" i="8"/>
  <c r="L15" i="8"/>
  <c r="H15" i="8"/>
  <c r="G15" i="8"/>
  <c r="K15" i="8" s="1"/>
  <c r="N13" i="8"/>
  <c r="F13" i="8"/>
  <c r="E13" i="8"/>
  <c r="G14" i="8" s="1"/>
  <c r="N12" i="8"/>
  <c r="F12" i="8"/>
  <c r="H12" i="8" s="1"/>
  <c r="L12" i="8" s="1"/>
  <c r="E12" i="8"/>
  <c r="G12" i="8" s="1"/>
  <c r="K12" i="8" s="1"/>
  <c r="N11" i="8"/>
  <c r="F11" i="8"/>
  <c r="H11" i="8" s="1"/>
  <c r="L11" i="8" s="1"/>
  <c r="E11" i="8"/>
  <c r="G11" i="8" s="1"/>
  <c r="K11" i="8" s="1"/>
  <c r="N10" i="8"/>
  <c r="F10" i="8"/>
  <c r="H10" i="8" s="1"/>
  <c r="L10" i="8" s="1"/>
  <c r="E10" i="8"/>
  <c r="G10" i="8" s="1"/>
  <c r="K10" i="8" s="1"/>
  <c r="M10" i="8" s="1"/>
  <c r="M11" i="8" s="1"/>
  <c r="M12" i="8" s="1"/>
  <c r="H15" i="7"/>
  <c r="L15" i="7" s="1"/>
  <c r="G15" i="7"/>
  <c r="F15" i="7"/>
  <c r="E15" i="7"/>
  <c r="F14" i="7"/>
  <c r="H14" i="7" s="1"/>
  <c r="L14" i="7" s="1"/>
  <c r="E14" i="7"/>
  <c r="G14" i="7" s="1"/>
  <c r="K14" i="7" s="1"/>
  <c r="F13" i="7"/>
  <c r="H13" i="7" s="1"/>
  <c r="L13" i="7" s="1"/>
  <c r="E13" i="7"/>
  <c r="G13" i="7" s="1"/>
  <c r="K13" i="7" s="1"/>
  <c r="F12" i="7"/>
  <c r="H12" i="7" s="1"/>
  <c r="L12" i="7" s="1"/>
  <c r="E12" i="7"/>
  <c r="G12" i="7" s="1"/>
  <c r="F11" i="7"/>
  <c r="H11" i="7" s="1"/>
  <c r="L11" i="7" s="1"/>
  <c r="E11" i="7"/>
  <c r="G11" i="7" s="1"/>
  <c r="F10" i="7"/>
  <c r="H10" i="7" s="1"/>
  <c r="L10" i="7" s="1"/>
  <c r="E10" i="7"/>
  <c r="G10" i="7" s="1"/>
  <c r="G15" i="6"/>
  <c r="K15" i="6" s="1"/>
  <c r="F15" i="6"/>
  <c r="H15" i="6" s="1"/>
  <c r="L15" i="6" s="1"/>
  <c r="E15" i="6"/>
  <c r="F14" i="6"/>
  <c r="H14" i="6" s="1"/>
  <c r="L14" i="6" s="1"/>
  <c r="E14" i="6"/>
  <c r="G14" i="6" s="1"/>
  <c r="F13" i="6"/>
  <c r="H13" i="6" s="1"/>
  <c r="L13" i="6" s="1"/>
  <c r="E13" i="6"/>
  <c r="G13" i="6" s="1"/>
  <c r="L12" i="6"/>
  <c r="F12" i="6"/>
  <c r="H12" i="6" s="1"/>
  <c r="E12" i="6"/>
  <c r="G12" i="6" s="1"/>
  <c r="K12" i="6" s="1"/>
  <c r="L11" i="6"/>
  <c r="F11" i="6"/>
  <c r="H11" i="6" s="1"/>
  <c r="E11" i="6"/>
  <c r="G11" i="6" s="1"/>
  <c r="K11" i="6" s="1"/>
  <c r="L10" i="6"/>
  <c r="F10" i="6"/>
  <c r="H10" i="6" s="1"/>
  <c r="E10" i="6"/>
  <c r="G10" i="6" s="1"/>
  <c r="H15" i="5"/>
  <c r="L15" i="5" s="1"/>
  <c r="K15" i="5" s="1"/>
  <c r="G15" i="5"/>
  <c r="H14" i="5"/>
  <c r="L14" i="5" s="1"/>
  <c r="G14" i="5"/>
  <c r="K14" i="5" s="1"/>
  <c r="L13" i="5"/>
  <c r="F13" i="5"/>
  <c r="H13" i="5" s="1"/>
  <c r="E13" i="5"/>
  <c r="G13" i="5" s="1"/>
  <c r="K13" i="5" s="1"/>
  <c r="H12" i="5"/>
  <c r="L12" i="5" s="1"/>
  <c r="F12" i="5"/>
  <c r="E12" i="5"/>
  <c r="G12" i="5" s="1"/>
  <c r="K12" i="5" s="1"/>
  <c r="H11" i="5"/>
  <c r="L11" i="5" s="1"/>
  <c r="K11" i="5" s="1"/>
  <c r="G11" i="5"/>
  <c r="F11" i="5"/>
  <c r="E11" i="5"/>
  <c r="H10" i="5"/>
  <c r="L10" i="5" s="1"/>
  <c r="K10" i="5" s="1"/>
  <c r="M10" i="5" s="1"/>
  <c r="M11" i="5" s="1"/>
  <c r="G10" i="5"/>
  <c r="F10" i="5"/>
  <c r="E10" i="5"/>
  <c r="C115" i="4"/>
  <c r="F114" i="4"/>
  <c r="H114" i="4" s="1"/>
  <c r="C114" i="4"/>
  <c r="F113" i="4"/>
  <c r="H113" i="4" s="1"/>
  <c r="F112" i="4"/>
  <c r="H112" i="4" s="1"/>
  <c r="H111" i="4"/>
  <c r="F111" i="4"/>
  <c r="F110" i="4"/>
  <c r="H110" i="4" s="1"/>
  <c r="F109" i="4"/>
  <c r="H109" i="4" s="1"/>
  <c r="F108" i="4"/>
  <c r="H108" i="4" s="1"/>
  <c r="H107" i="4"/>
  <c r="F107" i="4"/>
  <c r="F106" i="4"/>
  <c r="H106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H87" i="4"/>
  <c r="F87" i="4"/>
  <c r="F86" i="4"/>
  <c r="H86" i="4" s="1"/>
  <c r="F85" i="4"/>
  <c r="H85" i="4" s="1"/>
  <c r="F84" i="4"/>
  <c r="H84" i="4" s="1"/>
  <c r="D83" i="4"/>
  <c r="F83" i="4" s="1"/>
  <c r="H83" i="4" s="1"/>
  <c r="E77" i="4"/>
  <c r="C77" i="4"/>
  <c r="C116" i="4" s="1"/>
  <c r="H76" i="4"/>
  <c r="E76" i="4"/>
  <c r="F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H68" i="4"/>
  <c r="F68" i="4"/>
  <c r="F67" i="4"/>
  <c r="H67" i="4" s="1"/>
  <c r="F66" i="4"/>
  <c r="H66" i="4" s="1"/>
  <c r="F65" i="4"/>
  <c r="H65" i="4" s="1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H56" i="4"/>
  <c r="F56" i="4"/>
  <c r="F55" i="4"/>
  <c r="H55" i="4" s="1"/>
  <c r="F54" i="4"/>
  <c r="H54" i="4" s="1"/>
  <c r="F53" i="4"/>
  <c r="H53" i="4" s="1"/>
  <c r="F52" i="4"/>
  <c r="H52" i="4" s="1"/>
  <c r="H51" i="4"/>
  <c r="F51" i="4"/>
  <c r="F50" i="4"/>
  <c r="H50" i="4" s="1"/>
  <c r="F49" i="4"/>
  <c r="H49" i="4" s="1"/>
  <c r="F48" i="4"/>
  <c r="H48" i="4" s="1"/>
  <c r="H47" i="4"/>
  <c r="F47" i="4"/>
  <c r="F46" i="4"/>
  <c r="H46" i="4" s="1"/>
  <c r="F45" i="4"/>
  <c r="H45" i="4" s="1"/>
  <c r="F44" i="4"/>
  <c r="H44" i="4" s="1"/>
  <c r="F43" i="4"/>
  <c r="H43" i="4" s="1"/>
  <c r="H15" i="4"/>
  <c r="L15" i="4" s="1"/>
  <c r="K15" i="4" s="1"/>
  <c r="G15" i="4"/>
  <c r="H14" i="4"/>
  <c r="L14" i="4" s="1"/>
  <c r="G14" i="4"/>
  <c r="F13" i="4"/>
  <c r="H13" i="4" s="1"/>
  <c r="L13" i="4" s="1"/>
  <c r="E13" i="4"/>
  <c r="G13" i="4" s="1"/>
  <c r="K13" i="4" s="1"/>
  <c r="G12" i="4"/>
  <c r="K12" i="4" s="1"/>
  <c r="F12" i="4"/>
  <c r="H12" i="4" s="1"/>
  <c r="L12" i="4" s="1"/>
  <c r="E12" i="4"/>
  <c r="F11" i="4"/>
  <c r="H11" i="4" s="1"/>
  <c r="L11" i="4" s="1"/>
  <c r="E11" i="4"/>
  <c r="G11" i="4" s="1"/>
  <c r="K11" i="4" s="1"/>
  <c r="H10" i="4"/>
  <c r="L10" i="4" s="1"/>
  <c r="G10" i="4"/>
  <c r="K10" i="4" s="1"/>
  <c r="E78" i="3"/>
  <c r="F78" i="3" s="1"/>
  <c r="H78" i="3" s="1"/>
  <c r="H77" i="3"/>
  <c r="F77" i="3"/>
  <c r="F76" i="3"/>
  <c r="H76" i="3" s="1"/>
  <c r="F75" i="3"/>
  <c r="H75" i="3" s="1"/>
  <c r="F74" i="3"/>
  <c r="H74" i="3" s="1"/>
  <c r="E73" i="3"/>
  <c r="F73" i="3" s="1"/>
  <c r="H73" i="3" s="1"/>
  <c r="E72" i="3"/>
  <c r="F72" i="3" s="1"/>
  <c r="H72" i="3" s="1"/>
  <c r="E71" i="3"/>
  <c r="F70" i="3"/>
  <c r="H70" i="3" s="1"/>
  <c r="F69" i="3"/>
  <c r="H69" i="3" s="1"/>
  <c r="F68" i="3"/>
  <c r="H68" i="3" s="1"/>
  <c r="C68" i="3"/>
  <c r="H67" i="3"/>
  <c r="F67" i="3"/>
  <c r="F66" i="3"/>
  <c r="H66" i="3" s="1"/>
  <c r="D66" i="3"/>
  <c r="E60" i="3"/>
  <c r="F60" i="3" s="1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E53" i="3"/>
  <c r="F53" i="3" s="1"/>
  <c r="H53" i="3" s="1"/>
  <c r="F52" i="3"/>
  <c r="H52" i="3" s="1"/>
  <c r="E51" i="3"/>
  <c r="F51" i="3" s="1"/>
  <c r="H51" i="3" s="1"/>
  <c r="F50" i="3"/>
  <c r="H50" i="3" s="1"/>
  <c r="F49" i="3"/>
  <c r="H49" i="3" s="1"/>
  <c r="E49" i="3"/>
  <c r="F48" i="3"/>
  <c r="H48" i="3" s="1"/>
  <c r="F47" i="3"/>
  <c r="H47" i="3" s="1"/>
  <c r="F46" i="3"/>
  <c r="H46" i="3" s="1"/>
  <c r="F45" i="3"/>
  <c r="H45" i="3" s="1"/>
  <c r="C45" i="3"/>
  <c r="H44" i="3"/>
  <c r="F44" i="3"/>
  <c r="F43" i="3"/>
  <c r="H15" i="3"/>
  <c r="L15" i="3" s="1"/>
  <c r="G15" i="3"/>
  <c r="L14" i="3"/>
  <c r="H14" i="3"/>
  <c r="G14" i="3"/>
  <c r="F13" i="3"/>
  <c r="H13" i="3" s="1"/>
  <c r="L13" i="3" s="1"/>
  <c r="E13" i="3"/>
  <c r="G13" i="3" s="1"/>
  <c r="F12" i="3"/>
  <c r="H12" i="3" s="1"/>
  <c r="L12" i="3" s="1"/>
  <c r="E12" i="3"/>
  <c r="G12" i="3" s="1"/>
  <c r="G11" i="3"/>
  <c r="F11" i="3"/>
  <c r="H11" i="3" s="1"/>
  <c r="L11" i="3" s="1"/>
  <c r="K11" i="3" s="1"/>
  <c r="E11" i="3"/>
  <c r="F10" i="3"/>
  <c r="H10" i="3" s="1"/>
  <c r="L10" i="3" s="1"/>
  <c r="E10" i="3"/>
  <c r="G10" i="3" s="1"/>
  <c r="E60" i="2"/>
  <c r="F59" i="2"/>
  <c r="H59" i="2" s="1"/>
  <c r="C59" i="2"/>
  <c r="F58" i="2"/>
  <c r="H58" i="2" s="1"/>
  <c r="C58" i="2"/>
  <c r="H57" i="2"/>
  <c r="F57" i="2"/>
  <c r="H56" i="2"/>
  <c r="F56" i="2"/>
  <c r="F55" i="2"/>
  <c r="H55" i="2" s="1"/>
  <c r="D54" i="2"/>
  <c r="F54" i="2" s="1"/>
  <c r="E49" i="2"/>
  <c r="F48" i="2"/>
  <c r="H48" i="2" s="1"/>
  <c r="F47" i="2"/>
  <c r="H47" i="2" s="1"/>
  <c r="F46" i="2"/>
  <c r="H46" i="2" s="1"/>
  <c r="C46" i="2"/>
  <c r="F45" i="2"/>
  <c r="H45" i="2" s="1"/>
  <c r="C45" i="2"/>
  <c r="F44" i="2"/>
  <c r="H44" i="2" s="1"/>
  <c r="H43" i="2"/>
  <c r="F43" i="2"/>
  <c r="L15" i="2"/>
  <c r="H15" i="2"/>
  <c r="G15" i="2"/>
  <c r="K15" i="2" s="1"/>
  <c r="H14" i="2"/>
  <c r="L14" i="2" s="1"/>
  <c r="K14" i="2" s="1"/>
  <c r="G14" i="2"/>
  <c r="N13" i="2"/>
  <c r="K13" i="2"/>
  <c r="G13" i="2"/>
  <c r="F13" i="2"/>
  <c r="H13" i="2" s="1"/>
  <c r="L13" i="2" s="1"/>
  <c r="E13" i="2"/>
  <c r="N12" i="2"/>
  <c r="K12" i="2"/>
  <c r="G12" i="2"/>
  <c r="F12" i="2"/>
  <c r="H12" i="2" s="1"/>
  <c r="L12" i="2" s="1"/>
  <c r="E12" i="2"/>
  <c r="N11" i="2"/>
  <c r="L11" i="2"/>
  <c r="H11" i="2"/>
  <c r="F11" i="2"/>
  <c r="E11" i="2"/>
  <c r="G11" i="2" s="1"/>
  <c r="K11" i="2" s="1"/>
  <c r="N10" i="2"/>
  <c r="F10" i="2"/>
  <c r="H10" i="2" s="1"/>
  <c r="L10" i="2" s="1"/>
  <c r="E10" i="2"/>
  <c r="G10" i="2" s="1"/>
  <c r="K10" i="2" s="1"/>
  <c r="E77" i="1"/>
  <c r="F77" i="1" s="1"/>
  <c r="H77" i="1" s="1"/>
  <c r="C77" i="1"/>
  <c r="F76" i="1"/>
  <c r="H76" i="1" s="1"/>
  <c r="C76" i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E69" i="1"/>
  <c r="F69" i="1" s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D63" i="1"/>
  <c r="F63" i="1" s="1"/>
  <c r="E57" i="1"/>
  <c r="E58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C45" i="1"/>
  <c r="F44" i="1"/>
  <c r="H44" i="1" s="1"/>
  <c r="C44" i="1"/>
  <c r="F43" i="1"/>
  <c r="H43" i="1" s="1"/>
  <c r="C43" i="1"/>
  <c r="H15" i="1"/>
  <c r="L15" i="1" s="1"/>
  <c r="G15" i="1"/>
  <c r="K15" i="1" s="1"/>
  <c r="H14" i="1"/>
  <c r="L14" i="1" s="1"/>
  <c r="G14" i="1"/>
  <c r="N13" i="1"/>
  <c r="N13" i="4" s="1"/>
  <c r="H13" i="1"/>
  <c r="L13" i="1" s="1"/>
  <c r="F13" i="1"/>
  <c r="E13" i="1"/>
  <c r="G13" i="1" s="1"/>
  <c r="K13" i="1" s="1"/>
  <c r="N12" i="1"/>
  <c r="N12" i="4" s="1"/>
  <c r="F12" i="1"/>
  <c r="H12" i="1" s="1"/>
  <c r="L12" i="1" s="1"/>
  <c r="E12" i="1"/>
  <c r="G12" i="1" s="1"/>
  <c r="K12" i="1" s="1"/>
  <c r="N11" i="1"/>
  <c r="N11" i="4" s="1"/>
  <c r="F11" i="1"/>
  <c r="H11" i="1" s="1"/>
  <c r="L11" i="1" s="1"/>
  <c r="E11" i="1"/>
  <c r="G11" i="1" s="1"/>
  <c r="K11" i="1" s="1"/>
  <c r="N10" i="1"/>
  <c r="N10" i="4" s="1"/>
  <c r="F10" i="1"/>
  <c r="H10" i="1" s="1"/>
  <c r="L10" i="1" s="1"/>
  <c r="E10" i="1"/>
  <c r="G10" i="1" s="1"/>
  <c r="K10" i="1" s="1"/>
  <c r="H51" i="7" l="1"/>
  <c r="F52" i="7"/>
  <c r="F45" i="7"/>
  <c r="K28" i="7"/>
  <c r="K29" i="12"/>
  <c r="K27" i="12"/>
  <c r="K25" i="13"/>
  <c r="K21" i="13"/>
  <c r="K28" i="15"/>
  <c r="K32" i="15"/>
  <c r="K33" i="15"/>
  <c r="K24" i="15"/>
  <c r="M24" i="15" s="1"/>
  <c r="M25" i="15" s="1"/>
  <c r="M26" i="15" s="1"/>
  <c r="M27" i="15" s="1"/>
  <c r="K13" i="15"/>
  <c r="M13" i="15" s="1"/>
  <c r="K10" i="15"/>
  <c r="M10" i="15" s="1"/>
  <c r="K16" i="15"/>
  <c r="M16" i="15" s="1"/>
  <c r="K19" i="15"/>
  <c r="K18" i="15"/>
  <c r="K17" i="15"/>
  <c r="M17" i="15" s="1"/>
  <c r="K20" i="15"/>
  <c r="K21" i="15"/>
  <c r="K31" i="14"/>
  <c r="K32" i="14"/>
  <c r="K33" i="14"/>
  <c r="K22" i="14"/>
  <c r="K25" i="14"/>
  <c r="K23" i="14"/>
  <c r="K24" i="14"/>
  <c r="K16" i="14"/>
  <c r="M16" i="14" s="1"/>
  <c r="M17" i="14" s="1"/>
  <c r="K21" i="14"/>
  <c r="K18" i="14"/>
  <c r="H55" i="13"/>
  <c r="H47" i="13"/>
  <c r="H48" i="13" s="1"/>
  <c r="H49" i="13" s="1"/>
  <c r="F46" i="13"/>
  <c r="F54" i="13"/>
  <c r="K27" i="13"/>
  <c r="K19" i="13"/>
  <c r="M17" i="13"/>
  <c r="M18" i="13" s="1"/>
  <c r="M19" i="13" s="1"/>
  <c r="G20" i="13"/>
  <c r="K20" i="13" s="1"/>
  <c r="K22" i="12"/>
  <c r="M22" i="12" s="1"/>
  <c r="M23" i="12" s="1"/>
  <c r="K25" i="12"/>
  <c r="K24" i="12"/>
  <c r="K17" i="12"/>
  <c r="K19" i="12"/>
  <c r="K16" i="12"/>
  <c r="M16" i="12" s="1"/>
  <c r="K18" i="12"/>
  <c r="K20" i="12"/>
  <c r="K21" i="12"/>
  <c r="K28" i="11"/>
  <c r="K30" i="11"/>
  <c r="K20" i="11"/>
  <c r="K32" i="11"/>
  <c r="K16" i="11"/>
  <c r="H46" i="11"/>
  <c r="F46" i="11"/>
  <c r="K28" i="10"/>
  <c r="K30" i="10"/>
  <c r="K32" i="10"/>
  <c r="K16" i="10"/>
  <c r="H43" i="10"/>
  <c r="F43" i="10"/>
  <c r="K28" i="9"/>
  <c r="K18" i="9"/>
  <c r="K24" i="9"/>
  <c r="K20" i="9"/>
  <c r="K13" i="9"/>
  <c r="K12" i="9"/>
  <c r="K10" i="9"/>
  <c r="M10" i="9" s="1"/>
  <c r="K14" i="9"/>
  <c r="K18" i="8"/>
  <c r="K24" i="8"/>
  <c r="K30" i="8"/>
  <c r="K28" i="8"/>
  <c r="K26" i="8"/>
  <c r="K32" i="8"/>
  <c r="K16" i="8"/>
  <c r="H14" i="8"/>
  <c r="L14" i="8" s="1"/>
  <c r="K14" i="8" s="1"/>
  <c r="H54" i="8"/>
  <c r="H60" i="8" s="1"/>
  <c r="F60" i="8"/>
  <c r="F49" i="8"/>
  <c r="H43" i="8"/>
  <c r="H49" i="8" s="1"/>
  <c r="H51" i="8" s="1"/>
  <c r="H52" i="8" s="1"/>
  <c r="K30" i="7"/>
  <c r="K29" i="7"/>
  <c r="K32" i="7"/>
  <c r="H50" i="7"/>
  <c r="H52" i="7" s="1"/>
  <c r="H44" i="7"/>
  <c r="H45" i="7" s="1"/>
  <c r="K25" i="7"/>
  <c r="K24" i="7"/>
  <c r="M24" i="7" s="1"/>
  <c r="K27" i="7"/>
  <c r="K18" i="7"/>
  <c r="K16" i="7"/>
  <c r="M16" i="7" s="1"/>
  <c r="K19" i="7"/>
  <c r="K17" i="7"/>
  <c r="K30" i="6"/>
  <c r="K31" i="6"/>
  <c r="K29" i="6"/>
  <c r="M29" i="6" s="1"/>
  <c r="H43" i="6"/>
  <c r="H52" i="6" s="1"/>
  <c r="H57" i="6"/>
  <c r="H65" i="6" s="1"/>
  <c r="K26" i="6"/>
  <c r="K24" i="6"/>
  <c r="M24" i="6" s="1"/>
  <c r="M25" i="6" s="1"/>
  <c r="M26" i="6" s="1"/>
  <c r="M27" i="6" s="1"/>
  <c r="K19" i="6"/>
  <c r="K20" i="6"/>
  <c r="K16" i="6"/>
  <c r="M16" i="6" s="1"/>
  <c r="M17" i="6" s="1"/>
  <c r="K21" i="6"/>
  <c r="K18" i="6"/>
  <c r="K26" i="5"/>
  <c r="K19" i="5"/>
  <c r="K22" i="5"/>
  <c r="K18" i="5"/>
  <c r="K21" i="5"/>
  <c r="K17" i="5"/>
  <c r="K30" i="5"/>
  <c r="K20" i="5"/>
  <c r="K16" i="5"/>
  <c r="K20" i="4"/>
  <c r="K16" i="4"/>
  <c r="M10" i="4"/>
  <c r="M11" i="4" s="1"/>
  <c r="M12" i="4" s="1"/>
  <c r="M13" i="4" s="1"/>
  <c r="F61" i="3"/>
  <c r="K12" i="3"/>
  <c r="K10" i="3"/>
  <c r="M10" i="3" s="1"/>
  <c r="M11" i="3" s="1"/>
  <c r="M12" i="3" s="1"/>
  <c r="K14" i="3"/>
  <c r="E79" i="3"/>
  <c r="E61" i="3"/>
  <c r="F57" i="1"/>
  <c r="H57" i="1" s="1"/>
  <c r="H58" i="1" s="1"/>
  <c r="K14" i="1"/>
  <c r="M10" i="1"/>
  <c r="M11" i="1" s="1"/>
  <c r="M12" i="1" s="1"/>
  <c r="M13" i="1" s="1"/>
  <c r="Q10" i="1"/>
  <c r="Q11" i="1" s="1"/>
  <c r="Q12" i="1" s="1"/>
  <c r="Q13" i="1" s="1"/>
  <c r="M12" i="5"/>
  <c r="M13" i="5" s="1"/>
  <c r="M10" i="2"/>
  <c r="M11" i="2" s="1"/>
  <c r="M12" i="2" s="1"/>
  <c r="M13" i="2" s="1"/>
  <c r="H49" i="2"/>
  <c r="K15" i="3"/>
  <c r="F78" i="1"/>
  <c r="H63" i="1"/>
  <c r="H78" i="1" s="1"/>
  <c r="K13" i="3"/>
  <c r="K14" i="4"/>
  <c r="H50" i="8"/>
  <c r="H54" i="2"/>
  <c r="H60" i="2" s="1"/>
  <c r="F60" i="2"/>
  <c r="F49" i="2"/>
  <c r="F71" i="3"/>
  <c r="H71" i="3" s="1"/>
  <c r="H79" i="3" s="1"/>
  <c r="K13" i="6"/>
  <c r="K14" i="10"/>
  <c r="K10" i="13"/>
  <c r="M10" i="13" s="1"/>
  <c r="K14" i="13"/>
  <c r="K13" i="14"/>
  <c r="K12" i="7"/>
  <c r="K11" i="9"/>
  <c r="M11" i="9" s="1"/>
  <c r="M12" i="9" s="1"/>
  <c r="K10" i="11"/>
  <c r="M10" i="11" s="1"/>
  <c r="K12" i="11"/>
  <c r="K10" i="14"/>
  <c r="M10" i="14" s="1"/>
  <c r="M11" i="14" s="1"/>
  <c r="K10" i="6"/>
  <c r="M10" i="6" s="1"/>
  <c r="M11" i="6" s="1"/>
  <c r="M12" i="6" s="1"/>
  <c r="M13" i="6" s="1"/>
  <c r="M14" i="6" s="1"/>
  <c r="F71" i="9"/>
  <c r="H71" i="9" s="1"/>
  <c r="E104" i="9"/>
  <c r="E78" i="1"/>
  <c r="K14" i="6"/>
  <c r="K10" i="7"/>
  <c r="M10" i="7" s="1"/>
  <c r="K15" i="7"/>
  <c r="F50" i="10"/>
  <c r="H48" i="10"/>
  <c r="H50" i="10" s="1"/>
  <c r="K15" i="11"/>
  <c r="K11" i="13"/>
  <c r="K11" i="14"/>
  <c r="F77" i="4"/>
  <c r="H77" i="4" s="1"/>
  <c r="H78" i="4" s="1"/>
  <c r="E116" i="4"/>
  <c r="F116" i="4" s="1"/>
  <c r="H116" i="4" s="1"/>
  <c r="M11" i="12"/>
  <c r="M12" i="12" s="1"/>
  <c r="H43" i="3"/>
  <c r="H61" i="3" s="1"/>
  <c r="H77" i="9"/>
  <c r="K11" i="11"/>
  <c r="K12" i="14"/>
  <c r="E78" i="4"/>
  <c r="E115" i="4"/>
  <c r="K11" i="7"/>
  <c r="K13" i="13"/>
  <c r="K15" i="14"/>
  <c r="F56" i="11"/>
  <c r="H51" i="11"/>
  <c r="H56" i="11" s="1"/>
  <c r="H13" i="8"/>
  <c r="L13" i="8" s="1"/>
  <c r="H61" i="8" s="1"/>
  <c r="G13" i="8"/>
  <c r="K13" i="8" s="1"/>
  <c r="F63" i="9"/>
  <c r="H63" i="9" s="1"/>
  <c r="M30" i="6" l="1"/>
  <c r="M31" i="6" s="1"/>
  <c r="M32" i="6" s="1"/>
  <c r="M33" i="6" s="1"/>
  <c r="M25" i="7"/>
  <c r="M26" i="7" s="1"/>
  <c r="M27" i="7" s="1"/>
  <c r="M28" i="7" s="1"/>
  <c r="M29" i="7" s="1"/>
  <c r="M30" i="7" s="1"/>
  <c r="M31" i="7" s="1"/>
  <c r="M32" i="7" s="1"/>
  <c r="M33" i="7" s="1"/>
  <c r="M28" i="15"/>
  <c r="M29" i="15" s="1"/>
  <c r="M30" i="15" s="1"/>
  <c r="M31" i="15" s="1"/>
  <c r="M32" i="15" s="1"/>
  <c r="M33" i="15" s="1"/>
  <c r="M18" i="15"/>
  <c r="M19" i="15" s="1"/>
  <c r="M20" i="15" s="1"/>
  <c r="M18" i="14"/>
  <c r="M19" i="14" s="1"/>
  <c r="M20" i="14" s="1"/>
  <c r="M21" i="14" s="1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20" i="13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M33" i="13" s="1"/>
  <c r="M24" i="12"/>
  <c r="M25" i="12" s="1"/>
  <c r="M26" i="12" s="1"/>
  <c r="M27" i="12" s="1"/>
  <c r="M28" i="12" s="1"/>
  <c r="M29" i="12" s="1"/>
  <c r="M30" i="12" s="1"/>
  <c r="M31" i="12" s="1"/>
  <c r="M32" i="12" s="1"/>
  <c r="M33" i="12" s="1"/>
  <c r="M17" i="12"/>
  <c r="M18" i="12" s="1"/>
  <c r="M19" i="12" s="1"/>
  <c r="M20" i="12" s="1"/>
  <c r="M21" i="12" s="1"/>
  <c r="H72" i="9"/>
  <c r="H53" i="7"/>
  <c r="H46" i="7"/>
  <c r="H47" i="7" s="1"/>
  <c r="H48" i="7" s="1"/>
  <c r="M17" i="7"/>
  <c r="M18" i="7" s="1"/>
  <c r="M19" i="7" s="1"/>
  <c r="M20" i="7" s="1"/>
  <c r="M21" i="7" s="1"/>
  <c r="H66" i="6"/>
  <c r="H53" i="6"/>
  <c r="H54" i="6" s="1"/>
  <c r="H55" i="6" s="1"/>
  <c r="M18" i="6"/>
  <c r="M19" i="6" s="1"/>
  <c r="M20" i="6" s="1"/>
  <c r="M21" i="6" s="1"/>
  <c r="F79" i="3"/>
  <c r="Q14" i="1"/>
  <c r="Q15" i="1" s="1"/>
  <c r="F58" i="1"/>
  <c r="M13" i="9"/>
  <c r="H80" i="3"/>
  <c r="H62" i="3"/>
  <c r="H63" i="3" s="1"/>
  <c r="H64" i="3" s="1"/>
  <c r="M11" i="7"/>
  <c r="M12" i="7" s="1"/>
  <c r="M13" i="7" s="1"/>
  <c r="M14" i="7" s="1"/>
  <c r="H57" i="11"/>
  <c r="H47" i="11"/>
  <c r="H48" i="11" s="1"/>
  <c r="H49" i="11" s="1"/>
  <c r="F115" i="4"/>
  <c r="E117" i="4"/>
  <c r="M12" i="14"/>
  <c r="H59" i="1"/>
  <c r="H60" i="1" s="1"/>
  <c r="H61" i="1" s="1"/>
  <c r="H79" i="1"/>
  <c r="M15" i="6"/>
  <c r="F78" i="4"/>
  <c r="M13" i="8"/>
  <c r="M13" i="12"/>
  <c r="H44" i="10"/>
  <c r="H45" i="10" s="1"/>
  <c r="H46" i="10" s="1"/>
  <c r="H51" i="10"/>
  <c r="M11" i="13"/>
  <c r="M12" i="13" s="1"/>
  <c r="H61" i="2"/>
  <c r="H50" i="2"/>
  <c r="H51" i="2" s="1"/>
  <c r="H52" i="2" s="1"/>
  <c r="F72" i="9"/>
  <c r="F104" i="9"/>
  <c r="E105" i="9"/>
  <c r="M11" i="11"/>
  <c r="M12" i="11" s="1"/>
  <c r="M13" i="11" s="1"/>
  <c r="M13" i="3"/>
  <c r="M21" i="15" l="1"/>
  <c r="H115" i="4"/>
  <c r="H117" i="4" s="1"/>
  <c r="F117" i="4"/>
  <c r="M13" i="13"/>
  <c r="M14" i="13" s="1"/>
  <c r="H104" i="9"/>
  <c r="H105" i="9" s="1"/>
  <c r="F105" i="9"/>
  <c r="M14" i="12"/>
  <c r="M13" i="14"/>
  <c r="M14" i="14" s="1"/>
  <c r="M15" i="7"/>
  <c r="H118" i="4" l="1"/>
  <c r="H79" i="4"/>
  <c r="H80" i="4" s="1"/>
  <c r="H81" i="4" s="1"/>
  <c r="H106" i="9"/>
  <c r="H73" i="9"/>
  <c r="H74" i="9" s="1"/>
  <c r="H75" i="9" s="1"/>
  <c r="M15" i="13"/>
  <c r="M15" i="14"/>
  <c r="M15" i="12"/>
</calcChain>
</file>

<file path=xl/sharedStrings.xml><?xml version="1.0" encoding="utf-8"?>
<sst xmlns="http://schemas.openxmlformats.org/spreadsheetml/2006/main" count="515" uniqueCount="70">
  <si>
    <t>Kentucky Utilities Company</t>
  </si>
  <si>
    <t>Deferred Tax Calculations</t>
  </si>
  <si>
    <t>Environmental Compliance Plans, by Approved Project</t>
  </si>
  <si>
    <t>2009 - Plan</t>
  </si>
  <si>
    <t>Project 28 - Brown 3 SCR</t>
  </si>
  <si>
    <t>Month</t>
  </si>
  <si>
    <t>Plant Balance</t>
  </si>
  <si>
    <t>Book Depreciation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</si>
  <si>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</si>
  <si>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</si>
  <si>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</si>
  <si>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</si>
  <si>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</si>
  <si>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</si>
  <si>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</si>
  <si>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</si>
  <si>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Accumulated Deferred Taxes</t>
  </si>
  <si>
    <t>Deferred Taxes on Retirements</t>
  </si>
  <si>
    <t>Beg Balance</t>
  </si>
  <si>
    <t xml:space="preserve"> </t>
  </si>
  <si>
    <t>The federal and state deferred tax columns include an amount for amortization of excess deferred tax amounts.</t>
  </si>
  <si>
    <t xml:space="preserve">Due to Bonus Depreciation for tax purposes taken on certain components of Project 28, the deferred tax calculation for this project </t>
  </si>
  <si>
    <t>is computed separately for Federal and State purposes.  Specifically, for Federal taxes, certain assets received 50% bonus</t>
  </si>
  <si>
    <t>depreciation, which reduces the Federal tax basis to 50% of the plant balance.  A sample calculation of deferred taxes for Jun 2021</t>
  </si>
  <si>
    <t>is shown below:</t>
  </si>
  <si>
    <t>Federal Basis</t>
  </si>
  <si>
    <t>Book Depr.</t>
  </si>
  <si>
    <t>Federal Tax Depr</t>
  </si>
  <si>
    <t>Fed. Difference</t>
  </si>
  <si>
    <t>Fed Def Tax</t>
  </si>
  <si>
    <t>Subtotal</t>
  </si>
  <si>
    <t>State Offset</t>
  </si>
  <si>
    <t>Excess fed deferred tax amortization</t>
  </si>
  <si>
    <t>State Basis</t>
  </si>
  <si>
    <t>State Tax Depr</t>
  </si>
  <si>
    <t>St. Difference</t>
  </si>
  <si>
    <t>St Def Tax</t>
  </si>
  <si>
    <t>Excess state deferred tax amortization</t>
  </si>
  <si>
    <t>Project 29 - ATB Expansion at E.W. Brown Station (Phase II)</t>
  </si>
  <si>
    <t xml:space="preserve">Due to Bonus Depreciation for tax purposes taken on certain components of Project 29 of the 2009 Plan, the deferred tax calculation for this project </t>
  </si>
  <si>
    <t>2011 - Plan</t>
  </si>
  <si>
    <t>Project 29 - Brown Landfill (Phase I)</t>
  </si>
  <si>
    <t>The federal deferred tax column includes an amount for amortization of excess deferred tax amounts.</t>
  </si>
  <si>
    <t xml:space="preserve">Due to Bonus Depreciation for tax purposes taken on certain components of Project 29 of the 2011 Plan, the deferred tax calculation for this project </t>
  </si>
  <si>
    <t>Excess deferred tax amortization</t>
  </si>
  <si>
    <t>Project 30 - Ghent CCP Storage (Landfill-Phase I)</t>
  </si>
  <si>
    <t xml:space="preserve">Due to Bonus Depreciation for tax purposes taken on certain components of Project 30, the deferred tax calculation for this project </t>
  </si>
  <si>
    <t>Project 31 - Trimble County Ash Treatment Basin (BAP/GSP)</t>
  </si>
  <si>
    <t>Project 32 - Trimble County CCP Storage (Landfill - Phase I)</t>
  </si>
  <si>
    <t xml:space="preserve">Due to Bonus Depreciation for tax purposes taken on certain components of Project 32, the deferred tax calculation for this project </t>
  </si>
  <si>
    <t>Project 33 - Beneficial Reuse</t>
  </si>
  <si>
    <t xml:space="preserve">Due to Bonus Depreciation for tax purposes taken on certain components of Project 33, the deferred tax calculation for this project </t>
  </si>
  <si>
    <t>Project 34 - E.W. Brown Station Air Compliance</t>
  </si>
  <si>
    <t xml:space="preserve">Due to Bonus Depreciation for tax purposes taken on certain components of Project 34, the deferred tax calculation for this project </t>
  </si>
  <si>
    <t>Project 35 - Ghent Station Air Compliance</t>
  </si>
  <si>
    <t xml:space="preserve">Due to Bonus Depreciation for tax purposes taken on certain components of Project 35, the deferred tax calculation for this project </t>
  </si>
  <si>
    <t>2016 - Plan</t>
  </si>
  <si>
    <t>Project 37 - Ghent 2 WFGD Improvments</t>
  </si>
  <si>
    <t xml:space="preserve">Due to Bonus Depreciation for tax purposes taken on certain components of Project 37, the deferred tax calculation for this project </t>
  </si>
  <si>
    <t>Project 38 - Supplemental Mercury Control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</si>
  <si>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</si>
  <si>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</si>
  <si>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depreciation, which reduces the Federal tax basis to 40% or 50% of the plant balance.  A sample calculation of deferred taxes for Jun 2021</t>
  </si>
  <si>
    <t>Project 40 - Ghent New Process Water System</t>
  </si>
  <si>
    <t>Project 41 - Trimble County New Process Water Systems</t>
  </si>
  <si>
    <t xml:space="preserve">Due to Bonus Depreciation for tax purposes taken on certain components of Project 41, the deferred tax calculation for this project </t>
  </si>
  <si>
    <t>Project 42 - Brown New Process Water Systems</t>
  </si>
  <si>
    <t>depreciation, which reduces the Federal tax basis to 50% of the plant balance.  A sample calculation of deferred taxes for Feb 2023</t>
  </si>
  <si>
    <t>2020 - Plan</t>
  </si>
  <si>
    <t>Project 43 - Ghent ELG Water Treatment System, Diffuser, and BATW Recirculation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</si>
</sst>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%"/>
    <numFmt numFmtId="167" formatCode="_(* #,##0.00_);_(* \(#,##0.0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164" fontId="1" fillId="0" borderId="0" xfId="0" applyNumberFormat="1" applyFont="1"/>
    <xf numFmtId="0" fontId="1" fillId="0" borderId="0" xfId="0" applyFont="1"/>
    <xf numFmtId="164" fontId="2" fillId="0" borderId="0" xfId="0" quotePrefix="1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0" fillId="0" borderId="0" xfId="0" applyNumberFormat="1"/>
    <xf numFmtId="165" fontId="3" fillId="0" borderId="0" xfId="1" applyNumberFormat="1"/>
    <xf numFmtId="165" fontId="0" fillId="0" borderId="0" xfId="1" applyNumberFormat="1" applyFont="1"/>
    <xf numFmtId="43" fontId="0" fillId="0" borderId="0" xfId="1" applyFont="1"/>
    <xf numFmtId="164" fontId="3" fillId="0" borderId="0" xfId="2" applyNumberFormat="1" applyAlignment="1">
      <alignment horizontal="left"/>
    </xf>
    <xf numFmtId="41" fontId="0" fillId="0" borderId="0" xfId="0" applyNumberFormat="1"/>
    <xf numFmtId="165" fontId="3" fillId="0" borderId="0" xfId="1" applyNumberFormat="1" applyFont="1"/>
    <xf numFmtId="166" fontId="0" fillId="0" borderId="0" xfId="0" applyNumberFormat="1"/>
    <xf numFmtId="43" fontId="3" fillId="0" borderId="0" xfId="1" applyFont="1"/>
    <xf numFmtId="165" fontId="0" fillId="0" borderId="0" xfId="0" applyNumberFormat="1"/>
    <xf numFmtId="43" fontId="0" fillId="0" borderId="0" xfId="0" applyNumberFormat="1"/>
    <xf numFmtId="164" fontId="3" fillId="0" borderId="0" xfId="0" applyNumberFormat="1" applyFont="1" applyAlignment="1">
      <alignment horizontal="left"/>
    </xf>
    <xf numFmtId="165" fontId="3" fillId="0" borderId="0" xfId="3" applyNumberFormat="1" applyFont="1" applyFill="1"/>
    <xf numFmtId="41" fontId="3" fillId="0" borderId="0" xfId="0" quotePrefix="1" applyNumberFormat="1" applyFont="1" applyAlignment="1">
      <alignment horizontal="left"/>
    </xf>
    <xf numFmtId="43" fontId="3" fillId="0" borderId="0" xfId="3" applyFont="1" applyFill="1"/>
    <xf numFmtId="165" fontId="3" fillId="0" borderId="0" xfId="3" quotePrefix="1" applyNumberFormat="1" applyFont="1" applyFill="1" applyAlignment="1">
      <alignment horizontal="left"/>
    </xf>
    <xf numFmtId="41" fontId="3" fillId="0" borderId="0" xfId="0" applyNumberFormat="1" applyFont="1"/>
    <xf numFmtId="165" fontId="3" fillId="0" borderId="0" xfId="0" applyNumberFormat="1" applyFont="1"/>
    <xf numFmtId="41" fontId="4" fillId="0" borderId="0" xfId="0" applyNumberFormat="1" applyFont="1"/>
    <xf numFmtId="0" fontId="3" fillId="0" borderId="0" xfId="0" applyFont="1"/>
    <xf numFmtId="165" fontId="4" fillId="0" borderId="0" xfId="0" applyNumberFormat="1" applyFont="1"/>
    <xf numFmtId="167" fontId="3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37" fontId="0" fillId="0" borderId="0" xfId="0" applyNumberFormat="1"/>
    <xf numFmtId="165" fontId="4" fillId="0" borderId="0" xfId="1" applyNumberFormat="1" applyFont="1" applyBorder="1" applyAlignment="1">
      <alignment horizontal="center"/>
    </xf>
    <xf numFmtId="167" fontId="0" fillId="0" borderId="0" xfId="0" applyNumberFormat="1"/>
    <xf numFmtId="37" fontId="3" fillId="0" borderId="0" xfId="0" applyNumberFormat="1" applyFont="1"/>
    <xf numFmtId="165" fontId="4" fillId="0" borderId="0" xfId="1" applyNumberFormat="1" applyFont="1"/>
    <xf numFmtId="166" fontId="3" fillId="0" borderId="0" xfId="0" applyNumberFormat="1" applyFont="1"/>
    <xf numFmtId="165" fontId="0" fillId="0" borderId="0" xfId="1" applyNumberFormat="1" applyFont="1" applyFill="1" applyBorder="1"/>
    <xf numFmtId="41" fontId="3" fillId="0" borderId="0" xfId="4" applyNumberFormat="1"/>
    <xf numFmtId="165" fontId="3" fillId="0" borderId="0" xfId="5" quotePrefix="1" applyNumberFormat="1" applyFont="1" applyFill="1" applyAlignment="1">
      <alignment horizontal="left"/>
    </xf>
    <xf numFmtId="43" fontId="3" fillId="0" borderId="0" xfId="5" applyFont="1" applyFill="1"/>
    <xf numFmtId="0" fontId="3" fillId="0" borderId="0" xfId="4"/>
    <xf numFmtId="165" fontId="3" fillId="0" borderId="0" xfId="5" applyNumberFormat="1" applyFont="1" applyFill="1"/>
    <xf numFmtId="41" fontId="3" fillId="0" borderId="0" xfId="4" quotePrefix="1" applyNumberFormat="1" applyAlignment="1">
      <alignment horizontal="left"/>
    </xf>
    <xf numFmtId="166" fontId="3" fillId="0" borderId="0" xfId="4" applyNumberFormat="1"/>
    <xf numFmtId="41" fontId="4" fillId="0" borderId="0" xfId="4" applyNumberFormat="1" applyFont="1"/>
    <xf numFmtId="165" fontId="3" fillId="0" borderId="0" xfId="4" applyNumberFormat="1"/>
    <xf numFmtId="0" fontId="1" fillId="0" borderId="0" xfId="2" quotePrefix="1" applyFont="1" applyAlignment="1">
      <alignment horizontal="centerContinuous"/>
    </xf>
    <xf numFmtId="0" fontId="1" fillId="0" borderId="0" xfId="2" applyFont="1" applyAlignment="1">
      <alignment horizontal="centerContinuous"/>
    </xf>
    <xf numFmtId="0" fontId="3" fillId="0" borderId="0" xfId="2"/>
    <xf numFmtId="164" fontId="1" fillId="0" borderId="0" xfId="2" applyNumberFormat="1" applyFont="1"/>
    <xf numFmtId="0" fontId="1" fillId="0" borderId="0" xfId="2" applyFont="1"/>
    <xf numFmtId="164" fontId="2" fillId="0" borderId="0" xfId="2" quotePrefix="1" applyNumberFormat="1" applyFont="1" applyAlignment="1">
      <alignment horizontal="left"/>
    </xf>
    <xf numFmtId="164" fontId="1" fillId="0" borderId="0" xfId="2" quotePrefix="1" applyNumberFormat="1" applyFont="1" applyAlignment="1">
      <alignment horizontal="left"/>
    </xf>
    <xf numFmtId="164" fontId="1" fillId="0" borderId="1" xfId="2" applyNumberFormat="1" applyFont="1" applyBorder="1" applyAlignment="1">
      <alignment horizontal="center" wrapText="1"/>
    </xf>
    <xf numFmtId="0" fontId="1" fillId="0" borderId="1" xfId="2" applyFont="1" applyBorder="1" applyAlignment="1">
      <alignment horizontal="center" wrapText="1"/>
    </xf>
    <xf numFmtId="0" fontId="1" fillId="0" borderId="0" xfId="2" applyFont="1" applyAlignment="1">
      <alignment horizontal="center" wrapText="1"/>
    </xf>
    <xf numFmtId="164" fontId="3" fillId="0" borderId="0" xfId="2" applyNumberFormat="1"/>
    <xf numFmtId="41" fontId="3" fillId="0" borderId="0" xfId="2" applyNumberFormat="1"/>
    <xf numFmtId="166" fontId="3" fillId="0" borderId="0" xfId="2" applyNumberFormat="1"/>
    <xf numFmtId="165" fontId="3" fillId="0" borderId="0" xfId="2" applyNumberFormat="1"/>
    <xf numFmtId="41" fontId="4" fillId="0" borderId="0" xfId="2" applyNumberFormat="1" applyFont="1"/>
  </cellXfs>
  <cellStyles count="6">
    <cellStyle name="Comma" xfId="1" builtinId="3"/>
    <cellStyle name="Comma 2 2" xfId="3" xr:uid="{87856988-A075-497B-A1E8-3C82C4C7E855}"/>
    <cellStyle name="Comma 2 2 2" xfId="5" xr:uid="{6BE72752-FC1F-47CC-AA3D-BD029915EF69}"/>
    <cellStyle name="Normal" xfId="0" builtinId="0"/>
    <cellStyle name="Normal 2" xfId="2" xr:uid="{3AC880AB-777D-4DEC-B7C5-933492FB4131}"/>
    <cellStyle name="Normal 2 2" xfId="4" xr:uid="{DF402DF8-80AA-45E2-BCF7-E144A7833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4977-6BD8-4F94-B0D1-1B1FC84E1D3B}">
  <dimension ref="A1:Q79"/>
  <sheetViews>
    <sheetView tabSelected="1" zoomScaleNormal="100" workbookViewId="0">
      <selection activeCell="L5" sqref="L5"/>
    </sheetView>
  </sheetViews>
  <sheetFormatPr defaultRowHeight="12.75" x14ac:dyDescent="0.2"/>
  <cols>
    <col min="1" max="1" width="13.140625" style="10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5" t="s">
        <v>3</v>
      </c>
    </row>
    <row r="6" spans="1:17" x14ac:dyDescent="0.2">
      <c r="A6" s="6" t="s">
        <v>4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24437831</v>
      </c>
      <c r="N9" s="12" t="s">
        <v>19</v>
      </c>
      <c r="P9" s="13"/>
    </row>
    <row r="10" spans="1:17" x14ac:dyDescent="0.2">
      <c r="A10" s="14">
        <v>44264</v>
      </c>
      <c r="C10" s="15">
        <v>101551050</v>
      </c>
      <c r="D10" s="16">
        <v>439208</v>
      </c>
      <c r="E10" s="11">
        <f>90408.33</f>
        <v>90408.33</v>
      </c>
      <c r="F10" s="11">
        <f>172788.69</f>
        <v>172788.69</v>
      </c>
      <c r="G10" s="16">
        <f t="shared" ref="G10:G33" si="0">E10-D10</f>
        <v>-348799.67</v>
      </c>
      <c r="H10" s="16">
        <f t="shared" ref="H10:H33" si="1">F10-D10</f>
        <v>-266419.31</v>
      </c>
      <c r="I10" s="17">
        <v>0.21</v>
      </c>
      <c r="J10" s="17">
        <v>0.05</v>
      </c>
      <c r="K10" s="16">
        <f>G10*I10+13321*I10-46808</f>
        <v>-117258.52069999999</v>
      </c>
      <c r="L10" s="16">
        <f>H10*J10-2682</f>
        <v>-16002.9655</v>
      </c>
      <c r="M10" s="15">
        <f>M9+K10+L10</f>
        <v>24304569.513799999</v>
      </c>
      <c r="N10" s="15">
        <f>139987.35+8495.72</f>
        <v>148483.07</v>
      </c>
      <c r="O10" s="18"/>
      <c r="P10" s="13"/>
      <c r="Q10" s="19">
        <f>M9+K10+L10</f>
        <v>24304569.513799999</v>
      </c>
    </row>
    <row r="11" spans="1:17" x14ac:dyDescent="0.2">
      <c r="A11" s="14">
        <v>44287</v>
      </c>
      <c r="C11" s="15">
        <v>101551050</v>
      </c>
      <c r="D11" s="16">
        <v>439208.49</v>
      </c>
      <c r="E11" s="11">
        <f>90408.33</f>
        <v>90408.33</v>
      </c>
      <c r="F11" s="11">
        <f>172788.69</f>
        <v>172788.69</v>
      </c>
      <c r="G11" s="16">
        <f t="shared" si="0"/>
        <v>-348800.16</v>
      </c>
      <c r="H11" s="16">
        <f t="shared" si="1"/>
        <v>-266419.8</v>
      </c>
      <c r="I11" s="17">
        <v>0.21</v>
      </c>
      <c r="J11" s="17">
        <v>0.05</v>
      </c>
      <c r="K11" s="16">
        <f>G11*I11+13321*I11-46808</f>
        <v>-117258.62359999999</v>
      </c>
      <c r="L11" s="16">
        <f>H11*J11-2681.4</f>
        <v>-16002.39</v>
      </c>
      <c r="M11" s="15">
        <f t="shared" ref="M11:M13" si="2">M10+K11+L11</f>
        <v>24171308.5002</v>
      </c>
      <c r="N11" s="15">
        <f>138706.03+8418.42</f>
        <v>147124.45000000001</v>
      </c>
      <c r="O11" s="18"/>
      <c r="P11" s="13"/>
      <c r="Q11" s="19">
        <f>Q10+K11+L11</f>
        <v>24171308.5002</v>
      </c>
    </row>
    <row r="12" spans="1:17" x14ac:dyDescent="0.2">
      <c r="A12" s="14">
        <v>44317</v>
      </c>
      <c r="C12" s="15">
        <v>101551050</v>
      </c>
      <c r="D12" s="16">
        <v>439208.49</v>
      </c>
      <c r="E12" s="11">
        <f>90408.33</f>
        <v>90408.33</v>
      </c>
      <c r="F12" s="11">
        <f>172788.69</f>
        <v>172788.69</v>
      </c>
      <c r="G12" s="16">
        <f t="shared" si="0"/>
        <v>-348800.16</v>
      </c>
      <c r="H12" s="16">
        <f t="shared" si="1"/>
        <v>-266419.8</v>
      </c>
      <c r="I12" s="17">
        <v>0.21</v>
      </c>
      <c r="J12" s="17">
        <v>0.05</v>
      </c>
      <c r="K12" s="16">
        <f>G12*I12+13321*I12-46808</f>
        <v>-117258.62359999999</v>
      </c>
      <c r="L12" s="16">
        <f>H12*J12-2681.4</f>
        <v>-16002.39</v>
      </c>
      <c r="M12" s="15">
        <f t="shared" si="2"/>
        <v>24038047.4866</v>
      </c>
      <c r="N12" s="15">
        <f>137424.71+8341.13</f>
        <v>145765.84</v>
      </c>
      <c r="O12" s="13" t="s">
        <v>19</v>
      </c>
      <c r="P12" s="13" t="s">
        <v>19</v>
      </c>
      <c r="Q12" s="19">
        <f>Q11+K12+L12</f>
        <v>24038047.4866</v>
      </c>
    </row>
    <row r="13" spans="1:17" x14ac:dyDescent="0.2">
      <c r="A13" s="14">
        <v>44348</v>
      </c>
      <c r="C13" s="15">
        <v>101551050</v>
      </c>
      <c r="D13" s="16">
        <v>439208.49</v>
      </c>
      <c r="E13" s="11">
        <f>90408.33</f>
        <v>90408.33</v>
      </c>
      <c r="F13" s="11">
        <f>172788.69</f>
        <v>172788.69</v>
      </c>
      <c r="G13" s="16">
        <f t="shared" si="0"/>
        <v>-348800.16</v>
      </c>
      <c r="H13" s="16">
        <f t="shared" si="1"/>
        <v>-266419.8</v>
      </c>
      <c r="I13" s="17">
        <v>0.21</v>
      </c>
      <c r="J13" s="17">
        <v>0.05</v>
      </c>
      <c r="K13" s="16">
        <f>G13*I13+13321*I13-46808</f>
        <v>-117258.62359999999</v>
      </c>
      <c r="L13" s="16">
        <f>H13*J13-2681.4</f>
        <v>-16002.39</v>
      </c>
      <c r="M13" s="15">
        <f t="shared" si="2"/>
        <v>23904786.473000001</v>
      </c>
      <c r="N13" s="15">
        <f>136143.38+8263.84</f>
        <v>144407.22</v>
      </c>
      <c r="O13" s="20" t="s">
        <v>19</v>
      </c>
      <c r="P13" s="13" t="s">
        <v>19</v>
      </c>
      <c r="Q13" s="19">
        <f>Q12+K13+L13</f>
        <v>23904786.473000001</v>
      </c>
    </row>
    <row r="14" spans="1:17" x14ac:dyDescent="0.2">
      <c r="A14" s="14">
        <v>44378</v>
      </c>
      <c r="C14" s="15"/>
      <c r="D14" s="16"/>
      <c r="E14" s="11"/>
      <c r="F14" s="11"/>
      <c r="G14" s="16">
        <f t="shared" si="0"/>
        <v>0</v>
      </c>
      <c r="H14" s="16">
        <f t="shared" si="1"/>
        <v>0</v>
      </c>
      <c r="I14" s="17">
        <v>0.21</v>
      </c>
      <c r="J14" s="17">
        <v>0.05</v>
      </c>
      <c r="K14" s="16">
        <f t="shared" ref="K14:K16" si="3">G14*I14-L14*I14</f>
        <v>0</v>
      </c>
      <c r="L14" s="16">
        <f t="shared" ref="L14" si="4">H14*J14</f>
        <v>0</v>
      </c>
      <c r="M14" s="15">
        <v>0</v>
      </c>
      <c r="N14" s="15">
        <v>0</v>
      </c>
      <c r="O14" s="15" t="s">
        <v>19</v>
      </c>
      <c r="P14" s="18"/>
      <c r="Q14" s="19">
        <f>Q13+K14+L14</f>
        <v>23904786.473000001</v>
      </c>
    </row>
    <row r="15" spans="1:17" x14ac:dyDescent="0.2">
      <c r="A15" s="14">
        <v>44409</v>
      </c>
      <c r="C15" s="15"/>
      <c r="D15" s="16"/>
      <c r="E15" s="16"/>
      <c r="F15" s="16"/>
      <c r="G15" s="16">
        <f t="shared" si="0"/>
        <v>0</v>
      </c>
      <c r="H15" s="16">
        <f t="shared" si="1"/>
        <v>0</v>
      </c>
      <c r="I15" s="17">
        <v>0.21</v>
      </c>
      <c r="J15" s="17">
        <v>0.05</v>
      </c>
      <c r="K15" s="16">
        <f t="shared" si="3"/>
        <v>0</v>
      </c>
      <c r="L15" s="16">
        <f>H15*J16</f>
        <v>0</v>
      </c>
      <c r="M15" s="15">
        <v>0</v>
      </c>
      <c r="N15" s="15">
        <v>0</v>
      </c>
      <c r="P15" s="13"/>
      <c r="Q15" s="19">
        <f>Q14+K15+L15</f>
        <v>23904786.473000001</v>
      </c>
    </row>
    <row r="16" spans="1:17" x14ac:dyDescent="0.2">
      <c r="A16" s="14">
        <v>44448</v>
      </c>
      <c r="C16" s="15"/>
      <c r="D16" s="15"/>
      <c r="E16" s="15" t="s">
        <v>19</v>
      </c>
      <c r="F16" s="15"/>
      <c r="G16" s="16">
        <v>0</v>
      </c>
      <c r="H16" s="16">
        <f t="shared" si="1"/>
        <v>0</v>
      </c>
      <c r="I16" s="17">
        <v>0.21</v>
      </c>
      <c r="J16" s="17">
        <v>0.05</v>
      </c>
      <c r="K16" s="16">
        <f t="shared" si="3"/>
        <v>0</v>
      </c>
      <c r="L16" s="16">
        <f>H16*J17</f>
        <v>0</v>
      </c>
      <c r="M16" s="15">
        <v>0</v>
      </c>
      <c r="N16" s="15">
        <v>0</v>
      </c>
      <c r="O16" s="15"/>
      <c r="P16" s="15"/>
    </row>
    <row r="17" spans="1:16" x14ac:dyDescent="0.2">
      <c r="A17" s="14">
        <v>44470</v>
      </c>
      <c r="G17" s="16">
        <f t="shared" si="0"/>
        <v>0</v>
      </c>
      <c r="H17" s="16">
        <f t="shared" si="1"/>
        <v>0</v>
      </c>
      <c r="I17" s="17">
        <v>0.21</v>
      </c>
      <c r="J17" s="17">
        <v>0.05</v>
      </c>
      <c r="K17" s="16">
        <f t="shared" ref="K17:K33" si="5">G17*I17-L17*I17</f>
        <v>0</v>
      </c>
      <c r="L17" s="16">
        <f t="shared" ref="L17:L33" si="6">H17*J17</f>
        <v>0</v>
      </c>
      <c r="M17" s="15">
        <v>0</v>
      </c>
      <c r="N17" s="15">
        <v>0</v>
      </c>
      <c r="O17" s="15"/>
      <c r="P17" s="15"/>
    </row>
    <row r="18" spans="1:16" x14ac:dyDescent="0.2">
      <c r="A18" s="14">
        <v>44501</v>
      </c>
      <c r="G18" s="16">
        <f t="shared" si="0"/>
        <v>0</v>
      </c>
      <c r="H18" s="16">
        <f t="shared" si="1"/>
        <v>0</v>
      </c>
      <c r="I18" s="17">
        <v>0.21</v>
      </c>
      <c r="J18" s="17">
        <v>0.05</v>
      </c>
      <c r="K18" s="16">
        <f t="shared" si="5"/>
        <v>0</v>
      </c>
      <c r="L18" s="16">
        <f t="shared" si="6"/>
        <v>0</v>
      </c>
      <c r="M18" s="15">
        <v>0</v>
      </c>
      <c r="N18" s="15">
        <v>0</v>
      </c>
      <c r="O18" s="15"/>
      <c r="P18" s="15"/>
    </row>
    <row r="19" spans="1:16" x14ac:dyDescent="0.2">
      <c r="A19" s="14">
        <v>44531</v>
      </c>
      <c r="B19" s="22"/>
      <c r="G19" s="16">
        <f t="shared" si="0"/>
        <v>0</v>
      </c>
      <c r="H19" s="16">
        <f t="shared" si="1"/>
        <v>0</v>
      </c>
      <c r="I19" s="17">
        <v>0.21</v>
      </c>
      <c r="J19" s="17">
        <v>0.05</v>
      </c>
      <c r="K19" s="16">
        <f t="shared" si="5"/>
        <v>0</v>
      </c>
      <c r="L19" s="16">
        <f t="shared" si="6"/>
        <v>0</v>
      </c>
      <c r="M19" s="15">
        <v>0</v>
      </c>
      <c r="N19" s="15">
        <v>0</v>
      </c>
    </row>
    <row r="20" spans="1:16" x14ac:dyDescent="0.2">
      <c r="A20" s="14">
        <v>44562</v>
      </c>
      <c r="B20" s="22"/>
      <c r="G20" s="16">
        <f t="shared" si="0"/>
        <v>0</v>
      </c>
      <c r="H20" s="16">
        <f t="shared" si="1"/>
        <v>0</v>
      </c>
      <c r="I20" s="17">
        <v>0.21</v>
      </c>
      <c r="J20" s="17">
        <v>0.05</v>
      </c>
      <c r="K20" s="16">
        <f t="shared" si="5"/>
        <v>0</v>
      </c>
      <c r="L20" s="16">
        <f t="shared" si="6"/>
        <v>0</v>
      </c>
      <c r="M20" s="15">
        <v>0</v>
      </c>
      <c r="N20" s="15">
        <v>0</v>
      </c>
    </row>
    <row r="21" spans="1:16" x14ac:dyDescent="0.2">
      <c r="A21" s="14">
        <v>44593</v>
      </c>
      <c r="B21" s="22"/>
      <c r="G21" s="16">
        <f t="shared" si="0"/>
        <v>0</v>
      </c>
      <c r="H21" s="16">
        <f t="shared" si="1"/>
        <v>0</v>
      </c>
      <c r="I21" s="17">
        <v>0.21</v>
      </c>
      <c r="J21" s="17">
        <v>0.05</v>
      </c>
      <c r="K21" s="16">
        <f t="shared" si="5"/>
        <v>0</v>
      </c>
      <c r="L21" s="16">
        <f t="shared" si="6"/>
        <v>0</v>
      </c>
      <c r="M21" s="15">
        <v>0</v>
      </c>
      <c r="N21" s="15">
        <v>0</v>
      </c>
    </row>
    <row r="22" spans="1:16" x14ac:dyDescent="0.2">
      <c r="A22" s="14">
        <v>44629</v>
      </c>
      <c r="B22" s="22"/>
      <c r="G22" s="16">
        <f t="shared" si="0"/>
        <v>0</v>
      </c>
      <c r="H22" s="16">
        <f t="shared" si="1"/>
        <v>0</v>
      </c>
      <c r="I22" s="17">
        <v>0.21</v>
      </c>
      <c r="J22" s="17">
        <v>0.05</v>
      </c>
      <c r="K22" s="16">
        <f t="shared" si="5"/>
        <v>0</v>
      </c>
      <c r="L22" s="16">
        <f t="shared" si="6"/>
        <v>0</v>
      </c>
      <c r="M22" s="15">
        <v>0</v>
      </c>
      <c r="N22" s="15">
        <v>0</v>
      </c>
    </row>
    <row r="23" spans="1:16" x14ac:dyDescent="0.2">
      <c r="A23" s="14">
        <v>44652</v>
      </c>
      <c r="G23" s="16">
        <f t="shared" si="0"/>
        <v>0</v>
      </c>
      <c r="H23" s="16">
        <f t="shared" si="1"/>
        <v>0</v>
      </c>
      <c r="I23" s="17">
        <v>0.21</v>
      </c>
      <c r="J23" s="17">
        <v>0.05</v>
      </c>
      <c r="K23" s="16">
        <f t="shared" si="5"/>
        <v>0</v>
      </c>
      <c r="L23" s="16">
        <f t="shared" si="6"/>
        <v>0</v>
      </c>
      <c r="M23" s="15">
        <v>0</v>
      </c>
      <c r="N23" s="15">
        <v>0</v>
      </c>
    </row>
    <row r="24" spans="1:16" x14ac:dyDescent="0.2">
      <c r="A24" s="14">
        <v>44682</v>
      </c>
      <c r="G24" s="16">
        <f t="shared" si="0"/>
        <v>0</v>
      </c>
      <c r="H24" s="16">
        <f t="shared" si="1"/>
        <v>0</v>
      </c>
      <c r="I24" s="17">
        <v>0.21</v>
      </c>
      <c r="J24" s="17">
        <v>0.05</v>
      </c>
      <c r="K24" s="16">
        <f t="shared" si="5"/>
        <v>0</v>
      </c>
      <c r="L24" s="16">
        <f t="shared" si="6"/>
        <v>0</v>
      </c>
      <c r="M24" s="15">
        <v>0</v>
      </c>
      <c r="N24" s="15">
        <v>0</v>
      </c>
    </row>
    <row r="25" spans="1:16" x14ac:dyDescent="0.2">
      <c r="A25" s="14">
        <v>44713</v>
      </c>
      <c r="G25" s="16">
        <f t="shared" si="0"/>
        <v>0</v>
      </c>
      <c r="H25" s="16">
        <f t="shared" si="1"/>
        <v>0</v>
      </c>
      <c r="I25" s="17">
        <v>0.21</v>
      </c>
      <c r="J25" s="17">
        <v>0.05</v>
      </c>
      <c r="K25" s="16">
        <f t="shared" si="5"/>
        <v>0</v>
      </c>
      <c r="L25" s="16">
        <f t="shared" si="6"/>
        <v>0</v>
      </c>
      <c r="M25" s="15">
        <v>0</v>
      </c>
      <c r="N25" s="15">
        <v>0</v>
      </c>
    </row>
    <row r="26" spans="1:16" x14ac:dyDescent="0.2">
      <c r="A26" s="14">
        <v>44743</v>
      </c>
      <c r="G26" s="16">
        <f t="shared" si="0"/>
        <v>0</v>
      </c>
      <c r="H26" s="16">
        <f t="shared" si="1"/>
        <v>0</v>
      </c>
      <c r="I26" s="17">
        <v>0.21</v>
      </c>
      <c r="J26" s="17">
        <v>0.05</v>
      </c>
      <c r="K26" s="16">
        <f t="shared" si="5"/>
        <v>0</v>
      </c>
      <c r="L26" s="16">
        <f t="shared" si="6"/>
        <v>0</v>
      </c>
      <c r="M26" s="15">
        <v>0</v>
      </c>
      <c r="N26" s="15">
        <v>0</v>
      </c>
    </row>
    <row r="27" spans="1:16" x14ac:dyDescent="0.2">
      <c r="A27" s="14">
        <v>44774</v>
      </c>
      <c r="G27" s="16">
        <f t="shared" si="0"/>
        <v>0</v>
      </c>
      <c r="H27" s="16">
        <f t="shared" si="1"/>
        <v>0</v>
      </c>
      <c r="I27" s="17">
        <v>0.21</v>
      </c>
      <c r="J27" s="17">
        <v>0.05</v>
      </c>
      <c r="K27" s="16">
        <f t="shared" si="5"/>
        <v>0</v>
      </c>
      <c r="L27" s="16">
        <f t="shared" si="6"/>
        <v>0</v>
      </c>
      <c r="M27" s="15">
        <v>0</v>
      </c>
      <c r="N27" s="15">
        <v>0</v>
      </c>
    </row>
    <row r="28" spans="1:16" x14ac:dyDescent="0.2">
      <c r="A28" s="14">
        <v>44813</v>
      </c>
      <c r="G28" s="16">
        <f t="shared" si="0"/>
        <v>0</v>
      </c>
      <c r="H28" s="16">
        <f t="shared" si="1"/>
        <v>0</v>
      </c>
      <c r="I28" s="17">
        <v>0.21</v>
      </c>
      <c r="J28" s="17">
        <v>0.05</v>
      </c>
      <c r="K28" s="16">
        <f t="shared" si="5"/>
        <v>0</v>
      </c>
      <c r="L28" s="16">
        <f t="shared" si="6"/>
        <v>0</v>
      </c>
      <c r="M28" s="15">
        <v>0</v>
      </c>
      <c r="N28" s="15">
        <v>0</v>
      </c>
    </row>
    <row r="29" spans="1:16" x14ac:dyDescent="0.2">
      <c r="A29" s="14">
        <v>44835</v>
      </c>
      <c r="G29" s="16">
        <f t="shared" si="0"/>
        <v>0</v>
      </c>
      <c r="H29" s="16">
        <f t="shared" si="1"/>
        <v>0</v>
      </c>
      <c r="I29" s="17">
        <v>0.21</v>
      </c>
      <c r="J29" s="17">
        <v>0.05</v>
      </c>
      <c r="K29" s="16">
        <f t="shared" si="5"/>
        <v>0</v>
      </c>
      <c r="L29" s="16">
        <f t="shared" si="6"/>
        <v>0</v>
      </c>
      <c r="M29" s="15">
        <v>0</v>
      </c>
      <c r="N29" s="15">
        <v>0</v>
      </c>
    </row>
    <row r="30" spans="1:16" x14ac:dyDescent="0.2">
      <c r="A30" s="14">
        <v>44866</v>
      </c>
      <c r="G30" s="16">
        <f t="shared" si="0"/>
        <v>0</v>
      </c>
      <c r="H30" s="16">
        <f t="shared" si="1"/>
        <v>0</v>
      </c>
      <c r="I30" s="17">
        <v>0.21</v>
      </c>
      <c r="J30" s="17">
        <v>0.05</v>
      </c>
      <c r="K30" s="16">
        <f t="shared" si="5"/>
        <v>0</v>
      </c>
      <c r="L30" s="16">
        <f t="shared" si="6"/>
        <v>0</v>
      </c>
      <c r="M30" s="15">
        <v>0</v>
      </c>
      <c r="N30" s="15">
        <v>0</v>
      </c>
    </row>
    <row r="31" spans="1:16" x14ac:dyDescent="0.2">
      <c r="A31" s="14">
        <v>44896</v>
      </c>
      <c r="G31" s="16">
        <f t="shared" si="0"/>
        <v>0</v>
      </c>
      <c r="H31" s="16">
        <f t="shared" si="1"/>
        <v>0</v>
      </c>
      <c r="I31" s="17">
        <v>0.21</v>
      </c>
      <c r="J31" s="17">
        <v>0.05</v>
      </c>
      <c r="K31" s="16">
        <f t="shared" si="5"/>
        <v>0</v>
      </c>
      <c r="L31" s="16">
        <f t="shared" si="6"/>
        <v>0</v>
      </c>
      <c r="M31" s="15">
        <v>0</v>
      </c>
      <c r="N31" s="15">
        <v>0</v>
      </c>
    </row>
    <row r="32" spans="1:16" x14ac:dyDescent="0.2">
      <c r="A32" s="14">
        <v>44927</v>
      </c>
      <c r="G32" s="16">
        <f t="shared" si="0"/>
        <v>0</v>
      </c>
      <c r="H32" s="16">
        <f t="shared" si="1"/>
        <v>0</v>
      </c>
      <c r="I32" s="17">
        <v>0.21</v>
      </c>
      <c r="J32" s="17">
        <v>0.05</v>
      </c>
      <c r="K32" s="16">
        <f t="shared" si="5"/>
        <v>0</v>
      </c>
      <c r="L32" s="16">
        <f t="shared" si="6"/>
        <v>0</v>
      </c>
      <c r="M32" s="15">
        <v>0</v>
      </c>
      <c r="N32" s="15">
        <v>0</v>
      </c>
    </row>
    <row r="33" spans="1:14" x14ac:dyDescent="0.2">
      <c r="A33" s="14">
        <v>44958</v>
      </c>
      <c r="G33" s="16">
        <f t="shared" si="0"/>
        <v>0</v>
      </c>
      <c r="H33" s="16">
        <f t="shared" si="1"/>
        <v>0</v>
      </c>
      <c r="I33" s="17">
        <v>0.21</v>
      </c>
      <c r="J33" s="17">
        <v>0.05</v>
      </c>
      <c r="K33" s="16">
        <f t="shared" si="5"/>
        <v>0</v>
      </c>
      <c r="L33" s="16">
        <f t="shared" si="6"/>
        <v>0</v>
      </c>
      <c r="M33" s="15">
        <v>0</v>
      </c>
      <c r="N33" s="15">
        <v>0</v>
      </c>
    </row>
    <row r="35" spans="1:14" x14ac:dyDescent="0.2">
      <c r="C35" s="15" t="s">
        <v>20</v>
      </c>
      <c r="D35" s="16"/>
      <c r="E35" s="16"/>
      <c r="F35" s="16"/>
      <c r="G35" s="16"/>
      <c r="H35" s="16"/>
      <c r="I35" s="17"/>
      <c r="J35" s="17"/>
    </row>
    <row r="36" spans="1:14" x14ac:dyDescent="0.2">
      <c r="C36" s="15"/>
      <c r="D36" s="15"/>
      <c r="E36" s="15"/>
      <c r="F36" s="15"/>
      <c r="G36" s="15"/>
      <c r="H36" s="15"/>
      <c r="I36" s="15"/>
      <c r="J36" s="15"/>
    </row>
    <row r="37" spans="1:14" x14ac:dyDescent="0.2">
      <c r="C37" s="23" t="s">
        <v>21</v>
      </c>
      <c r="D37" s="22"/>
      <c r="E37" s="24"/>
      <c r="F37" s="24"/>
      <c r="G37" s="24"/>
    </row>
    <row r="38" spans="1:14" x14ac:dyDescent="0.2">
      <c r="C38" s="23" t="s">
        <v>22</v>
      </c>
      <c r="D38" s="22"/>
      <c r="E38" s="24"/>
      <c r="F38" s="24"/>
      <c r="G38" s="24"/>
    </row>
    <row r="39" spans="1:14" x14ac:dyDescent="0.2">
      <c r="C39" s="23" t="s">
        <v>23</v>
      </c>
      <c r="D39" s="22"/>
      <c r="E39" s="24"/>
      <c r="F39" s="24"/>
      <c r="G39" s="24"/>
      <c r="K39" s="15"/>
    </row>
    <row r="40" spans="1:14" x14ac:dyDescent="0.2">
      <c r="C40" s="15" t="s">
        <v>24</v>
      </c>
      <c r="D40" s="22"/>
      <c r="E40" s="24"/>
      <c r="F40" s="24"/>
      <c r="G40" s="24"/>
      <c r="K40" s="15"/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5">
        <f>18534899</f>
        <v>18534899</v>
      </c>
      <c r="D43" s="15">
        <v>439208</v>
      </c>
      <c r="E43" s="15">
        <v>68903.490000000005</v>
      </c>
      <c r="F43" s="15">
        <f>E43-D43</f>
        <v>-370304.51</v>
      </c>
      <c r="G43" s="17">
        <v>0.21</v>
      </c>
      <c r="H43" s="19">
        <f>F43*G43</f>
        <v>-77763.947100000005</v>
      </c>
    </row>
    <row r="44" spans="1:14" x14ac:dyDescent="0.2">
      <c r="C44" s="15">
        <f>+-176214</f>
        <v>-176214</v>
      </c>
      <c r="E44" s="15">
        <v>-655.22</v>
      </c>
      <c r="F44" s="15">
        <f t="shared" ref="F44:F57" si="7">E44</f>
        <v>-655.22</v>
      </c>
      <c r="G44" s="17">
        <v>0.21</v>
      </c>
      <c r="H44" s="19">
        <f t="shared" ref="H44:H57" si="8">F44*G44</f>
        <v>-137.59620000000001</v>
      </c>
    </row>
    <row r="45" spans="1:14" x14ac:dyDescent="0.2">
      <c r="C45" s="15">
        <f>526898</f>
        <v>526898</v>
      </c>
      <c r="E45" s="15">
        <v>1985.53</v>
      </c>
      <c r="F45" s="15">
        <f t="shared" si="7"/>
        <v>1985.53</v>
      </c>
      <c r="G45" s="17">
        <v>0.21</v>
      </c>
      <c r="H45" s="19">
        <f t="shared" si="8"/>
        <v>416.96129999999999</v>
      </c>
    </row>
    <row r="46" spans="1:14" x14ac:dyDescent="0.2">
      <c r="C46" s="15">
        <v>790348</v>
      </c>
      <c r="E46" s="15">
        <v>0</v>
      </c>
      <c r="F46" s="15">
        <f t="shared" si="7"/>
        <v>0</v>
      </c>
      <c r="G46" s="17">
        <v>0.21</v>
      </c>
      <c r="H46" s="19">
        <f t="shared" si="8"/>
        <v>0</v>
      </c>
    </row>
    <row r="47" spans="1:14" x14ac:dyDescent="0.2">
      <c r="C47" s="15">
        <v>398743</v>
      </c>
      <c r="E47" s="15">
        <v>1624.21</v>
      </c>
      <c r="F47" s="15">
        <f t="shared" si="7"/>
        <v>1624.21</v>
      </c>
      <c r="G47" s="17">
        <v>0.21</v>
      </c>
      <c r="H47" s="19">
        <f t="shared" si="8"/>
        <v>341.08409999999998</v>
      </c>
    </row>
    <row r="48" spans="1:14" x14ac:dyDescent="0.2">
      <c r="C48" s="15">
        <v>1064181</v>
      </c>
      <c r="E48" s="15">
        <v>4334.76</v>
      </c>
      <c r="F48" s="15">
        <f t="shared" si="7"/>
        <v>4334.76</v>
      </c>
      <c r="G48" s="17">
        <v>0.21</v>
      </c>
      <c r="H48" s="19">
        <f t="shared" si="8"/>
        <v>910.29960000000005</v>
      </c>
    </row>
    <row r="49" spans="3:9" x14ac:dyDescent="0.2">
      <c r="C49" s="15">
        <v>81522</v>
      </c>
      <c r="E49" s="15">
        <v>332.07</v>
      </c>
      <c r="F49" s="15">
        <f t="shared" si="7"/>
        <v>332.07</v>
      </c>
      <c r="G49" s="17">
        <v>0.21</v>
      </c>
      <c r="H49" s="19">
        <f t="shared" si="8"/>
        <v>69.734699999999989</v>
      </c>
    </row>
    <row r="50" spans="3:9" x14ac:dyDescent="0.2">
      <c r="C50" s="15">
        <v>43567</v>
      </c>
      <c r="E50" s="15">
        <v>177.46</v>
      </c>
      <c r="F50" s="15">
        <f t="shared" si="7"/>
        <v>177.46</v>
      </c>
      <c r="G50" s="17">
        <v>0.21</v>
      </c>
      <c r="H50" s="19">
        <f t="shared" si="8"/>
        <v>37.266599999999997</v>
      </c>
    </row>
    <row r="51" spans="3:9" x14ac:dyDescent="0.2">
      <c r="C51" s="15">
        <v>80051</v>
      </c>
      <c r="E51" s="15">
        <v>326.07</v>
      </c>
      <c r="F51" s="15">
        <f t="shared" si="7"/>
        <v>326.07</v>
      </c>
      <c r="G51" s="17">
        <v>0.21</v>
      </c>
      <c r="H51" s="19">
        <f t="shared" si="8"/>
        <v>68.474699999999999</v>
      </c>
    </row>
    <row r="52" spans="3:9" x14ac:dyDescent="0.2">
      <c r="C52" s="15">
        <v>415872</v>
      </c>
      <c r="E52" s="26">
        <v>1791.69</v>
      </c>
      <c r="F52" s="26">
        <f t="shared" si="7"/>
        <v>1791.69</v>
      </c>
      <c r="G52" s="17">
        <v>0.21</v>
      </c>
      <c r="H52" s="27">
        <f t="shared" si="8"/>
        <v>376.25490000000002</v>
      </c>
    </row>
    <row r="53" spans="3:9" x14ac:dyDescent="0.2">
      <c r="C53" s="15">
        <v>9056</v>
      </c>
      <c r="E53" s="26">
        <v>39.880000000000003</v>
      </c>
      <c r="F53" s="26">
        <f t="shared" si="7"/>
        <v>39.880000000000003</v>
      </c>
      <c r="G53" s="17">
        <v>0.21</v>
      </c>
      <c r="H53" s="27">
        <f t="shared" si="8"/>
        <v>8.3748000000000005</v>
      </c>
    </row>
    <row r="54" spans="3:9" x14ac:dyDescent="0.2">
      <c r="C54" s="15">
        <v>738067</v>
      </c>
      <c r="E54" s="26">
        <v>3513.82</v>
      </c>
      <c r="F54" s="26">
        <f t="shared" si="7"/>
        <v>3513.82</v>
      </c>
      <c r="G54" s="17">
        <v>0.21</v>
      </c>
      <c r="H54" s="27">
        <f t="shared" si="8"/>
        <v>737.90219999999999</v>
      </c>
    </row>
    <row r="55" spans="3:9" x14ac:dyDescent="0.2">
      <c r="C55" s="15">
        <v>1388</v>
      </c>
      <c r="E55" s="26">
        <v>6.61</v>
      </c>
      <c r="F55" s="26">
        <f t="shared" si="7"/>
        <v>6.61</v>
      </c>
      <c r="G55" s="17">
        <v>0.21</v>
      </c>
      <c r="H55" s="27">
        <f t="shared" si="8"/>
        <v>1.3881000000000001</v>
      </c>
    </row>
    <row r="56" spans="3:9" x14ac:dyDescent="0.2">
      <c r="C56" s="15">
        <v>1349174</v>
      </c>
      <c r="E56" s="26">
        <v>7507.03</v>
      </c>
      <c r="F56" s="26">
        <f t="shared" si="7"/>
        <v>7507.03</v>
      </c>
      <c r="G56" s="17">
        <v>0.21</v>
      </c>
      <c r="H56" s="27">
        <f t="shared" si="8"/>
        <v>1576.4762999999998</v>
      </c>
    </row>
    <row r="57" spans="3:9" ht="15" x14ac:dyDescent="0.35">
      <c r="C57" s="15">
        <v>152806</v>
      </c>
      <c r="E57" s="28">
        <f>477.52+43</f>
        <v>520.52</v>
      </c>
      <c r="F57" s="28">
        <f t="shared" si="7"/>
        <v>520.52</v>
      </c>
      <c r="G57" s="17">
        <v>0.21</v>
      </c>
      <c r="H57" s="27">
        <f t="shared" si="8"/>
        <v>109.30919999999999</v>
      </c>
    </row>
    <row r="58" spans="3:9" x14ac:dyDescent="0.2">
      <c r="E58" s="15">
        <f>SUM(E43:E57)</f>
        <v>90407.920000000042</v>
      </c>
      <c r="F58" s="15">
        <f>SUM(F43:F57)</f>
        <v>-348800.07999999984</v>
      </c>
      <c r="G58" s="29" t="s">
        <v>30</v>
      </c>
      <c r="H58" s="15">
        <f>SUM(H43:H57)</f>
        <v>-73248.016800000012</v>
      </c>
    </row>
    <row r="59" spans="3:9" ht="15" x14ac:dyDescent="0.35">
      <c r="E59" s="15"/>
      <c r="F59" s="15"/>
      <c r="G59" s="29" t="s">
        <v>31</v>
      </c>
      <c r="H59" s="30">
        <f>-H78*0.21</f>
        <v>2797.4070600000009</v>
      </c>
    </row>
    <row r="60" spans="3:9" x14ac:dyDescent="0.2">
      <c r="H60" s="19">
        <f>H58+H59</f>
        <v>-70450.609740000014</v>
      </c>
    </row>
    <row r="61" spans="3:9" x14ac:dyDescent="0.2">
      <c r="H61" s="19">
        <f>H60-K13</f>
        <v>46808.013859999977</v>
      </c>
      <c r="I61" t="s">
        <v>32</v>
      </c>
    </row>
    <row r="62" spans="3:9" x14ac:dyDescent="0.2">
      <c r="C62" s="15" t="s">
        <v>33</v>
      </c>
      <c r="D62" s="22" t="s">
        <v>26</v>
      </c>
      <c r="E62" s="24" t="s">
        <v>34</v>
      </c>
      <c r="F62" s="15" t="s">
        <v>35</v>
      </c>
      <c r="G62" s="17" t="s">
        <v>13</v>
      </c>
      <c r="H62" s="15" t="s">
        <v>36</v>
      </c>
    </row>
    <row r="63" spans="3:9" x14ac:dyDescent="0.2">
      <c r="C63" s="15">
        <v>37069798</v>
      </c>
      <c r="D63" s="15">
        <f>D43</f>
        <v>439208</v>
      </c>
      <c r="E63" s="15">
        <v>137806.97</v>
      </c>
      <c r="F63" s="15">
        <f>E63-D63</f>
        <v>-301401.03000000003</v>
      </c>
      <c r="G63" s="17">
        <v>0.05</v>
      </c>
      <c r="H63" s="19">
        <f>F63*G63</f>
        <v>-15070.051500000001</v>
      </c>
    </row>
    <row r="64" spans="3:9" x14ac:dyDescent="0.2">
      <c r="C64" s="15">
        <v>55076054</v>
      </c>
      <c r="E64" s="15">
        <v>0</v>
      </c>
      <c r="F64" s="15">
        <f>E64</f>
        <v>0</v>
      </c>
      <c r="G64" s="17">
        <v>0.05</v>
      </c>
      <c r="H64" s="19">
        <f t="shared" ref="H64:H77" si="9">F64*G64</f>
        <v>0</v>
      </c>
    </row>
    <row r="65" spans="3:9" x14ac:dyDescent="0.2">
      <c r="C65" s="15">
        <v>-352428</v>
      </c>
      <c r="E65" s="15">
        <v>-1310.45</v>
      </c>
      <c r="F65" s="15">
        <f t="shared" ref="F65:F77" si="10">E65</f>
        <v>-1310.45</v>
      </c>
      <c r="G65" s="17">
        <v>0.05</v>
      </c>
      <c r="H65" s="19">
        <f t="shared" si="9"/>
        <v>-65.522500000000008</v>
      </c>
    </row>
    <row r="66" spans="3:9" x14ac:dyDescent="0.2">
      <c r="C66" s="15">
        <v>1053797</v>
      </c>
      <c r="E66" s="15">
        <v>3971.06</v>
      </c>
      <c r="F66" s="15">
        <f t="shared" si="10"/>
        <v>3971.06</v>
      </c>
      <c r="G66" s="17">
        <v>0.05</v>
      </c>
      <c r="H66" s="19">
        <f t="shared" si="9"/>
        <v>198.553</v>
      </c>
    </row>
    <row r="67" spans="3:9" x14ac:dyDescent="0.2">
      <c r="C67" s="15">
        <v>1580696</v>
      </c>
      <c r="E67" s="15">
        <v>0</v>
      </c>
      <c r="F67" s="15">
        <f t="shared" si="10"/>
        <v>0</v>
      </c>
      <c r="G67" s="17">
        <v>0.05</v>
      </c>
      <c r="H67" s="19">
        <f t="shared" si="9"/>
        <v>0</v>
      </c>
    </row>
    <row r="68" spans="3:9" x14ac:dyDescent="0.2">
      <c r="C68" s="15">
        <v>797485</v>
      </c>
      <c r="E68" s="15">
        <v>3248.42</v>
      </c>
      <c r="F68" s="15">
        <f t="shared" si="10"/>
        <v>3248.42</v>
      </c>
      <c r="G68" s="17">
        <v>0.05</v>
      </c>
      <c r="H68" s="19">
        <f t="shared" si="9"/>
        <v>162.42100000000002</v>
      </c>
    </row>
    <row r="69" spans="3:9" x14ac:dyDescent="0.2">
      <c r="C69" s="15">
        <v>2291406</v>
      </c>
      <c r="E69" s="15">
        <f>8669.53+664.13</f>
        <v>9333.66</v>
      </c>
      <c r="F69" s="15">
        <f t="shared" si="10"/>
        <v>9333.66</v>
      </c>
      <c r="G69" s="17">
        <v>0.05</v>
      </c>
      <c r="H69" s="19">
        <f t="shared" si="9"/>
        <v>466.68299999999999</v>
      </c>
    </row>
    <row r="70" spans="3:9" x14ac:dyDescent="0.2">
      <c r="C70" s="15">
        <v>87134</v>
      </c>
      <c r="E70" s="15">
        <v>354.92</v>
      </c>
      <c r="F70" s="15">
        <f t="shared" si="10"/>
        <v>354.92</v>
      </c>
      <c r="G70" s="17">
        <v>0.05</v>
      </c>
      <c r="H70" s="19">
        <f t="shared" si="9"/>
        <v>17.746000000000002</v>
      </c>
    </row>
    <row r="71" spans="3:9" x14ac:dyDescent="0.2">
      <c r="C71" s="15">
        <v>160101</v>
      </c>
      <c r="E71" s="15">
        <v>652.15</v>
      </c>
      <c r="F71" s="15">
        <f t="shared" si="10"/>
        <v>652.15</v>
      </c>
      <c r="G71" s="17">
        <v>0.05</v>
      </c>
      <c r="H71" s="19">
        <f t="shared" si="9"/>
        <v>32.607500000000002</v>
      </c>
    </row>
    <row r="72" spans="3:9" x14ac:dyDescent="0.2">
      <c r="C72" s="15">
        <v>813634</v>
      </c>
      <c r="E72" s="15">
        <v>3583.38</v>
      </c>
      <c r="F72" s="15">
        <f t="shared" si="10"/>
        <v>3583.38</v>
      </c>
      <c r="G72" s="17">
        <v>0.05</v>
      </c>
      <c r="H72" s="19">
        <f t="shared" si="9"/>
        <v>179.16900000000001</v>
      </c>
    </row>
    <row r="73" spans="3:9" x14ac:dyDescent="0.2">
      <c r="C73" s="15">
        <v>18111</v>
      </c>
      <c r="E73" s="26">
        <v>79.77</v>
      </c>
      <c r="F73" s="26">
        <f t="shared" si="10"/>
        <v>79.77</v>
      </c>
      <c r="G73" s="17">
        <v>0.05</v>
      </c>
      <c r="H73" s="27">
        <f t="shared" si="9"/>
        <v>3.9885000000000002</v>
      </c>
    </row>
    <row r="74" spans="3:9" x14ac:dyDescent="0.2">
      <c r="C74" s="15">
        <v>1476135</v>
      </c>
      <c r="E74" s="26">
        <v>7027.63</v>
      </c>
      <c r="F74" s="26">
        <f t="shared" si="10"/>
        <v>7027.63</v>
      </c>
      <c r="G74" s="17">
        <v>0.05</v>
      </c>
      <c r="H74" s="27">
        <f t="shared" si="9"/>
        <v>351.38150000000002</v>
      </c>
    </row>
    <row r="75" spans="3:9" x14ac:dyDescent="0.2">
      <c r="C75" s="15">
        <v>2777</v>
      </c>
      <c r="E75" s="26">
        <v>13.22</v>
      </c>
      <c r="F75" s="26">
        <f t="shared" si="10"/>
        <v>13.22</v>
      </c>
      <c r="G75" s="17">
        <v>0.05</v>
      </c>
      <c r="H75" s="27">
        <f t="shared" si="9"/>
        <v>0.66100000000000003</v>
      </c>
    </row>
    <row r="76" spans="3:9" x14ac:dyDescent="0.2">
      <c r="C76" s="15">
        <f>C56</f>
        <v>1349174</v>
      </c>
      <c r="E76" s="26">
        <v>7507.03</v>
      </c>
      <c r="F76" s="26">
        <f>E76-0.5</f>
        <v>7506.53</v>
      </c>
      <c r="G76" s="17">
        <v>0.05</v>
      </c>
      <c r="H76" s="27">
        <f t="shared" si="9"/>
        <v>375.32650000000001</v>
      </c>
    </row>
    <row r="77" spans="3:9" ht="15" x14ac:dyDescent="0.35">
      <c r="C77" s="15">
        <f>C57</f>
        <v>152806</v>
      </c>
      <c r="E77" s="28">
        <f>477.52+43.5</f>
        <v>521.02</v>
      </c>
      <c r="F77" s="28">
        <f t="shared" si="10"/>
        <v>521.02</v>
      </c>
      <c r="G77" s="17">
        <v>0.05</v>
      </c>
      <c r="H77" s="27">
        <f t="shared" si="9"/>
        <v>26.051000000000002</v>
      </c>
    </row>
    <row r="78" spans="3:9" x14ac:dyDescent="0.2">
      <c r="E78" s="15">
        <f>SUM(E63:E77)</f>
        <v>172788.78</v>
      </c>
      <c r="F78" s="15">
        <f>SUM(F63:F77)</f>
        <v>-266419.72000000003</v>
      </c>
      <c r="H78" s="15">
        <f>SUM(H63:H77)</f>
        <v>-13320.986000000004</v>
      </c>
    </row>
    <row r="79" spans="3:9" x14ac:dyDescent="0.2">
      <c r="E79" s="15"/>
      <c r="F79" s="15"/>
      <c r="H79" s="15">
        <f>H78-L13</f>
        <v>2681.403999999995</v>
      </c>
      <c r="I79" t="s">
        <v>37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1 of 15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CB19-AC49-44EF-B33E-07560EA379D4}">
  <dimension ref="A1:P51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5" t="s">
        <v>56</v>
      </c>
    </row>
    <row r="6" spans="1:16" x14ac:dyDescent="0.2">
      <c r="A6" s="6" t="s">
        <v>57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595287</v>
      </c>
    </row>
    <row r="10" spans="1:16" x14ac:dyDescent="0.2">
      <c r="A10" s="14">
        <v>44264</v>
      </c>
      <c r="C10" s="15">
        <v>3077193</v>
      </c>
      <c r="D10" s="16">
        <v>3052</v>
      </c>
      <c r="E10" s="11">
        <f>7325</f>
        <v>7325</v>
      </c>
      <c r="F10" s="11">
        <f>14650</f>
        <v>14650</v>
      </c>
      <c r="G10" s="15">
        <f t="shared" ref="G10:G15" si="0">E10-D10</f>
        <v>4273</v>
      </c>
      <c r="H10" s="15">
        <f t="shared" ref="H10:H15" si="1">F10-D10</f>
        <v>11598</v>
      </c>
      <c r="I10" s="17">
        <v>0.21</v>
      </c>
      <c r="J10" s="17">
        <v>0.05</v>
      </c>
      <c r="K10" s="15">
        <f t="shared" ref="K10:K15" si="2">G10*I10-L10*I10</f>
        <v>775.55099999999993</v>
      </c>
      <c r="L10" s="15">
        <f t="shared" ref="L10:L15" si="3">H10*J10</f>
        <v>579.9</v>
      </c>
      <c r="M10" s="15">
        <f t="shared" ref="M10:M13" si="4">M9+K10+L10</f>
        <v>596642.451</v>
      </c>
      <c r="N10" s="15">
        <v>0</v>
      </c>
      <c r="O10" s="13"/>
      <c r="P10" s="19"/>
    </row>
    <row r="11" spans="1:16" x14ac:dyDescent="0.2">
      <c r="A11" s="14">
        <v>44287</v>
      </c>
      <c r="C11" s="15">
        <v>3077193</v>
      </c>
      <c r="D11" s="16">
        <v>3052</v>
      </c>
      <c r="E11" s="11">
        <f>7325</f>
        <v>7325</v>
      </c>
      <c r="F11" s="11">
        <f>14650</f>
        <v>14650</v>
      </c>
      <c r="G11" s="15">
        <f t="shared" si="0"/>
        <v>4273</v>
      </c>
      <c r="H11" s="15">
        <f t="shared" si="1"/>
        <v>11598</v>
      </c>
      <c r="I11" s="17">
        <v>0.21</v>
      </c>
      <c r="J11" s="17">
        <v>0.05</v>
      </c>
      <c r="K11" s="15">
        <f t="shared" si="2"/>
        <v>775.55099999999993</v>
      </c>
      <c r="L11" s="15">
        <f t="shared" si="3"/>
        <v>579.9</v>
      </c>
      <c r="M11" s="15">
        <f t="shared" si="4"/>
        <v>597997.902</v>
      </c>
      <c r="N11" s="15">
        <v>0</v>
      </c>
      <c r="O11" s="13"/>
      <c r="P11" s="19"/>
    </row>
    <row r="12" spans="1:16" x14ac:dyDescent="0.2">
      <c r="A12" s="14">
        <v>44317</v>
      </c>
      <c r="C12" s="15">
        <v>3077193</v>
      </c>
      <c r="D12" s="16">
        <v>3052</v>
      </c>
      <c r="E12" s="11">
        <f>7325+2</f>
        <v>7327</v>
      </c>
      <c r="F12" s="11">
        <f>14650</f>
        <v>14650</v>
      </c>
      <c r="G12" s="15">
        <f t="shared" si="0"/>
        <v>4275</v>
      </c>
      <c r="H12" s="15">
        <f t="shared" si="1"/>
        <v>11598</v>
      </c>
      <c r="I12" s="17">
        <v>0.21</v>
      </c>
      <c r="J12" s="17">
        <v>0.05</v>
      </c>
      <c r="K12" s="15">
        <f t="shared" si="2"/>
        <v>775.971</v>
      </c>
      <c r="L12" s="15">
        <f t="shared" si="3"/>
        <v>579.9</v>
      </c>
      <c r="M12" s="15">
        <f t="shared" si="4"/>
        <v>599353.77300000004</v>
      </c>
      <c r="N12" s="15">
        <v>0</v>
      </c>
      <c r="O12" s="12"/>
      <c r="P12" s="19"/>
    </row>
    <row r="13" spans="1:16" x14ac:dyDescent="0.2">
      <c r="A13" s="14">
        <v>44348</v>
      </c>
      <c r="C13" s="15">
        <v>3077193</v>
      </c>
      <c r="D13" s="16">
        <v>3052</v>
      </c>
      <c r="E13" s="11">
        <f>7325</f>
        <v>7325</v>
      </c>
      <c r="F13" s="11">
        <f>14650</f>
        <v>14650</v>
      </c>
      <c r="G13" s="15">
        <f t="shared" si="0"/>
        <v>4273</v>
      </c>
      <c r="H13" s="15">
        <f t="shared" si="1"/>
        <v>11598</v>
      </c>
      <c r="I13" s="17">
        <v>0.21</v>
      </c>
      <c r="J13" s="17">
        <v>0.05</v>
      </c>
      <c r="K13" s="15">
        <f t="shared" si="2"/>
        <v>775.55099999999993</v>
      </c>
      <c r="L13" s="15">
        <f t="shared" si="3"/>
        <v>579.9</v>
      </c>
      <c r="M13" s="15">
        <f t="shared" si="4"/>
        <v>600709.22400000005</v>
      </c>
      <c r="N13" s="15">
        <v>0</v>
      </c>
      <c r="O13" s="12"/>
      <c r="P13" s="19"/>
    </row>
    <row r="14" spans="1:16" x14ac:dyDescent="0.2">
      <c r="A14" s="14">
        <v>44378</v>
      </c>
      <c r="C14" s="15"/>
      <c r="D14" s="16"/>
      <c r="E14" s="11"/>
      <c r="F14" s="11"/>
      <c r="G14" s="15">
        <f t="shared" si="0"/>
        <v>0</v>
      </c>
      <c r="H14" s="15">
        <f t="shared" si="1"/>
        <v>0</v>
      </c>
      <c r="I14" s="17">
        <v>0.21</v>
      </c>
      <c r="J14" s="17">
        <v>0.05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O14" s="15"/>
      <c r="P14" s="19"/>
    </row>
    <row r="15" spans="1:16" x14ac:dyDescent="0.2">
      <c r="A15" s="14">
        <v>44409</v>
      </c>
      <c r="C15" s="15"/>
      <c r="D15" s="16"/>
      <c r="E15" s="16"/>
      <c r="F15" s="16"/>
      <c r="G15" s="15">
        <f t="shared" si="0"/>
        <v>0</v>
      </c>
      <c r="H15" s="15">
        <f t="shared" si="1"/>
        <v>0</v>
      </c>
      <c r="I15" s="17">
        <v>0.21</v>
      </c>
      <c r="J15" s="17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P15" s="19"/>
    </row>
    <row r="16" spans="1:16" x14ac:dyDescent="0.2">
      <c r="A16" s="14">
        <v>44448</v>
      </c>
      <c r="C16" s="15"/>
      <c r="D16" s="15"/>
      <c r="E16" s="15"/>
      <c r="F16" s="15"/>
      <c r="G16" s="15">
        <f t="shared" ref="G16:G33" si="5">E16-D16</f>
        <v>0</v>
      </c>
      <c r="H16" s="15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</row>
    <row r="17" spans="1:14" x14ac:dyDescent="0.2">
      <c r="A17" s="14">
        <v>44470</v>
      </c>
      <c r="C17" s="15"/>
      <c r="D17" s="15"/>
      <c r="E17" s="15"/>
      <c r="F17" s="15"/>
      <c r="G17" s="15">
        <f t="shared" si="5"/>
        <v>0</v>
      </c>
      <c r="H17" s="15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</row>
    <row r="18" spans="1:14" x14ac:dyDescent="0.2">
      <c r="A18" s="14">
        <v>44501</v>
      </c>
      <c r="C18" s="15"/>
      <c r="D18" s="15"/>
      <c r="E18" s="15"/>
      <c r="F18" s="15"/>
      <c r="G18" s="15">
        <f t="shared" si="5"/>
        <v>0</v>
      </c>
      <c r="H18" s="15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</row>
    <row r="19" spans="1:14" x14ac:dyDescent="0.2">
      <c r="A19" s="14">
        <v>44531</v>
      </c>
      <c r="G19" s="15">
        <f t="shared" si="5"/>
        <v>0</v>
      </c>
      <c r="H19" s="15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4" x14ac:dyDescent="0.2">
      <c r="A20" s="14">
        <v>44562</v>
      </c>
      <c r="G20" s="15">
        <f t="shared" si="5"/>
        <v>0</v>
      </c>
      <c r="H20" s="15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4" x14ac:dyDescent="0.2">
      <c r="A21" s="14">
        <v>44593</v>
      </c>
      <c r="G21" s="15">
        <f t="shared" si="5"/>
        <v>0</v>
      </c>
      <c r="H21" s="15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4" x14ac:dyDescent="0.2">
      <c r="A22" s="14">
        <v>44629</v>
      </c>
      <c r="G22" s="15">
        <f t="shared" si="5"/>
        <v>0</v>
      </c>
      <c r="H22" s="15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4" x14ac:dyDescent="0.2">
      <c r="A23" s="14">
        <v>44652</v>
      </c>
      <c r="G23" s="15">
        <f t="shared" si="5"/>
        <v>0</v>
      </c>
      <c r="H23" s="15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4" x14ac:dyDescent="0.2">
      <c r="A24" s="14">
        <v>44682</v>
      </c>
      <c r="G24" s="15">
        <f t="shared" si="5"/>
        <v>0</v>
      </c>
      <c r="H24" s="15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4" x14ac:dyDescent="0.2">
      <c r="A25" s="14">
        <v>44713</v>
      </c>
      <c r="G25" s="15">
        <f t="shared" si="5"/>
        <v>0</v>
      </c>
      <c r="H25" s="15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4" x14ac:dyDescent="0.2">
      <c r="A26" s="14">
        <v>44743</v>
      </c>
      <c r="G26" s="15">
        <f t="shared" si="5"/>
        <v>0</v>
      </c>
      <c r="H26" s="15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4" x14ac:dyDescent="0.2">
      <c r="A27" s="14">
        <v>44774</v>
      </c>
      <c r="G27" s="15">
        <f t="shared" si="5"/>
        <v>0</v>
      </c>
      <c r="H27" s="15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4" x14ac:dyDescent="0.2">
      <c r="A28" s="14">
        <v>44813</v>
      </c>
      <c r="G28" s="15">
        <f t="shared" si="5"/>
        <v>0</v>
      </c>
      <c r="H28" s="15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4" x14ac:dyDescent="0.2">
      <c r="A29" s="14">
        <v>44835</v>
      </c>
      <c r="G29" s="15">
        <f t="shared" si="5"/>
        <v>0</v>
      </c>
      <c r="H29" s="15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4" x14ac:dyDescent="0.2">
      <c r="A30" s="14">
        <v>44866</v>
      </c>
      <c r="G30" s="15">
        <f t="shared" si="5"/>
        <v>0</v>
      </c>
      <c r="H30" s="15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4" x14ac:dyDescent="0.2">
      <c r="A31" s="14">
        <v>44896</v>
      </c>
      <c r="G31" s="15">
        <f t="shared" si="5"/>
        <v>0</v>
      </c>
      <c r="H31" s="15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4" x14ac:dyDescent="0.2">
      <c r="A32" s="14">
        <v>44927</v>
      </c>
      <c r="G32" s="15">
        <f t="shared" si="5"/>
        <v>0</v>
      </c>
      <c r="H32" s="15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5"/>
        <v>0</v>
      </c>
      <c r="H33" s="15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3" t="s">
        <v>58</v>
      </c>
    </row>
    <row r="36" spans="1:14" x14ac:dyDescent="0.2">
      <c r="C36" s="23" t="s">
        <v>22</v>
      </c>
    </row>
    <row r="37" spans="1:14" x14ac:dyDescent="0.2">
      <c r="C37" s="23" t="s">
        <v>23</v>
      </c>
    </row>
    <row r="38" spans="1:14" x14ac:dyDescent="0.2">
      <c r="C38" s="15" t="s">
        <v>24</v>
      </c>
    </row>
    <row r="40" spans="1:14" x14ac:dyDescent="0.2">
      <c r="C40" s="15" t="s">
        <v>25</v>
      </c>
      <c r="D40" s="25" t="s">
        <v>26</v>
      </c>
      <c r="E40" s="24" t="s">
        <v>27</v>
      </c>
      <c r="F40" s="15" t="s">
        <v>28</v>
      </c>
      <c r="G40" s="17" t="s">
        <v>12</v>
      </c>
      <c r="H40" s="15" t="s">
        <v>29</v>
      </c>
    </row>
    <row r="41" spans="1:14" x14ac:dyDescent="0.2">
      <c r="C41" s="15">
        <v>1386019</v>
      </c>
      <c r="D41" s="15">
        <v>3052</v>
      </c>
      <c r="E41" s="15">
        <v>6598.6</v>
      </c>
      <c r="F41" s="15">
        <f>E41-D41</f>
        <v>3546.6000000000004</v>
      </c>
      <c r="G41" s="17">
        <v>0.21</v>
      </c>
      <c r="H41" s="15">
        <f>F41*G41</f>
        <v>744.78600000000006</v>
      </c>
    </row>
    <row r="42" spans="1:14" ht="15" x14ac:dyDescent="0.35">
      <c r="C42" s="15">
        <v>152578</v>
      </c>
      <c r="D42" s="15"/>
      <c r="E42" s="28">
        <v>726.4</v>
      </c>
      <c r="F42" s="28">
        <f>E42-D42</f>
        <v>726.4</v>
      </c>
      <c r="G42" s="17">
        <v>0.21</v>
      </c>
      <c r="H42" s="28">
        <f>F42*G42</f>
        <v>152.54399999999998</v>
      </c>
    </row>
    <row r="43" spans="1:14" x14ac:dyDescent="0.2">
      <c r="E43" s="15">
        <f>SUM(E41:E42)</f>
        <v>7325</v>
      </c>
      <c r="F43" s="15">
        <f>SUM(F41:F42)</f>
        <v>4273</v>
      </c>
      <c r="G43" s="29" t="s">
        <v>30</v>
      </c>
      <c r="H43" s="15">
        <f>SUM(H41:H42)</f>
        <v>897.33</v>
      </c>
    </row>
    <row r="44" spans="1:14" ht="15" x14ac:dyDescent="0.35">
      <c r="G44" s="29" t="s">
        <v>31</v>
      </c>
      <c r="H44" s="28">
        <f>-H50*0.21</f>
        <v>-121.77910499999999</v>
      </c>
    </row>
    <row r="45" spans="1:14" x14ac:dyDescent="0.2">
      <c r="H45" s="15">
        <f>H43+H44</f>
        <v>775.55089500000008</v>
      </c>
    </row>
    <row r="46" spans="1:14" x14ac:dyDescent="0.2">
      <c r="H46" s="15">
        <f>H45-K13</f>
        <v>-1.0499999984858732E-4</v>
      </c>
    </row>
    <row r="47" spans="1:14" x14ac:dyDescent="0.2">
      <c r="C47" s="15" t="s">
        <v>33</v>
      </c>
      <c r="D47" s="22" t="s">
        <v>26</v>
      </c>
      <c r="E47" s="24" t="s">
        <v>34</v>
      </c>
      <c r="F47" s="15" t="s">
        <v>35</v>
      </c>
      <c r="G47" s="17" t="s">
        <v>13</v>
      </c>
      <c r="H47" s="15" t="s">
        <v>36</v>
      </c>
    </row>
    <row r="48" spans="1:14" x14ac:dyDescent="0.2">
      <c r="C48" s="15">
        <v>2772037</v>
      </c>
      <c r="D48" s="15">
        <f>D41</f>
        <v>3052</v>
      </c>
      <c r="E48" s="15">
        <v>13197.21</v>
      </c>
      <c r="F48" s="15">
        <f>E48-D48</f>
        <v>10145.209999999999</v>
      </c>
      <c r="G48" s="17">
        <v>0.05</v>
      </c>
      <c r="H48" s="15">
        <f>F48*G48</f>
        <v>507.26049999999998</v>
      </c>
    </row>
    <row r="49" spans="3:8" ht="15" x14ac:dyDescent="0.35">
      <c r="C49" s="15">
        <v>305156</v>
      </c>
      <c r="E49" s="28">
        <v>1452.8</v>
      </c>
      <c r="F49" s="28">
        <f>E49-D49</f>
        <v>1452.8</v>
      </c>
      <c r="G49" s="17">
        <v>0.05</v>
      </c>
      <c r="H49" s="28">
        <f>F49*G49</f>
        <v>72.64</v>
      </c>
    </row>
    <row r="50" spans="3:8" x14ac:dyDescent="0.2">
      <c r="E50" s="15">
        <f>SUM(E48:E49)</f>
        <v>14650.009999999998</v>
      </c>
      <c r="F50" s="15">
        <f>SUM(F48:F49)</f>
        <v>11598.009999999998</v>
      </c>
      <c r="H50" s="15">
        <f>SUM(H48:H49)</f>
        <v>579.90049999999997</v>
      </c>
    </row>
    <row r="51" spans="3:8" x14ac:dyDescent="0.2">
      <c r="H51" s="15">
        <f>H50-L13</f>
        <v>4.9999999998817657E-4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10 of 15
Clements</oddHeader>
    <oddFooter>&amp;L_x000D_&amp;1#&amp;"Calibri"&amp;14&amp;K000000 Business Use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C6ADD-545D-4701-B61B-4DF118773CC3}">
  <dimension ref="A1:P57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5" t="s">
        <v>56</v>
      </c>
    </row>
    <row r="6" spans="1:16" x14ac:dyDescent="0.2">
      <c r="A6" s="6" t="s">
        <v>59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530429</v>
      </c>
    </row>
    <row r="10" spans="1:16" x14ac:dyDescent="0.2">
      <c r="A10" s="14">
        <v>44264</v>
      </c>
      <c r="C10" s="15">
        <v>4236945</v>
      </c>
      <c r="D10" s="16">
        <v>10752</v>
      </c>
      <c r="E10" s="11">
        <f>23522.82+2.64</f>
        <v>23525.46</v>
      </c>
      <c r="F10" s="11">
        <f>42184.25</f>
        <v>42184.25</v>
      </c>
      <c r="G10" s="15">
        <f t="shared" ref="G10:G15" si="0">E10-D10</f>
        <v>12773.46</v>
      </c>
      <c r="H10" s="15">
        <f t="shared" ref="H10:H15" si="1">F10-D10</f>
        <v>31432.25</v>
      </c>
      <c r="I10" s="17">
        <v>0.21</v>
      </c>
      <c r="J10" s="17">
        <v>0.05</v>
      </c>
      <c r="K10" s="15">
        <f t="shared" ref="K10:K15" si="2">G10*I10-L10*I10</f>
        <v>2352.3879749999996</v>
      </c>
      <c r="L10" s="15">
        <f t="shared" ref="L10:L15" si="3">H10*J10</f>
        <v>1571.6125000000002</v>
      </c>
      <c r="M10" s="15">
        <f t="shared" ref="M10:M13" si="4">M9+K10+L10</f>
        <v>534353.00047500001</v>
      </c>
      <c r="N10" s="15">
        <v>0</v>
      </c>
      <c r="O10" s="13"/>
      <c r="P10" s="19"/>
    </row>
    <row r="11" spans="1:16" x14ac:dyDescent="0.2">
      <c r="A11" s="14">
        <v>44287</v>
      </c>
      <c r="C11" s="15">
        <v>4236945</v>
      </c>
      <c r="D11" s="16">
        <v>10752</v>
      </c>
      <c r="E11" s="11">
        <f>23522.82</f>
        <v>23522.82</v>
      </c>
      <c r="F11" s="11">
        <f>42184.25</f>
        <v>42184.25</v>
      </c>
      <c r="G11" s="15">
        <f t="shared" si="0"/>
        <v>12770.82</v>
      </c>
      <c r="H11" s="15">
        <f t="shared" si="1"/>
        <v>31432.25</v>
      </c>
      <c r="I11" s="17">
        <v>0.21</v>
      </c>
      <c r="J11" s="17">
        <v>0.05</v>
      </c>
      <c r="K11" s="15">
        <f t="shared" si="2"/>
        <v>2351.8335749999997</v>
      </c>
      <c r="L11" s="15">
        <f t="shared" si="3"/>
        <v>1571.6125000000002</v>
      </c>
      <c r="M11" s="15">
        <f t="shared" si="4"/>
        <v>538276.44655000011</v>
      </c>
      <c r="N11" s="15">
        <v>0</v>
      </c>
      <c r="O11" s="13"/>
      <c r="P11" s="19"/>
    </row>
    <row r="12" spans="1:16" x14ac:dyDescent="0.2">
      <c r="A12" s="14">
        <v>44317</v>
      </c>
      <c r="C12" s="15">
        <v>4236945</v>
      </c>
      <c r="D12" s="16">
        <v>10752</v>
      </c>
      <c r="E12" s="11">
        <f>23522.82</f>
        <v>23522.82</v>
      </c>
      <c r="F12" s="11">
        <f>42184.25</f>
        <v>42184.25</v>
      </c>
      <c r="G12" s="15">
        <f t="shared" si="0"/>
        <v>12770.82</v>
      </c>
      <c r="H12" s="15">
        <f t="shared" si="1"/>
        <v>31432.25</v>
      </c>
      <c r="I12" s="17">
        <v>0.21</v>
      </c>
      <c r="J12" s="17">
        <v>0.05</v>
      </c>
      <c r="K12" s="15">
        <f t="shared" si="2"/>
        <v>2351.8335749999997</v>
      </c>
      <c r="L12" s="15">
        <f t="shared" si="3"/>
        <v>1571.6125000000002</v>
      </c>
      <c r="M12" s="15">
        <f t="shared" si="4"/>
        <v>542199.89262500021</v>
      </c>
      <c r="N12" s="15">
        <v>0</v>
      </c>
      <c r="O12" s="12"/>
      <c r="P12" s="19"/>
    </row>
    <row r="13" spans="1:16" x14ac:dyDescent="0.2">
      <c r="A13" s="14">
        <v>44348</v>
      </c>
      <c r="C13" s="15">
        <v>4236945</v>
      </c>
      <c r="D13" s="16">
        <v>10752</v>
      </c>
      <c r="E13" s="11">
        <f>23522.82</f>
        <v>23522.82</v>
      </c>
      <c r="F13" s="11">
        <f>42184.25</f>
        <v>42184.25</v>
      </c>
      <c r="G13" s="15">
        <f t="shared" si="0"/>
        <v>12770.82</v>
      </c>
      <c r="H13" s="15">
        <f t="shared" si="1"/>
        <v>31432.25</v>
      </c>
      <c r="I13" s="17">
        <v>0.21</v>
      </c>
      <c r="J13" s="17">
        <v>0.05</v>
      </c>
      <c r="K13" s="15">
        <f t="shared" si="2"/>
        <v>2351.8335749999997</v>
      </c>
      <c r="L13" s="15">
        <f t="shared" si="3"/>
        <v>1571.6125000000002</v>
      </c>
      <c r="M13" s="15">
        <f t="shared" si="4"/>
        <v>546123.33870000031</v>
      </c>
      <c r="N13" s="15">
        <v>0</v>
      </c>
      <c r="O13" s="12"/>
      <c r="P13" s="19"/>
    </row>
    <row r="14" spans="1:16" x14ac:dyDescent="0.2">
      <c r="A14" s="14">
        <v>44378</v>
      </c>
      <c r="C14" s="15"/>
      <c r="D14" s="16"/>
      <c r="E14" s="11"/>
      <c r="F14" s="11"/>
      <c r="G14" s="15">
        <f t="shared" si="0"/>
        <v>0</v>
      </c>
      <c r="H14" s="15">
        <f t="shared" si="1"/>
        <v>0</v>
      </c>
      <c r="I14" s="17">
        <v>0.21</v>
      </c>
      <c r="J14" s="17">
        <v>0.05</v>
      </c>
      <c r="K14" s="15">
        <f t="shared" si="2"/>
        <v>0</v>
      </c>
      <c r="L14" s="15">
        <f t="shared" si="3"/>
        <v>0</v>
      </c>
      <c r="M14" s="15">
        <v>0</v>
      </c>
      <c r="N14" s="15">
        <v>0</v>
      </c>
      <c r="O14" s="15"/>
      <c r="P14" s="19"/>
    </row>
    <row r="15" spans="1:16" x14ac:dyDescent="0.2">
      <c r="A15" s="14">
        <v>44409</v>
      </c>
      <c r="C15" s="15"/>
      <c r="D15" s="16"/>
      <c r="E15" s="16"/>
      <c r="F15" s="16"/>
      <c r="G15" s="15">
        <f t="shared" si="0"/>
        <v>0</v>
      </c>
      <c r="H15" s="15">
        <f t="shared" si="1"/>
        <v>0</v>
      </c>
      <c r="I15" s="17">
        <v>0.21</v>
      </c>
      <c r="J15" s="17">
        <v>0.05</v>
      </c>
      <c r="K15" s="15">
        <f t="shared" si="2"/>
        <v>0</v>
      </c>
      <c r="L15" s="15">
        <f t="shared" si="3"/>
        <v>0</v>
      </c>
      <c r="M15" s="15">
        <v>0</v>
      </c>
      <c r="N15" s="15">
        <v>0</v>
      </c>
      <c r="P15" s="19"/>
    </row>
    <row r="16" spans="1:16" x14ac:dyDescent="0.2">
      <c r="A16" s="14">
        <v>44448</v>
      </c>
      <c r="C16" s="15"/>
      <c r="D16" s="16"/>
      <c r="E16" s="16"/>
      <c r="F16" s="16"/>
      <c r="G16" s="15">
        <f t="shared" ref="G16:G33" si="5">E16-D16</f>
        <v>0</v>
      </c>
      <c r="H16" s="15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P16" s="19"/>
    </row>
    <row r="17" spans="1:16" x14ac:dyDescent="0.2">
      <c r="A17" s="14">
        <v>44470</v>
      </c>
      <c r="C17" s="15"/>
      <c r="D17" s="16"/>
      <c r="E17" s="16"/>
      <c r="F17" s="16"/>
      <c r="G17" s="15">
        <f t="shared" si="5"/>
        <v>0</v>
      </c>
      <c r="H17" s="15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P17" s="19"/>
    </row>
    <row r="18" spans="1:16" x14ac:dyDescent="0.2">
      <c r="A18" s="14">
        <v>44501</v>
      </c>
      <c r="C18" s="15"/>
      <c r="D18" s="15"/>
      <c r="E18" s="15"/>
      <c r="F18" s="15"/>
      <c r="G18" s="15">
        <f t="shared" si="5"/>
        <v>0</v>
      </c>
      <c r="H18" s="15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</row>
    <row r="19" spans="1:16" x14ac:dyDescent="0.2">
      <c r="A19" s="14">
        <v>44531</v>
      </c>
      <c r="G19" s="15">
        <f t="shared" si="5"/>
        <v>0</v>
      </c>
      <c r="H19" s="15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4">
        <v>44562</v>
      </c>
      <c r="G20" s="15">
        <f t="shared" si="5"/>
        <v>0</v>
      </c>
      <c r="H20" s="15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4">
        <v>44593</v>
      </c>
      <c r="G21" s="15">
        <f t="shared" si="5"/>
        <v>0</v>
      </c>
      <c r="H21" s="15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4">
        <v>44629</v>
      </c>
      <c r="G22" s="15">
        <f t="shared" si="5"/>
        <v>0</v>
      </c>
      <c r="H22" s="15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4">
        <v>44652</v>
      </c>
      <c r="G23" s="15">
        <f t="shared" si="5"/>
        <v>0</v>
      </c>
      <c r="H23" s="15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4">
        <v>44682</v>
      </c>
      <c r="G24" s="15">
        <f t="shared" si="5"/>
        <v>0</v>
      </c>
      <c r="H24" s="15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4">
        <v>44713</v>
      </c>
      <c r="G25" s="15">
        <f t="shared" si="5"/>
        <v>0</v>
      </c>
      <c r="H25" s="15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4">
        <v>44743</v>
      </c>
      <c r="G26" s="15">
        <f t="shared" si="5"/>
        <v>0</v>
      </c>
      <c r="H26" s="15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4">
        <v>44774</v>
      </c>
      <c r="G27" s="15">
        <f t="shared" si="5"/>
        <v>0</v>
      </c>
      <c r="H27" s="15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4">
        <v>44813</v>
      </c>
      <c r="G28" s="15">
        <f t="shared" si="5"/>
        <v>0</v>
      </c>
      <c r="H28" s="15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4">
        <v>44835</v>
      </c>
      <c r="G29" s="15">
        <f t="shared" si="5"/>
        <v>0</v>
      </c>
      <c r="H29" s="15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4">
        <v>44866</v>
      </c>
      <c r="G30" s="15">
        <f t="shared" si="5"/>
        <v>0</v>
      </c>
      <c r="H30" s="15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4">
        <v>44896</v>
      </c>
      <c r="G31" s="15">
        <f t="shared" si="5"/>
        <v>0</v>
      </c>
      <c r="H31" s="15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4">
        <v>44927</v>
      </c>
      <c r="G32" s="15">
        <f t="shared" si="5"/>
        <v>0</v>
      </c>
      <c r="H32" s="15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5"/>
        <v>0</v>
      </c>
      <c r="H33" s="15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3" t="s">
        <v>60</v>
      </c>
    </row>
    <row r="36" spans="1:14" x14ac:dyDescent="0.2">
      <c r="C36" s="23" t="s">
        <v>61</v>
      </c>
    </row>
    <row r="37" spans="1:14" x14ac:dyDescent="0.2">
      <c r="C37" s="23" t="s">
        <v>62</v>
      </c>
    </row>
    <row r="38" spans="1:14" x14ac:dyDescent="0.2">
      <c r="C38" s="15" t="s">
        <v>24</v>
      </c>
    </row>
    <row r="40" spans="1:14" x14ac:dyDescent="0.2">
      <c r="C40" s="15" t="s">
        <v>25</v>
      </c>
      <c r="D40" s="25" t="s">
        <v>26</v>
      </c>
      <c r="E40" s="24" t="s">
        <v>27</v>
      </c>
      <c r="F40" s="15" t="s">
        <v>28</v>
      </c>
      <c r="G40" s="17" t="s">
        <v>12</v>
      </c>
      <c r="H40" s="15" t="s">
        <v>29</v>
      </c>
    </row>
    <row r="41" spans="1:14" x14ac:dyDescent="0.2">
      <c r="C41" s="15">
        <v>724052</v>
      </c>
      <c r="D41" s="15">
        <v>10752</v>
      </c>
      <c r="E41" s="15">
        <v>3727.06</v>
      </c>
      <c r="F41" s="15">
        <f>E41-D41</f>
        <v>-7024.9400000000005</v>
      </c>
      <c r="G41" s="17">
        <v>0.21</v>
      </c>
      <c r="H41" s="15">
        <f>F41*G41</f>
        <v>-1475.2374</v>
      </c>
    </row>
    <row r="42" spans="1:14" x14ac:dyDescent="0.2">
      <c r="C42" s="15">
        <v>314156</v>
      </c>
      <c r="D42" s="15"/>
      <c r="E42" s="15">
        <v>5235.93</v>
      </c>
      <c r="F42" s="15">
        <f>E42</f>
        <v>5235.93</v>
      </c>
      <c r="G42" s="17">
        <v>0.21</v>
      </c>
      <c r="H42" s="15">
        <f t="shared" ref="H42:H44" si="9">F42*G42</f>
        <v>1099.5453</v>
      </c>
    </row>
    <row r="43" spans="1:14" x14ac:dyDescent="0.2">
      <c r="C43" s="15">
        <v>771922</v>
      </c>
      <c r="D43" s="15"/>
      <c r="E43" s="15">
        <v>9189.5499999999993</v>
      </c>
      <c r="F43" s="15">
        <f>E43</f>
        <v>9189.5499999999993</v>
      </c>
      <c r="G43" s="17">
        <v>0.21</v>
      </c>
      <c r="H43" s="15">
        <f t="shared" si="9"/>
        <v>1929.8054999999997</v>
      </c>
    </row>
    <row r="44" spans="1:14" x14ac:dyDescent="0.2">
      <c r="C44" s="15">
        <v>228999</v>
      </c>
      <c r="D44" s="15"/>
      <c r="E44" s="15">
        <v>1178.77</v>
      </c>
      <c r="F44" s="15">
        <f>E44</f>
        <v>1178.77</v>
      </c>
      <c r="G44" s="17">
        <v>0.21</v>
      </c>
      <c r="H44" s="15">
        <f t="shared" si="9"/>
        <v>247.54169999999999</v>
      </c>
    </row>
    <row r="45" spans="1:14" ht="15" x14ac:dyDescent="0.35">
      <c r="C45" s="15">
        <v>343498</v>
      </c>
      <c r="D45" s="26"/>
      <c r="E45" s="28">
        <f>357.93+3833.59</f>
        <v>4191.5200000000004</v>
      </c>
      <c r="F45" s="28">
        <f>E45</f>
        <v>4191.5200000000004</v>
      </c>
      <c r="G45" s="39">
        <v>0.21</v>
      </c>
      <c r="H45" s="28">
        <f>F45*G45</f>
        <v>880.21920000000011</v>
      </c>
    </row>
    <row r="46" spans="1:14" x14ac:dyDescent="0.2">
      <c r="E46" s="19">
        <f>SUM(E41:E45)</f>
        <v>23522.83</v>
      </c>
      <c r="F46" s="19">
        <f>SUM(F41:F45)</f>
        <v>12770.83</v>
      </c>
      <c r="G46" s="29" t="s">
        <v>30</v>
      </c>
      <c r="H46" s="19">
        <f>SUM(H41:H45)</f>
        <v>2681.8742999999999</v>
      </c>
    </row>
    <row r="47" spans="1:14" ht="15" x14ac:dyDescent="0.35">
      <c r="G47" s="29" t="s">
        <v>31</v>
      </c>
      <c r="H47" s="28">
        <f>-H56*0.21</f>
        <v>-330.03862500000002</v>
      </c>
    </row>
    <row r="48" spans="1:14" x14ac:dyDescent="0.2">
      <c r="H48" s="15">
        <f>H46+H47</f>
        <v>2351.8356749999998</v>
      </c>
    </row>
    <row r="49" spans="3:8" x14ac:dyDescent="0.2">
      <c r="H49" s="15">
        <f>H48-K13</f>
        <v>2.1000000001549779E-3</v>
      </c>
    </row>
    <row r="50" spans="3:8" x14ac:dyDescent="0.2">
      <c r="C50" s="15" t="s">
        <v>33</v>
      </c>
      <c r="D50" s="22" t="s">
        <v>26</v>
      </c>
      <c r="E50" s="24" t="s">
        <v>34</v>
      </c>
      <c r="F50" s="15" t="s">
        <v>35</v>
      </c>
      <c r="G50" s="17" t="s">
        <v>13</v>
      </c>
      <c r="H50" s="15" t="s">
        <v>36</v>
      </c>
    </row>
    <row r="51" spans="3:8" x14ac:dyDescent="0.2">
      <c r="C51" s="15">
        <v>1276565</v>
      </c>
      <c r="D51" s="15">
        <f>D41</f>
        <v>10752</v>
      </c>
      <c r="E51" s="15">
        <v>6571.12</v>
      </c>
      <c r="F51" s="15">
        <f>E51-D51</f>
        <v>-4180.88</v>
      </c>
      <c r="G51" s="17">
        <v>0.05</v>
      </c>
      <c r="H51" s="15">
        <f>F51*G51</f>
        <v>-209.04400000000001</v>
      </c>
    </row>
    <row r="52" spans="3:8" x14ac:dyDescent="0.2">
      <c r="C52" s="15">
        <v>628311</v>
      </c>
      <c r="D52" s="15"/>
      <c r="E52" s="15">
        <v>10471.85</v>
      </c>
      <c r="F52" s="15">
        <f>E52</f>
        <v>10471.85</v>
      </c>
      <c r="G52" s="17">
        <v>0.05</v>
      </c>
      <c r="H52" s="15">
        <f t="shared" ref="H52:H55" si="10">F52*G52</f>
        <v>523.59250000000009</v>
      </c>
    </row>
    <row r="53" spans="3:8" x14ac:dyDescent="0.2">
      <c r="C53" s="15">
        <v>1286537</v>
      </c>
      <c r="D53" s="15"/>
      <c r="E53" s="26">
        <v>15315.91</v>
      </c>
      <c r="F53" s="26">
        <f t="shared" ref="F53:F55" si="11">E53</f>
        <v>15315.91</v>
      </c>
      <c r="G53" s="39">
        <v>0.05</v>
      </c>
      <c r="H53" s="15">
        <f t="shared" si="10"/>
        <v>765.79550000000006</v>
      </c>
    </row>
    <row r="54" spans="3:8" x14ac:dyDescent="0.2">
      <c r="C54" s="15">
        <v>418213</v>
      </c>
      <c r="D54" s="15"/>
      <c r="E54" s="26">
        <v>2152.75</v>
      </c>
      <c r="F54" s="26">
        <f t="shared" si="11"/>
        <v>2152.75</v>
      </c>
      <c r="G54" s="39">
        <v>0.05</v>
      </c>
      <c r="H54" s="15">
        <f t="shared" si="10"/>
        <v>107.6375</v>
      </c>
    </row>
    <row r="55" spans="3:8" ht="15" x14ac:dyDescent="0.35">
      <c r="C55" s="15">
        <v>627319</v>
      </c>
      <c r="D55" s="15"/>
      <c r="E55" s="28">
        <f>715.86+6956.76</f>
        <v>7672.62</v>
      </c>
      <c r="F55" s="28">
        <f t="shared" si="11"/>
        <v>7672.62</v>
      </c>
      <c r="G55" s="39">
        <v>0.05</v>
      </c>
      <c r="H55" s="28">
        <f t="shared" si="10"/>
        <v>383.63100000000003</v>
      </c>
    </row>
    <row r="56" spans="3:8" x14ac:dyDescent="0.2">
      <c r="E56" s="15">
        <f>SUM(E51:E55)</f>
        <v>42184.250000000007</v>
      </c>
      <c r="F56" s="15">
        <f>SUM(F51:F55)</f>
        <v>31432.25</v>
      </c>
      <c r="H56" s="15">
        <f>SUM(H51:H55)</f>
        <v>1571.6125000000002</v>
      </c>
    </row>
    <row r="57" spans="3:8" x14ac:dyDescent="0.2">
      <c r="H57" s="15">
        <f>H56-L13</f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11 of 15
Clements</oddHeader>
    <oddFooter>&amp;L_x000D_&amp;1#&amp;"Calibri"&amp;14&amp;K000000 Business Use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B480-BB81-4DD5-AA2D-4CB6CCBDA219}">
  <dimension ref="A1:Q33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2">
      <c r="A5" s="5" t="s">
        <v>56</v>
      </c>
    </row>
    <row r="6" spans="1:17" x14ac:dyDescent="0.2">
      <c r="A6" s="6" t="s">
        <v>63</v>
      </c>
    </row>
    <row r="7" spans="1:17" x14ac:dyDescent="0.2">
      <c r="Q7" t="s">
        <v>19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1145932</v>
      </c>
    </row>
    <row r="10" spans="1:17" x14ac:dyDescent="0.2">
      <c r="A10" s="14">
        <v>44264</v>
      </c>
      <c r="C10" s="15">
        <v>161290341</v>
      </c>
      <c r="D10" s="16">
        <v>576672</v>
      </c>
      <c r="E10" s="11">
        <f>1216667.37-5506.39</f>
        <v>1211160.9800000002</v>
      </c>
      <c r="F10" s="11">
        <f>1216667.37-5506.39</f>
        <v>1211160.9800000002</v>
      </c>
      <c r="G10" s="15">
        <f>E10-D10</f>
        <v>634488.98000000021</v>
      </c>
      <c r="H10" s="15">
        <f>F10-D10</f>
        <v>634488.98000000021</v>
      </c>
      <c r="I10" s="17">
        <v>0.21</v>
      </c>
      <c r="J10" s="17">
        <v>0.05</v>
      </c>
      <c r="K10" s="15">
        <f>G10*I10-L10*I10</f>
        <v>126580.55151000003</v>
      </c>
      <c r="L10" s="15">
        <f>H10*J10</f>
        <v>31724.449000000011</v>
      </c>
      <c r="M10" s="15">
        <f t="shared" ref="M10:M33" si="0">M9+K10+L10</f>
        <v>1304237.0005100002</v>
      </c>
      <c r="N10" s="15">
        <v>0</v>
      </c>
    </row>
    <row r="11" spans="1:17" x14ac:dyDescent="0.2">
      <c r="A11" s="14">
        <v>44287</v>
      </c>
      <c r="C11" s="15">
        <v>161290341</v>
      </c>
      <c r="D11" s="16">
        <v>582789</v>
      </c>
      <c r="E11" s="11">
        <f>1216667.37+614.61</f>
        <v>1217281.9800000002</v>
      </c>
      <c r="F11" s="11">
        <f>1216667.37+614.61</f>
        <v>1217281.9800000002</v>
      </c>
      <c r="G11" s="15">
        <f t="shared" ref="G11:G13" si="1">E11-D11</f>
        <v>634492.98000000021</v>
      </c>
      <c r="H11" s="15">
        <f t="shared" ref="H11:H13" si="2">F11-D11</f>
        <v>634492.98000000021</v>
      </c>
      <c r="I11" s="17">
        <v>0.21</v>
      </c>
      <c r="J11" s="17">
        <v>0.05</v>
      </c>
      <c r="K11" s="15">
        <f t="shared" ref="K11:K13" si="3">G11*I11-L11*I11</f>
        <v>126581.34951000003</v>
      </c>
      <c r="L11" s="15">
        <f t="shared" ref="L11:L13" si="4">H11*J11</f>
        <v>31724.649000000012</v>
      </c>
      <c r="M11" s="15">
        <f t="shared" si="0"/>
        <v>1462542.9990200002</v>
      </c>
      <c r="N11" s="15">
        <v>0</v>
      </c>
      <c r="O11" s="15"/>
    </row>
    <row r="12" spans="1:17" x14ac:dyDescent="0.2">
      <c r="A12" s="14">
        <v>44317</v>
      </c>
      <c r="C12" s="15">
        <v>161290341</v>
      </c>
      <c r="D12" s="16">
        <v>582789</v>
      </c>
      <c r="E12" s="11">
        <f t="shared" ref="E12:F14" si="5">1216667.37+610.61</f>
        <v>1217277.9800000002</v>
      </c>
      <c r="F12" s="11">
        <f t="shared" si="5"/>
        <v>1217277.9800000002</v>
      </c>
      <c r="G12" s="15">
        <f t="shared" si="1"/>
        <v>634488.98000000021</v>
      </c>
      <c r="H12" s="15">
        <f t="shared" si="2"/>
        <v>634488.98000000021</v>
      </c>
      <c r="I12" s="17">
        <v>0.21</v>
      </c>
      <c r="J12" s="17">
        <v>0.05</v>
      </c>
      <c r="K12" s="15">
        <f t="shared" si="3"/>
        <v>126580.55151000003</v>
      </c>
      <c r="L12" s="15">
        <f t="shared" si="4"/>
        <v>31724.449000000011</v>
      </c>
      <c r="M12" s="15">
        <f t="shared" si="0"/>
        <v>1620847.9995300004</v>
      </c>
      <c r="N12" s="15">
        <v>0</v>
      </c>
      <c r="O12" s="13"/>
    </row>
    <row r="13" spans="1:17" x14ac:dyDescent="0.2">
      <c r="A13" s="14">
        <v>44348</v>
      </c>
      <c r="C13" s="15">
        <v>161290341</v>
      </c>
      <c r="D13" s="16">
        <v>582789</v>
      </c>
      <c r="E13" s="11">
        <f t="shared" si="5"/>
        <v>1217277.9800000002</v>
      </c>
      <c r="F13" s="11">
        <f t="shared" si="5"/>
        <v>1217277.9800000002</v>
      </c>
      <c r="G13" s="15">
        <f t="shared" si="1"/>
        <v>634488.98000000021</v>
      </c>
      <c r="H13" s="15">
        <f t="shared" si="2"/>
        <v>634488.98000000021</v>
      </c>
      <c r="I13" s="17">
        <v>0.21</v>
      </c>
      <c r="J13" s="17">
        <v>0.05</v>
      </c>
      <c r="K13" s="15">
        <f t="shared" si="3"/>
        <v>126580.55151000003</v>
      </c>
      <c r="L13" s="15">
        <f t="shared" si="4"/>
        <v>31724.449000000011</v>
      </c>
      <c r="M13" s="15">
        <f t="shared" si="0"/>
        <v>1779153.0000400005</v>
      </c>
      <c r="N13" s="15">
        <v>0</v>
      </c>
      <c r="O13" s="15"/>
    </row>
    <row r="14" spans="1:17" x14ac:dyDescent="0.2">
      <c r="A14" s="14">
        <v>44378</v>
      </c>
      <c r="C14" s="15">
        <v>161290341</v>
      </c>
      <c r="D14" s="16">
        <v>688629</v>
      </c>
      <c r="E14" s="11">
        <f t="shared" si="5"/>
        <v>1217277.9800000002</v>
      </c>
      <c r="F14" s="11">
        <f t="shared" si="5"/>
        <v>1217277.9800000002</v>
      </c>
      <c r="G14" s="15">
        <f>E14-D14</f>
        <v>528648.98000000021</v>
      </c>
      <c r="H14" s="15">
        <f>F14-D14</f>
        <v>528648.98000000021</v>
      </c>
      <c r="I14" s="17">
        <v>0.21</v>
      </c>
      <c r="J14" s="17">
        <v>0.05</v>
      </c>
      <c r="K14" s="15">
        <f>G14*I14-L14*I14</f>
        <v>105465.47151000003</v>
      </c>
      <c r="L14" s="15">
        <f>H14*J14</f>
        <v>26432.449000000011</v>
      </c>
      <c r="M14" s="15">
        <f t="shared" si="0"/>
        <v>1911050.9205500006</v>
      </c>
      <c r="N14" s="15">
        <v>0</v>
      </c>
      <c r="O14" s="13"/>
      <c r="P14" s="13"/>
      <c r="Q14" s="15"/>
    </row>
    <row r="15" spans="1:17" x14ac:dyDescent="0.2">
      <c r="A15" s="14">
        <v>44409</v>
      </c>
      <c r="C15" s="15">
        <v>161290341</v>
      </c>
      <c r="D15" s="16">
        <v>688628.5</v>
      </c>
      <c r="E15" s="11">
        <f>1216667.37+612.8</f>
        <v>1217280.1700000002</v>
      </c>
      <c r="F15" s="16">
        <f>1216667.37+612.8</f>
        <v>1217280.1700000002</v>
      </c>
      <c r="G15" s="15">
        <f>E15-D15</f>
        <v>528651.67000000016</v>
      </c>
      <c r="H15" s="15">
        <f>F15-D15</f>
        <v>528651.67000000016</v>
      </c>
      <c r="I15" s="17">
        <v>0.21</v>
      </c>
      <c r="J15" s="17">
        <v>0.05</v>
      </c>
      <c r="K15" s="15">
        <f>G15*I15-L15*I15</f>
        <v>105466.00816500002</v>
      </c>
      <c r="L15" s="15">
        <f>H15*J15</f>
        <v>26432.583500000008</v>
      </c>
      <c r="M15" s="15">
        <f t="shared" si="0"/>
        <v>2042949.5122150006</v>
      </c>
      <c r="N15" s="15">
        <v>0</v>
      </c>
      <c r="O15" s="15"/>
      <c r="P15" s="13"/>
      <c r="Q15" s="15"/>
    </row>
    <row r="16" spans="1:17" x14ac:dyDescent="0.2">
      <c r="A16" s="14">
        <v>44448</v>
      </c>
      <c r="C16" s="15">
        <f>164834892</f>
        <v>164834892</v>
      </c>
      <c r="D16" s="16">
        <f>696220</f>
        <v>696220</v>
      </c>
      <c r="E16" s="11">
        <f>1251559.04-5082.53</f>
        <v>1246476.51</v>
      </c>
      <c r="F16" s="11">
        <f>1251559.04-5082.53</f>
        <v>1246476.51</v>
      </c>
      <c r="G16" s="15">
        <f>E16-D16</f>
        <v>550256.51</v>
      </c>
      <c r="H16" s="15">
        <f>F16-D16</f>
        <v>550256.51</v>
      </c>
      <c r="I16" s="17">
        <v>0.21</v>
      </c>
      <c r="J16" s="17">
        <v>0.05</v>
      </c>
      <c r="K16" s="15">
        <f>G16*I16-L16*I16</f>
        <v>109776.17374500001</v>
      </c>
      <c r="L16" s="15">
        <f>H16*J16</f>
        <v>27512.825500000003</v>
      </c>
      <c r="M16" s="15">
        <f t="shared" si="0"/>
        <v>2180238.5114600002</v>
      </c>
      <c r="N16" s="15">
        <v>0</v>
      </c>
      <c r="O16" s="19"/>
    </row>
    <row r="17" spans="1:14" x14ac:dyDescent="0.2">
      <c r="A17" s="14">
        <v>44470</v>
      </c>
      <c r="C17" s="15">
        <f>164834892</f>
        <v>164834892</v>
      </c>
      <c r="D17" s="16">
        <v>703811</v>
      </c>
      <c r="E17" s="11">
        <f>1251559.04+2508.48</f>
        <v>1254067.52</v>
      </c>
      <c r="F17" s="11">
        <f>1251559.04+2508.48</f>
        <v>1254067.52</v>
      </c>
      <c r="G17" s="15">
        <f t="shared" ref="G17:G19" si="6">E17-D17</f>
        <v>550256.52</v>
      </c>
      <c r="H17" s="15">
        <f t="shared" ref="H17:H19" si="7">F17-D17</f>
        <v>550256.52</v>
      </c>
      <c r="I17" s="17">
        <v>0.21</v>
      </c>
      <c r="J17" s="17">
        <v>0.05</v>
      </c>
      <c r="K17" s="15">
        <f t="shared" ref="K17:K19" si="8">G17*I17-L17*I17</f>
        <v>109776.17574000001</v>
      </c>
      <c r="L17" s="15">
        <f t="shared" ref="L17:L19" si="9">H17*J17</f>
        <v>27512.826000000001</v>
      </c>
      <c r="M17" s="15">
        <f t="shared" si="0"/>
        <v>2317527.5131999999</v>
      </c>
      <c r="N17" s="15">
        <v>0</v>
      </c>
    </row>
    <row r="18" spans="1:14" x14ac:dyDescent="0.2">
      <c r="A18" s="14">
        <v>44501</v>
      </c>
      <c r="C18" s="15">
        <f>164834892</f>
        <v>164834892</v>
      </c>
      <c r="D18" s="16">
        <v>703811</v>
      </c>
      <c r="E18" s="11">
        <f>1251559.04+2508.47</f>
        <v>1254067.51</v>
      </c>
      <c r="F18" s="11">
        <f>1251559.04+2508.47</f>
        <v>1254067.51</v>
      </c>
      <c r="G18" s="15">
        <f t="shared" si="6"/>
        <v>550256.51</v>
      </c>
      <c r="H18" s="15">
        <f t="shared" si="7"/>
        <v>550256.51</v>
      </c>
      <c r="I18" s="17">
        <v>0.21</v>
      </c>
      <c r="J18" s="17">
        <v>0.05</v>
      </c>
      <c r="K18" s="15">
        <f t="shared" si="8"/>
        <v>109776.17374500001</v>
      </c>
      <c r="L18" s="15">
        <f t="shared" si="9"/>
        <v>27512.825500000003</v>
      </c>
      <c r="M18" s="15">
        <f t="shared" si="0"/>
        <v>2454816.5124449995</v>
      </c>
      <c r="N18" s="15">
        <v>0</v>
      </c>
    </row>
    <row r="19" spans="1:14" x14ac:dyDescent="0.2">
      <c r="A19" s="14">
        <v>44531</v>
      </c>
      <c r="C19" s="15">
        <f>164834892</f>
        <v>164834892</v>
      </c>
      <c r="D19" s="16">
        <v>703811</v>
      </c>
      <c r="E19" s="11">
        <f>1251559.04+2512.48</f>
        <v>1254071.52</v>
      </c>
      <c r="F19" s="11">
        <f>1251559.04+2512.48</f>
        <v>1254071.52</v>
      </c>
      <c r="G19" s="15">
        <f t="shared" si="6"/>
        <v>550260.52</v>
      </c>
      <c r="H19" s="15">
        <f t="shared" si="7"/>
        <v>550260.52</v>
      </c>
      <c r="I19" s="17">
        <v>0.21</v>
      </c>
      <c r="J19" s="17">
        <v>0.05</v>
      </c>
      <c r="K19" s="15">
        <f t="shared" si="8"/>
        <v>109776.97374</v>
      </c>
      <c r="L19" s="15">
        <f t="shared" si="9"/>
        <v>27513.026000000002</v>
      </c>
      <c r="M19" s="15">
        <f t="shared" si="0"/>
        <v>2592106.5121849994</v>
      </c>
      <c r="N19" s="15">
        <v>0</v>
      </c>
    </row>
    <row r="20" spans="1:14" x14ac:dyDescent="0.2">
      <c r="A20" s="14">
        <v>44562</v>
      </c>
      <c r="C20" s="15">
        <f>164834892</f>
        <v>164834892</v>
      </c>
      <c r="D20" s="16">
        <v>703811</v>
      </c>
      <c r="E20" s="11">
        <f>1190570.56-2.04</f>
        <v>1190568.52</v>
      </c>
      <c r="F20" s="11">
        <f>1190570.56-2.04</f>
        <v>1190568.52</v>
      </c>
      <c r="G20" s="15">
        <f>E20-D20</f>
        <v>486757.52</v>
      </c>
      <c r="H20" s="15">
        <f>F20-D20</f>
        <v>486757.52</v>
      </c>
      <c r="I20" s="17">
        <v>0.21</v>
      </c>
      <c r="J20" s="17">
        <v>0.05</v>
      </c>
      <c r="K20" s="15">
        <f>G20*I20-L20*I20</f>
        <v>97108.125240000008</v>
      </c>
      <c r="L20" s="15">
        <f>H20*J20</f>
        <v>24337.876000000004</v>
      </c>
      <c r="M20" s="15">
        <f t="shared" si="0"/>
        <v>2713552.5134249995</v>
      </c>
      <c r="N20" s="15">
        <v>0</v>
      </c>
    </row>
    <row r="21" spans="1:14" x14ac:dyDescent="0.2">
      <c r="A21" s="14">
        <v>44593</v>
      </c>
      <c r="C21" s="15">
        <v>164834892</v>
      </c>
      <c r="D21" s="16">
        <v>703811</v>
      </c>
      <c r="E21" s="16">
        <f>1190570.56-2.05</f>
        <v>1190568.51</v>
      </c>
      <c r="F21" s="16">
        <f>1190570.56-2.05</f>
        <v>1190568.51</v>
      </c>
      <c r="G21" s="15">
        <f>E21-D21</f>
        <v>486757.51</v>
      </c>
      <c r="H21" s="15">
        <f>F21-D21</f>
        <v>486757.51</v>
      </c>
      <c r="I21" s="17">
        <v>0.21</v>
      </c>
      <c r="J21" s="17">
        <v>0.05</v>
      </c>
      <c r="K21" s="15">
        <f>G21*I21-L21*I21</f>
        <v>97108.123244999995</v>
      </c>
      <c r="L21" s="15">
        <f>H21*J21</f>
        <v>24337.875500000002</v>
      </c>
      <c r="M21" s="15">
        <f t="shared" si="0"/>
        <v>2834998.5121699995</v>
      </c>
      <c r="N21" s="15">
        <v>0</v>
      </c>
    </row>
    <row r="22" spans="1:14" x14ac:dyDescent="0.2">
      <c r="A22" s="14">
        <v>44629</v>
      </c>
      <c r="C22" s="15">
        <v>168126997</v>
      </c>
      <c r="D22" s="16">
        <v>710862</v>
      </c>
      <c r="E22" s="11">
        <f>1208471.38-6342.85</f>
        <v>1202128.5299999998</v>
      </c>
      <c r="F22" s="11">
        <f>1208471.38-6342.85</f>
        <v>1202128.5299999998</v>
      </c>
      <c r="G22" s="15">
        <f>E22-D22</f>
        <v>491266.5299999998</v>
      </c>
      <c r="H22" s="15">
        <f>F22-D22</f>
        <v>491266.5299999998</v>
      </c>
      <c r="I22" s="17">
        <v>0.21</v>
      </c>
      <c r="J22" s="17">
        <v>0.05</v>
      </c>
      <c r="K22" s="15">
        <f>G22*I22-L22*I22</f>
        <v>98007.672734999942</v>
      </c>
      <c r="L22" s="15">
        <f>H22*J22</f>
        <v>24563.326499999992</v>
      </c>
      <c r="M22" s="15">
        <f t="shared" si="0"/>
        <v>2957569.5114049995</v>
      </c>
      <c r="N22" s="15">
        <v>0</v>
      </c>
    </row>
    <row r="23" spans="1:14" x14ac:dyDescent="0.2">
      <c r="A23" s="14">
        <v>44652</v>
      </c>
      <c r="C23" s="15">
        <v>168126997</v>
      </c>
      <c r="D23" s="16">
        <v>717912</v>
      </c>
      <c r="E23" s="11">
        <f>1208471.38+703.15</f>
        <v>1209174.5299999998</v>
      </c>
      <c r="F23" s="11">
        <f>1208471.38+703.15</f>
        <v>1209174.5299999998</v>
      </c>
      <c r="G23" s="15">
        <f t="shared" ref="G23:G25" si="10">E23-D23</f>
        <v>491262.5299999998</v>
      </c>
      <c r="H23" s="15">
        <f t="shared" ref="H23:H25" si="11">F23-D23</f>
        <v>491262.5299999998</v>
      </c>
      <c r="I23" s="17">
        <v>0.21</v>
      </c>
      <c r="J23" s="17">
        <v>0.05</v>
      </c>
      <c r="K23" s="15">
        <f t="shared" ref="K23:K25" si="12">G23*I23-L23*I23</f>
        <v>98006.874734999947</v>
      </c>
      <c r="L23" s="15">
        <f t="shared" ref="L23:L25" si="13">H23*J23</f>
        <v>24563.126499999991</v>
      </c>
      <c r="M23" s="15">
        <f t="shared" si="0"/>
        <v>3080139.5126399994</v>
      </c>
      <c r="N23" s="15">
        <v>0</v>
      </c>
    </row>
    <row r="24" spans="1:14" x14ac:dyDescent="0.2">
      <c r="A24" s="14">
        <v>44682</v>
      </c>
      <c r="C24" s="15">
        <v>168126997</v>
      </c>
      <c r="D24" s="16">
        <v>717912</v>
      </c>
      <c r="E24" s="11">
        <f>1208471.38+707.15</f>
        <v>1209178.5299999998</v>
      </c>
      <c r="F24" s="11">
        <f>1208471.38+707.15</f>
        <v>1209178.5299999998</v>
      </c>
      <c r="G24" s="15">
        <f t="shared" si="10"/>
        <v>491266.5299999998</v>
      </c>
      <c r="H24" s="15">
        <f t="shared" si="11"/>
        <v>491266.5299999998</v>
      </c>
      <c r="I24" s="17">
        <v>0.21</v>
      </c>
      <c r="J24" s="17">
        <v>0.05</v>
      </c>
      <c r="K24" s="15">
        <f t="shared" si="12"/>
        <v>98007.672734999942</v>
      </c>
      <c r="L24" s="15">
        <f t="shared" si="13"/>
        <v>24563.326499999992</v>
      </c>
      <c r="M24" s="15">
        <f t="shared" si="0"/>
        <v>3202710.5118749994</v>
      </c>
      <c r="N24" s="15">
        <v>0</v>
      </c>
    </row>
    <row r="25" spans="1:14" x14ac:dyDescent="0.2">
      <c r="A25" s="14">
        <v>44713</v>
      </c>
      <c r="C25" s="15">
        <v>168126997</v>
      </c>
      <c r="D25" s="16">
        <v>717912</v>
      </c>
      <c r="E25" s="11">
        <f>1208471.38+703.15</f>
        <v>1209174.5299999998</v>
      </c>
      <c r="F25" s="11">
        <f>1208471.38+703.15</f>
        <v>1209174.5299999998</v>
      </c>
      <c r="G25" s="15">
        <f t="shared" si="10"/>
        <v>491262.5299999998</v>
      </c>
      <c r="H25" s="15">
        <f t="shared" si="11"/>
        <v>491262.5299999998</v>
      </c>
      <c r="I25" s="17">
        <v>0.21</v>
      </c>
      <c r="J25" s="17">
        <v>0.05</v>
      </c>
      <c r="K25" s="15">
        <f t="shared" si="12"/>
        <v>98006.874734999947</v>
      </c>
      <c r="L25" s="15">
        <f t="shared" si="13"/>
        <v>24563.126499999991</v>
      </c>
      <c r="M25" s="15">
        <f t="shared" si="0"/>
        <v>3325280.5131099992</v>
      </c>
      <c r="N25" s="15">
        <v>0</v>
      </c>
    </row>
    <row r="26" spans="1:14" x14ac:dyDescent="0.2">
      <c r="A26" s="14">
        <v>44743</v>
      </c>
      <c r="C26" s="15">
        <v>168126997</v>
      </c>
      <c r="D26" s="16">
        <v>717912</v>
      </c>
      <c r="E26" s="11">
        <f>1208471.38+703.14</f>
        <v>1209174.5199999998</v>
      </c>
      <c r="F26" s="11">
        <f>1208471.38+703.14</f>
        <v>1209174.5199999998</v>
      </c>
      <c r="G26" s="15">
        <f>E26-D26</f>
        <v>491262.51999999979</v>
      </c>
      <c r="H26" s="15">
        <f>F26-D26</f>
        <v>491262.51999999979</v>
      </c>
      <c r="I26" s="17">
        <v>0.21</v>
      </c>
      <c r="J26" s="17">
        <v>0.05</v>
      </c>
      <c r="K26" s="15">
        <f>G26*I26-L26*I26</f>
        <v>98006.872739999948</v>
      </c>
      <c r="L26" s="15">
        <f>H26*J26</f>
        <v>24563.125999999989</v>
      </c>
      <c r="M26" s="15">
        <f t="shared" si="0"/>
        <v>3447850.5118499994</v>
      </c>
      <c r="N26" s="15">
        <v>0</v>
      </c>
    </row>
    <row r="27" spans="1:14" x14ac:dyDescent="0.2">
      <c r="A27" s="14">
        <v>44774</v>
      </c>
      <c r="C27" s="15">
        <v>168126997</v>
      </c>
      <c r="D27" s="16">
        <v>717911.5</v>
      </c>
      <c r="E27" s="11">
        <f>1208471.38+706.7</f>
        <v>1209178.0799999998</v>
      </c>
      <c r="F27" s="11">
        <f>1208471.38+706.7</f>
        <v>1209178.0799999998</v>
      </c>
      <c r="G27" s="15">
        <f>E27-D27</f>
        <v>491266.57999999984</v>
      </c>
      <c r="H27" s="15">
        <f>F27-D27</f>
        <v>491266.57999999984</v>
      </c>
      <c r="I27" s="17">
        <v>0.21</v>
      </c>
      <c r="J27" s="17">
        <v>0.05</v>
      </c>
      <c r="K27" s="15">
        <f>G27*I27-L27*I27</f>
        <v>98007.682709999965</v>
      </c>
      <c r="L27" s="15">
        <f>H27*J27</f>
        <v>24563.328999999994</v>
      </c>
      <c r="M27" s="15">
        <f t="shared" si="0"/>
        <v>3570421.5235599992</v>
      </c>
      <c r="N27" s="15">
        <v>0</v>
      </c>
    </row>
    <row r="28" spans="1:14" x14ac:dyDescent="0.2">
      <c r="A28" s="14">
        <v>44813</v>
      </c>
      <c r="C28" s="15">
        <v>168126997</v>
      </c>
      <c r="D28" s="16">
        <v>717912</v>
      </c>
      <c r="E28" s="11">
        <v>1209176.0799999998</v>
      </c>
      <c r="F28" s="11">
        <v>1209176.0799999998</v>
      </c>
      <c r="G28" s="15">
        <f>E28-D28</f>
        <v>491264.07999999984</v>
      </c>
      <c r="H28" s="15">
        <f>F28-D28</f>
        <v>491264.07999999984</v>
      </c>
      <c r="I28" s="17">
        <v>0.21</v>
      </c>
      <c r="J28" s="17">
        <v>0.05</v>
      </c>
      <c r="K28" s="15">
        <f>G28*I28-L28*I28</f>
        <v>98007.183959999951</v>
      </c>
      <c r="L28" s="15">
        <f>H28*J28</f>
        <v>24563.203999999994</v>
      </c>
      <c r="M28" s="15">
        <f t="shared" si="0"/>
        <v>3692991.9115199992</v>
      </c>
      <c r="N28" s="15">
        <v>0</v>
      </c>
    </row>
    <row r="29" spans="1:14" x14ac:dyDescent="0.2">
      <c r="A29" s="14">
        <v>44835</v>
      </c>
      <c r="C29" s="15">
        <v>168126997</v>
      </c>
      <c r="D29" s="16">
        <v>717911.5</v>
      </c>
      <c r="E29" s="11">
        <v>1209176.49</v>
      </c>
      <c r="F29" s="11">
        <v>1209176.49</v>
      </c>
      <c r="G29" s="15">
        <f t="shared" ref="G29:G31" si="14">E29-D29</f>
        <v>491264.99</v>
      </c>
      <c r="H29" s="15">
        <f t="shared" ref="H29:H31" si="15">F29-D29</f>
        <v>491264.99</v>
      </c>
      <c r="I29" s="17">
        <v>0.21</v>
      </c>
      <c r="J29" s="17">
        <v>0.05</v>
      </c>
      <c r="K29" s="15">
        <f t="shared" ref="K29:K31" si="16">G29*I29-L29*I29</f>
        <v>98007.365504999994</v>
      </c>
      <c r="L29" s="15">
        <f t="shared" ref="L29:L31" si="17">H29*J29</f>
        <v>24563.249500000002</v>
      </c>
      <c r="M29" s="15">
        <f t="shared" si="0"/>
        <v>3815562.5265249992</v>
      </c>
      <c r="N29" s="15">
        <v>0</v>
      </c>
    </row>
    <row r="30" spans="1:14" x14ac:dyDescent="0.2">
      <c r="A30" s="14">
        <v>44866</v>
      </c>
      <c r="C30" s="15">
        <v>168126997</v>
      </c>
      <c r="D30" s="16">
        <v>717912</v>
      </c>
      <c r="E30" s="11">
        <v>1209176.0799999998</v>
      </c>
      <c r="F30" s="11">
        <v>1209176.0799999998</v>
      </c>
      <c r="G30" s="15">
        <f t="shared" si="14"/>
        <v>491264.07999999984</v>
      </c>
      <c r="H30" s="15">
        <f t="shared" si="15"/>
        <v>491264.07999999984</v>
      </c>
      <c r="I30" s="17">
        <v>0.21</v>
      </c>
      <c r="J30" s="17">
        <v>0.05</v>
      </c>
      <c r="K30" s="15">
        <f t="shared" si="16"/>
        <v>98007.183959999951</v>
      </c>
      <c r="L30" s="15">
        <f t="shared" si="17"/>
        <v>24563.203999999994</v>
      </c>
      <c r="M30" s="15">
        <f t="shared" si="0"/>
        <v>3938132.9144849991</v>
      </c>
      <c r="N30" s="15">
        <v>0</v>
      </c>
    </row>
    <row r="31" spans="1:14" x14ac:dyDescent="0.2">
      <c r="A31" s="14">
        <v>44896</v>
      </c>
      <c r="C31" s="15">
        <v>170744829</v>
      </c>
      <c r="D31" s="16">
        <v>723519</v>
      </c>
      <c r="E31" s="11">
        <f>1250193.08+42427</f>
        <v>1292620.08</v>
      </c>
      <c r="F31" s="11">
        <f>1250193.08+42427</f>
        <v>1292620.08</v>
      </c>
      <c r="G31" s="15">
        <f t="shared" si="14"/>
        <v>569101.08000000007</v>
      </c>
      <c r="H31" s="15">
        <f t="shared" si="15"/>
        <v>569101.08000000007</v>
      </c>
      <c r="I31" s="17">
        <v>0.21</v>
      </c>
      <c r="J31" s="17">
        <v>0.05</v>
      </c>
      <c r="K31" s="15">
        <f t="shared" si="16"/>
        <v>113535.66546</v>
      </c>
      <c r="L31" s="15">
        <f t="shared" si="17"/>
        <v>28455.054000000004</v>
      </c>
      <c r="M31" s="15">
        <f t="shared" si="0"/>
        <v>4080123.633944999</v>
      </c>
      <c r="N31" s="15">
        <v>0</v>
      </c>
    </row>
    <row r="32" spans="1:14" x14ac:dyDescent="0.2">
      <c r="A32" s="14">
        <v>44927</v>
      </c>
      <c r="C32" s="15">
        <v>170744829</v>
      </c>
      <c r="D32" s="16">
        <v>729125</v>
      </c>
      <c r="E32" s="11">
        <f>1177165.27</f>
        <v>1177165.27</v>
      </c>
      <c r="F32" s="11">
        <f>1177165.27</f>
        <v>1177165.27</v>
      </c>
      <c r="G32" s="15">
        <f>E32-D32</f>
        <v>448040.27</v>
      </c>
      <c r="H32" s="15">
        <f>F32-D32</f>
        <v>448040.27</v>
      </c>
      <c r="I32" s="17">
        <v>0.21</v>
      </c>
      <c r="J32" s="17">
        <v>0.05</v>
      </c>
      <c r="K32" s="15">
        <f>G32*I32-L32*I32</f>
        <v>89384.03386499999</v>
      </c>
      <c r="L32" s="15">
        <f>H32*J32</f>
        <v>22402.013500000001</v>
      </c>
      <c r="M32" s="15">
        <f t="shared" si="0"/>
        <v>4191909.681309999</v>
      </c>
      <c r="N32" s="15">
        <v>0</v>
      </c>
    </row>
    <row r="33" spans="1:14" x14ac:dyDescent="0.2">
      <c r="A33" s="14">
        <v>44958</v>
      </c>
      <c r="C33" s="15">
        <v>170744829</v>
      </c>
      <c r="D33" s="16">
        <v>729125</v>
      </c>
      <c r="E33" s="11">
        <f>1177165.27</f>
        <v>1177165.27</v>
      </c>
      <c r="F33" s="11">
        <f>1177165.27</f>
        <v>1177165.27</v>
      </c>
      <c r="G33" s="15">
        <f>E33-D33</f>
        <v>448040.27</v>
      </c>
      <c r="H33" s="15">
        <f>F33-D33</f>
        <v>448040.27</v>
      </c>
      <c r="I33" s="17">
        <v>0.21</v>
      </c>
      <c r="J33" s="17">
        <v>0.05</v>
      </c>
      <c r="K33" s="15">
        <f>G33*I33-L33*I33</f>
        <v>89384.03386499999</v>
      </c>
      <c r="L33" s="15">
        <f>H33*J33</f>
        <v>22402.013500000001</v>
      </c>
      <c r="M33" s="15">
        <f t="shared" si="0"/>
        <v>4303695.7286749994</v>
      </c>
      <c r="N33" s="15"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12 of 15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94C26-1644-404A-B45C-2CB3048CF44B}">
  <dimension ref="A1:Q55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2">
      <c r="A5" s="5" t="s">
        <v>56</v>
      </c>
    </row>
    <row r="6" spans="1:17" x14ac:dyDescent="0.2">
      <c r="A6" s="6" t="s">
        <v>64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3721906</v>
      </c>
    </row>
    <row r="10" spans="1:17" x14ac:dyDescent="0.2">
      <c r="A10" s="14">
        <v>44264</v>
      </c>
      <c r="C10" s="15">
        <v>41905553</v>
      </c>
      <c r="D10" s="16">
        <v>75779</v>
      </c>
      <c r="E10" s="11">
        <f t="shared" ref="E10:E15" si="0">150375.86</f>
        <v>150375.85999999999</v>
      </c>
      <c r="F10" s="11">
        <f t="shared" ref="F10:F15" si="1">233374.38</f>
        <v>233374.38</v>
      </c>
      <c r="G10" s="15">
        <f>E10-D10</f>
        <v>74596.859999999986</v>
      </c>
      <c r="H10" s="15">
        <f>F10-D10</f>
        <v>157595.38</v>
      </c>
      <c r="I10" s="17">
        <v>0.21</v>
      </c>
      <c r="J10" s="17">
        <v>0.05</v>
      </c>
      <c r="K10" s="15">
        <f>G10*I10-L10*I10</f>
        <v>14010.589109999995</v>
      </c>
      <c r="L10" s="15">
        <f>H10*J10</f>
        <v>7879.7690000000002</v>
      </c>
      <c r="M10" s="15">
        <f t="shared" ref="M10:M33" si="2">M9+K10+L10</f>
        <v>3743796.3581099999</v>
      </c>
      <c r="N10" s="15">
        <v>0</v>
      </c>
      <c r="P10" s="13"/>
    </row>
    <row r="11" spans="1:17" x14ac:dyDescent="0.2">
      <c r="A11" s="14">
        <v>44287</v>
      </c>
      <c r="C11" s="15">
        <v>41905553</v>
      </c>
      <c r="D11" s="16">
        <v>75779</v>
      </c>
      <c r="E11" s="11">
        <f t="shared" si="0"/>
        <v>150375.85999999999</v>
      </c>
      <c r="F11" s="11">
        <f t="shared" si="1"/>
        <v>233374.38</v>
      </c>
      <c r="G11" s="15">
        <f t="shared" ref="G11:G13" si="3">E11-D11</f>
        <v>74596.859999999986</v>
      </c>
      <c r="H11" s="15">
        <f t="shared" ref="H11:H13" si="4">F11-D11</f>
        <v>157595.38</v>
      </c>
      <c r="I11" s="17">
        <v>0.21</v>
      </c>
      <c r="J11" s="17">
        <v>0.05</v>
      </c>
      <c r="K11" s="15">
        <f t="shared" ref="K11:K13" si="5">G11*I11-L11*I11</f>
        <v>14010.589109999995</v>
      </c>
      <c r="L11" s="15">
        <f t="shared" ref="L11:L13" si="6">H11*J11</f>
        <v>7879.7690000000002</v>
      </c>
      <c r="M11" s="15">
        <f t="shared" si="2"/>
        <v>3765686.7162199998</v>
      </c>
      <c r="N11" s="15">
        <v>0</v>
      </c>
      <c r="O11" s="15"/>
      <c r="P11" s="13"/>
    </row>
    <row r="12" spans="1:17" x14ac:dyDescent="0.2">
      <c r="A12" s="14">
        <v>44317</v>
      </c>
      <c r="C12" s="15">
        <v>41905553</v>
      </c>
      <c r="D12" s="16">
        <v>75779</v>
      </c>
      <c r="E12" s="11">
        <f t="shared" si="0"/>
        <v>150375.85999999999</v>
      </c>
      <c r="F12" s="11">
        <f t="shared" si="1"/>
        <v>233374.38</v>
      </c>
      <c r="G12" s="15">
        <f t="shared" si="3"/>
        <v>74596.859999999986</v>
      </c>
      <c r="H12" s="15">
        <f t="shared" si="4"/>
        <v>157595.38</v>
      </c>
      <c r="I12" s="17">
        <v>0.21</v>
      </c>
      <c r="J12" s="17">
        <v>0.05</v>
      </c>
      <c r="K12" s="15">
        <f t="shared" si="5"/>
        <v>14010.589109999995</v>
      </c>
      <c r="L12" s="15">
        <f t="shared" si="6"/>
        <v>7879.7690000000002</v>
      </c>
      <c r="M12" s="15">
        <f t="shared" si="2"/>
        <v>3787577.0743299997</v>
      </c>
      <c r="N12" s="15">
        <v>0</v>
      </c>
      <c r="O12" s="13"/>
    </row>
    <row r="13" spans="1:17" x14ac:dyDescent="0.2">
      <c r="A13" s="14">
        <v>44348</v>
      </c>
      <c r="C13" s="15">
        <v>41905553</v>
      </c>
      <c r="D13" s="16">
        <v>75779</v>
      </c>
      <c r="E13" s="11">
        <f t="shared" si="0"/>
        <v>150375.85999999999</v>
      </c>
      <c r="F13" s="11">
        <f t="shared" si="1"/>
        <v>233374.38</v>
      </c>
      <c r="G13" s="15">
        <f t="shared" si="3"/>
        <v>74596.859999999986</v>
      </c>
      <c r="H13" s="15">
        <f t="shared" si="4"/>
        <v>157595.38</v>
      </c>
      <c r="I13" s="17">
        <v>0.21</v>
      </c>
      <c r="J13" s="17">
        <v>0.05</v>
      </c>
      <c r="K13" s="15">
        <f t="shared" si="5"/>
        <v>14010.589109999995</v>
      </c>
      <c r="L13" s="15">
        <f t="shared" si="6"/>
        <v>7879.7690000000002</v>
      </c>
      <c r="M13" s="15">
        <f t="shared" si="2"/>
        <v>3809467.4324399997</v>
      </c>
      <c r="N13" s="15">
        <v>0</v>
      </c>
      <c r="O13" s="15"/>
    </row>
    <row r="14" spans="1:17" x14ac:dyDescent="0.2">
      <c r="A14" s="14">
        <v>44378</v>
      </c>
      <c r="C14" s="15">
        <v>41905553</v>
      </c>
      <c r="D14" s="16">
        <v>81716.490000000005</v>
      </c>
      <c r="E14" s="11">
        <f t="shared" si="0"/>
        <v>150375.85999999999</v>
      </c>
      <c r="F14" s="11">
        <f t="shared" si="1"/>
        <v>233374.38</v>
      </c>
      <c r="G14" s="15">
        <f>E14-D14</f>
        <v>68659.369999999981</v>
      </c>
      <c r="H14" s="15">
        <f>F14-D14</f>
        <v>151657.89000000001</v>
      </c>
      <c r="I14" s="17">
        <v>0.21</v>
      </c>
      <c r="J14" s="17">
        <v>0.05</v>
      </c>
      <c r="K14" s="15">
        <f>G14*I14-L14*I14</f>
        <v>12826.059854999996</v>
      </c>
      <c r="L14" s="15">
        <f>H14*J14</f>
        <v>7582.8945000000012</v>
      </c>
      <c r="M14" s="15">
        <f t="shared" si="2"/>
        <v>3829876.3867949997</v>
      </c>
      <c r="N14" s="15">
        <v>0</v>
      </c>
      <c r="O14" s="13"/>
      <c r="Q14" s="15"/>
    </row>
    <row r="15" spans="1:17" x14ac:dyDescent="0.2">
      <c r="A15" s="14">
        <v>44409</v>
      </c>
      <c r="C15" s="15">
        <v>41905553</v>
      </c>
      <c r="D15" s="16">
        <v>81715.5</v>
      </c>
      <c r="E15" s="16">
        <f t="shared" si="0"/>
        <v>150375.85999999999</v>
      </c>
      <c r="F15" s="16">
        <f t="shared" si="1"/>
        <v>233374.38</v>
      </c>
      <c r="G15" s="15">
        <f>E15-D15</f>
        <v>68660.359999999986</v>
      </c>
      <c r="H15" s="15">
        <f>F15-D15</f>
        <v>151658.88</v>
      </c>
      <c r="I15" s="17">
        <v>0.21</v>
      </c>
      <c r="J15" s="17">
        <v>0.05</v>
      </c>
      <c r="K15" s="15">
        <f>G15*I15-L15*I15</f>
        <v>12826.257359999996</v>
      </c>
      <c r="L15" s="15">
        <f>H15*J15</f>
        <v>7582.9440000000004</v>
      </c>
      <c r="M15" s="15">
        <f t="shared" si="2"/>
        <v>3850285.588155</v>
      </c>
      <c r="N15" s="15">
        <v>0</v>
      </c>
      <c r="O15" s="15"/>
      <c r="Q15" s="15"/>
    </row>
    <row r="16" spans="1:17" x14ac:dyDescent="0.2">
      <c r="A16" s="14">
        <v>44448</v>
      </c>
      <c r="C16" s="15">
        <f>41905553</f>
        <v>41905553</v>
      </c>
      <c r="D16" s="16">
        <f>81716</f>
        <v>81716</v>
      </c>
      <c r="E16" s="11">
        <f>150375.86</f>
        <v>150375.85999999999</v>
      </c>
      <c r="F16" s="11">
        <f>233374.38</f>
        <v>233374.38</v>
      </c>
      <c r="G16" s="15">
        <f>E16-D16</f>
        <v>68659.859999999986</v>
      </c>
      <c r="H16" s="15">
        <f>F16-D16</f>
        <v>151658.38</v>
      </c>
      <c r="I16" s="17">
        <v>0.21</v>
      </c>
      <c r="J16" s="17">
        <v>0.05</v>
      </c>
      <c r="K16" s="15">
        <f>G16*I16-L16*I16</f>
        <v>12826.157609999997</v>
      </c>
      <c r="L16" s="15">
        <f>H16*J16</f>
        <v>7582.9190000000008</v>
      </c>
      <c r="M16" s="15">
        <f t="shared" si="2"/>
        <v>3870694.6647650003</v>
      </c>
      <c r="N16" s="15">
        <v>0</v>
      </c>
      <c r="O16" s="19"/>
    </row>
    <row r="17" spans="1:14" x14ac:dyDescent="0.2">
      <c r="A17" s="14">
        <v>44470</v>
      </c>
      <c r="C17" s="15">
        <f>41905553</f>
        <v>41905553</v>
      </c>
      <c r="D17" s="16">
        <f>81716</f>
        <v>81716</v>
      </c>
      <c r="E17" s="11">
        <f>150375.86</f>
        <v>150375.85999999999</v>
      </c>
      <c r="F17" s="11">
        <f>233374.38</f>
        <v>233374.38</v>
      </c>
      <c r="G17" s="15">
        <f t="shared" ref="G17:G19" si="7">E17-D17</f>
        <v>68659.859999999986</v>
      </c>
      <c r="H17" s="15">
        <f t="shared" ref="H17:H19" si="8">F17-D17</f>
        <v>151658.38</v>
      </c>
      <c r="I17" s="17">
        <v>0.21</v>
      </c>
      <c r="J17" s="17">
        <v>0.05</v>
      </c>
      <c r="K17" s="15">
        <f t="shared" ref="K17:K19" si="9">G17*I17-L17*I17</f>
        <v>12826.157609999997</v>
      </c>
      <c r="L17" s="15">
        <f t="shared" ref="L17:L19" si="10">H17*J17</f>
        <v>7582.9190000000008</v>
      </c>
      <c r="M17" s="15">
        <f t="shared" si="2"/>
        <v>3891103.7413750007</v>
      </c>
      <c r="N17" s="15">
        <v>0</v>
      </c>
    </row>
    <row r="18" spans="1:14" x14ac:dyDescent="0.2">
      <c r="A18" s="14">
        <v>44501</v>
      </c>
      <c r="C18" s="15">
        <f>41905553</f>
        <v>41905553</v>
      </c>
      <c r="D18" s="16">
        <f>81716</f>
        <v>81716</v>
      </c>
      <c r="E18" s="11">
        <f>150375.86</f>
        <v>150375.85999999999</v>
      </c>
      <c r="F18" s="11">
        <f>233374.38</f>
        <v>233374.38</v>
      </c>
      <c r="G18" s="15">
        <f t="shared" si="7"/>
        <v>68659.859999999986</v>
      </c>
      <c r="H18" s="15">
        <f t="shared" si="8"/>
        <v>151658.38</v>
      </c>
      <c r="I18" s="17">
        <v>0.21</v>
      </c>
      <c r="J18" s="17">
        <v>0.05</v>
      </c>
      <c r="K18" s="15">
        <f t="shared" si="9"/>
        <v>12826.157609999997</v>
      </c>
      <c r="L18" s="15">
        <f t="shared" si="10"/>
        <v>7582.9190000000008</v>
      </c>
      <c r="M18" s="15">
        <f t="shared" si="2"/>
        <v>3911512.817985001</v>
      </c>
      <c r="N18" s="15">
        <v>0</v>
      </c>
    </row>
    <row r="19" spans="1:14" x14ac:dyDescent="0.2">
      <c r="A19" s="14">
        <v>44531</v>
      </c>
      <c r="C19" s="15">
        <f>41905553</f>
        <v>41905553</v>
      </c>
      <c r="D19" s="16">
        <f>81716</f>
        <v>81716</v>
      </c>
      <c r="E19" s="11">
        <f>150375.86</f>
        <v>150375.85999999999</v>
      </c>
      <c r="F19" s="11">
        <f>233374.38</f>
        <v>233374.38</v>
      </c>
      <c r="G19" s="15">
        <f t="shared" si="7"/>
        <v>68659.859999999986</v>
      </c>
      <c r="H19" s="15">
        <f t="shared" si="8"/>
        <v>151658.38</v>
      </c>
      <c r="I19" s="17">
        <v>0.21</v>
      </c>
      <c r="J19" s="17">
        <v>0.05</v>
      </c>
      <c r="K19" s="15">
        <f t="shared" si="9"/>
        <v>12826.157609999997</v>
      </c>
      <c r="L19" s="15">
        <f t="shared" si="10"/>
        <v>7582.9190000000008</v>
      </c>
      <c r="M19" s="15">
        <f t="shared" si="2"/>
        <v>3931921.8945950014</v>
      </c>
      <c r="N19" s="15">
        <v>0</v>
      </c>
    </row>
    <row r="20" spans="1:14" x14ac:dyDescent="0.2">
      <c r="A20" s="14">
        <v>44562</v>
      </c>
      <c r="C20" s="15">
        <f>41905553</f>
        <v>41905553</v>
      </c>
      <c r="D20" s="16">
        <f>81716</f>
        <v>81716</v>
      </c>
      <c r="E20" s="11">
        <v>139113.82999999999</v>
      </c>
      <c r="F20" s="11">
        <v>215897.07</v>
      </c>
      <c r="G20" s="15">
        <f>E20-D20</f>
        <v>57397.829999999987</v>
      </c>
      <c r="H20" s="15">
        <f>F20-D20</f>
        <v>134181.07</v>
      </c>
      <c r="I20" s="17">
        <v>0.21</v>
      </c>
      <c r="J20" s="17">
        <v>0.05</v>
      </c>
      <c r="K20" s="15">
        <f>G20*I20-L20*I20</f>
        <v>10644.643064999998</v>
      </c>
      <c r="L20" s="15">
        <f>H20*J20</f>
        <v>6709.0535000000009</v>
      </c>
      <c r="M20" s="15">
        <f t="shared" si="2"/>
        <v>3949275.5911600012</v>
      </c>
      <c r="N20" s="15">
        <v>0</v>
      </c>
    </row>
    <row r="21" spans="1:14" x14ac:dyDescent="0.2">
      <c r="A21" s="14">
        <v>44593</v>
      </c>
      <c r="C21" s="15">
        <v>41905553</v>
      </c>
      <c r="D21" s="16">
        <v>81715.5</v>
      </c>
      <c r="E21" s="16">
        <f>139114.49</f>
        <v>139114.49</v>
      </c>
      <c r="F21" s="16">
        <f>215897.49</f>
        <v>215897.49</v>
      </c>
      <c r="G21" s="15">
        <f>E21-D21</f>
        <v>57398.989999999991</v>
      </c>
      <c r="H21" s="15">
        <f>F21-D21</f>
        <v>134181.99</v>
      </c>
      <c r="I21" s="17">
        <v>0.21</v>
      </c>
      <c r="J21" s="17">
        <v>0.05</v>
      </c>
      <c r="K21" s="15">
        <f>G21*I21-L21*I21</f>
        <v>10644.877004999998</v>
      </c>
      <c r="L21" s="15">
        <f>H21*J21</f>
        <v>6709.0995000000003</v>
      </c>
      <c r="M21" s="15">
        <f t="shared" si="2"/>
        <v>3966629.5676650014</v>
      </c>
      <c r="N21" s="15">
        <v>0</v>
      </c>
    </row>
    <row r="22" spans="1:14" x14ac:dyDescent="0.2">
      <c r="A22" s="14">
        <v>44629</v>
      </c>
      <c r="C22" s="15">
        <v>41905553</v>
      </c>
      <c r="D22" s="16">
        <v>81716.490000000005</v>
      </c>
      <c r="E22" s="11">
        <f t="shared" ref="E22:E27" si="11">139113.83</f>
        <v>139113.82999999999</v>
      </c>
      <c r="F22" s="11">
        <f t="shared" ref="F22:F27" si="12">215897.07</f>
        <v>215897.07</v>
      </c>
      <c r="G22" s="15">
        <f>E22-D22</f>
        <v>57397.339999999982</v>
      </c>
      <c r="H22" s="15">
        <f>F22-D22</f>
        <v>134180.58000000002</v>
      </c>
      <c r="I22" s="17">
        <v>0.21</v>
      </c>
      <c r="J22" s="17">
        <v>0.05</v>
      </c>
      <c r="K22" s="15">
        <f>G22*I22-L22*I22</f>
        <v>10644.545309999996</v>
      </c>
      <c r="L22" s="15">
        <f>H22*J22</f>
        <v>6709.0290000000014</v>
      </c>
      <c r="M22" s="15">
        <f t="shared" si="2"/>
        <v>3983983.1419750014</v>
      </c>
      <c r="N22" s="15">
        <v>0</v>
      </c>
    </row>
    <row r="23" spans="1:14" x14ac:dyDescent="0.2">
      <c r="A23" s="14">
        <v>44652</v>
      </c>
      <c r="C23" s="15">
        <v>41905553</v>
      </c>
      <c r="D23" s="16">
        <v>81716</v>
      </c>
      <c r="E23" s="11">
        <f t="shared" si="11"/>
        <v>139113.82999999999</v>
      </c>
      <c r="F23" s="11">
        <f t="shared" si="12"/>
        <v>215897.07</v>
      </c>
      <c r="G23" s="15">
        <f t="shared" ref="G23:G25" si="13">E23-D23</f>
        <v>57397.829999999987</v>
      </c>
      <c r="H23" s="15">
        <f t="shared" ref="H23:H25" si="14">F23-D23</f>
        <v>134181.07</v>
      </c>
      <c r="I23" s="17">
        <v>0.21</v>
      </c>
      <c r="J23" s="17">
        <v>0.05</v>
      </c>
      <c r="K23" s="15">
        <f t="shared" ref="K23:K25" si="15">G23*I23-L23*I23</f>
        <v>10644.643064999998</v>
      </c>
      <c r="L23" s="15">
        <f t="shared" ref="L23:L25" si="16">H23*J23</f>
        <v>6709.0535000000009</v>
      </c>
      <c r="M23" s="15">
        <f t="shared" si="2"/>
        <v>4001336.8385400013</v>
      </c>
      <c r="N23" s="15">
        <v>0</v>
      </c>
    </row>
    <row r="24" spans="1:14" x14ac:dyDescent="0.2">
      <c r="A24" s="14">
        <v>44682</v>
      </c>
      <c r="C24" s="15">
        <v>41905553</v>
      </c>
      <c r="D24" s="16">
        <v>81716</v>
      </c>
      <c r="E24" s="11">
        <f t="shared" si="11"/>
        <v>139113.82999999999</v>
      </c>
      <c r="F24" s="11">
        <f t="shared" si="12"/>
        <v>215897.07</v>
      </c>
      <c r="G24" s="15">
        <f t="shared" si="13"/>
        <v>57397.829999999987</v>
      </c>
      <c r="H24" s="15">
        <f t="shared" si="14"/>
        <v>134181.07</v>
      </c>
      <c r="I24" s="17">
        <v>0.21</v>
      </c>
      <c r="J24" s="17">
        <v>0.05</v>
      </c>
      <c r="K24" s="15">
        <f t="shared" si="15"/>
        <v>10644.643064999998</v>
      </c>
      <c r="L24" s="15">
        <f t="shared" si="16"/>
        <v>6709.0535000000009</v>
      </c>
      <c r="M24" s="15">
        <f t="shared" si="2"/>
        <v>4018690.5351050012</v>
      </c>
      <c r="N24" s="15">
        <v>0</v>
      </c>
    </row>
    <row r="25" spans="1:14" x14ac:dyDescent="0.2">
      <c r="A25" s="14">
        <v>44713</v>
      </c>
      <c r="C25" s="15">
        <v>41905553</v>
      </c>
      <c r="D25" s="16">
        <v>81715.5</v>
      </c>
      <c r="E25" s="11">
        <f>139114.49</f>
        <v>139114.49</v>
      </c>
      <c r="F25" s="11">
        <f>215897.49</f>
        <v>215897.49</v>
      </c>
      <c r="G25" s="15">
        <f t="shared" si="13"/>
        <v>57398.989999999991</v>
      </c>
      <c r="H25" s="15">
        <f t="shared" si="14"/>
        <v>134181.99</v>
      </c>
      <c r="I25" s="17">
        <v>0.21</v>
      </c>
      <c r="J25" s="17">
        <v>0.05</v>
      </c>
      <c r="K25" s="15">
        <f t="shared" si="15"/>
        <v>10644.877004999998</v>
      </c>
      <c r="L25" s="15">
        <f t="shared" si="16"/>
        <v>6709.0995000000003</v>
      </c>
      <c r="M25" s="15">
        <f t="shared" si="2"/>
        <v>4036044.5116100013</v>
      </c>
      <c r="N25" s="15">
        <v>0</v>
      </c>
    </row>
    <row r="26" spans="1:14" x14ac:dyDescent="0.2">
      <c r="A26" s="14">
        <v>44743</v>
      </c>
      <c r="C26" s="15">
        <v>41905553</v>
      </c>
      <c r="D26" s="16">
        <v>81716</v>
      </c>
      <c r="E26" s="11">
        <f t="shared" si="11"/>
        <v>139113.82999999999</v>
      </c>
      <c r="F26" s="11">
        <f t="shared" si="12"/>
        <v>215897.07</v>
      </c>
      <c r="G26" s="15">
        <f>E26-D26</f>
        <v>57397.829999999987</v>
      </c>
      <c r="H26" s="15">
        <f>F26-D26</f>
        <v>134181.07</v>
      </c>
      <c r="I26" s="17">
        <v>0.21</v>
      </c>
      <c r="J26" s="17">
        <v>0.05</v>
      </c>
      <c r="K26" s="15">
        <f>G26*I26-L26*I26</f>
        <v>10644.643064999998</v>
      </c>
      <c r="L26" s="15">
        <f>H26*J26</f>
        <v>6709.0535000000009</v>
      </c>
      <c r="M26" s="15">
        <f t="shared" si="2"/>
        <v>4053398.2081750012</v>
      </c>
      <c r="N26" s="15">
        <v>0</v>
      </c>
    </row>
    <row r="27" spans="1:14" x14ac:dyDescent="0.2">
      <c r="A27" s="14">
        <v>44774</v>
      </c>
      <c r="C27" s="15">
        <v>41905553</v>
      </c>
      <c r="D27" s="16">
        <v>81716</v>
      </c>
      <c r="E27" s="11">
        <f t="shared" si="11"/>
        <v>139113.82999999999</v>
      </c>
      <c r="F27" s="11">
        <f t="shared" si="12"/>
        <v>215897.07</v>
      </c>
      <c r="G27" s="15">
        <f>E27-D27</f>
        <v>57397.829999999987</v>
      </c>
      <c r="H27" s="15">
        <f>F27-D27</f>
        <v>134181.07</v>
      </c>
      <c r="I27" s="17">
        <v>0.21</v>
      </c>
      <c r="J27" s="17">
        <v>0.05</v>
      </c>
      <c r="K27" s="15">
        <f>G27*I27-L27*I27</f>
        <v>10644.643064999998</v>
      </c>
      <c r="L27" s="15">
        <f>H27*J27</f>
        <v>6709.0535000000009</v>
      </c>
      <c r="M27" s="15">
        <f t="shared" si="2"/>
        <v>4070751.9047400011</v>
      </c>
      <c r="N27" s="15">
        <v>0</v>
      </c>
    </row>
    <row r="28" spans="1:14" x14ac:dyDescent="0.2">
      <c r="A28" s="14">
        <v>44813</v>
      </c>
      <c r="C28" s="15">
        <v>41905553</v>
      </c>
      <c r="D28" s="16">
        <v>81716</v>
      </c>
      <c r="E28" s="11">
        <v>139113.82999999999</v>
      </c>
      <c r="F28" s="11">
        <v>215897.07</v>
      </c>
      <c r="G28" s="15">
        <f>E28-D28</f>
        <v>57397.829999999987</v>
      </c>
      <c r="H28" s="15">
        <f>F28-D28</f>
        <v>134181.07</v>
      </c>
      <c r="I28" s="17">
        <v>0.21</v>
      </c>
      <c r="J28" s="17">
        <v>0.05</v>
      </c>
      <c r="K28" s="15">
        <f>G28*I28-L28*I28</f>
        <v>10644.643064999998</v>
      </c>
      <c r="L28" s="15">
        <f>H28*J28</f>
        <v>6709.0535000000009</v>
      </c>
      <c r="M28" s="15">
        <f t="shared" si="2"/>
        <v>4088105.6013050009</v>
      </c>
      <c r="N28" s="15">
        <v>0</v>
      </c>
    </row>
    <row r="29" spans="1:14" x14ac:dyDescent="0.2">
      <c r="A29" s="14">
        <v>44835</v>
      </c>
      <c r="C29" s="15">
        <v>41905553</v>
      </c>
      <c r="D29" s="16">
        <v>81716</v>
      </c>
      <c r="E29" s="11">
        <v>139113.82999999999</v>
      </c>
      <c r="F29" s="11">
        <v>215897.07</v>
      </c>
      <c r="G29" s="15">
        <f t="shared" ref="G29:G31" si="17">E29-D29</f>
        <v>57397.829999999987</v>
      </c>
      <c r="H29" s="15">
        <f t="shared" ref="H29:H31" si="18">F29-D29</f>
        <v>134181.07</v>
      </c>
      <c r="I29" s="17">
        <v>0.21</v>
      </c>
      <c r="J29" s="17">
        <v>0.05</v>
      </c>
      <c r="K29" s="15">
        <f t="shared" ref="K29:K31" si="19">G29*I29-L29*I29</f>
        <v>10644.643064999998</v>
      </c>
      <c r="L29" s="15">
        <f t="shared" ref="L29:L31" si="20">H29*J29</f>
        <v>6709.0535000000009</v>
      </c>
      <c r="M29" s="15">
        <f t="shared" si="2"/>
        <v>4105459.2978700008</v>
      </c>
      <c r="N29" s="15">
        <v>0</v>
      </c>
    </row>
    <row r="30" spans="1:14" x14ac:dyDescent="0.2">
      <c r="A30" s="14">
        <v>44866</v>
      </c>
      <c r="C30" s="15">
        <v>41905553</v>
      </c>
      <c r="D30" s="16">
        <v>81716</v>
      </c>
      <c r="E30" s="11">
        <v>139113.82999999999</v>
      </c>
      <c r="F30" s="11">
        <v>215897.07</v>
      </c>
      <c r="G30" s="15">
        <f t="shared" si="17"/>
        <v>57397.829999999987</v>
      </c>
      <c r="H30" s="15">
        <f t="shared" si="18"/>
        <v>134181.07</v>
      </c>
      <c r="I30" s="17">
        <v>0.21</v>
      </c>
      <c r="J30" s="17">
        <v>0.05</v>
      </c>
      <c r="K30" s="15">
        <f t="shared" si="19"/>
        <v>10644.643064999998</v>
      </c>
      <c r="L30" s="15">
        <f t="shared" si="20"/>
        <v>6709.0535000000009</v>
      </c>
      <c r="M30" s="15">
        <f t="shared" si="2"/>
        <v>4122812.9944350007</v>
      </c>
      <c r="N30" s="15">
        <v>0</v>
      </c>
    </row>
    <row r="31" spans="1:14" x14ac:dyDescent="0.2">
      <c r="A31" s="14">
        <v>44896</v>
      </c>
      <c r="C31" s="15">
        <v>41905553</v>
      </c>
      <c r="D31" s="16">
        <v>81716</v>
      </c>
      <c r="E31" s="11">
        <v>139113.82999999999</v>
      </c>
      <c r="F31" s="11">
        <v>215897.07</v>
      </c>
      <c r="G31" s="15">
        <f t="shared" si="17"/>
        <v>57397.829999999987</v>
      </c>
      <c r="H31" s="15">
        <f t="shared" si="18"/>
        <v>134181.07</v>
      </c>
      <c r="I31" s="17">
        <v>0.21</v>
      </c>
      <c r="J31" s="17">
        <v>0.05</v>
      </c>
      <c r="K31" s="15">
        <f t="shared" si="19"/>
        <v>10644.643064999998</v>
      </c>
      <c r="L31" s="15">
        <f t="shared" si="20"/>
        <v>6709.0535000000009</v>
      </c>
      <c r="M31" s="15">
        <f t="shared" si="2"/>
        <v>4140166.6910000006</v>
      </c>
      <c r="N31" s="15">
        <v>0</v>
      </c>
    </row>
    <row r="32" spans="1:14" x14ac:dyDescent="0.2">
      <c r="A32" s="14">
        <v>44927</v>
      </c>
      <c r="C32" s="15">
        <v>41905553</v>
      </c>
      <c r="D32" s="16">
        <v>81716</v>
      </c>
      <c r="E32" s="11">
        <f>128665.36</f>
        <v>128665.36</v>
      </c>
      <c r="F32" s="11">
        <f>199680.84</f>
        <v>199680.84</v>
      </c>
      <c r="G32" s="15">
        <f>E32-D32</f>
        <v>46949.36</v>
      </c>
      <c r="H32" s="15">
        <f>F32-D32</f>
        <v>117964.84</v>
      </c>
      <c r="I32" s="17">
        <v>0.21</v>
      </c>
      <c r="J32" s="17">
        <v>0.05</v>
      </c>
      <c r="K32" s="15">
        <f>G32*I32-L32*I32</f>
        <v>8620.7347799999989</v>
      </c>
      <c r="L32" s="15">
        <f>H32*J32</f>
        <v>5898.2420000000002</v>
      </c>
      <c r="M32" s="15">
        <f t="shared" si="2"/>
        <v>4154685.6677800007</v>
      </c>
      <c r="N32" s="15">
        <v>0</v>
      </c>
    </row>
    <row r="33" spans="1:14" x14ac:dyDescent="0.2">
      <c r="A33" s="14">
        <v>44958</v>
      </c>
      <c r="C33" s="15">
        <v>41905553</v>
      </c>
      <c r="D33" s="16">
        <v>81716</v>
      </c>
      <c r="E33" s="11">
        <f>128665.36</f>
        <v>128665.36</v>
      </c>
      <c r="F33" s="11">
        <f>199680.84</f>
        <v>199680.84</v>
      </c>
      <c r="G33" s="15">
        <f>E33-D33</f>
        <v>46949.36</v>
      </c>
      <c r="H33" s="15">
        <f>F33-D33</f>
        <v>117964.84</v>
      </c>
      <c r="I33" s="17">
        <v>0.21</v>
      </c>
      <c r="J33" s="17">
        <v>0.05</v>
      </c>
      <c r="K33" s="15">
        <f>G33*I33-L33*I33</f>
        <v>8620.7347799999989</v>
      </c>
      <c r="L33" s="15">
        <f>H33*J33</f>
        <v>5898.2420000000002</v>
      </c>
      <c r="M33" s="15">
        <f t="shared" si="2"/>
        <v>4169204.6445600009</v>
      </c>
      <c r="N33" s="15">
        <v>0</v>
      </c>
    </row>
    <row r="34" spans="1:14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2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C37" s="46" t="s">
        <v>65</v>
      </c>
      <c r="D37" s="44"/>
      <c r="E37" s="44"/>
      <c r="F37" s="44"/>
      <c r="G37" s="44"/>
      <c r="H37" s="44"/>
      <c r="I37" s="44"/>
      <c r="J37" s="44"/>
    </row>
    <row r="38" spans="1:14" x14ac:dyDescent="0.2">
      <c r="C38" s="46" t="s">
        <v>22</v>
      </c>
      <c r="D38" s="44"/>
      <c r="E38" s="44"/>
      <c r="F38" s="44"/>
      <c r="G38" s="44"/>
      <c r="H38" s="44"/>
      <c r="I38" s="44"/>
      <c r="J38" s="44"/>
    </row>
    <row r="39" spans="1:14" x14ac:dyDescent="0.2">
      <c r="C39" s="46" t="s">
        <v>67</v>
      </c>
      <c r="D39" s="44"/>
      <c r="E39" s="44"/>
      <c r="F39" s="44"/>
      <c r="G39" s="44"/>
      <c r="H39" s="44"/>
      <c r="I39" s="44"/>
      <c r="J39" s="44"/>
    </row>
    <row r="40" spans="1:14" x14ac:dyDescent="0.2">
      <c r="C40" s="41" t="s">
        <v>24</v>
      </c>
      <c r="D40" s="44"/>
      <c r="E40" s="44"/>
      <c r="F40" s="44"/>
      <c r="G40" s="44"/>
      <c r="H40" s="44"/>
      <c r="I40" s="44"/>
      <c r="J40" s="44"/>
    </row>
    <row r="42" spans="1:14" x14ac:dyDescent="0.2">
      <c r="C42" s="41" t="s">
        <v>25</v>
      </c>
      <c r="D42" s="42" t="s">
        <v>26</v>
      </c>
      <c r="E42" s="43" t="s">
        <v>27</v>
      </c>
      <c r="F42" s="41" t="s">
        <v>28</v>
      </c>
      <c r="G42" s="47" t="s">
        <v>12</v>
      </c>
      <c r="H42" s="41" t="s">
        <v>29</v>
      </c>
      <c r="I42" s="44"/>
      <c r="J42" s="44"/>
    </row>
    <row r="43" spans="1:14" x14ac:dyDescent="0.2">
      <c r="C43" s="41">
        <v>175037.2</v>
      </c>
      <c r="D43" s="41">
        <v>81716</v>
      </c>
      <c r="E43" s="41">
        <v>712.98</v>
      </c>
      <c r="F43" s="41">
        <f>-D43+E43</f>
        <v>-81003.02</v>
      </c>
      <c r="G43" s="47">
        <v>0.21</v>
      </c>
      <c r="H43" s="41">
        <f>F43*G43</f>
        <v>-17010.6342</v>
      </c>
      <c r="I43" s="44"/>
      <c r="J43" s="44"/>
    </row>
    <row r="44" spans="1:14" x14ac:dyDescent="0.2">
      <c r="C44" s="41">
        <v>25712341</v>
      </c>
      <c r="D44" s="41"/>
      <c r="E44" s="41">
        <v>122412.17</v>
      </c>
      <c r="F44" s="41">
        <f>E44</f>
        <v>122412.17</v>
      </c>
      <c r="G44" s="47">
        <v>0.21</v>
      </c>
      <c r="H44" s="41">
        <f>F44*G44</f>
        <v>25706.555699999997</v>
      </c>
      <c r="I44" s="44"/>
      <c r="J44" s="44"/>
    </row>
    <row r="45" spans="1:14" ht="15" x14ac:dyDescent="0.35">
      <c r="C45" s="49">
        <v>1076291.1100000001</v>
      </c>
      <c r="D45" s="41"/>
      <c r="E45" s="48">
        <v>5540.21</v>
      </c>
      <c r="F45" s="48">
        <f>E45</f>
        <v>5540.21</v>
      </c>
      <c r="G45" s="47">
        <v>0.21</v>
      </c>
      <c r="H45" s="48">
        <f>F45*G45</f>
        <v>1163.4440999999999</v>
      </c>
      <c r="I45" s="44"/>
      <c r="J45" s="44"/>
    </row>
    <row r="46" spans="1:14" x14ac:dyDescent="0.2">
      <c r="C46" s="44"/>
      <c r="D46" s="44"/>
      <c r="E46" s="41">
        <f>SUM(E43:E45)</f>
        <v>128665.36</v>
      </c>
      <c r="F46" s="41">
        <f>SUM(F43:F45)</f>
        <v>46949.359999999993</v>
      </c>
      <c r="G46" s="44" t="s">
        <v>30</v>
      </c>
      <c r="H46" s="41">
        <f>SUM(H43:H45)</f>
        <v>9859.3655999999974</v>
      </c>
      <c r="I46" s="44"/>
      <c r="J46" s="44"/>
    </row>
    <row r="47" spans="1:14" ht="15" x14ac:dyDescent="0.35">
      <c r="C47" s="44"/>
      <c r="D47" s="44"/>
      <c r="E47" s="44"/>
      <c r="F47" s="44"/>
      <c r="G47" s="44" t="s">
        <v>31</v>
      </c>
      <c r="H47" s="48">
        <f>-H54*0.21</f>
        <v>-1238.6309249999999</v>
      </c>
      <c r="I47" s="44"/>
      <c r="J47" s="44"/>
    </row>
    <row r="48" spans="1:14" x14ac:dyDescent="0.2">
      <c r="C48" s="44"/>
      <c r="D48" s="44"/>
      <c r="E48" s="44"/>
      <c r="F48" s="44"/>
      <c r="G48" s="44"/>
      <c r="H48" s="41">
        <f>H46+H47</f>
        <v>8620.7346749999979</v>
      </c>
      <c r="I48" s="44"/>
      <c r="J48" s="44"/>
    </row>
    <row r="49" spans="3:10" x14ac:dyDescent="0.2">
      <c r="C49" s="44"/>
      <c r="D49" s="44"/>
      <c r="E49" s="44"/>
      <c r="F49" s="44"/>
      <c r="G49" s="44"/>
      <c r="H49" s="41">
        <f>H48-K33</f>
        <v>-1.050000009854557E-4</v>
      </c>
      <c r="I49" s="44"/>
      <c r="J49" s="44"/>
    </row>
    <row r="50" spans="3:10" x14ac:dyDescent="0.2">
      <c r="C50" s="41" t="s">
        <v>33</v>
      </c>
      <c r="D50" s="45" t="s">
        <v>26</v>
      </c>
      <c r="E50" s="43" t="s">
        <v>34</v>
      </c>
      <c r="F50" s="41" t="s">
        <v>35</v>
      </c>
      <c r="G50" s="47" t="s">
        <v>13</v>
      </c>
      <c r="H50" s="41" t="s">
        <v>36</v>
      </c>
      <c r="I50" s="44"/>
      <c r="J50" s="44"/>
    </row>
    <row r="51" spans="3:10" x14ac:dyDescent="0.2">
      <c r="C51" s="41">
        <v>350074.4</v>
      </c>
      <c r="D51" s="41">
        <v>81716</v>
      </c>
      <c r="E51" s="41">
        <v>1425.97</v>
      </c>
      <c r="F51" s="41">
        <f>-D51+E51</f>
        <v>-80290.03</v>
      </c>
      <c r="G51" s="47">
        <v>0.05</v>
      </c>
      <c r="H51" s="41">
        <f>F51*G51</f>
        <v>-4014.5015000000003</v>
      </c>
    </row>
    <row r="52" spans="3:10" x14ac:dyDescent="0.2">
      <c r="C52" s="41">
        <v>40479188</v>
      </c>
      <c r="D52" s="41"/>
      <c r="E52" s="41">
        <v>192714.67</v>
      </c>
      <c r="F52" s="41">
        <f>E52</f>
        <v>192714.67</v>
      </c>
      <c r="G52" s="47">
        <v>0.05</v>
      </c>
      <c r="H52" s="41">
        <f>F52*G52</f>
        <v>9635.7335000000003</v>
      </c>
    </row>
    <row r="53" spans="3:10" ht="15" x14ac:dyDescent="0.35">
      <c r="C53" s="41">
        <v>1076291.1100000001</v>
      </c>
      <c r="D53" s="41"/>
      <c r="E53" s="48">
        <v>5540.21</v>
      </c>
      <c r="F53" s="48">
        <f>E53</f>
        <v>5540.21</v>
      </c>
      <c r="G53" s="47">
        <v>0.05</v>
      </c>
      <c r="H53" s="48">
        <f>F53*G53</f>
        <v>277.01050000000004</v>
      </c>
    </row>
    <row r="54" spans="3:10" x14ac:dyDescent="0.2">
      <c r="C54" s="44"/>
      <c r="D54" s="44"/>
      <c r="E54" s="41">
        <f>SUM(E51:E53)</f>
        <v>199680.85</v>
      </c>
      <c r="F54" s="41">
        <f>SUM(F51:F53)</f>
        <v>117964.85000000002</v>
      </c>
      <c r="G54" s="44"/>
      <c r="H54" s="41">
        <f>SUM(H51:H53)</f>
        <v>5898.2425000000003</v>
      </c>
    </row>
    <row r="55" spans="3:10" x14ac:dyDescent="0.2">
      <c r="C55" s="44"/>
      <c r="D55" s="44"/>
      <c r="E55" s="44"/>
      <c r="F55" s="44"/>
      <c r="G55" s="44"/>
      <c r="H55" s="41">
        <f>H54-L33</f>
        <v>5.0000000010186341E-4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13 of 15
Clements</oddHeader>
    <oddFooter>&amp;L_x000D_&amp;1#&amp;"Calibri"&amp;14&amp;K000000 Business Use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ACCB-F48D-4228-A94F-8BB2377776BF}">
  <dimension ref="A1:Q33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2">
      <c r="A5" s="5" t="s">
        <v>56</v>
      </c>
    </row>
    <row r="6" spans="1:17" x14ac:dyDescent="0.2">
      <c r="A6" s="6" t="s">
        <v>66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428808</v>
      </c>
    </row>
    <row r="10" spans="1:17" x14ac:dyDescent="0.2">
      <c r="A10" s="14">
        <v>44264</v>
      </c>
      <c r="C10" s="15">
        <v>25358416</v>
      </c>
      <c r="D10" s="16">
        <v>108159</v>
      </c>
      <c r="E10" s="11">
        <f t="shared" ref="E10:F13" si="0">310255.57</f>
        <v>310255.57</v>
      </c>
      <c r="F10" s="11">
        <f t="shared" si="0"/>
        <v>310255.57</v>
      </c>
      <c r="G10" s="15">
        <f>E10-D10</f>
        <v>202096.57</v>
      </c>
      <c r="H10" s="15">
        <f>F10-D10</f>
        <v>202096.57</v>
      </c>
      <c r="I10" s="17">
        <v>0.21</v>
      </c>
      <c r="J10" s="17">
        <v>0.05</v>
      </c>
      <c r="K10" s="15">
        <f>G10*I10-L10*I10</f>
        <v>40318.265715000001</v>
      </c>
      <c r="L10" s="15">
        <f>H10*J10</f>
        <v>10104.828500000001</v>
      </c>
      <c r="M10" s="15">
        <f t="shared" ref="M10:M33" si="1">M9+K10+L10</f>
        <v>479231.09421499999</v>
      </c>
      <c r="N10" s="15">
        <v>0</v>
      </c>
      <c r="P10" s="13"/>
    </row>
    <row r="11" spans="1:17" x14ac:dyDescent="0.2">
      <c r="A11" s="14">
        <v>44287</v>
      </c>
      <c r="C11" s="15">
        <v>25358416</v>
      </c>
      <c r="D11" s="16">
        <v>108159</v>
      </c>
      <c r="E11" s="11">
        <f t="shared" si="0"/>
        <v>310255.57</v>
      </c>
      <c r="F11" s="11">
        <f t="shared" si="0"/>
        <v>310255.57</v>
      </c>
      <c r="G11" s="15">
        <f t="shared" ref="G11:G13" si="2">E11-D11</f>
        <v>202096.57</v>
      </c>
      <c r="H11" s="15">
        <f t="shared" ref="H11:H13" si="3">F11-D11</f>
        <v>202096.57</v>
      </c>
      <c r="I11" s="17">
        <v>0.21</v>
      </c>
      <c r="J11" s="17">
        <v>0.05</v>
      </c>
      <c r="K11" s="15">
        <f t="shared" ref="K11:K13" si="4">G11*I11-L11*I11</f>
        <v>40318.265715000001</v>
      </c>
      <c r="L11" s="15">
        <f t="shared" ref="L11:L13" si="5">H11*J11</f>
        <v>10104.828500000001</v>
      </c>
      <c r="M11" s="15">
        <f t="shared" si="1"/>
        <v>529654.18842999998</v>
      </c>
      <c r="N11" s="15">
        <v>0</v>
      </c>
      <c r="O11" s="15"/>
      <c r="P11" s="13"/>
    </row>
    <row r="12" spans="1:17" x14ac:dyDescent="0.2">
      <c r="A12" s="14">
        <v>44317</v>
      </c>
      <c r="C12" s="15">
        <v>25358416</v>
      </c>
      <c r="D12" s="16">
        <v>108159</v>
      </c>
      <c r="E12" s="11">
        <f t="shared" si="0"/>
        <v>310255.57</v>
      </c>
      <c r="F12" s="11">
        <f t="shared" si="0"/>
        <v>310255.57</v>
      </c>
      <c r="G12" s="15">
        <f t="shared" si="2"/>
        <v>202096.57</v>
      </c>
      <c r="H12" s="15">
        <f t="shared" si="3"/>
        <v>202096.57</v>
      </c>
      <c r="I12" s="17">
        <v>0.21</v>
      </c>
      <c r="J12" s="17">
        <v>0.05</v>
      </c>
      <c r="K12" s="15">
        <f t="shared" si="4"/>
        <v>40318.265715000001</v>
      </c>
      <c r="L12" s="15">
        <f t="shared" si="5"/>
        <v>10104.828500000001</v>
      </c>
      <c r="M12" s="15">
        <f t="shared" si="1"/>
        <v>580077.28264499991</v>
      </c>
      <c r="N12" s="15">
        <v>0</v>
      </c>
      <c r="O12" s="13"/>
    </row>
    <row r="13" spans="1:17" x14ac:dyDescent="0.2">
      <c r="A13" s="14">
        <v>44348</v>
      </c>
      <c r="C13" s="15">
        <v>25358416</v>
      </c>
      <c r="D13" s="16">
        <v>108159</v>
      </c>
      <c r="E13" s="11">
        <f t="shared" si="0"/>
        <v>310255.57</v>
      </c>
      <c r="F13" s="11">
        <f t="shared" si="0"/>
        <v>310255.57</v>
      </c>
      <c r="G13" s="15">
        <f t="shared" si="2"/>
        <v>202096.57</v>
      </c>
      <c r="H13" s="15">
        <f t="shared" si="3"/>
        <v>202096.57</v>
      </c>
      <c r="I13" s="17">
        <v>0.21</v>
      </c>
      <c r="J13" s="17">
        <v>0.05</v>
      </c>
      <c r="K13" s="15">
        <f t="shared" si="4"/>
        <v>40318.265715000001</v>
      </c>
      <c r="L13" s="15">
        <f t="shared" si="5"/>
        <v>10104.828500000001</v>
      </c>
      <c r="M13" s="15">
        <f t="shared" si="1"/>
        <v>630500.37685999984</v>
      </c>
      <c r="N13" s="15">
        <v>0</v>
      </c>
      <c r="O13" s="15"/>
    </row>
    <row r="14" spans="1:17" x14ac:dyDescent="0.2">
      <c r="A14" s="14">
        <v>44378</v>
      </c>
      <c r="C14" s="15">
        <v>25358416</v>
      </c>
      <c r="D14" s="16">
        <v>108159</v>
      </c>
      <c r="E14" s="11">
        <f t="shared" ref="E14:F16" si="6">310255.57</f>
        <v>310255.57</v>
      </c>
      <c r="F14" s="11">
        <f t="shared" si="6"/>
        <v>310255.57</v>
      </c>
      <c r="G14" s="15">
        <f>E14-D14</f>
        <v>202096.57</v>
      </c>
      <c r="H14" s="15">
        <f>F14-D14</f>
        <v>202096.57</v>
      </c>
      <c r="I14" s="17">
        <v>0.21</v>
      </c>
      <c r="J14" s="17">
        <v>0.05</v>
      </c>
      <c r="K14" s="15">
        <f>G14*I14-L14*I14</f>
        <v>40318.265715000001</v>
      </c>
      <c r="L14" s="15">
        <f>H14*J14</f>
        <v>10104.828500000001</v>
      </c>
      <c r="M14" s="15">
        <f t="shared" si="1"/>
        <v>680923.47107499978</v>
      </c>
      <c r="N14" s="15">
        <v>0</v>
      </c>
      <c r="O14" s="13"/>
      <c r="Q14" s="15"/>
    </row>
    <row r="15" spans="1:17" x14ac:dyDescent="0.2">
      <c r="A15" s="14">
        <v>44409</v>
      </c>
      <c r="C15" s="15">
        <v>25358416</v>
      </c>
      <c r="D15" s="16">
        <v>108159.49</v>
      </c>
      <c r="E15" s="16">
        <f t="shared" si="6"/>
        <v>310255.57</v>
      </c>
      <c r="F15" s="16">
        <f t="shared" si="6"/>
        <v>310255.57</v>
      </c>
      <c r="G15" s="15">
        <f>E15-D15</f>
        <v>202096.08000000002</v>
      </c>
      <c r="H15" s="15">
        <f>F15-D15</f>
        <v>202096.08000000002</v>
      </c>
      <c r="I15" s="17">
        <v>0.21</v>
      </c>
      <c r="J15" s="17">
        <v>0.05</v>
      </c>
      <c r="K15" s="15">
        <f>G15*I15-L15*I15</f>
        <v>40318.167959999999</v>
      </c>
      <c r="L15" s="15">
        <f>H15*J15</f>
        <v>10104.804000000002</v>
      </c>
      <c r="M15" s="15">
        <f t="shared" si="1"/>
        <v>731346.44303499977</v>
      </c>
      <c r="N15" s="15">
        <v>0</v>
      </c>
      <c r="O15" s="15"/>
      <c r="Q15" s="15"/>
    </row>
    <row r="16" spans="1:17" x14ac:dyDescent="0.2">
      <c r="A16" s="14">
        <v>44448</v>
      </c>
      <c r="C16" s="15">
        <f>25358416</f>
        <v>25358416</v>
      </c>
      <c r="D16" s="16">
        <f>108159.49</f>
        <v>108159.49</v>
      </c>
      <c r="E16" s="11">
        <f t="shared" si="6"/>
        <v>310255.57</v>
      </c>
      <c r="F16" s="11">
        <f t="shared" si="6"/>
        <v>310255.57</v>
      </c>
      <c r="G16" s="15">
        <f>E16-D16</f>
        <v>202096.08000000002</v>
      </c>
      <c r="H16" s="15">
        <f>F16-D16</f>
        <v>202096.08000000002</v>
      </c>
      <c r="I16" s="17">
        <v>0.21</v>
      </c>
      <c r="J16" s="17">
        <v>0.05</v>
      </c>
      <c r="K16" s="15">
        <f>G16*I16-L16*I16</f>
        <v>40318.167959999999</v>
      </c>
      <c r="L16" s="15">
        <f>H16*J16</f>
        <v>10104.804000000002</v>
      </c>
      <c r="M16" s="15">
        <f t="shared" si="1"/>
        <v>781769.41499499977</v>
      </c>
      <c r="N16" s="15">
        <v>0</v>
      </c>
      <c r="O16" s="19"/>
    </row>
    <row r="17" spans="1:14" x14ac:dyDescent="0.2">
      <c r="A17" s="14">
        <v>44470</v>
      </c>
      <c r="C17" s="15">
        <f>25358416</f>
        <v>25358416</v>
      </c>
      <c r="D17" s="16">
        <f>108158.5</f>
        <v>108158.5</v>
      </c>
      <c r="E17" s="11">
        <f>310255.57+0.75</f>
        <v>310256.32</v>
      </c>
      <c r="F17" s="11">
        <f>310255.57+0.75</f>
        <v>310256.32</v>
      </c>
      <c r="G17" s="15">
        <f t="shared" ref="G17:G19" si="7">E17-D17</f>
        <v>202097.82</v>
      </c>
      <c r="H17" s="15">
        <f t="shared" ref="H17:H19" si="8">F17-D17</f>
        <v>202097.82</v>
      </c>
      <c r="I17" s="17">
        <v>0.21</v>
      </c>
      <c r="J17" s="17">
        <v>0.05</v>
      </c>
      <c r="K17" s="15">
        <f t="shared" ref="K17:K19" si="9">G17*I17-L17*I17</f>
        <v>40318.515090000001</v>
      </c>
      <c r="L17" s="15">
        <f t="shared" ref="L17:L19" si="10">H17*J17</f>
        <v>10104.891000000001</v>
      </c>
      <c r="M17" s="15">
        <f t="shared" si="1"/>
        <v>832192.82108499971</v>
      </c>
      <c r="N17" s="15">
        <v>0</v>
      </c>
    </row>
    <row r="18" spans="1:14" x14ac:dyDescent="0.2">
      <c r="A18" s="14">
        <v>44501</v>
      </c>
      <c r="C18" s="15">
        <v>25672032</v>
      </c>
      <c r="D18" s="16">
        <v>108159</v>
      </c>
      <c r="E18" s="11">
        <f>310255.57</f>
        <v>310255.57</v>
      </c>
      <c r="F18" s="11">
        <f>310255.57</f>
        <v>310255.57</v>
      </c>
      <c r="G18" s="15">
        <f t="shared" si="7"/>
        <v>202096.57</v>
      </c>
      <c r="H18" s="15">
        <f t="shared" si="8"/>
        <v>202096.57</v>
      </c>
      <c r="I18" s="17">
        <v>0.21</v>
      </c>
      <c r="J18" s="17">
        <v>0.05</v>
      </c>
      <c r="K18" s="15">
        <f t="shared" si="9"/>
        <v>40318.265715000001</v>
      </c>
      <c r="L18" s="15">
        <f t="shared" si="10"/>
        <v>10104.828500000001</v>
      </c>
      <c r="M18" s="15">
        <f t="shared" si="1"/>
        <v>882615.91529999964</v>
      </c>
      <c r="N18" s="15">
        <v>0</v>
      </c>
    </row>
    <row r="19" spans="1:14" x14ac:dyDescent="0.2">
      <c r="A19" s="14">
        <v>44531</v>
      </c>
      <c r="C19" s="15">
        <v>25672032</v>
      </c>
      <c r="D19" s="16">
        <v>108159</v>
      </c>
      <c r="E19" s="11">
        <f>310255.57</f>
        <v>310255.57</v>
      </c>
      <c r="F19" s="11">
        <f>310255.57</f>
        <v>310255.57</v>
      </c>
      <c r="G19" s="15">
        <f t="shared" si="7"/>
        <v>202096.57</v>
      </c>
      <c r="H19" s="15">
        <f t="shared" si="8"/>
        <v>202096.57</v>
      </c>
      <c r="I19" s="17">
        <v>0.21</v>
      </c>
      <c r="J19" s="17">
        <v>0.05</v>
      </c>
      <c r="K19" s="15">
        <f t="shared" si="9"/>
        <v>40318.265715000001</v>
      </c>
      <c r="L19" s="15">
        <f t="shared" si="10"/>
        <v>10104.828500000001</v>
      </c>
      <c r="M19" s="15">
        <f t="shared" si="1"/>
        <v>933039.00951499958</v>
      </c>
      <c r="N19" s="15">
        <v>0</v>
      </c>
    </row>
    <row r="20" spans="1:14" x14ac:dyDescent="0.2">
      <c r="A20" s="14">
        <v>44562</v>
      </c>
      <c r="C20" s="15">
        <v>25672032</v>
      </c>
      <c r="D20" s="16">
        <v>108159</v>
      </c>
      <c r="E20" s="11">
        <v>305737.49</v>
      </c>
      <c r="F20" s="11">
        <v>305737.49</v>
      </c>
      <c r="G20" s="15">
        <f>E20-D20</f>
        <v>197578.49</v>
      </c>
      <c r="H20" s="15">
        <f>F20-D20</f>
        <v>197578.49</v>
      </c>
      <c r="I20" s="17">
        <v>0.21</v>
      </c>
      <c r="J20" s="17">
        <v>0.05</v>
      </c>
      <c r="K20" s="15">
        <f>G20*I20-L20*I20</f>
        <v>39416.908754999997</v>
      </c>
      <c r="L20" s="15">
        <f>H20*J20</f>
        <v>9878.924500000001</v>
      </c>
      <c r="M20" s="15">
        <f t="shared" si="1"/>
        <v>982334.84276999952</v>
      </c>
      <c r="N20" s="15">
        <v>0</v>
      </c>
    </row>
    <row r="21" spans="1:14" x14ac:dyDescent="0.2">
      <c r="A21" s="14">
        <v>44593</v>
      </c>
      <c r="C21" s="15">
        <v>25672032</v>
      </c>
      <c r="D21" s="16">
        <v>108158.5</v>
      </c>
      <c r="E21" s="16">
        <f>305737.49+0.1</f>
        <v>305737.58999999997</v>
      </c>
      <c r="F21" s="16">
        <f>305737.49+0.1</f>
        <v>305737.58999999997</v>
      </c>
      <c r="G21" s="15">
        <f>E21-D21</f>
        <v>197579.08999999997</v>
      </c>
      <c r="H21" s="15">
        <f>F21-D21</f>
        <v>197579.08999999997</v>
      </c>
      <c r="I21" s="17">
        <v>0.21</v>
      </c>
      <c r="J21" s="17">
        <v>0.05</v>
      </c>
      <c r="K21" s="15">
        <f>G21*I21-L21*I21</f>
        <v>39417.028454999992</v>
      </c>
      <c r="L21" s="15">
        <f>H21*J21</f>
        <v>9878.9544999999998</v>
      </c>
      <c r="M21" s="15">
        <f t="shared" si="1"/>
        <v>1031630.8257249995</v>
      </c>
      <c r="N21" s="15">
        <v>0</v>
      </c>
    </row>
    <row r="22" spans="1:14" x14ac:dyDescent="0.2">
      <c r="A22" s="14">
        <v>44629</v>
      </c>
      <c r="C22" s="15">
        <v>38352605</v>
      </c>
      <c r="D22" s="16">
        <v>135581</v>
      </c>
      <c r="E22" s="11">
        <f>438883.5-24681.26</f>
        <v>414202.24</v>
      </c>
      <c r="F22" s="11">
        <f>438883.5-24681.26</f>
        <v>414202.24</v>
      </c>
      <c r="G22" s="15">
        <f>E22-D22</f>
        <v>278621.24</v>
      </c>
      <c r="H22" s="15">
        <f>F22-D22</f>
        <v>278621.24</v>
      </c>
      <c r="I22" s="17">
        <v>0.21</v>
      </c>
      <c r="J22" s="17">
        <v>0.05</v>
      </c>
      <c r="K22" s="15">
        <f>G22*I22-L22*I22</f>
        <v>55584.937379999996</v>
      </c>
      <c r="L22" s="15">
        <f>H22*J22</f>
        <v>13931.062</v>
      </c>
      <c r="M22" s="15">
        <f t="shared" si="1"/>
        <v>1101146.8251049994</v>
      </c>
      <c r="N22" s="15">
        <v>0</v>
      </c>
    </row>
    <row r="23" spans="1:14" x14ac:dyDescent="0.2">
      <c r="A23" s="14">
        <v>44652</v>
      </c>
      <c r="C23" s="15">
        <v>38352605</v>
      </c>
      <c r="D23" s="16">
        <v>163002</v>
      </c>
      <c r="E23" s="11">
        <f>438883.5+2743.75</f>
        <v>441627.25</v>
      </c>
      <c r="F23" s="11">
        <f>438883.5+2743.75</f>
        <v>441627.25</v>
      </c>
      <c r="G23" s="15">
        <f t="shared" ref="G23:G25" si="11">E23-D23</f>
        <v>278625.25</v>
      </c>
      <c r="H23" s="15">
        <f t="shared" ref="H23:H25" si="12">F23-D23</f>
        <v>278625.25</v>
      </c>
      <c r="I23" s="17">
        <v>0.21</v>
      </c>
      <c r="J23" s="17">
        <v>0.05</v>
      </c>
      <c r="K23" s="15">
        <f t="shared" ref="K23:K25" si="13">G23*I23-L23*I23</f>
        <v>55585.737374999997</v>
      </c>
      <c r="L23" s="15">
        <f t="shared" ref="L23:L25" si="14">H23*J23</f>
        <v>13931.262500000001</v>
      </c>
      <c r="M23" s="15">
        <f t="shared" si="1"/>
        <v>1170663.8249799993</v>
      </c>
      <c r="N23" s="15">
        <v>0</v>
      </c>
    </row>
    <row r="24" spans="1:14" x14ac:dyDescent="0.2">
      <c r="A24" s="14">
        <v>44682</v>
      </c>
      <c r="C24" s="15">
        <v>38352605</v>
      </c>
      <c r="D24" s="16">
        <v>163002</v>
      </c>
      <c r="E24" s="11">
        <f>438883.5+2739.75</f>
        <v>441623.25</v>
      </c>
      <c r="F24" s="11">
        <f>438883.5+2739.75</f>
        <v>441623.25</v>
      </c>
      <c r="G24" s="15">
        <f t="shared" si="11"/>
        <v>278621.25</v>
      </c>
      <c r="H24" s="15">
        <f t="shared" si="12"/>
        <v>278621.25</v>
      </c>
      <c r="I24" s="17">
        <v>0.21</v>
      </c>
      <c r="J24" s="17">
        <v>0.05</v>
      </c>
      <c r="K24" s="15">
        <f t="shared" si="13"/>
        <v>55584.939375000002</v>
      </c>
      <c r="L24" s="15">
        <f t="shared" si="14"/>
        <v>13931.0625</v>
      </c>
      <c r="M24" s="15">
        <f t="shared" si="1"/>
        <v>1240179.8268549994</v>
      </c>
      <c r="N24" s="15">
        <v>0</v>
      </c>
    </row>
    <row r="25" spans="1:14" x14ac:dyDescent="0.2">
      <c r="A25" s="14">
        <v>44713</v>
      </c>
      <c r="C25" s="15">
        <v>38352605</v>
      </c>
      <c r="D25" s="16">
        <v>163001.5</v>
      </c>
      <c r="E25" s="11">
        <f>438883.5+2741.3</f>
        <v>441624.8</v>
      </c>
      <c r="F25" s="11">
        <f>438883.5+2741.3</f>
        <v>441624.8</v>
      </c>
      <c r="G25" s="15">
        <f t="shared" si="11"/>
        <v>278623.3</v>
      </c>
      <c r="H25" s="15">
        <f t="shared" si="12"/>
        <v>278623.3</v>
      </c>
      <c r="I25" s="17">
        <v>0.21</v>
      </c>
      <c r="J25" s="17">
        <v>0.05</v>
      </c>
      <c r="K25" s="15">
        <f t="shared" si="13"/>
        <v>55585.348349999993</v>
      </c>
      <c r="L25" s="15">
        <f t="shared" si="14"/>
        <v>13931.165000000001</v>
      </c>
      <c r="M25" s="15">
        <f t="shared" si="1"/>
        <v>1309696.3402049995</v>
      </c>
      <c r="N25" s="15">
        <v>0</v>
      </c>
    </row>
    <row r="26" spans="1:14" x14ac:dyDescent="0.2">
      <c r="A26" s="14">
        <v>44743</v>
      </c>
      <c r="C26" s="15">
        <v>38352605</v>
      </c>
      <c r="D26" s="16">
        <v>163002</v>
      </c>
      <c r="E26" s="11">
        <f>438883.5+2741.3</f>
        <v>441624.8</v>
      </c>
      <c r="F26" s="11">
        <f>438883.5+2741.3</f>
        <v>441624.8</v>
      </c>
      <c r="G26" s="15">
        <f>E26-D26</f>
        <v>278622.8</v>
      </c>
      <c r="H26" s="15">
        <f>F26-D26</f>
        <v>278622.8</v>
      </c>
      <c r="I26" s="17">
        <v>0.21</v>
      </c>
      <c r="J26" s="17">
        <v>0.05</v>
      </c>
      <c r="K26" s="15">
        <f>G26*I26-L26*I26</f>
        <v>55585.248599999992</v>
      </c>
      <c r="L26" s="15">
        <f>H26*J26</f>
        <v>13931.14</v>
      </c>
      <c r="M26" s="15">
        <f t="shared" si="1"/>
        <v>1379212.7288049995</v>
      </c>
      <c r="N26" s="15">
        <v>0</v>
      </c>
    </row>
    <row r="27" spans="1:14" x14ac:dyDescent="0.2">
      <c r="A27" s="14">
        <v>44774</v>
      </c>
      <c r="C27" s="15">
        <v>38352605</v>
      </c>
      <c r="D27" s="16">
        <v>163001.5</v>
      </c>
      <c r="E27" s="11">
        <f>438883.5+2741.7</f>
        <v>441625.2</v>
      </c>
      <c r="F27" s="11">
        <f>438883.5+2741.7</f>
        <v>441625.2</v>
      </c>
      <c r="G27" s="15">
        <f>E27-D27</f>
        <v>278623.7</v>
      </c>
      <c r="H27" s="15">
        <f>F27-D27</f>
        <v>278623.7</v>
      </c>
      <c r="I27" s="17">
        <v>0.21</v>
      </c>
      <c r="J27" s="17">
        <v>0.05</v>
      </c>
      <c r="K27" s="15">
        <f>G27*I27-L27*I27</f>
        <v>55585.42815</v>
      </c>
      <c r="L27" s="15">
        <f>H27*J27</f>
        <v>13931.185000000001</v>
      </c>
      <c r="M27" s="15">
        <f t="shared" si="1"/>
        <v>1448729.3419549996</v>
      </c>
      <c r="N27" s="15">
        <v>0</v>
      </c>
    </row>
    <row r="28" spans="1:14" x14ac:dyDescent="0.2">
      <c r="A28" s="14">
        <v>44813</v>
      </c>
      <c r="C28" s="15">
        <v>38352605</v>
      </c>
      <c r="D28" s="16">
        <v>163002</v>
      </c>
      <c r="E28" s="11">
        <v>441625.2</v>
      </c>
      <c r="F28" s="11">
        <v>441625.2</v>
      </c>
      <c r="G28" s="15">
        <f>E28-D28</f>
        <v>278623.2</v>
      </c>
      <c r="H28" s="15">
        <f>F28-D28</f>
        <v>278623.2</v>
      </c>
      <c r="I28" s="17">
        <v>0.21</v>
      </c>
      <c r="J28" s="17">
        <v>0.05</v>
      </c>
      <c r="K28" s="15">
        <f>G28*I28-L28*I28</f>
        <v>55585.328400000006</v>
      </c>
      <c r="L28" s="15">
        <f>H28*J28</f>
        <v>13931.160000000002</v>
      </c>
      <c r="M28" s="15">
        <f t="shared" si="1"/>
        <v>1518245.8303549995</v>
      </c>
      <c r="N28" s="15">
        <v>0</v>
      </c>
    </row>
    <row r="29" spans="1:14" x14ac:dyDescent="0.2">
      <c r="A29" s="14">
        <v>44835</v>
      </c>
      <c r="C29" s="15">
        <v>38352605</v>
      </c>
      <c r="D29" s="16">
        <v>163002</v>
      </c>
      <c r="E29" s="11">
        <v>441625.2</v>
      </c>
      <c r="F29" s="11">
        <v>441625.2</v>
      </c>
      <c r="G29" s="15">
        <f t="shared" ref="G29:G31" si="15">E29-D29</f>
        <v>278623.2</v>
      </c>
      <c r="H29" s="15">
        <f t="shared" ref="H29:H31" si="16">F29-D29</f>
        <v>278623.2</v>
      </c>
      <c r="I29" s="17">
        <v>0.21</v>
      </c>
      <c r="J29" s="17">
        <v>0.05</v>
      </c>
      <c r="K29" s="15">
        <f t="shared" ref="K29:K31" si="17">G29*I29-L29*I29</f>
        <v>55585.328400000006</v>
      </c>
      <c r="L29" s="15">
        <f t="shared" ref="L29:L31" si="18">H29*J29</f>
        <v>13931.160000000002</v>
      </c>
      <c r="M29" s="15">
        <f t="shared" si="1"/>
        <v>1587762.3187549994</v>
      </c>
      <c r="N29" s="15">
        <v>0</v>
      </c>
    </row>
    <row r="30" spans="1:14" x14ac:dyDescent="0.2">
      <c r="A30" s="14">
        <v>44866</v>
      </c>
      <c r="C30" s="15">
        <v>38352605</v>
      </c>
      <c r="D30" s="16">
        <v>163002</v>
      </c>
      <c r="E30" s="11">
        <v>441625.2</v>
      </c>
      <c r="F30" s="11">
        <v>441625.2</v>
      </c>
      <c r="G30" s="15">
        <f t="shared" si="15"/>
        <v>278623.2</v>
      </c>
      <c r="H30" s="15">
        <f t="shared" si="16"/>
        <v>278623.2</v>
      </c>
      <c r="I30" s="17">
        <v>0.21</v>
      </c>
      <c r="J30" s="17">
        <v>0.05</v>
      </c>
      <c r="K30" s="15">
        <f t="shared" si="17"/>
        <v>55585.328400000006</v>
      </c>
      <c r="L30" s="15">
        <f t="shared" si="18"/>
        <v>13931.160000000002</v>
      </c>
      <c r="M30" s="15">
        <f t="shared" si="1"/>
        <v>1657278.8071549993</v>
      </c>
      <c r="N30" s="15">
        <v>0</v>
      </c>
    </row>
    <row r="31" spans="1:14" x14ac:dyDescent="0.2">
      <c r="A31" s="14">
        <v>44896</v>
      </c>
      <c r="C31" s="15">
        <v>38352605</v>
      </c>
      <c r="D31" s="16">
        <v>163002</v>
      </c>
      <c r="E31" s="11">
        <v>441625.2</v>
      </c>
      <c r="F31" s="11">
        <v>441625.2</v>
      </c>
      <c r="G31" s="15">
        <f t="shared" si="15"/>
        <v>278623.2</v>
      </c>
      <c r="H31" s="15">
        <f t="shared" si="16"/>
        <v>278623.2</v>
      </c>
      <c r="I31" s="17">
        <v>0.21</v>
      </c>
      <c r="J31" s="17">
        <v>0.05</v>
      </c>
      <c r="K31" s="15">
        <f t="shared" si="17"/>
        <v>55585.328400000006</v>
      </c>
      <c r="L31" s="15">
        <f t="shared" si="18"/>
        <v>13931.160000000002</v>
      </c>
      <c r="M31" s="15">
        <f t="shared" si="1"/>
        <v>1726795.2955549993</v>
      </c>
      <c r="N31" s="15">
        <v>0</v>
      </c>
    </row>
    <row r="32" spans="1:14" x14ac:dyDescent="0.2">
      <c r="A32" s="14">
        <v>44927</v>
      </c>
      <c r="C32" s="15">
        <v>38352605</v>
      </c>
      <c r="D32" s="16">
        <v>163002.49</v>
      </c>
      <c r="E32" s="11">
        <f>458888.4</f>
        <v>458888.4</v>
      </c>
      <c r="F32" s="11">
        <f>458888.4</f>
        <v>458888.4</v>
      </c>
      <c r="G32" s="15">
        <f>E32-D32</f>
        <v>295885.91000000003</v>
      </c>
      <c r="H32" s="15">
        <f>F32-D32</f>
        <v>295885.91000000003</v>
      </c>
      <c r="I32" s="17">
        <v>0.21</v>
      </c>
      <c r="J32" s="17">
        <v>0.05</v>
      </c>
      <c r="K32" s="15">
        <f>G32*I32-L32*I32</f>
        <v>59029.239045000002</v>
      </c>
      <c r="L32" s="15">
        <f>H32*J32</f>
        <v>14794.295500000002</v>
      </c>
      <c r="M32" s="15">
        <f t="shared" si="1"/>
        <v>1800618.8300999992</v>
      </c>
      <c r="N32" s="15">
        <v>0</v>
      </c>
    </row>
    <row r="33" spans="1:14" x14ac:dyDescent="0.2">
      <c r="A33" s="14">
        <v>44958</v>
      </c>
      <c r="C33" s="15">
        <v>38352938</v>
      </c>
      <c r="D33" s="16">
        <v>163003</v>
      </c>
      <c r="E33" s="16">
        <f>458892.12</f>
        <v>458892.12</v>
      </c>
      <c r="F33" s="16">
        <f>458892.12</f>
        <v>458892.12</v>
      </c>
      <c r="G33" s="15">
        <f>E33-D33</f>
        <v>295889.12</v>
      </c>
      <c r="H33" s="15">
        <f>F33-D33</f>
        <v>295889.12</v>
      </c>
      <c r="I33" s="17">
        <v>0.21</v>
      </c>
      <c r="J33" s="17">
        <v>0.05</v>
      </c>
      <c r="K33" s="15">
        <f>G33*I33-L33*I33</f>
        <v>59029.879439999997</v>
      </c>
      <c r="L33" s="15">
        <f>H33*J33</f>
        <v>14794.456</v>
      </c>
      <c r="M33" s="15">
        <f t="shared" si="1"/>
        <v>1874443.1655399993</v>
      </c>
      <c r="N33" s="15"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14 of 15
Clements</oddHeader>
    <oddFooter>&amp;L_x000D_&amp;1#&amp;"Calibri"&amp;14&amp;K000000 Business Use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8384-2435-4A94-829B-3F3BA719B8E3}">
  <dimension ref="A1:Q39"/>
  <sheetViews>
    <sheetView zoomScaleNormal="100" workbookViewId="0"/>
  </sheetViews>
  <sheetFormatPr defaultColWidth="9.140625" defaultRowHeight="12.75" x14ac:dyDescent="0.2"/>
  <cols>
    <col min="1" max="1" width="11.28515625" style="60" customWidth="1"/>
    <col min="2" max="2" width="1.7109375" style="52" customWidth="1"/>
    <col min="3" max="3" width="14.28515625" style="52" customWidth="1"/>
    <col min="4" max="4" width="14.28515625" style="52" bestFit="1" customWidth="1"/>
    <col min="5" max="5" width="16.42578125" style="52" customWidth="1"/>
    <col min="6" max="6" width="15.5703125" style="52" customWidth="1"/>
    <col min="7" max="8" width="14.28515625" style="52" customWidth="1"/>
    <col min="9" max="12" width="12.7109375" style="52" customWidth="1"/>
    <col min="13" max="13" width="16.5703125" style="52" bestFit="1" customWidth="1"/>
    <col min="14" max="14" width="12.7109375" style="52" customWidth="1"/>
    <col min="15" max="15" width="11.28515625" style="52" customWidth="1"/>
    <col min="16" max="16" width="14.5703125" style="52" bestFit="1" customWidth="1"/>
    <col min="17" max="16384" width="9.140625" style="52"/>
  </cols>
  <sheetData>
    <row r="1" spans="1:16" x14ac:dyDescent="0.2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6" x14ac:dyDescent="0.2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6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x14ac:dyDescent="0.2">
      <c r="A5" s="55" t="s">
        <v>68</v>
      </c>
    </row>
    <row r="6" spans="1:16" x14ac:dyDescent="0.2">
      <c r="A6" s="56" t="s">
        <v>69</v>
      </c>
    </row>
    <row r="8" spans="1:16" s="59" customFormat="1" ht="38.25" x14ac:dyDescent="0.2">
      <c r="A8" s="57" t="s">
        <v>5</v>
      </c>
      <c r="B8" s="58"/>
      <c r="C8" s="58" t="s">
        <v>6</v>
      </c>
      <c r="D8" s="58" t="s">
        <v>7</v>
      </c>
      <c r="E8" s="58" t="s">
        <v>8</v>
      </c>
      <c r="F8" s="58" t="s">
        <v>9</v>
      </c>
      <c r="G8" s="58" t="s">
        <v>10</v>
      </c>
      <c r="H8" s="58" t="s">
        <v>11</v>
      </c>
      <c r="I8" s="58" t="s">
        <v>12</v>
      </c>
      <c r="J8" s="58" t="s">
        <v>13</v>
      </c>
      <c r="K8" s="58" t="s">
        <v>14</v>
      </c>
      <c r="L8" s="58" t="s">
        <v>15</v>
      </c>
      <c r="M8" s="58" t="s">
        <v>16</v>
      </c>
      <c r="N8" s="58" t="s">
        <v>17</v>
      </c>
    </row>
    <row r="9" spans="1:16" x14ac:dyDescent="0.2">
      <c r="A9" s="60" t="s">
        <v>18</v>
      </c>
      <c r="M9" s="11">
        <v>0</v>
      </c>
    </row>
    <row r="10" spans="1:16" x14ac:dyDescent="0.2">
      <c r="A10" s="14">
        <v>44264</v>
      </c>
      <c r="G10" s="61">
        <f t="shared" ref="G10:G15" si="0">E10-D10</f>
        <v>0</v>
      </c>
      <c r="H10" s="61">
        <f t="shared" ref="H10:H15" si="1">F10-D10</f>
        <v>0</v>
      </c>
      <c r="I10" s="62">
        <v>0.21</v>
      </c>
      <c r="J10" s="62">
        <v>0.05</v>
      </c>
      <c r="K10" s="61">
        <f t="shared" ref="K10:K15" si="2">G10*I10-L10*I10</f>
        <v>0</v>
      </c>
      <c r="L10" s="61">
        <f t="shared" ref="L10:L15" si="3">H10*J10</f>
        <v>0</v>
      </c>
      <c r="M10" s="61">
        <f t="shared" ref="M10:M14" si="4">M3+K10+L10</f>
        <v>0</v>
      </c>
      <c r="N10" s="61">
        <v>0</v>
      </c>
    </row>
    <row r="11" spans="1:16" x14ac:dyDescent="0.2">
      <c r="A11" s="14">
        <v>44287</v>
      </c>
      <c r="G11" s="61">
        <f t="shared" si="0"/>
        <v>0</v>
      </c>
      <c r="H11" s="61">
        <f t="shared" si="1"/>
        <v>0</v>
      </c>
      <c r="I11" s="62">
        <v>0.21</v>
      </c>
      <c r="J11" s="62">
        <v>0.05</v>
      </c>
      <c r="K11" s="61">
        <f t="shared" si="2"/>
        <v>0</v>
      </c>
      <c r="L11" s="61">
        <f t="shared" si="3"/>
        <v>0</v>
      </c>
      <c r="M11" s="61">
        <f t="shared" si="4"/>
        <v>0</v>
      </c>
      <c r="N11" s="61">
        <v>0</v>
      </c>
    </row>
    <row r="12" spans="1:16" x14ac:dyDescent="0.2">
      <c r="A12" s="14">
        <v>44317</v>
      </c>
      <c r="G12" s="61">
        <f t="shared" si="0"/>
        <v>0</v>
      </c>
      <c r="H12" s="61">
        <f t="shared" si="1"/>
        <v>0</v>
      </c>
      <c r="I12" s="62">
        <v>0.21</v>
      </c>
      <c r="J12" s="62">
        <v>0.05</v>
      </c>
      <c r="K12" s="61">
        <f t="shared" si="2"/>
        <v>0</v>
      </c>
      <c r="L12" s="61">
        <f t="shared" si="3"/>
        <v>0</v>
      </c>
      <c r="M12" s="61">
        <f t="shared" si="4"/>
        <v>0</v>
      </c>
      <c r="N12" s="61">
        <v>0</v>
      </c>
    </row>
    <row r="13" spans="1:16" x14ac:dyDescent="0.2">
      <c r="A13" s="14">
        <v>44348</v>
      </c>
      <c r="G13" s="61">
        <f t="shared" si="0"/>
        <v>0</v>
      </c>
      <c r="H13" s="61">
        <f t="shared" si="1"/>
        <v>0</v>
      </c>
      <c r="I13" s="62">
        <v>0.21</v>
      </c>
      <c r="J13" s="62">
        <v>0.05</v>
      </c>
      <c r="K13" s="61">
        <f t="shared" si="2"/>
        <v>0</v>
      </c>
      <c r="L13" s="61">
        <f t="shared" si="3"/>
        <v>0</v>
      </c>
      <c r="M13" s="61">
        <f t="shared" si="4"/>
        <v>0</v>
      </c>
      <c r="N13" s="61">
        <v>0</v>
      </c>
    </row>
    <row r="14" spans="1:16" x14ac:dyDescent="0.2">
      <c r="A14" s="14">
        <v>44378</v>
      </c>
      <c r="G14" s="61">
        <f t="shared" si="0"/>
        <v>0</v>
      </c>
      <c r="H14" s="61">
        <f t="shared" si="1"/>
        <v>0</v>
      </c>
      <c r="I14" s="62">
        <v>0.21</v>
      </c>
      <c r="J14" s="62">
        <v>0.05</v>
      </c>
      <c r="K14" s="61">
        <f t="shared" si="2"/>
        <v>0</v>
      </c>
      <c r="L14" s="61">
        <f t="shared" si="3"/>
        <v>0</v>
      </c>
      <c r="M14" s="61">
        <f t="shared" si="4"/>
        <v>0</v>
      </c>
      <c r="N14" s="61">
        <v>0</v>
      </c>
    </row>
    <row r="15" spans="1:16" x14ac:dyDescent="0.2">
      <c r="A15" s="14">
        <v>44409</v>
      </c>
      <c r="G15" s="61">
        <f t="shared" si="0"/>
        <v>0</v>
      </c>
      <c r="H15" s="61">
        <f t="shared" si="1"/>
        <v>0</v>
      </c>
      <c r="I15" s="62">
        <v>0.21</v>
      </c>
      <c r="J15" s="62">
        <v>0.05</v>
      </c>
      <c r="K15" s="61">
        <f t="shared" si="2"/>
        <v>0</v>
      </c>
      <c r="L15" s="61">
        <f t="shared" si="3"/>
        <v>0</v>
      </c>
      <c r="M15" s="61">
        <v>0</v>
      </c>
      <c r="N15" s="61">
        <v>0</v>
      </c>
    </row>
    <row r="16" spans="1:16" x14ac:dyDescent="0.2">
      <c r="A16" s="14">
        <v>44448</v>
      </c>
      <c r="C16" s="61" t="s">
        <v>19</v>
      </c>
      <c r="D16" s="16"/>
      <c r="E16" s="11"/>
      <c r="F16" s="11"/>
      <c r="G16" s="61">
        <f>E16-D16</f>
        <v>0</v>
      </c>
      <c r="H16" s="61">
        <f>F16-D16</f>
        <v>0</v>
      </c>
      <c r="I16" s="62">
        <v>0.21</v>
      </c>
      <c r="J16" s="62">
        <v>0.05</v>
      </c>
      <c r="K16" s="61">
        <f>G16*I16-L16*I16</f>
        <v>0</v>
      </c>
      <c r="L16" s="61">
        <f>H16*J16</f>
        <v>0</v>
      </c>
      <c r="M16" s="61">
        <f>M9+K16+L16</f>
        <v>0</v>
      </c>
      <c r="N16" s="61">
        <v>0</v>
      </c>
      <c r="P16" s="13"/>
    </row>
    <row r="17" spans="1:17" x14ac:dyDescent="0.2">
      <c r="A17" s="14">
        <v>44470</v>
      </c>
      <c r="C17" s="61"/>
      <c r="D17" s="16"/>
      <c r="E17" s="11"/>
      <c r="F17" s="11"/>
      <c r="G17" s="61">
        <f t="shared" ref="G17:G19" si="5">E17-D17</f>
        <v>0</v>
      </c>
      <c r="H17" s="61">
        <f t="shared" ref="H17:H19" si="6">F17-D17</f>
        <v>0</v>
      </c>
      <c r="I17" s="62">
        <v>0.21</v>
      </c>
      <c r="J17" s="62">
        <v>0.05</v>
      </c>
      <c r="K17" s="61">
        <f t="shared" ref="K17:K19" si="7">G17*I17-L17*I17</f>
        <v>0</v>
      </c>
      <c r="L17" s="61">
        <f t="shared" ref="L17:L19" si="8">H17*J17</f>
        <v>0</v>
      </c>
      <c r="M17" s="61">
        <f t="shared" ref="M17:M33" si="9">M16+K17+L17</f>
        <v>0</v>
      </c>
      <c r="N17" s="61">
        <v>0</v>
      </c>
      <c r="O17" s="61"/>
      <c r="P17" s="13"/>
    </row>
    <row r="18" spans="1:17" x14ac:dyDescent="0.2">
      <c r="A18" s="14">
        <v>44501</v>
      </c>
      <c r="C18" s="61"/>
      <c r="D18" s="16"/>
      <c r="E18" s="11"/>
      <c r="F18" s="11"/>
      <c r="G18" s="61">
        <f t="shared" si="5"/>
        <v>0</v>
      </c>
      <c r="H18" s="61">
        <f t="shared" si="6"/>
        <v>0</v>
      </c>
      <c r="I18" s="62">
        <v>0.21</v>
      </c>
      <c r="J18" s="62">
        <v>0.05</v>
      </c>
      <c r="K18" s="61">
        <f t="shared" si="7"/>
        <v>0</v>
      </c>
      <c r="L18" s="61">
        <f t="shared" si="8"/>
        <v>0</v>
      </c>
      <c r="M18" s="61">
        <f t="shared" si="9"/>
        <v>0</v>
      </c>
      <c r="N18" s="61">
        <v>0</v>
      </c>
      <c r="O18" s="13"/>
    </row>
    <row r="19" spans="1:17" x14ac:dyDescent="0.2">
      <c r="A19" s="14">
        <v>44531</v>
      </c>
      <c r="C19" s="61">
        <v>7269910</v>
      </c>
      <c r="D19" s="16">
        <v>15570</v>
      </c>
      <c r="E19" s="11">
        <v>231728.37</v>
      </c>
      <c r="F19" s="11">
        <v>231728.37</v>
      </c>
      <c r="G19" s="61">
        <f t="shared" si="5"/>
        <v>216158.37</v>
      </c>
      <c r="H19" s="61">
        <f t="shared" si="6"/>
        <v>216158.37</v>
      </c>
      <c r="I19" s="62">
        <v>0.21</v>
      </c>
      <c r="J19" s="62">
        <v>0.05</v>
      </c>
      <c r="K19" s="61">
        <f t="shared" si="7"/>
        <v>43123.594814999997</v>
      </c>
      <c r="L19" s="61">
        <f t="shared" si="8"/>
        <v>10807.9185</v>
      </c>
      <c r="M19" s="61">
        <f t="shared" si="9"/>
        <v>53931.513314999997</v>
      </c>
      <c r="N19" s="61">
        <v>0</v>
      </c>
      <c r="O19" s="61"/>
    </row>
    <row r="20" spans="1:17" x14ac:dyDescent="0.2">
      <c r="A20" s="14">
        <v>44562</v>
      </c>
      <c r="C20" s="61">
        <v>7269910</v>
      </c>
      <c r="D20" s="16">
        <v>31139</v>
      </c>
      <c r="E20" s="11">
        <f>55349.16</f>
        <v>55349.16</v>
      </c>
      <c r="F20" s="11">
        <f>55349.16</f>
        <v>55349.16</v>
      </c>
      <c r="G20" s="61">
        <f>E20-D20</f>
        <v>24210.160000000003</v>
      </c>
      <c r="H20" s="61">
        <f>F20-D20</f>
        <v>24210.160000000003</v>
      </c>
      <c r="I20" s="62">
        <v>0.21</v>
      </c>
      <c r="J20" s="62">
        <v>0.05</v>
      </c>
      <c r="K20" s="61">
        <f>G20*I20-L20*I20</f>
        <v>4829.9269199999999</v>
      </c>
      <c r="L20" s="61">
        <f>H20*J20</f>
        <v>1210.5080000000003</v>
      </c>
      <c r="M20" s="61">
        <f t="shared" si="9"/>
        <v>59971.948234999996</v>
      </c>
      <c r="N20" s="61">
        <v>0</v>
      </c>
      <c r="O20" s="13"/>
      <c r="Q20" s="61"/>
    </row>
    <row r="21" spans="1:17" x14ac:dyDescent="0.2">
      <c r="A21" s="14">
        <v>44593</v>
      </c>
      <c r="C21" s="61">
        <v>7269910</v>
      </c>
      <c r="D21" s="16">
        <v>31139</v>
      </c>
      <c r="E21" s="16">
        <f>55349.16</f>
        <v>55349.16</v>
      </c>
      <c r="F21" s="16">
        <f>55349.16</f>
        <v>55349.16</v>
      </c>
      <c r="G21" s="61">
        <f>E21-D21</f>
        <v>24210.160000000003</v>
      </c>
      <c r="H21" s="61">
        <f>F21-D21</f>
        <v>24210.160000000003</v>
      </c>
      <c r="I21" s="62">
        <v>0.21</v>
      </c>
      <c r="J21" s="62">
        <v>0.05</v>
      </c>
      <c r="K21" s="61">
        <f>G21*I21-L21*I21</f>
        <v>4829.9269199999999</v>
      </c>
      <c r="L21" s="61">
        <f>H21*J21</f>
        <v>1210.5080000000003</v>
      </c>
      <c r="M21" s="61">
        <f t="shared" si="9"/>
        <v>66012.383154999989</v>
      </c>
      <c r="N21" s="61">
        <v>0</v>
      </c>
      <c r="O21" s="61"/>
      <c r="Q21" s="61"/>
    </row>
    <row r="22" spans="1:17" x14ac:dyDescent="0.2">
      <c r="A22" s="14">
        <v>44629</v>
      </c>
      <c r="B22"/>
      <c r="C22" s="15">
        <v>7269910</v>
      </c>
      <c r="D22" s="16">
        <v>31138.5</v>
      </c>
      <c r="E22" s="11">
        <f>55349.16</f>
        <v>55349.16</v>
      </c>
      <c r="F22" s="11">
        <f t="shared" ref="F22:F26" si="10">55349.16</f>
        <v>55349.16</v>
      </c>
      <c r="G22" s="15">
        <f>E22-D22</f>
        <v>24210.660000000003</v>
      </c>
      <c r="H22" s="15">
        <f>F22-D22</f>
        <v>24210.660000000003</v>
      </c>
      <c r="I22" s="17">
        <v>0.21</v>
      </c>
      <c r="J22" s="17">
        <v>0.05</v>
      </c>
      <c r="K22" s="15">
        <f>G22*I22-L22*I22</f>
        <v>4830.0266700000002</v>
      </c>
      <c r="L22" s="15">
        <f>H22*J22</f>
        <v>1210.5330000000001</v>
      </c>
      <c r="M22" s="15">
        <f t="shared" si="9"/>
        <v>72052.942824999991</v>
      </c>
      <c r="N22" s="15">
        <v>0</v>
      </c>
      <c r="O22" s="63"/>
    </row>
    <row r="23" spans="1:17" x14ac:dyDescent="0.2">
      <c r="A23" s="14">
        <v>44652</v>
      </c>
      <c r="B23"/>
      <c r="C23" s="15">
        <v>7269910</v>
      </c>
      <c r="D23" s="16">
        <v>31139</v>
      </c>
      <c r="E23" s="11">
        <f t="shared" ref="E23:E26" si="11">55349.16</f>
        <v>55349.16</v>
      </c>
      <c r="F23" s="11">
        <f t="shared" si="10"/>
        <v>55349.16</v>
      </c>
      <c r="G23" s="15">
        <f t="shared" ref="G23:G25" si="12">E23-D23</f>
        <v>24210.160000000003</v>
      </c>
      <c r="H23" s="15">
        <f t="shared" ref="H23:H25" si="13">F23-D23</f>
        <v>24210.160000000003</v>
      </c>
      <c r="I23" s="17">
        <v>0.21</v>
      </c>
      <c r="J23" s="17">
        <v>0.05</v>
      </c>
      <c r="K23" s="15">
        <f t="shared" ref="K23:K25" si="14">G23*I23-L23*I23</f>
        <v>4829.9269199999999</v>
      </c>
      <c r="L23" s="15">
        <f t="shared" ref="L23:L25" si="15">H23*J23</f>
        <v>1210.5080000000003</v>
      </c>
      <c r="M23" s="15">
        <f t="shared" si="9"/>
        <v>78093.377744999991</v>
      </c>
      <c r="N23" s="15">
        <v>0</v>
      </c>
    </row>
    <row r="24" spans="1:17" x14ac:dyDescent="0.2">
      <c r="A24" s="14">
        <v>44682</v>
      </c>
      <c r="B24"/>
      <c r="C24" s="15">
        <v>7269910</v>
      </c>
      <c r="D24" s="16">
        <v>31139.49</v>
      </c>
      <c r="E24" s="11">
        <f>55348.3</f>
        <v>55348.3</v>
      </c>
      <c r="F24" s="11">
        <f>55348.3</f>
        <v>55348.3</v>
      </c>
      <c r="G24" s="15">
        <f t="shared" si="12"/>
        <v>24208.81</v>
      </c>
      <c r="H24" s="15">
        <f t="shared" si="13"/>
        <v>24208.81</v>
      </c>
      <c r="I24" s="17">
        <v>0.21</v>
      </c>
      <c r="J24" s="17">
        <v>0.05</v>
      </c>
      <c r="K24" s="15">
        <f t="shared" si="14"/>
        <v>4829.6575949999997</v>
      </c>
      <c r="L24" s="15">
        <f t="shared" si="15"/>
        <v>1210.4405000000002</v>
      </c>
      <c r="M24" s="15">
        <f t="shared" si="9"/>
        <v>84133.475839999985</v>
      </c>
      <c r="N24" s="15">
        <v>0</v>
      </c>
    </row>
    <row r="25" spans="1:17" x14ac:dyDescent="0.2">
      <c r="A25" s="14">
        <v>44713</v>
      </c>
      <c r="B25"/>
      <c r="C25" s="15">
        <v>7269910</v>
      </c>
      <c r="D25" s="16">
        <v>31139</v>
      </c>
      <c r="E25" s="11">
        <f t="shared" si="11"/>
        <v>55349.16</v>
      </c>
      <c r="F25" s="11">
        <f t="shared" si="10"/>
        <v>55349.16</v>
      </c>
      <c r="G25" s="15">
        <f t="shared" si="12"/>
        <v>24210.160000000003</v>
      </c>
      <c r="H25" s="15">
        <f t="shared" si="13"/>
        <v>24210.160000000003</v>
      </c>
      <c r="I25" s="17">
        <v>0.21</v>
      </c>
      <c r="J25" s="17">
        <v>0.05</v>
      </c>
      <c r="K25" s="15">
        <f t="shared" si="14"/>
        <v>4829.9269199999999</v>
      </c>
      <c r="L25" s="15">
        <f t="shared" si="15"/>
        <v>1210.5080000000003</v>
      </c>
      <c r="M25" s="15">
        <f t="shared" si="9"/>
        <v>90173.910759999984</v>
      </c>
      <c r="N25" s="15">
        <v>0</v>
      </c>
    </row>
    <row r="26" spans="1:17" x14ac:dyDescent="0.2">
      <c r="A26" s="14">
        <v>44743</v>
      </c>
      <c r="B26"/>
      <c r="C26" s="15">
        <v>7269910</v>
      </c>
      <c r="D26" s="16">
        <v>31139</v>
      </c>
      <c r="E26" s="11">
        <f t="shared" si="11"/>
        <v>55349.16</v>
      </c>
      <c r="F26" s="11">
        <f t="shared" si="10"/>
        <v>55349.16</v>
      </c>
      <c r="G26" s="15">
        <f>E26-D26</f>
        <v>24210.160000000003</v>
      </c>
      <c r="H26" s="15">
        <f>F26-D26</f>
        <v>24210.160000000003</v>
      </c>
      <c r="I26" s="17">
        <v>0.21</v>
      </c>
      <c r="J26" s="17">
        <v>0.05</v>
      </c>
      <c r="K26" s="15">
        <f>G26*I26-L26*I26</f>
        <v>4829.9269199999999</v>
      </c>
      <c r="L26" s="15">
        <f>H26*J26</f>
        <v>1210.5080000000003</v>
      </c>
      <c r="M26" s="15">
        <f t="shared" si="9"/>
        <v>96214.345679999984</v>
      </c>
      <c r="N26" s="15">
        <v>0</v>
      </c>
    </row>
    <row r="27" spans="1:17" x14ac:dyDescent="0.2">
      <c r="A27" s="14">
        <v>44774</v>
      </c>
      <c r="B27"/>
      <c r="C27" s="15">
        <v>7269910</v>
      </c>
      <c r="D27" s="16">
        <v>31139.49</v>
      </c>
      <c r="E27" s="11">
        <f>55348.5</f>
        <v>55348.5</v>
      </c>
      <c r="F27" s="11">
        <f>55348.5</f>
        <v>55348.5</v>
      </c>
      <c r="G27" s="15">
        <f>E27-D27</f>
        <v>24209.01</v>
      </c>
      <c r="H27" s="15">
        <f>F27-D27</f>
        <v>24209.01</v>
      </c>
      <c r="I27" s="17">
        <v>0.21</v>
      </c>
      <c r="J27" s="17">
        <v>0.05</v>
      </c>
      <c r="K27" s="15">
        <f>G27*I27-L27*I27</f>
        <v>4829.6974949999994</v>
      </c>
      <c r="L27" s="15">
        <f>H27*J27</f>
        <v>1210.4504999999999</v>
      </c>
      <c r="M27" s="15">
        <f t="shared" si="9"/>
        <v>102254.49367499999</v>
      </c>
      <c r="N27" s="15">
        <v>0</v>
      </c>
    </row>
    <row r="28" spans="1:17" x14ac:dyDescent="0.2">
      <c r="A28" s="14">
        <v>44813</v>
      </c>
      <c r="B28"/>
      <c r="C28" s="15">
        <v>7269910</v>
      </c>
      <c r="D28" s="16">
        <v>31139.49</v>
      </c>
      <c r="E28" s="11">
        <v>55347.7</v>
      </c>
      <c r="F28" s="11">
        <v>55347.7</v>
      </c>
      <c r="G28" s="15">
        <f>E28-D28</f>
        <v>24208.209999999995</v>
      </c>
      <c r="H28" s="15">
        <f>F28-D28</f>
        <v>24208.209999999995</v>
      </c>
      <c r="I28" s="17">
        <v>0.21</v>
      </c>
      <c r="J28" s="17">
        <v>0.05</v>
      </c>
      <c r="K28" s="15">
        <f>G28*I28-L28*I28</f>
        <v>4829.5378949999986</v>
      </c>
      <c r="L28" s="15">
        <f>H28*J28</f>
        <v>1210.4104999999997</v>
      </c>
      <c r="M28" s="15">
        <f t="shared" si="9"/>
        <v>108294.44206999999</v>
      </c>
      <c r="N28" s="15">
        <v>0</v>
      </c>
    </row>
    <row r="29" spans="1:17" x14ac:dyDescent="0.2">
      <c r="A29" s="14">
        <v>44835</v>
      </c>
      <c r="B29"/>
      <c r="C29" s="15">
        <v>7269910</v>
      </c>
      <c r="D29" s="16">
        <v>31139</v>
      </c>
      <c r="E29" s="11">
        <v>55348.5</v>
      </c>
      <c r="F29" s="11">
        <v>55348.5</v>
      </c>
      <c r="G29" s="15">
        <f t="shared" ref="G29:G31" si="16">E29-D29</f>
        <v>24209.5</v>
      </c>
      <c r="H29" s="15">
        <f t="shared" ref="H29:H31" si="17">F29-D29</f>
        <v>24209.5</v>
      </c>
      <c r="I29" s="17">
        <v>0.21</v>
      </c>
      <c r="J29" s="17">
        <v>0.05</v>
      </c>
      <c r="K29" s="15">
        <f t="shared" ref="K29:K31" si="18">G29*I29-L29*I29</f>
        <v>4829.7952500000001</v>
      </c>
      <c r="L29" s="15">
        <f t="shared" ref="L29:L31" si="19">H29*J29</f>
        <v>1210.4750000000001</v>
      </c>
      <c r="M29" s="15">
        <f t="shared" si="9"/>
        <v>114334.71231999999</v>
      </c>
      <c r="N29" s="15">
        <v>0</v>
      </c>
    </row>
    <row r="30" spans="1:17" x14ac:dyDescent="0.2">
      <c r="A30" s="14">
        <v>44866</v>
      </c>
      <c r="B30"/>
      <c r="C30" s="15">
        <v>7269910</v>
      </c>
      <c r="D30" s="16">
        <v>31139</v>
      </c>
      <c r="E30" s="11">
        <v>55348.5</v>
      </c>
      <c r="F30" s="11">
        <v>55348.5</v>
      </c>
      <c r="G30" s="15">
        <f t="shared" si="16"/>
        <v>24209.5</v>
      </c>
      <c r="H30" s="15">
        <f t="shared" si="17"/>
        <v>24209.5</v>
      </c>
      <c r="I30" s="17">
        <v>0.21</v>
      </c>
      <c r="J30" s="17">
        <v>0.05</v>
      </c>
      <c r="K30" s="15">
        <f t="shared" si="18"/>
        <v>4829.7952500000001</v>
      </c>
      <c r="L30" s="15">
        <f t="shared" si="19"/>
        <v>1210.4750000000001</v>
      </c>
      <c r="M30" s="15">
        <f t="shared" si="9"/>
        <v>120374.98256999999</v>
      </c>
      <c r="N30" s="15">
        <v>0</v>
      </c>
    </row>
    <row r="31" spans="1:17" x14ac:dyDescent="0.2">
      <c r="A31" s="14">
        <v>44896</v>
      </c>
      <c r="B31"/>
      <c r="C31" s="15">
        <v>7269910</v>
      </c>
      <c r="D31" s="16">
        <v>31139</v>
      </c>
      <c r="E31" s="11">
        <v>55348.5</v>
      </c>
      <c r="F31" s="11">
        <v>55348.5</v>
      </c>
      <c r="G31" s="15">
        <f t="shared" si="16"/>
        <v>24209.5</v>
      </c>
      <c r="H31" s="15">
        <f t="shared" si="17"/>
        <v>24209.5</v>
      </c>
      <c r="I31" s="17">
        <v>0.21</v>
      </c>
      <c r="J31" s="17">
        <v>0.05</v>
      </c>
      <c r="K31" s="15">
        <f t="shared" si="18"/>
        <v>4829.7952500000001</v>
      </c>
      <c r="L31" s="15">
        <f t="shared" si="19"/>
        <v>1210.4750000000001</v>
      </c>
      <c r="M31" s="15">
        <f t="shared" si="9"/>
        <v>126415.25281999999</v>
      </c>
      <c r="N31" s="15">
        <v>0</v>
      </c>
    </row>
    <row r="32" spans="1:17" x14ac:dyDescent="0.2">
      <c r="A32" s="14">
        <v>44927</v>
      </c>
      <c r="B32"/>
      <c r="C32" s="15">
        <v>7269910</v>
      </c>
      <c r="D32" s="16">
        <v>31139</v>
      </c>
      <c r="E32" s="11">
        <f>52558.12</f>
        <v>52558.12</v>
      </c>
      <c r="F32" s="11">
        <f>52558.12</f>
        <v>52558.12</v>
      </c>
      <c r="G32" s="15">
        <f>E32-D32</f>
        <v>21419.120000000003</v>
      </c>
      <c r="H32" s="15">
        <f>F32-D32</f>
        <v>21419.120000000003</v>
      </c>
      <c r="I32" s="17">
        <v>0.21</v>
      </c>
      <c r="J32" s="17">
        <v>0.05</v>
      </c>
      <c r="K32" s="15">
        <f>G32*I32-L32*I32</f>
        <v>4273.1144400000003</v>
      </c>
      <c r="L32" s="15">
        <f>H32*J32</f>
        <v>1070.9560000000001</v>
      </c>
      <c r="M32" s="15">
        <f t="shared" si="9"/>
        <v>131759.32326</v>
      </c>
      <c r="N32" s="15">
        <v>0</v>
      </c>
    </row>
    <row r="33" spans="1:14" x14ac:dyDescent="0.2">
      <c r="A33" s="14">
        <v>44958</v>
      </c>
      <c r="B33"/>
      <c r="C33" s="15">
        <v>7326019</v>
      </c>
      <c r="D33" s="16">
        <v>31260</v>
      </c>
      <c r="E33" s="16">
        <f>52824.05-85.7</f>
        <v>52738.350000000006</v>
      </c>
      <c r="F33" s="16">
        <f>52824.05-85.7</f>
        <v>52738.350000000006</v>
      </c>
      <c r="G33" s="15">
        <f>E33-D33</f>
        <v>21478.350000000006</v>
      </c>
      <c r="H33" s="15">
        <f>F33-D33</f>
        <v>21478.350000000006</v>
      </c>
      <c r="I33" s="17">
        <v>0.21</v>
      </c>
      <c r="J33" s="17">
        <v>0.05</v>
      </c>
      <c r="K33" s="15">
        <f>G33*I33-L33*I33</f>
        <v>4284.9308250000013</v>
      </c>
      <c r="L33" s="15">
        <f>H33*J33</f>
        <v>1073.9175000000002</v>
      </c>
      <c r="M33" s="15">
        <f t="shared" si="9"/>
        <v>137118.171585</v>
      </c>
      <c r="N33" s="15">
        <v>0</v>
      </c>
    </row>
    <row r="34" spans="1:14" ht="15" x14ac:dyDescent="0.35">
      <c r="H34" s="64"/>
    </row>
    <row r="35" spans="1:14" x14ac:dyDescent="0.2">
      <c r="H35" s="61"/>
    </row>
    <row r="36" spans="1:14" x14ac:dyDescent="0.2">
      <c r="H36" s="61"/>
    </row>
    <row r="37" spans="1:14" x14ac:dyDescent="0.2">
      <c r="C37" s="61"/>
      <c r="D37" s="22"/>
      <c r="E37" s="24"/>
      <c r="F37" s="61"/>
      <c r="G37" s="62"/>
      <c r="H37" s="61"/>
    </row>
    <row r="38" spans="1:14" x14ac:dyDescent="0.2">
      <c r="C38" s="61"/>
      <c r="D38" s="61"/>
      <c r="E38" s="61"/>
      <c r="F38" s="61"/>
      <c r="G38" s="62"/>
      <c r="H38" s="61"/>
    </row>
    <row r="39" spans="1:14" x14ac:dyDescent="0.2">
      <c r="H39" s="61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15 of 15
Clements</oddHeader>
    <oddFooter>&amp;L_x000D_&amp;1#&amp;"Calibri"&amp;14&amp;K000000 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3B0A-F263-4B2F-8BCE-BC53691BF567}">
  <dimension ref="A1:P61"/>
  <sheetViews>
    <sheetView zoomScaleNormal="100" workbookViewId="0">
      <selection activeCell="M6" sqref="M6"/>
    </sheetView>
  </sheetViews>
  <sheetFormatPr defaultRowHeight="12.75" x14ac:dyDescent="0.2"/>
  <cols>
    <col min="1" max="1" width="11.28515625" style="10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">
      <c r="A5" s="5" t="s">
        <v>3</v>
      </c>
    </row>
    <row r="6" spans="1:16" x14ac:dyDescent="0.2">
      <c r="A6" s="6" t="s">
        <v>38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4972381</v>
      </c>
    </row>
    <row r="10" spans="1:16" x14ac:dyDescent="0.2">
      <c r="A10" s="14">
        <v>44264</v>
      </c>
      <c r="C10" s="15">
        <v>19347703</v>
      </c>
      <c r="D10" s="16">
        <v>83600</v>
      </c>
      <c r="E10" s="11">
        <f>14579.06</f>
        <v>14579.06</v>
      </c>
      <c r="F10" s="11">
        <f>29158.12</f>
        <v>29158.12</v>
      </c>
      <c r="G10" s="16">
        <f t="shared" ref="G10:G15" si="0">E10-D10</f>
        <v>-69020.94</v>
      </c>
      <c r="H10" s="16">
        <f t="shared" ref="H10:H15" si="1">F10-D10</f>
        <v>-54441.880000000005</v>
      </c>
      <c r="I10" s="17">
        <v>0.21</v>
      </c>
      <c r="J10" s="17">
        <v>0.05</v>
      </c>
      <c r="K10" s="15">
        <f>(G10*I10+2722*I10)-9215.45</f>
        <v>-23138.2274</v>
      </c>
      <c r="L10" s="15">
        <f>H10*J10-532.72</f>
        <v>-3254.8140000000003</v>
      </c>
      <c r="M10" s="15">
        <f t="shared" ref="M10:M13" si="2">M9+K10+L10</f>
        <v>4945987.9585999995</v>
      </c>
      <c r="N10" s="15">
        <f>11482.29</f>
        <v>11482.29</v>
      </c>
      <c r="O10" s="26"/>
      <c r="P10" s="19"/>
    </row>
    <row r="11" spans="1:16" x14ac:dyDescent="0.2">
      <c r="A11" s="14">
        <v>44287</v>
      </c>
      <c r="C11" s="15">
        <v>19347703</v>
      </c>
      <c r="D11" s="16">
        <v>83600</v>
      </c>
      <c r="E11" s="11">
        <f>14579.06</f>
        <v>14579.06</v>
      </c>
      <c r="F11" s="11">
        <f>29158.12</f>
        <v>29158.12</v>
      </c>
      <c r="G11" s="16">
        <f t="shared" si="0"/>
        <v>-69020.94</v>
      </c>
      <c r="H11" s="16">
        <f t="shared" si="1"/>
        <v>-54441.880000000005</v>
      </c>
      <c r="I11" s="17">
        <v>0.21</v>
      </c>
      <c r="J11" s="17">
        <v>0.05</v>
      </c>
      <c r="K11" s="15">
        <f>(G11*I11+2722*I11)-9215.45</f>
        <v>-23138.2274</v>
      </c>
      <c r="L11" s="15">
        <f>H11*J11-532.72</f>
        <v>-3254.8140000000003</v>
      </c>
      <c r="M11" s="15">
        <f t="shared" si="2"/>
        <v>4919594.9171999991</v>
      </c>
      <c r="N11" s="15">
        <f>11412.02</f>
        <v>11412.02</v>
      </c>
      <c r="O11" s="31"/>
      <c r="P11" s="19"/>
    </row>
    <row r="12" spans="1:16" x14ac:dyDescent="0.2">
      <c r="A12" s="14">
        <v>44317</v>
      </c>
      <c r="C12" s="15">
        <v>19347703</v>
      </c>
      <c r="D12" s="16">
        <v>83600</v>
      </c>
      <c r="E12" s="11">
        <f>14579.06</f>
        <v>14579.06</v>
      </c>
      <c r="F12" s="11">
        <f>29158.12</f>
        <v>29158.12</v>
      </c>
      <c r="G12" s="16">
        <f t="shared" si="0"/>
        <v>-69020.94</v>
      </c>
      <c r="H12" s="16">
        <f t="shared" si="1"/>
        <v>-54441.880000000005</v>
      </c>
      <c r="I12" s="17">
        <v>0.21</v>
      </c>
      <c r="J12" s="17">
        <v>0.05</v>
      </c>
      <c r="K12" s="15">
        <f>(G12*I12+2722*I12)-9215.45</f>
        <v>-23138.2274</v>
      </c>
      <c r="L12" s="15">
        <f>H12*J12-532.72</f>
        <v>-3254.8140000000003</v>
      </c>
      <c r="M12" s="15">
        <f t="shared" si="2"/>
        <v>4893201.8757999986</v>
      </c>
      <c r="N12" s="15">
        <f>11341.75</f>
        <v>11341.75</v>
      </c>
      <c r="P12" s="19"/>
    </row>
    <row r="13" spans="1:16" x14ac:dyDescent="0.2">
      <c r="A13" s="14">
        <v>44348</v>
      </c>
      <c r="C13" s="15">
        <v>19347703</v>
      </c>
      <c r="D13" s="16">
        <v>83600</v>
      </c>
      <c r="E13" s="11">
        <f>14579.06</f>
        <v>14579.06</v>
      </c>
      <c r="F13" s="11">
        <f>29158.12</f>
        <v>29158.12</v>
      </c>
      <c r="G13" s="16">
        <f t="shared" si="0"/>
        <v>-69020.94</v>
      </c>
      <c r="H13" s="16">
        <f t="shared" si="1"/>
        <v>-54441.880000000005</v>
      </c>
      <c r="I13" s="17">
        <v>0.21</v>
      </c>
      <c r="J13" s="17">
        <v>0.05</v>
      </c>
      <c r="K13" s="15">
        <f>(G13*I13+2722*I13)-9215.45</f>
        <v>-23138.2274</v>
      </c>
      <c r="L13" s="15">
        <f>H13*J13-532.72</f>
        <v>-3254.8140000000003</v>
      </c>
      <c r="M13" s="15">
        <f t="shared" si="2"/>
        <v>4866808.8343999982</v>
      </c>
      <c r="N13" s="15">
        <f>11271.48</f>
        <v>11271.48</v>
      </c>
      <c r="O13" s="15"/>
      <c r="P13" s="19"/>
    </row>
    <row r="14" spans="1:16" x14ac:dyDescent="0.2">
      <c r="A14" s="14">
        <v>44378</v>
      </c>
      <c r="C14" s="15"/>
      <c r="D14" s="16"/>
      <c r="E14" s="11"/>
      <c r="F14" s="11"/>
      <c r="G14" s="16">
        <f t="shared" si="0"/>
        <v>0</v>
      </c>
      <c r="H14" s="16">
        <f t="shared" si="1"/>
        <v>0</v>
      </c>
      <c r="I14" s="17">
        <v>0.21</v>
      </c>
      <c r="J14" s="17">
        <v>0.05</v>
      </c>
      <c r="K14" s="15">
        <f t="shared" ref="K14:K15" si="3">G14*I14-L14*I14</f>
        <v>0</v>
      </c>
      <c r="L14" s="15">
        <f t="shared" ref="L14:L15" si="4">H14*J14</f>
        <v>0</v>
      </c>
      <c r="M14" s="15">
        <v>0</v>
      </c>
      <c r="N14" s="15">
        <v>0</v>
      </c>
      <c r="O14" s="26"/>
      <c r="P14" s="19"/>
    </row>
    <row r="15" spans="1:16" x14ac:dyDescent="0.2">
      <c r="A15" s="14">
        <v>44409</v>
      </c>
      <c r="C15" s="15"/>
      <c r="D15" s="16"/>
      <c r="E15" s="16"/>
      <c r="F15" s="16"/>
      <c r="G15" s="16">
        <f t="shared" si="0"/>
        <v>0</v>
      </c>
      <c r="H15" s="16">
        <f t="shared" si="1"/>
        <v>0</v>
      </c>
      <c r="I15" s="17">
        <v>0.21</v>
      </c>
      <c r="J15" s="17">
        <v>0.05</v>
      </c>
      <c r="K15" s="15">
        <f t="shared" si="3"/>
        <v>0</v>
      </c>
      <c r="L15" s="15">
        <f t="shared" si="4"/>
        <v>0</v>
      </c>
      <c r="M15" s="15">
        <v>0</v>
      </c>
      <c r="N15" s="15">
        <v>0</v>
      </c>
      <c r="O15" s="29"/>
      <c r="P15" s="19"/>
    </row>
    <row r="16" spans="1:16" x14ac:dyDescent="0.2">
      <c r="A16" s="14">
        <v>44448</v>
      </c>
      <c r="C16" s="15"/>
      <c r="D16" s="15"/>
      <c r="E16" s="15"/>
      <c r="F16" s="15"/>
      <c r="G16" s="16">
        <f t="shared" ref="G16:G33" si="5">E16-D16</f>
        <v>0</v>
      </c>
      <c r="H16" s="16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</row>
    <row r="17" spans="1:16" x14ac:dyDescent="0.2">
      <c r="A17" s="14">
        <v>44470</v>
      </c>
      <c r="G17" s="16">
        <f t="shared" si="5"/>
        <v>0</v>
      </c>
      <c r="H17" s="16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4">
        <v>44501</v>
      </c>
      <c r="G18" s="16">
        <f t="shared" si="5"/>
        <v>0</v>
      </c>
      <c r="H18" s="16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4">
        <v>44531</v>
      </c>
      <c r="G19" s="16">
        <f t="shared" si="5"/>
        <v>0</v>
      </c>
      <c r="H19" s="16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4">
        <v>44562</v>
      </c>
      <c r="G20" s="16">
        <f t="shared" si="5"/>
        <v>0</v>
      </c>
      <c r="H20" s="16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4">
        <v>44593</v>
      </c>
      <c r="G21" s="16">
        <f t="shared" si="5"/>
        <v>0</v>
      </c>
      <c r="H21" s="16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4">
        <v>44629</v>
      </c>
      <c r="G22" s="16">
        <f t="shared" si="5"/>
        <v>0</v>
      </c>
      <c r="H22" s="16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4">
        <v>44652</v>
      </c>
      <c r="G23" s="16">
        <f t="shared" si="5"/>
        <v>0</v>
      </c>
      <c r="H23" s="16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4">
        <v>44682</v>
      </c>
      <c r="G24" s="16">
        <f t="shared" si="5"/>
        <v>0</v>
      </c>
      <c r="H24" s="16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4">
        <v>44713</v>
      </c>
      <c r="G25" s="16">
        <f t="shared" si="5"/>
        <v>0</v>
      </c>
      <c r="H25" s="16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4">
        <v>44743</v>
      </c>
      <c r="G26" s="16">
        <f t="shared" si="5"/>
        <v>0</v>
      </c>
      <c r="H26" s="16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4">
        <v>44774</v>
      </c>
      <c r="G27" s="16">
        <f t="shared" si="5"/>
        <v>0</v>
      </c>
      <c r="H27" s="16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4">
        <v>44813</v>
      </c>
      <c r="G28" s="16">
        <f t="shared" si="5"/>
        <v>0</v>
      </c>
      <c r="H28" s="16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4">
        <v>44835</v>
      </c>
      <c r="G29" s="16">
        <f t="shared" si="5"/>
        <v>0</v>
      </c>
      <c r="H29" s="16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4">
        <v>44866</v>
      </c>
      <c r="G30" s="16">
        <f t="shared" si="5"/>
        <v>0</v>
      </c>
      <c r="H30" s="16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4">
        <v>44896</v>
      </c>
      <c r="G31" s="16">
        <f t="shared" si="5"/>
        <v>0</v>
      </c>
      <c r="H31" s="16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4">
        <v>44927</v>
      </c>
      <c r="G32" s="16">
        <f t="shared" si="5"/>
        <v>0</v>
      </c>
      <c r="H32" s="16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6">
        <f t="shared" si="5"/>
        <v>0</v>
      </c>
      <c r="H33" s="16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6" t="s">
        <v>20</v>
      </c>
      <c r="D35" s="16"/>
      <c r="E35" s="16"/>
      <c r="F35" s="16"/>
      <c r="G35" s="16"/>
      <c r="H35" s="16"/>
      <c r="I35" s="17"/>
      <c r="J35" s="17"/>
      <c r="K35" s="15"/>
    </row>
    <row r="36" spans="1:14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">
      <c r="C37" s="23" t="s">
        <v>39</v>
      </c>
    </row>
    <row r="38" spans="1:14" x14ac:dyDescent="0.2">
      <c r="C38" s="23" t="s">
        <v>22</v>
      </c>
    </row>
    <row r="39" spans="1:14" x14ac:dyDescent="0.2">
      <c r="C39" s="23" t="s">
        <v>23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32">
        <v>3199833</v>
      </c>
      <c r="D43" s="33">
        <v>83600</v>
      </c>
      <c r="E43" s="32">
        <v>11895.38</v>
      </c>
      <c r="F43" s="19">
        <f>E43-D43</f>
        <v>-71704.62</v>
      </c>
      <c r="G43" s="17">
        <v>0.21</v>
      </c>
      <c r="H43" s="19">
        <f>F43*G43</f>
        <v>-15057.970199999998</v>
      </c>
    </row>
    <row r="44" spans="1:14" x14ac:dyDescent="0.2">
      <c r="C44" s="32">
        <v>4799749</v>
      </c>
      <c r="E44" s="32">
        <v>0</v>
      </c>
      <c r="F44" s="19">
        <f>E44</f>
        <v>0</v>
      </c>
      <c r="G44" s="17">
        <v>0.21</v>
      </c>
      <c r="H44" s="19">
        <f t="shared" ref="H44:H48" si="9">F44*G44</f>
        <v>0</v>
      </c>
    </row>
    <row r="45" spans="1:14" x14ac:dyDescent="0.2">
      <c r="C45" s="34">
        <f>623422/2*0.4</f>
        <v>124684.40000000001</v>
      </c>
      <c r="E45" s="32">
        <v>463.62</v>
      </c>
      <c r="F45" s="19">
        <f t="shared" ref="F45:F48" si="10">E45</f>
        <v>463.62</v>
      </c>
      <c r="G45" s="17">
        <v>0.21</v>
      </c>
      <c r="H45" s="19">
        <f t="shared" si="9"/>
        <v>97.360199999999992</v>
      </c>
    </row>
    <row r="46" spans="1:14" x14ac:dyDescent="0.2">
      <c r="C46" s="34">
        <f>623422/2*0.6</f>
        <v>187026.6</v>
      </c>
      <c r="E46" s="32">
        <v>0</v>
      </c>
      <c r="F46" s="19">
        <f t="shared" si="10"/>
        <v>0</v>
      </c>
      <c r="G46" s="17">
        <v>0.21</v>
      </c>
      <c r="H46" s="19">
        <f t="shared" si="9"/>
        <v>0</v>
      </c>
    </row>
    <row r="47" spans="1:14" x14ac:dyDescent="0.2">
      <c r="C47" s="34">
        <v>545023.20400000003</v>
      </c>
      <c r="E47" s="32">
        <v>2220.06</v>
      </c>
      <c r="F47" s="19">
        <f t="shared" si="10"/>
        <v>2220.06</v>
      </c>
      <c r="G47" s="17">
        <v>0.21</v>
      </c>
      <c r="H47" s="19">
        <f t="shared" si="9"/>
        <v>466.21259999999995</v>
      </c>
    </row>
    <row r="48" spans="1:14" ht="15" x14ac:dyDescent="0.35">
      <c r="C48" s="34">
        <v>817534.80599999998</v>
      </c>
      <c r="E48" s="35">
        <v>0</v>
      </c>
      <c r="F48" s="30">
        <f t="shared" si="10"/>
        <v>0</v>
      </c>
      <c r="G48" s="17">
        <v>0.21</v>
      </c>
      <c r="H48" s="30">
        <f t="shared" si="9"/>
        <v>0</v>
      </c>
    </row>
    <row r="49" spans="3:9" x14ac:dyDescent="0.2">
      <c r="E49" s="32">
        <f>SUM(E43:E48)</f>
        <v>14579.06</v>
      </c>
      <c r="F49" s="32">
        <f>SUM(F43:F48)</f>
        <v>-69020.94</v>
      </c>
      <c r="G49" s="29" t="s">
        <v>30</v>
      </c>
      <c r="H49" s="19">
        <f>SUM(H43:H48)</f>
        <v>-14494.397399999998</v>
      </c>
    </row>
    <row r="50" spans="3:9" ht="15" x14ac:dyDescent="0.35">
      <c r="E50" s="19"/>
      <c r="F50" s="19"/>
      <c r="G50" s="29" t="s">
        <v>31</v>
      </c>
      <c r="H50" s="30">
        <f>-H60*0.21</f>
        <v>571.63974000000007</v>
      </c>
    </row>
    <row r="51" spans="3:9" x14ac:dyDescent="0.2">
      <c r="H51" s="19">
        <f>H49+H50</f>
        <v>-13922.757659999997</v>
      </c>
    </row>
    <row r="52" spans="3:9" x14ac:dyDescent="0.2">
      <c r="H52" s="19">
        <f>H51-K13</f>
        <v>9215.4697400000023</v>
      </c>
      <c r="I52" t="s">
        <v>32</v>
      </c>
    </row>
    <row r="53" spans="3:9" x14ac:dyDescent="0.2">
      <c r="C53" s="15" t="s">
        <v>33</v>
      </c>
      <c r="D53" s="22" t="s">
        <v>26</v>
      </c>
      <c r="E53" s="24" t="s">
        <v>34</v>
      </c>
      <c r="F53" s="15" t="s">
        <v>35</v>
      </c>
      <c r="G53" s="17" t="s">
        <v>13</v>
      </c>
      <c r="H53" s="15" t="s">
        <v>36</v>
      </c>
    </row>
    <row r="54" spans="3:9" x14ac:dyDescent="0.2">
      <c r="C54" s="34">
        <v>6399666</v>
      </c>
      <c r="D54" s="19">
        <f>D43</f>
        <v>83600</v>
      </c>
      <c r="E54" s="19">
        <v>23790.76</v>
      </c>
      <c r="F54" s="19">
        <f>E54-D54</f>
        <v>-59809.240000000005</v>
      </c>
      <c r="G54" s="17">
        <v>0.05</v>
      </c>
      <c r="H54" s="19">
        <f>F54*G54</f>
        <v>-2990.4620000000004</v>
      </c>
    </row>
    <row r="55" spans="3:9" x14ac:dyDescent="0.2">
      <c r="C55" s="34">
        <v>9599498</v>
      </c>
      <c r="E55" s="19">
        <v>0</v>
      </c>
      <c r="F55" s="19">
        <f>E55</f>
        <v>0</v>
      </c>
      <c r="G55" s="17">
        <v>0.05</v>
      </c>
      <c r="H55" s="19">
        <f t="shared" ref="H55:H59" si="11">F55*G55</f>
        <v>0</v>
      </c>
    </row>
    <row r="56" spans="3:9" x14ac:dyDescent="0.2">
      <c r="C56" s="34">
        <v>249369</v>
      </c>
      <c r="E56" s="19">
        <v>927.24</v>
      </c>
      <c r="F56" s="19">
        <f t="shared" ref="F56:F59" si="12">E56</f>
        <v>927.24</v>
      </c>
      <c r="G56" s="17">
        <v>0.05</v>
      </c>
      <c r="H56" s="19">
        <f t="shared" si="11"/>
        <v>46.362000000000002</v>
      </c>
    </row>
    <row r="57" spans="3:9" x14ac:dyDescent="0.2">
      <c r="C57" s="34">
        <v>374053</v>
      </c>
      <c r="E57" s="19">
        <v>0</v>
      </c>
      <c r="F57" s="19">
        <f t="shared" si="12"/>
        <v>0</v>
      </c>
      <c r="G57" s="17">
        <v>0.05</v>
      </c>
      <c r="H57" s="19">
        <f t="shared" si="11"/>
        <v>0</v>
      </c>
    </row>
    <row r="58" spans="3:9" x14ac:dyDescent="0.2">
      <c r="C58" s="34">
        <f>(2725460.82-344.8)*0.4</f>
        <v>1090046.4080000001</v>
      </c>
      <c r="E58" s="19">
        <v>4440.12</v>
      </c>
      <c r="F58" s="19">
        <f t="shared" si="12"/>
        <v>4440.12</v>
      </c>
      <c r="G58" s="17">
        <v>0.05</v>
      </c>
      <c r="H58" s="19">
        <f t="shared" si="11"/>
        <v>222.006</v>
      </c>
    </row>
    <row r="59" spans="3:9" ht="15" x14ac:dyDescent="0.35">
      <c r="C59" s="34">
        <f>(2725460.82-344.8)*0.6</f>
        <v>1635069.612</v>
      </c>
      <c r="E59" s="30">
        <v>0</v>
      </c>
      <c r="F59" s="30">
        <f t="shared" si="12"/>
        <v>0</v>
      </c>
      <c r="G59" s="17">
        <v>0.05</v>
      </c>
      <c r="H59" s="30">
        <f t="shared" si="11"/>
        <v>0</v>
      </c>
    </row>
    <row r="60" spans="3:9" x14ac:dyDescent="0.2">
      <c r="E60" s="19">
        <f>SUM(E54:E59)</f>
        <v>29158.12</v>
      </c>
      <c r="F60" s="19">
        <f>SUM(F54:F59)</f>
        <v>-54441.880000000005</v>
      </c>
      <c r="H60" s="19">
        <f>SUM(H54:H59)</f>
        <v>-2722.0940000000005</v>
      </c>
    </row>
    <row r="61" spans="3:9" x14ac:dyDescent="0.2">
      <c r="E61" s="19"/>
      <c r="F61" s="19"/>
      <c r="H61" s="19">
        <f>H60-L13</f>
        <v>532.7199999999998</v>
      </c>
      <c r="I61" t="s">
        <v>37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2 of 15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0655F-8D54-4362-A448-F7131BBB0854}">
  <dimension ref="A1:Q80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customWidth="1"/>
    <col min="18" max="18" width="14.5703125" bestFit="1" customWidth="1"/>
    <col min="19" max="19" width="11.42578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A5" s="5" t="s">
        <v>40</v>
      </c>
    </row>
    <row r="6" spans="1:17" x14ac:dyDescent="0.2">
      <c r="A6" s="6" t="s">
        <v>41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27604690</v>
      </c>
    </row>
    <row r="10" spans="1:17" x14ac:dyDescent="0.2">
      <c r="A10" s="14">
        <v>44264</v>
      </c>
      <c r="C10" s="15">
        <v>121543607</v>
      </c>
      <c r="D10" s="16">
        <v>502966</v>
      </c>
      <c r="E10" s="11">
        <f>561220.41</f>
        <v>561220.41</v>
      </c>
      <c r="F10" s="11">
        <f>1051983.7</f>
        <v>1051983.7</v>
      </c>
      <c r="G10" s="16">
        <f t="shared" ref="G10:G15" si="0">E10-D10</f>
        <v>58254.410000000033</v>
      </c>
      <c r="H10" s="16">
        <f t="shared" ref="H10:H15" si="1">F10-D10</f>
        <v>549017.69999999995</v>
      </c>
      <c r="I10" s="17">
        <v>0.21</v>
      </c>
      <c r="J10" s="17">
        <v>0.05</v>
      </c>
      <c r="K10" s="15">
        <f>G10*I10-L10*I10-3640.42</f>
        <v>2828.3202500000061</v>
      </c>
      <c r="L10" s="15">
        <f t="shared" ref="L10:L15" si="2">H10*J10</f>
        <v>27450.884999999998</v>
      </c>
      <c r="M10" s="15">
        <f t="shared" ref="M10:M13" si="3">M9+K10+L10</f>
        <v>27634969.205250002</v>
      </c>
      <c r="N10" s="15">
        <v>0</v>
      </c>
      <c r="O10" s="36"/>
      <c r="P10" s="15"/>
      <c r="Q10" s="15"/>
    </row>
    <row r="11" spans="1:17" x14ac:dyDescent="0.2">
      <c r="A11" s="14">
        <v>44287</v>
      </c>
      <c r="C11" s="15">
        <v>121543607</v>
      </c>
      <c r="D11" s="16">
        <v>502966</v>
      </c>
      <c r="E11" s="11">
        <f>561220.41</f>
        <v>561220.41</v>
      </c>
      <c r="F11" s="11">
        <f>1051983.7</f>
        <v>1051983.7</v>
      </c>
      <c r="G11" s="16">
        <f t="shared" si="0"/>
        <v>58254.410000000033</v>
      </c>
      <c r="H11" s="16">
        <f t="shared" si="1"/>
        <v>549017.69999999995</v>
      </c>
      <c r="I11" s="17">
        <v>0.21</v>
      </c>
      <c r="J11" s="17">
        <v>0.05</v>
      </c>
      <c r="K11" s="15">
        <f>G11*I11-L11*I11-3640.42</f>
        <v>2828.3202500000061</v>
      </c>
      <c r="L11" s="15">
        <f t="shared" si="2"/>
        <v>27450.884999999998</v>
      </c>
      <c r="M11" s="15">
        <f t="shared" si="3"/>
        <v>27665248.410500005</v>
      </c>
      <c r="N11" s="15">
        <v>0</v>
      </c>
      <c r="O11" s="13"/>
      <c r="P11" s="13"/>
      <c r="Q11" s="15"/>
    </row>
    <row r="12" spans="1:17" x14ac:dyDescent="0.2">
      <c r="A12" s="14">
        <v>44317</v>
      </c>
      <c r="C12" s="15">
        <v>121543607</v>
      </c>
      <c r="D12" s="16">
        <v>502966</v>
      </c>
      <c r="E12" s="11">
        <f>561220.41</f>
        <v>561220.41</v>
      </c>
      <c r="F12" s="11">
        <f>1051983.7</f>
        <v>1051983.7</v>
      </c>
      <c r="G12" s="16">
        <f t="shared" si="0"/>
        <v>58254.410000000033</v>
      </c>
      <c r="H12" s="16">
        <f t="shared" si="1"/>
        <v>549017.69999999995</v>
      </c>
      <c r="I12" s="17">
        <v>0.21</v>
      </c>
      <c r="J12" s="17">
        <v>0.05</v>
      </c>
      <c r="K12" s="15">
        <f>G12*I12-L12*I12-3640.42</f>
        <v>2828.3202500000061</v>
      </c>
      <c r="L12" s="15">
        <f t="shared" si="2"/>
        <v>27450.884999999998</v>
      </c>
      <c r="M12" s="15">
        <f t="shared" si="3"/>
        <v>27695527.615750007</v>
      </c>
      <c r="N12" s="15">
        <v>0</v>
      </c>
      <c r="O12" s="13" t="s">
        <v>19</v>
      </c>
      <c r="Q12" s="15"/>
    </row>
    <row r="13" spans="1:17" x14ac:dyDescent="0.2">
      <c r="A13" s="14">
        <v>44348</v>
      </c>
      <c r="C13" s="15">
        <v>121543607</v>
      </c>
      <c r="D13" s="16">
        <v>502966</v>
      </c>
      <c r="E13" s="11">
        <f>561220.41</f>
        <v>561220.41</v>
      </c>
      <c r="F13" s="11">
        <f>1051983.7</f>
        <v>1051983.7</v>
      </c>
      <c r="G13" s="16">
        <f t="shared" si="0"/>
        <v>58254.410000000033</v>
      </c>
      <c r="H13" s="16">
        <f t="shared" si="1"/>
        <v>549017.69999999995</v>
      </c>
      <c r="I13" s="17">
        <v>0.21</v>
      </c>
      <c r="J13" s="17">
        <v>0.05</v>
      </c>
      <c r="K13" s="15">
        <f>G13*I13-L13*I13-3640.42</f>
        <v>2828.3202500000061</v>
      </c>
      <c r="L13" s="15">
        <f t="shared" si="2"/>
        <v>27450.884999999998</v>
      </c>
      <c r="M13" s="15">
        <f t="shared" si="3"/>
        <v>27725806.82100001</v>
      </c>
      <c r="N13" s="15">
        <v>0</v>
      </c>
      <c r="O13" s="13" t="s">
        <v>19</v>
      </c>
      <c r="Q13" s="15"/>
    </row>
    <row r="14" spans="1:17" x14ac:dyDescent="0.2">
      <c r="A14" s="14">
        <v>44378</v>
      </c>
      <c r="C14" s="15"/>
      <c r="D14" s="16"/>
      <c r="E14" s="11"/>
      <c r="F14" s="11"/>
      <c r="G14" s="16">
        <f t="shared" si="0"/>
        <v>0</v>
      </c>
      <c r="H14" s="16">
        <f t="shared" si="1"/>
        <v>0</v>
      </c>
      <c r="I14" s="17">
        <v>0.21</v>
      </c>
      <c r="J14" s="17">
        <v>0.05</v>
      </c>
      <c r="K14" s="15">
        <f t="shared" ref="K14:K15" si="4">G14*I14-L14*I14</f>
        <v>0</v>
      </c>
      <c r="L14" s="15">
        <f t="shared" si="2"/>
        <v>0</v>
      </c>
      <c r="M14" s="15">
        <v>0</v>
      </c>
      <c r="N14" s="15">
        <v>0</v>
      </c>
      <c r="O14" s="13"/>
      <c r="Q14" s="15"/>
    </row>
    <row r="15" spans="1:17" x14ac:dyDescent="0.2">
      <c r="A15" s="14">
        <v>44409</v>
      </c>
      <c r="C15" s="15"/>
      <c r="D15" s="16"/>
      <c r="E15" s="16"/>
      <c r="F15" s="16"/>
      <c r="G15" s="16">
        <f t="shared" si="0"/>
        <v>0</v>
      </c>
      <c r="H15" s="16">
        <f t="shared" si="1"/>
        <v>0</v>
      </c>
      <c r="I15" s="17">
        <v>0.21</v>
      </c>
      <c r="J15" s="17">
        <v>0.05</v>
      </c>
      <c r="K15" s="15">
        <f t="shared" si="4"/>
        <v>0</v>
      </c>
      <c r="L15" s="15">
        <f t="shared" si="2"/>
        <v>0</v>
      </c>
      <c r="M15" s="15">
        <v>0</v>
      </c>
      <c r="N15" s="15">
        <v>0</v>
      </c>
      <c r="O15" s="15"/>
      <c r="Q15" s="15"/>
    </row>
    <row r="16" spans="1:17" x14ac:dyDescent="0.2">
      <c r="A16" s="14">
        <v>44448</v>
      </c>
      <c r="C16" s="15"/>
      <c r="D16" s="15"/>
      <c r="E16" s="15"/>
      <c r="F16" s="15"/>
      <c r="G16" s="16">
        <f t="shared" ref="G16:G33" si="5">E16-D16</f>
        <v>0</v>
      </c>
      <c r="H16" s="16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5"/>
      <c r="P16" s="15"/>
      <c r="Q16" s="19"/>
    </row>
    <row r="17" spans="1:16" x14ac:dyDescent="0.2">
      <c r="A17" s="14">
        <v>44470</v>
      </c>
      <c r="G17" s="16">
        <f t="shared" si="5"/>
        <v>0</v>
      </c>
      <c r="H17" s="16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  <c r="O17" s="15"/>
      <c r="P17" s="15"/>
    </row>
    <row r="18" spans="1:16" x14ac:dyDescent="0.2">
      <c r="A18" s="14">
        <v>44501</v>
      </c>
      <c r="G18" s="16">
        <f t="shared" si="5"/>
        <v>0</v>
      </c>
      <c r="H18" s="16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  <c r="O18" s="15"/>
      <c r="P18" s="15"/>
    </row>
    <row r="19" spans="1:16" x14ac:dyDescent="0.2">
      <c r="A19" s="14">
        <v>44531</v>
      </c>
      <c r="G19" s="16">
        <f t="shared" si="5"/>
        <v>0</v>
      </c>
      <c r="H19" s="16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6" x14ac:dyDescent="0.2">
      <c r="A20" s="14">
        <v>44562</v>
      </c>
      <c r="G20" s="16">
        <f t="shared" si="5"/>
        <v>0</v>
      </c>
      <c r="H20" s="16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6" x14ac:dyDescent="0.2">
      <c r="A21" s="14">
        <v>44593</v>
      </c>
      <c r="G21" s="16">
        <f t="shared" si="5"/>
        <v>0</v>
      </c>
      <c r="H21" s="16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6" x14ac:dyDescent="0.2">
      <c r="A22" s="14">
        <v>44629</v>
      </c>
      <c r="G22" s="16">
        <f t="shared" si="5"/>
        <v>0</v>
      </c>
      <c r="H22" s="16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6" x14ac:dyDescent="0.2">
      <c r="A23" s="14">
        <v>44652</v>
      </c>
      <c r="G23" s="16">
        <f t="shared" si="5"/>
        <v>0</v>
      </c>
      <c r="H23" s="16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6" x14ac:dyDescent="0.2">
      <c r="A24" s="14">
        <v>44682</v>
      </c>
      <c r="G24" s="16">
        <f t="shared" si="5"/>
        <v>0</v>
      </c>
      <c r="H24" s="16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6" x14ac:dyDescent="0.2">
      <c r="A25" s="14">
        <v>44713</v>
      </c>
      <c r="G25" s="16">
        <f t="shared" si="5"/>
        <v>0</v>
      </c>
      <c r="H25" s="16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6" x14ac:dyDescent="0.2">
      <c r="A26" s="14">
        <v>44743</v>
      </c>
      <c r="G26" s="16">
        <f t="shared" si="5"/>
        <v>0</v>
      </c>
      <c r="H26" s="16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6" x14ac:dyDescent="0.2">
      <c r="A27" s="14">
        <v>44774</v>
      </c>
      <c r="G27" s="16">
        <f t="shared" si="5"/>
        <v>0</v>
      </c>
      <c r="H27" s="16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6" x14ac:dyDescent="0.2">
      <c r="A28" s="14">
        <v>44813</v>
      </c>
      <c r="G28" s="16">
        <f t="shared" si="5"/>
        <v>0</v>
      </c>
      <c r="H28" s="16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6" x14ac:dyDescent="0.2">
      <c r="A29" s="14">
        <v>44835</v>
      </c>
      <c r="G29" s="16">
        <f t="shared" si="5"/>
        <v>0</v>
      </c>
      <c r="H29" s="16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6" x14ac:dyDescent="0.2">
      <c r="A30" s="14">
        <v>44866</v>
      </c>
      <c r="G30" s="16">
        <f t="shared" si="5"/>
        <v>0</v>
      </c>
      <c r="H30" s="16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6" x14ac:dyDescent="0.2">
      <c r="A31" s="14">
        <v>44896</v>
      </c>
      <c r="G31" s="16">
        <f t="shared" si="5"/>
        <v>0</v>
      </c>
      <c r="H31" s="16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6" x14ac:dyDescent="0.2">
      <c r="A32" s="14">
        <v>44927</v>
      </c>
      <c r="G32" s="16">
        <f t="shared" si="5"/>
        <v>0</v>
      </c>
      <c r="H32" s="16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6">
        <f t="shared" si="5"/>
        <v>0</v>
      </c>
      <c r="H33" s="16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15" t="s">
        <v>42</v>
      </c>
      <c r="D35" s="15"/>
      <c r="E35" s="15"/>
      <c r="F35" s="15"/>
      <c r="G35" s="15"/>
      <c r="H35" s="15"/>
      <c r="I35" s="15"/>
      <c r="J35" s="15"/>
      <c r="K35" s="15"/>
    </row>
    <row r="36" spans="1:14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">
      <c r="C37" s="23" t="s">
        <v>43</v>
      </c>
    </row>
    <row r="38" spans="1:14" x14ac:dyDescent="0.2">
      <c r="C38" s="23" t="s">
        <v>22</v>
      </c>
    </row>
    <row r="39" spans="1:14" x14ac:dyDescent="0.2">
      <c r="C39" s="23" t="s">
        <v>23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2">
        <v>846667</v>
      </c>
      <c r="D43" s="12">
        <v>502966</v>
      </c>
      <c r="E43" s="12">
        <v>0</v>
      </c>
      <c r="F43" s="19">
        <f>E43-D43</f>
        <v>-502966</v>
      </c>
      <c r="G43" s="17">
        <v>0.21</v>
      </c>
      <c r="H43" s="19">
        <f>F43*G43</f>
        <v>-105622.86</v>
      </c>
    </row>
    <row r="44" spans="1:14" x14ac:dyDescent="0.2">
      <c r="C44" s="34">
        <v>826019.67</v>
      </c>
      <c r="E44" s="12">
        <v>0</v>
      </c>
      <c r="F44" s="19">
        <f>E44</f>
        <v>0</v>
      </c>
      <c r="G44" s="17">
        <v>0.21</v>
      </c>
      <c r="H44" s="19">
        <f t="shared" ref="H44:H60" si="9">F44*G44</f>
        <v>0</v>
      </c>
    </row>
    <row r="45" spans="1:14" x14ac:dyDescent="0.2">
      <c r="C45" s="34">
        <f>21052017.182-(265688.84/2)</f>
        <v>20919172.761999998</v>
      </c>
      <c r="E45" s="12">
        <v>92716.59</v>
      </c>
      <c r="F45" s="19">
        <f t="shared" ref="F45:F60" si="10">E45</f>
        <v>92716.59</v>
      </c>
      <c r="G45" s="17">
        <v>0.21</v>
      </c>
      <c r="H45" s="19">
        <f t="shared" si="9"/>
        <v>19470.483899999999</v>
      </c>
    </row>
    <row r="46" spans="1:14" x14ac:dyDescent="0.2">
      <c r="C46" s="34">
        <v>31578025.772999998</v>
      </c>
      <c r="E46" s="12">
        <v>350866.95</v>
      </c>
      <c r="F46" s="19">
        <f t="shared" si="10"/>
        <v>350866.95</v>
      </c>
      <c r="G46" s="17">
        <v>0.21</v>
      </c>
      <c r="H46" s="19">
        <f t="shared" si="9"/>
        <v>73682.059500000003</v>
      </c>
    </row>
    <row r="47" spans="1:14" x14ac:dyDescent="0.2">
      <c r="C47" s="34">
        <v>94801.065000000002</v>
      </c>
      <c r="E47" s="12">
        <v>0</v>
      </c>
      <c r="F47" s="19">
        <f t="shared" si="10"/>
        <v>0</v>
      </c>
      <c r="G47" s="17">
        <v>0.21</v>
      </c>
      <c r="H47" s="19">
        <f t="shared" si="9"/>
        <v>0</v>
      </c>
    </row>
    <row r="48" spans="1:14" x14ac:dyDescent="0.2">
      <c r="C48" s="34">
        <v>94801.065000000002</v>
      </c>
      <c r="E48" s="16">
        <v>451.33</v>
      </c>
      <c r="F48" s="27">
        <f t="shared" si="10"/>
        <v>451.33</v>
      </c>
      <c r="G48" s="17">
        <v>0.21</v>
      </c>
      <c r="H48" s="27">
        <f t="shared" si="9"/>
        <v>94.779299999999992</v>
      </c>
    </row>
    <row r="49" spans="3:9" x14ac:dyDescent="0.2">
      <c r="C49" s="37">
        <v>2766726</v>
      </c>
      <c r="D49" s="29"/>
      <c r="E49" s="16">
        <f>5268.77+27667.26</f>
        <v>32936.03</v>
      </c>
      <c r="F49" s="27">
        <f t="shared" si="10"/>
        <v>32936.03</v>
      </c>
      <c r="G49" s="17">
        <v>0.21</v>
      </c>
      <c r="H49" s="27">
        <f t="shared" si="9"/>
        <v>6916.5662999999995</v>
      </c>
    </row>
    <row r="50" spans="3:9" x14ac:dyDescent="0.2">
      <c r="C50" s="37">
        <v>-1309904</v>
      </c>
      <c r="D50" s="29"/>
      <c r="E50" s="16"/>
      <c r="F50" s="27">
        <f t="shared" si="10"/>
        <v>0</v>
      </c>
      <c r="G50" s="17">
        <v>0.21</v>
      </c>
      <c r="H50" s="27">
        <f t="shared" si="9"/>
        <v>0</v>
      </c>
    </row>
    <row r="51" spans="3:9" x14ac:dyDescent="0.2">
      <c r="C51" s="37">
        <v>-1309904</v>
      </c>
      <c r="D51" s="29"/>
      <c r="E51" s="16">
        <f>-2494.49-13099.04</f>
        <v>-15593.53</v>
      </c>
      <c r="F51" s="27">
        <f t="shared" si="10"/>
        <v>-15593.53</v>
      </c>
      <c r="G51" s="17">
        <v>0.21</v>
      </c>
      <c r="H51" s="27">
        <f t="shared" si="9"/>
        <v>-3274.6413000000002</v>
      </c>
    </row>
    <row r="52" spans="3:9" x14ac:dyDescent="0.2">
      <c r="C52" s="37">
        <v>5205251</v>
      </c>
      <c r="D52" s="29"/>
      <c r="E52" s="16"/>
      <c r="F52" s="27">
        <f t="shared" si="10"/>
        <v>0</v>
      </c>
      <c r="G52" s="17">
        <v>0.21</v>
      </c>
      <c r="H52" s="27">
        <f t="shared" si="9"/>
        <v>0</v>
      </c>
    </row>
    <row r="53" spans="3:9" x14ac:dyDescent="0.2">
      <c r="C53" s="37">
        <v>7681105</v>
      </c>
      <c r="D53" s="29"/>
      <c r="E53" s="16">
        <f>14627.38+76811.05</f>
        <v>91438.430000000008</v>
      </c>
      <c r="F53" s="27">
        <f t="shared" si="10"/>
        <v>91438.430000000008</v>
      </c>
      <c r="G53" s="17">
        <v>0.21</v>
      </c>
      <c r="H53" s="27">
        <f t="shared" si="9"/>
        <v>19202.070299999999</v>
      </c>
    </row>
    <row r="54" spans="3:9" x14ac:dyDescent="0.2">
      <c r="C54" s="37">
        <v>196791</v>
      </c>
      <c r="D54" s="29"/>
      <c r="E54" s="16"/>
      <c r="F54" s="27">
        <f t="shared" si="10"/>
        <v>0</v>
      </c>
      <c r="G54" s="17">
        <v>0.21</v>
      </c>
      <c r="H54" s="27">
        <f t="shared" si="9"/>
        <v>0</v>
      </c>
    </row>
    <row r="55" spans="3:9" x14ac:dyDescent="0.2">
      <c r="C55" s="37">
        <v>196791</v>
      </c>
      <c r="D55" s="29"/>
      <c r="E55" s="16">
        <v>936.89</v>
      </c>
      <c r="F55" s="27">
        <f t="shared" si="10"/>
        <v>936.89</v>
      </c>
      <c r="G55" s="17">
        <v>0.21</v>
      </c>
      <c r="H55" s="27">
        <f t="shared" si="9"/>
        <v>196.74689999999998</v>
      </c>
    </row>
    <row r="56" spans="3:9" x14ac:dyDescent="0.2">
      <c r="C56" s="37">
        <v>3557</v>
      </c>
      <c r="D56" s="29"/>
      <c r="E56" s="16"/>
      <c r="F56" s="27">
        <f t="shared" si="10"/>
        <v>0</v>
      </c>
      <c r="G56" s="17">
        <v>0.21</v>
      </c>
      <c r="H56" s="27">
        <f t="shared" si="9"/>
        <v>0</v>
      </c>
    </row>
    <row r="57" spans="3:9" x14ac:dyDescent="0.2">
      <c r="C57" s="37">
        <v>5335</v>
      </c>
      <c r="D57" s="29"/>
      <c r="E57" s="16">
        <v>27.46</v>
      </c>
      <c r="F57" s="27">
        <f t="shared" si="10"/>
        <v>27.46</v>
      </c>
      <c r="G57" s="17">
        <v>0.21</v>
      </c>
      <c r="H57" s="27">
        <f t="shared" si="9"/>
        <v>5.7666000000000004</v>
      </c>
    </row>
    <row r="58" spans="3:9" x14ac:dyDescent="0.2">
      <c r="C58" s="37">
        <v>704440</v>
      </c>
      <c r="D58" s="29"/>
      <c r="E58" s="16"/>
      <c r="F58" s="27">
        <f t="shared" si="10"/>
        <v>0</v>
      </c>
      <c r="G58" s="17">
        <v>0.21</v>
      </c>
      <c r="H58" s="27">
        <f t="shared" si="9"/>
        <v>0</v>
      </c>
    </row>
    <row r="59" spans="3:9" x14ac:dyDescent="0.2">
      <c r="C59" s="37">
        <v>-100518</v>
      </c>
      <c r="D59" s="29"/>
      <c r="E59" s="16">
        <v>-598.29999999999995</v>
      </c>
      <c r="F59" s="27">
        <f t="shared" si="10"/>
        <v>-598.29999999999995</v>
      </c>
      <c r="G59" s="17">
        <v>0.21</v>
      </c>
      <c r="H59" s="27">
        <f t="shared" si="9"/>
        <v>-125.64299999999999</v>
      </c>
    </row>
    <row r="60" spans="3:9" ht="15" x14ac:dyDescent="0.35">
      <c r="C60" s="37">
        <v>647252</v>
      </c>
      <c r="D60" s="29"/>
      <c r="E60" s="38">
        <f>1377.69+6660.87</f>
        <v>8038.5599999999995</v>
      </c>
      <c r="F60" s="30">
        <f t="shared" si="10"/>
        <v>8038.5599999999995</v>
      </c>
      <c r="G60" s="17">
        <v>0.21</v>
      </c>
      <c r="H60" s="30">
        <f t="shared" si="9"/>
        <v>1688.0975999999998</v>
      </c>
    </row>
    <row r="61" spans="3:9" x14ac:dyDescent="0.2">
      <c r="E61" s="19">
        <f>SUM(E43:E60)</f>
        <v>561220.41</v>
      </c>
      <c r="F61" s="19">
        <f>SUM(F43:F60)</f>
        <v>58254.409999999982</v>
      </c>
      <c r="G61" s="29" t="s">
        <v>30</v>
      </c>
      <c r="H61" s="19">
        <f>SUM(H43:H60)</f>
        <v>12233.426100000008</v>
      </c>
    </row>
    <row r="62" spans="3:9" ht="15" x14ac:dyDescent="0.35">
      <c r="G62" s="29" t="s">
        <v>31</v>
      </c>
      <c r="H62" s="30">
        <f>-H79*0.21</f>
        <v>-5764.6858499999989</v>
      </c>
    </row>
    <row r="63" spans="3:9" x14ac:dyDescent="0.2">
      <c r="H63" s="19">
        <f>H61+H62</f>
        <v>6468.7402500000089</v>
      </c>
    </row>
    <row r="64" spans="3:9" x14ac:dyDescent="0.2">
      <c r="H64" s="19">
        <f>H63-K13</f>
        <v>3640.4200000000028</v>
      </c>
      <c r="I64" s="29" t="s">
        <v>44</v>
      </c>
    </row>
    <row r="65" spans="3:8" x14ac:dyDescent="0.2">
      <c r="C65" s="15" t="s">
        <v>33</v>
      </c>
      <c r="D65" s="22" t="s">
        <v>26</v>
      </c>
      <c r="E65" s="24" t="s">
        <v>34</v>
      </c>
      <c r="F65" s="15" t="s">
        <v>35</v>
      </c>
      <c r="G65" s="17" t="s">
        <v>13</v>
      </c>
      <c r="H65" s="15" t="s">
        <v>36</v>
      </c>
    </row>
    <row r="66" spans="3:8" x14ac:dyDescent="0.2">
      <c r="C66" s="12">
        <v>846667</v>
      </c>
      <c r="D66" s="19">
        <f>D43</f>
        <v>502966</v>
      </c>
      <c r="E66" s="24">
        <v>0</v>
      </c>
      <c r="F66" s="15">
        <f>E66-D66</f>
        <v>-502966</v>
      </c>
      <c r="G66" s="17">
        <v>0.05</v>
      </c>
      <c r="H66" s="15">
        <f>F66*G66</f>
        <v>-25148.300000000003</v>
      </c>
    </row>
    <row r="67" spans="3:8" x14ac:dyDescent="0.2">
      <c r="C67" s="34">
        <v>826019.67</v>
      </c>
      <c r="D67" s="22"/>
      <c r="E67" s="24">
        <v>0</v>
      </c>
      <c r="F67" s="15">
        <f>E67</f>
        <v>0</v>
      </c>
      <c r="G67" s="17">
        <v>0.05</v>
      </c>
      <c r="H67" s="15">
        <f>F67*G67</f>
        <v>0</v>
      </c>
    </row>
    <row r="68" spans="3:8" x14ac:dyDescent="0.2">
      <c r="C68" s="34">
        <f>42104034.364-265688.84</f>
        <v>41838345.523999996</v>
      </c>
      <c r="E68" s="19">
        <v>185433.18</v>
      </c>
      <c r="F68" s="19">
        <f>E68</f>
        <v>185433.18</v>
      </c>
      <c r="G68" s="17">
        <v>0.05</v>
      </c>
      <c r="H68" s="15">
        <f t="shared" ref="H68:H78" si="11">F68*G68</f>
        <v>9271.6589999999997</v>
      </c>
    </row>
    <row r="69" spans="3:8" x14ac:dyDescent="0.2">
      <c r="C69" s="34">
        <v>63156051.545999996</v>
      </c>
      <c r="E69" s="19">
        <v>701733.91</v>
      </c>
      <c r="F69" s="19">
        <f>E69</f>
        <v>701733.91</v>
      </c>
      <c r="G69" s="17">
        <v>0.05</v>
      </c>
      <c r="H69" s="15">
        <f t="shared" si="11"/>
        <v>35086.695500000002</v>
      </c>
    </row>
    <row r="70" spans="3:8" x14ac:dyDescent="0.2">
      <c r="C70" s="34">
        <v>189602.13</v>
      </c>
      <c r="E70" s="27">
        <v>902.66</v>
      </c>
      <c r="F70" s="27">
        <f>E70</f>
        <v>902.66</v>
      </c>
      <c r="G70" s="17">
        <v>0.05</v>
      </c>
      <c r="H70" s="26">
        <f t="shared" si="11"/>
        <v>45.133000000000003</v>
      </c>
    </row>
    <row r="71" spans="3:8" x14ac:dyDescent="0.2">
      <c r="C71" s="37">
        <v>2766726</v>
      </c>
      <c r="D71" s="29"/>
      <c r="E71" s="27">
        <f>5268.77+27667.26</f>
        <v>32936.03</v>
      </c>
      <c r="F71" s="27">
        <f t="shared" ref="F71:F78" si="12">E71</f>
        <v>32936.03</v>
      </c>
      <c r="G71" s="17">
        <v>0.05</v>
      </c>
      <c r="H71" s="26">
        <f t="shared" si="11"/>
        <v>1646.8015</v>
      </c>
    </row>
    <row r="72" spans="3:8" x14ac:dyDescent="0.2">
      <c r="C72" s="37">
        <v>-2619808</v>
      </c>
      <c r="D72" s="29"/>
      <c r="E72" s="27">
        <f>-4988.99-26198.08</f>
        <v>-31187.07</v>
      </c>
      <c r="F72" s="27">
        <f t="shared" si="12"/>
        <v>-31187.07</v>
      </c>
      <c r="G72" s="17">
        <v>0.05</v>
      </c>
      <c r="H72" s="26">
        <f t="shared" si="11"/>
        <v>-1559.3535000000002</v>
      </c>
    </row>
    <row r="73" spans="3:8" x14ac:dyDescent="0.2">
      <c r="C73" s="37">
        <v>12886356</v>
      </c>
      <c r="D73" s="29"/>
      <c r="E73" s="27">
        <f>24539.92+128863.56</f>
        <v>153403.47999999998</v>
      </c>
      <c r="F73" s="27">
        <f t="shared" si="12"/>
        <v>153403.47999999998</v>
      </c>
      <c r="G73" s="17">
        <v>0.05</v>
      </c>
      <c r="H73" s="26">
        <f t="shared" si="11"/>
        <v>7670.1739999999991</v>
      </c>
    </row>
    <row r="74" spans="3:8" x14ac:dyDescent="0.2">
      <c r="C74" s="37">
        <v>393581</v>
      </c>
      <c r="D74" s="29"/>
      <c r="E74" s="27">
        <v>1873.78</v>
      </c>
      <c r="F74" s="27">
        <f t="shared" si="12"/>
        <v>1873.78</v>
      </c>
      <c r="G74" s="17">
        <v>0.05</v>
      </c>
      <c r="H74" s="26">
        <f t="shared" si="11"/>
        <v>93.689000000000007</v>
      </c>
    </row>
    <row r="75" spans="3:8" x14ac:dyDescent="0.2">
      <c r="C75" s="37">
        <v>8892</v>
      </c>
      <c r="D75" s="29"/>
      <c r="E75" s="27">
        <v>45.77</v>
      </c>
      <c r="F75" s="27">
        <f t="shared" si="12"/>
        <v>45.77</v>
      </c>
      <c r="G75" s="17">
        <v>0.05</v>
      </c>
      <c r="H75" s="26">
        <f t="shared" si="11"/>
        <v>2.2885000000000004</v>
      </c>
    </row>
    <row r="76" spans="3:8" x14ac:dyDescent="0.2">
      <c r="C76" s="37">
        <v>704440</v>
      </c>
      <c r="D76" s="29"/>
      <c r="E76" s="27"/>
      <c r="F76" s="27">
        <f t="shared" si="12"/>
        <v>0</v>
      </c>
      <c r="G76" s="17">
        <v>0.05</v>
      </c>
      <c r="H76" s="26">
        <f t="shared" si="11"/>
        <v>0</v>
      </c>
    </row>
    <row r="77" spans="3:8" x14ac:dyDescent="0.2">
      <c r="C77" s="37">
        <v>-100518</v>
      </c>
      <c r="D77" s="29"/>
      <c r="E77" s="27">
        <v>-1196.5999999999999</v>
      </c>
      <c r="F77" s="27">
        <f t="shared" si="12"/>
        <v>-1196.5999999999999</v>
      </c>
      <c r="G77" s="17">
        <v>0.05</v>
      </c>
      <c r="H77" s="26">
        <f t="shared" si="11"/>
        <v>-59.83</v>
      </c>
    </row>
    <row r="78" spans="3:8" ht="15" x14ac:dyDescent="0.35">
      <c r="C78" s="37">
        <v>647252</v>
      </c>
      <c r="D78" s="29"/>
      <c r="E78" s="30">
        <f>1377.69+6660.87</f>
        <v>8038.5599999999995</v>
      </c>
      <c r="F78" s="30">
        <f t="shared" si="12"/>
        <v>8038.5599999999995</v>
      </c>
      <c r="G78" s="17">
        <v>0.05</v>
      </c>
      <c r="H78" s="28">
        <f t="shared" si="11"/>
        <v>401.928</v>
      </c>
    </row>
    <row r="79" spans="3:8" x14ac:dyDescent="0.2">
      <c r="E79" s="19">
        <f>SUM(E66:E78)</f>
        <v>1051983.7000000002</v>
      </c>
      <c r="F79" s="19">
        <f t="shared" ref="F79:H79" si="13">SUM(F66:F78)</f>
        <v>549017.70000000007</v>
      </c>
      <c r="G79" s="19"/>
      <c r="H79" s="19">
        <f t="shared" si="13"/>
        <v>27450.884999999995</v>
      </c>
    </row>
    <row r="80" spans="3:8" x14ac:dyDescent="0.2">
      <c r="H80" s="15">
        <f>H79-L13</f>
        <v>0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3 of 15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1EB84-F2A2-4F64-8EE8-B1BCA2A8BE48}">
  <dimension ref="A1:P118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  <col min="16" max="16" width="11.2851562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5" t="s">
        <v>3</v>
      </c>
    </row>
    <row r="6" spans="1:16" x14ac:dyDescent="0.2">
      <c r="A6" s="6" t="s">
        <v>45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68417464</v>
      </c>
      <c r="O9" s="15"/>
    </row>
    <row r="10" spans="1:16" x14ac:dyDescent="0.2">
      <c r="A10" s="14">
        <v>44264</v>
      </c>
      <c r="C10" s="15">
        <v>369714761</v>
      </c>
      <c r="D10" s="16">
        <v>1293856</v>
      </c>
      <c r="E10" s="11">
        <f>709311.69+660</f>
        <v>709971.69</v>
      </c>
      <c r="F10" s="11">
        <f>1289922.63+660</f>
        <v>1290582.6299999999</v>
      </c>
      <c r="G10" s="15">
        <f>E10-D10</f>
        <v>-583884.31000000006</v>
      </c>
      <c r="H10" s="15">
        <f>F10-D10</f>
        <v>-3273.3700000001118</v>
      </c>
      <c r="I10" s="17">
        <v>0.21</v>
      </c>
      <c r="J10" s="17">
        <v>0.05</v>
      </c>
      <c r="K10" s="15">
        <f>G10*I10+164*I10-82171.99</f>
        <v>-204753.25510000001</v>
      </c>
      <c r="L10" s="15">
        <f>H10*J10-338.23</f>
        <v>-501.89850000000558</v>
      </c>
      <c r="M10" s="15">
        <f t="shared" ref="M10:M13" si="0">M9+K10+L10</f>
        <v>68212208.846400008</v>
      </c>
      <c r="N10" s="15">
        <f>2250889.97-'Project 28'!N10</f>
        <v>2102406.9000000004</v>
      </c>
      <c r="O10" s="31"/>
      <c r="P10" s="19"/>
    </row>
    <row r="11" spans="1:16" x14ac:dyDescent="0.2">
      <c r="A11" s="14">
        <v>44287</v>
      </c>
      <c r="C11" s="15">
        <v>369714761</v>
      </c>
      <c r="D11" s="16">
        <v>1293928</v>
      </c>
      <c r="E11" s="11">
        <f>709311.69+923</f>
        <v>710234.69</v>
      </c>
      <c r="F11" s="11">
        <f>1289922.63+923</f>
        <v>1290845.6299999999</v>
      </c>
      <c r="G11" s="15">
        <f t="shared" ref="G11:G15" si="1">E11-D11</f>
        <v>-583693.31000000006</v>
      </c>
      <c r="H11" s="15">
        <f t="shared" ref="H11:H15" si="2">F11-D11</f>
        <v>-3082.3700000001118</v>
      </c>
      <c r="I11" s="17">
        <v>0.21</v>
      </c>
      <c r="J11" s="17">
        <v>0.05</v>
      </c>
      <c r="K11" s="15">
        <f>G11*I11+154*I11-82171.99</f>
        <v>-204715.2451</v>
      </c>
      <c r="L11" s="15">
        <f>H11*J11-338.23</f>
        <v>-492.34850000000563</v>
      </c>
      <c r="M11" s="15">
        <f t="shared" si="0"/>
        <v>68007001.252800003</v>
      </c>
      <c r="N11" s="15">
        <f>2235382.89-'Project 28'!N11</f>
        <v>2088258.4400000002</v>
      </c>
      <c r="O11" s="31"/>
      <c r="P11" s="19"/>
    </row>
    <row r="12" spans="1:16" x14ac:dyDescent="0.2">
      <c r="A12" s="14">
        <v>44317</v>
      </c>
      <c r="C12" s="15">
        <v>369714761</v>
      </c>
      <c r="D12" s="16">
        <v>1293928</v>
      </c>
      <c r="E12" s="11">
        <f>709311.69+918</f>
        <v>710229.69</v>
      </c>
      <c r="F12" s="11">
        <f>1289922.63+918</f>
        <v>1290840.6299999999</v>
      </c>
      <c r="G12" s="15">
        <f>E12-D12</f>
        <v>-583698.31000000006</v>
      </c>
      <c r="H12" s="15">
        <f>F12-D12</f>
        <v>-3087.3700000001118</v>
      </c>
      <c r="I12" s="17">
        <v>0.21</v>
      </c>
      <c r="J12" s="17">
        <v>0.05</v>
      </c>
      <c r="K12" s="15">
        <f>G12*I12+154*I12-82171.99</f>
        <v>-204716.29510000002</v>
      </c>
      <c r="L12" s="15">
        <f>H12*J12-338.23</f>
        <v>-492.59850000000563</v>
      </c>
      <c r="M12" s="15">
        <f t="shared" si="0"/>
        <v>67801792.359200001</v>
      </c>
      <c r="N12" s="15">
        <f>2219875.81-'Project 28'!N12</f>
        <v>2074109.97</v>
      </c>
      <c r="O12" s="36"/>
      <c r="P12" s="19"/>
    </row>
    <row r="13" spans="1:16" x14ac:dyDescent="0.2">
      <c r="A13" s="14">
        <v>44348</v>
      </c>
      <c r="C13" s="15">
        <v>369716747</v>
      </c>
      <c r="D13" s="16">
        <v>1293931.5</v>
      </c>
      <c r="E13" s="11">
        <f>709311.69+921</f>
        <v>710232.69</v>
      </c>
      <c r="F13" s="11">
        <f>1289922.63+921</f>
        <v>1290843.6299999999</v>
      </c>
      <c r="G13" s="15">
        <f>E13-D13</f>
        <v>-583698.81000000006</v>
      </c>
      <c r="H13" s="15">
        <f>F13-D13</f>
        <v>-3087.8700000001118</v>
      </c>
      <c r="I13" s="17">
        <v>0.21</v>
      </c>
      <c r="J13" s="17">
        <v>0.05</v>
      </c>
      <c r="K13" s="15">
        <f>G13*I13+155*I13-82171.99</f>
        <v>-204716.19010000001</v>
      </c>
      <c r="L13" s="15">
        <f>H13*J13-338.23</f>
        <v>-492.62350000000561</v>
      </c>
      <c r="M13" s="15">
        <f t="shared" si="0"/>
        <v>67596583.545599997</v>
      </c>
      <c r="N13" s="15">
        <f>2204368.73-'Project 28'!N13</f>
        <v>2059961.51</v>
      </c>
      <c r="O13" s="26"/>
      <c r="P13" s="19"/>
    </row>
    <row r="14" spans="1:16" x14ac:dyDescent="0.2">
      <c r="A14" s="14">
        <v>44378</v>
      </c>
      <c r="C14" s="15"/>
      <c r="D14" s="16"/>
      <c r="E14" s="16"/>
      <c r="F14" s="16"/>
      <c r="G14" s="15">
        <f t="shared" si="1"/>
        <v>0</v>
      </c>
      <c r="H14" s="15">
        <f t="shared" si="2"/>
        <v>0</v>
      </c>
      <c r="I14" s="17">
        <v>0.21</v>
      </c>
      <c r="J14" s="17">
        <v>0.05</v>
      </c>
      <c r="K14" s="15">
        <f t="shared" ref="K14:K15" si="3">G14*I14-L14*I14</f>
        <v>0</v>
      </c>
      <c r="L14" s="15">
        <f t="shared" ref="L14:L15" si="4">H14*J14</f>
        <v>0</v>
      </c>
      <c r="M14" s="15">
        <v>0</v>
      </c>
      <c r="N14" s="15">
        <v>0</v>
      </c>
      <c r="O14" s="26"/>
      <c r="P14" s="19"/>
    </row>
    <row r="15" spans="1:16" x14ac:dyDescent="0.2">
      <c r="A15" s="14">
        <v>44409</v>
      </c>
      <c r="C15" s="15"/>
      <c r="D15" s="16"/>
      <c r="E15" s="16"/>
      <c r="F15" s="16"/>
      <c r="G15" s="15">
        <f t="shared" si="1"/>
        <v>0</v>
      </c>
      <c r="H15" s="15">
        <f t="shared" si="2"/>
        <v>0</v>
      </c>
      <c r="I15" s="17">
        <v>0.21</v>
      </c>
      <c r="J15" s="17">
        <v>0.05</v>
      </c>
      <c r="K15" s="15">
        <f t="shared" si="3"/>
        <v>0</v>
      </c>
      <c r="L15" s="15">
        <f t="shared" si="4"/>
        <v>0</v>
      </c>
      <c r="M15" s="15">
        <v>0</v>
      </c>
      <c r="N15" s="15">
        <v>0</v>
      </c>
      <c r="P15" s="19"/>
    </row>
    <row r="16" spans="1:16" x14ac:dyDescent="0.2">
      <c r="A16" s="14">
        <v>44448</v>
      </c>
      <c r="C16" s="15"/>
      <c r="D16" s="15"/>
      <c r="E16" s="15"/>
      <c r="F16" s="15"/>
      <c r="G16" s="15">
        <f t="shared" ref="G16:G33" si="5">E16-D16</f>
        <v>0</v>
      </c>
      <c r="H16" s="15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</row>
    <row r="17" spans="1:14" x14ac:dyDescent="0.2">
      <c r="A17" s="14">
        <v>44470</v>
      </c>
      <c r="G17" s="15">
        <f t="shared" si="5"/>
        <v>0</v>
      </c>
      <c r="H17" s="15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</row>
    <row r="18" spans="1:14" x14ac:dyDescent="0.2">
      <c r="A18" s="14">
        <v>44501</v>
      </c>
      <c r="G18" s="15">
        <f t="shared" si="5"/>
        <v>0</v>
      </c>
      <c r="H18" s="15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</row>
    <row r="19" spans="1:14" x14ac:dyDescent="0.2">
      <c r="A19" s="14">
        <v>44531</v>
      </c>
      <c r="G19" s="15">
        <f t="shared" si="5"/>
        <v>0</v>
      </c>
      <c r="H19" s="15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4" x14ac:dyDescent="0.2">
      <c r="A20" s="14">
        <v>44562</v>
      </c>
      <c r="G20" s="15">
        <f t="shared" si="5"/>
        <v>0</v>
      </c>
      <c r="H20" s="15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4" x14ac:dyDescent="0.2">
      <c r="A21" s="14">
        <v>44593</v>
      </c>
      <c r="G21" s="15">
        <f t="shared" si="5"/>
        <v>0</v>
      </c>
      <c r="H21" s="15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4" x14ac:dyDescent="0.2">
      <c r="A22" s="14">
        <v>44629</v>
      </c>
      <c r="G22" s="15">
        <f t="shared" si="5"/>
        <v>0</v>
      </c>
      <c r="H22" s="15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4" x14ac:dyDescent="0.2">
      <c r="A23" s="14">
        <v>44652</v>
      </c>
      <c r="G23" s="15">
        <f t="shared" si="5"/>
        <v>0</v>
      </c>
      <c r="H23" s="15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4" x14ac:dyDescent="0.2">
      <c r="A24" s="14">
        <v>44682</v>
      </c>
      <c r="G24" s="15">
        <f t="shared" si="5"/>
        <v>0</v>
      </c>
      <c r="H24" s="15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4" x14ac:dyDescent="0.2">
      <c r="A25" s="14">
        <v>44713</v>
      </c>
      <c r="G25" s="15">
        <f t="shared" si="5"/>
        <v>0</v>
      </c>
      <c r="H25" s="15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4" x14ac:dyDescent="0.2">
      <c r="A26" s="14">
        <v>44743</v>
      </c>
      <c r="G26" s="15">
        <f t="shared" si="5"/>
        <v>0</v>
      </c>
      <c r="H26" s="15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4" x14ac:dyDescent="0.2">
      <c r="A27" s="14">
        <v>44774</v>
      </c>
      <c r="G27" s="15">
        <f t="shared" si="5"/>
        <v>0</v>
      </c>
      <c r="H27" s="15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4" x14ac:dyDescent="0.2">
      <c r="A28" s="14">
        <v>44813</v>
      </c>
      <c r="G28" s="15">
        <f t="shared" si="5"/>
        <v>0</v>
      </c>
      <c r="H28" s="15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4" x14ac:dyDescent="0.2">
      <c r="A29" s="14">
        <v>44835</v>
      </c>
      <c r="G29" s="15">
        <f t="shared" si="5"/>
        <v>0</v>
      </c>
      <c r="H29" s="15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4" x14ac:dyDescent="0.2">
      <c r="A30" s="14">
        <v>44866</v>
      </c>
      <c r="G30" s="15">
        <f t="shared" si="5"/>
        <v>0</v>
      </c>
      <c r="H30" s="15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4" x14ac:dyDescent="0.2">
      <c r="A31" s="14">
        <v>44896</v>
      </c>
      <c r="G31" s="15">
        <f t="shared" si="5"/>
        <v>0</v>
      </c>
      <c r="H31" s="15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4" x14ac:dyDescent="0.2">
      <c r="A32" s="14">
        <v>44927</v>
      </c>
      <c r="G32" s="15">
        <f t="shared" si="5"/>
        <v>0</v>
      </c>
      <c r="H32" s="15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5"/>
        <v>0</v>
      </c>
      <c r="H33" s="15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6" t="s">
        <v>20</v>
      </c>
      <c r="D35" s="15"/>
      <c r="E35" s="15"/>
      <c r="F35" s="15"/>
      <c r="G35" s="15"/>
      <c r="H35" s="15"/>
      <c r="I35" s="15"/>
      <c r="J35" s="15"/>
      <c r="K35" s="15"/>
    </row>
    <row r="36" spans="1:14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">
      <c r="C37" s="23" t="s">
        <v>46</v>
      </c>
    </row>
    <row r="38" spans="1:14" x14ac:dyDescent="0.2">
      <c r="C38" s="23" t="s">
        <v>22</v>
      </c>
    </row>
    <row r="39" spans="1:14" x14ac:dyDescent="0.2">
      <c r="C39" s="23" t="s">
        <v>23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6">
        <v>17068.5</v>
      </c>
      <c r="D43" s="16">
        <v>1293932</v>
      </c>
      <c r="E43" s="16"/>
      <c r="F43" s="19">
        <f>E43-D43</f>
        <v>-1293932</v>
      </c>
      <c r="G43" s="17">
        <v>0.21</v>
      </c>
      <c r="H43" s="19">
        <f>F43*G43</f>
        <v>-271725.71999999997</v>
      </c>
    </row>
    <row r="44" spans="1:14" x14ac:dyDescent="0.2">
      <c r="C44" s="16">
        <v>863123.25</v>
      </c>
      <c r="E44" s="20">
        <v>3209.3799512500004</v>
      </c>
      <c r="F44" s="19">
        <f>E44</f>
        <v>3209.3799512500004</v>
      </c>
      <c r="G44" s="17">
        <v>0.21</v>
      </c>
      <c r="H44" s="19">
        <f t="shared" ref="H44:H73" si="9">F44*G44</f>
        <v>673.96978976250011</v>
      </c>
    </row>
    <row r="45" spans="1:14" x14ac:dyDescent="0.2">
      <c r="C45" s="16">
        <v>172624.8</v>
      </c>
      <c r="E45" s="20">
        <v>0</v>
      </c>
      <c r="F45" s="19">
        <f t="shared" ref="F45:F77" si="10">E45</f>
        <v>0</v>
      </c>
      <c r="G45" s="17">
        <v>0.21</v>
      </c>
      <c r="H45" s="19">
        <f t="shared" si="9"/>
        <v>0</v>
      </c>
    </row>
    <row r="46" spans="1:14" x14ac:dyDescent="0.2">
      <c r="C46" s="16">
        <v>115083.20000000001</v>
      </c>
      <c r="E46" s="20">
        <v>427.91769866666669</v>
      </c>
      <c r="F46" s="19">
        <f t="shared" si="10"/>
        <v>427.91769866666669</v>
      </c>
      <c r="G46" s="17">
        <v>0.21</v>
      </c>
      <c r="H46" s="19">
        <f t="shared" si="9"/>
        <v>89.862716720000009</v>
      </c>
    </row>
    <row r="47" spans="1:14" x14ac:dyDescent="0.2">
      <c r="C47" s="16">
        <v>16958769.375</v>
      </c>
      <c r="E47" s="16">
        <v>63906.295928125008</v>
      </c>
      <c r="F47" s="19">
        <f t="shared" si="10"/>
        <v>63906.295928125008</v>
      </c>
      <c r="G47" s="17">
        <v>0.21</v>
      </c>
      <c r="H47" s="19">
        <f t="shared" si="9"/>
        <v>13420.322144906251</v>
      </c>
    </row>
    <row r="48" spans="1:14" x14ac:dyDescent="0.2">
      <c r="C48" s="16">
        <v>3391753.8750000005</v>
      </c>
      <c r="E48" s="16">
        <v>0</v>
      </c>
      <c r="F48" s="19">
        <f t="shared" si="10"/>
        <v>0</v>
      </c>
      <c r="G48" s="17">
        <v>0.21</v>
      </c>
      <c r="H48" s="19">
        <f t="shared" si="9"/>
        <v>0</v>
      </c>
    </row>
    <row r="49" spans="3:8" x14ac:dyDescent="0.2">
      <c r="C49" s="16">
        <v>2261169.2500000005</v>
      </c>
      <c r="E49" s="16">
        <v>8520.8394570833352</v>
      </c>
      <c r="F49" s="19">
        <f t="shared" si="10"/>
        <v>8520.8394570833352</v>
      </c>
      <c r="G49" s="17">
        <v>0.21</v>
      </c>
      <c r="H49" s="19">
        <f t="shared" si="9"/>
        <v>1789.3762859875003</v>
      </c>
    </row>
    <row r="50" spans="3:8" x14ac:dyDescent="0.2">
      <c r="C50" s="16">
        <v>96326943.479999989</v>
      </c>
      <c r="E50" s="16">
        <v>362992.03</v>
      </c>
      <c r="F50" s="19">
        <f t="shared" si="10"/>
        <v>362992.03</v>
      </c>
      <c r="G50" s="17">
        <v>0.21</v>
      </c>
      <c r="H50" s="19">
        <f t="shared" si="9"/>
        <v>76228.326300000001</v>
      </c>
    </row>
    <row r="51" spans="3:8" x14ac:dyDescent="0.2">
      <c r="C51" s="16">
        <v>18955938.995999999</v>
      </c>
      <c r="E51" s="16"/>
      <c r="F51" s="19">
        <f t="shared" si="10"/>
        <v>0</v>
      </c>
      <c r="G51" s="17">
        <v>0.21</v>
      </c>
      <c r="H51" s="19">
        <f t="shared" si="9"/>
        <v>0</v>
      </c>
    </row>
    <row r="52" spans="3:8" x14ac:dyDescent="0.2">
      <c r="C52" s="16">
        <v>12637292.664000001</v>
      </c>
      <c r="E52" s="16">
        <v>47621.53</v>
      </c>
      <c r="F52" s="19">
        <f t="shared" si="10"/>
        <v>47621.53</v>
      </c>
      <c r="G52" s="17">
        <v>0.21</v>
      </c>
      <c r="H52" s="19">
        <f t="shared" si="9"/>
        <v>10000.521299999999</v>
      </c>
    </row>
    <row r="53" spans="3:8" x14ac:dyDescent="0.2">
      <c r="C53" s="16">
        <v>2579539.44</v>
      </c>
      <c r="E53" s="16">
        <v>10507.32</v>
      </c>
      <c r="F53" s="19">
        <f t="shared" si="10"/>
        <v>10507.32</v>
      </c>
      <c r="G53" s="17">
        <v>0.21</v>
      </c>
      <c r="H53" s="19">
        <f t="shared" si="9"/>
        <v>2206.5371999999998</v>
      </c>
    </row>
    <row r="54" spans="3:8" x14ac:dyDescent="0.2">
      <c r="C54" s="16">
        <v>515907.88799999998</v>
      </c>
      <c r="E54" s="16">
        <v>0</v>
      </c>
      <c r="F54" s="19">
        <f t="shared" si="10"/>
        <v>0</v>
      </c>
      <c r="G54" s="17">
        <v>0.21</v>
      </c>
      <c r="H54" s="19">
        <f t="shared" si="9"/>
        <v>0</v>
      </c>
    </row>
    <row r="55" spans="3:8" x14ac:dyDescent="0.2">
      <c r="C55" s="16">
        <v>343938.592</v>
      </c>
      <c r="E55" s="16">
        <v>1400.98</v>
      </c>
      <c r="F55" s="19">
        <f t="shared" si="10"/>
        <v>1400.98</v>
      </c>
      <c r="G55" s="17">
        <v>0.21</v>
      </c>
      <c r="H55" s="19">
        <f t="shared" si="9"/>
        <v>294.20580000000001</v>
      </c>
    </row>
    <row r="56" spans="3:8" x14ac:dyDescent="0.2">
      <c r="C56" s="16">
        <v>3753722.94</v>
      </c>
      <c r="E56" s="16">
        <v>16532.02</v>
      </c>
      <c r="F56" s="19">
        <f t="shared" si="10"/>
        <v>16532.02</v>
      </c>
      <c r="G56" s="17">
        <v>0.21</v>
      </c>
      <c r="H56" s="19">
        <f t="shared" si="9"/>
        <v>3471.7242000000001</v>
      </c>
    </row>
    <row r="57" spans="3:8" x14ac:dyDescent="0.2">
      <c r="C57" s="16">
        <v>750744.58799999999</v>
      </c>
      <c r="E57" s="16">
        <v>6256.2</v>
      </c>
      <c r="F57" s="19">
        <f t="shared" si="10"/>
        <v>6256.2</v>
      </c>
      <c r="G57" s="17">
        <v>0.21</v>
      </c>
      <c r="H57" s="19">
        <f t="shared" si="9"/>
        <v>1313.8019999999999</v>
      </c>
    </row>
    <row r="58" spans="3:8" x14ac:dyDescent="0.2">
      <c r="C58" s="16">
        <v>500496.39199999999</v>
      </c>
      <c r="E58" s="16">
        <v>2204.27</v>
      </c>
      <c r="F58" s="19">
        <f t="shared" si="10"/>
        <v>2204.27</v>
      </c>
      <c r="G58" s="17">
        <v>0.21</v>
      </c>
      <c r="H58" s="19">
        <f t="shared" si="9"/>
        <v>462.89669999999995</v>
      </c>
    </row>
    <row r="59" spans="3:8" x14ac:dyDescent="0.2">
      <c r="C59" s="16">
        <v>-21906.708749999998</v>
      </c>
      <c r="E59" s="16">
        <v>-96.48</v>
      </c>
      <c r="F59" s="19">
        <f t="shared" si="10"/>
        <v>-96.48</v>
      </c>
      <c r="G59" s="17">
        <v>0.21</v>
      </c>
      <c r="H59" s="19">
        <f t="shared" si="9"/>
        <v>-20.2608</v>
      </c>
    </row>
    <row r="60" spans="3:8" x14ac:dyDescent="0.2">
      <c r="C60" s="16">
        <v>-4381.3417499999996</v>
      </c>
      <c r="E60" s="16">
        <v>-54.77</v>
      </c>
      <c r="F60" s="19">
        <f t="shared" si="10"/>
        <v>-54.77</v>
      </c>
      <c r="G60" s="17">
        <v>0.21</v>
      </c>
      <c r="H60" s="19">
        <f t="shared" si="9"/>
        <v>-11.5017</v>
      </c>
    </row>
    <row r="61" spans="3:8" x14ac:dyDescent="0.2">
      <c r="C61" s="16">
        <v>-2920.8945000000003</v>
      </c>
      <c r="E61" s="16">
        <v>-12.86</v>
      </c>
      <c r="F61" s="19">
        <f t="shared" si="10"/>
        <v>-12.86</v>
      </c>
      <c r="G61" s="17">
        <v>0.21</v>
      </c>
      <c r="H61" s="19">
        <f t="shared" si="9"/>
        <v>-2.7005999999999997</v>
      </c>
    </row>
    <row r="62" spans="3:8" x14ac:dyDescent="0.2">
      <c r="C62" s="16">
        <v>29295.040000000001</v>
      </c>
      <c r="E62" s="16">
        <v>129.02000000000001</v>
      </c>
      <c r="F62" s="19">
        <f t="shared" si="10"/>
        <v>129.02000000000001</v>
      </c>
      <c r="G62" s="17">
        <v>0.21</v>
      </c>
      <c r="H62" s="19">
        <f t="shared" si="9"/>
        <v>27.094200000000001</v>
      </c>
    </row>
    <row r="63" spans="3:8" x14ac:dyDescent="0.2">
      <c r="C63" s="16">
        <v>21.04</v>
      </c>
      <c r="E63" s="16"/>
      <c r="F63" s="19">
        <f t="shared" si="10"/>
        <v>0</v>
      </c>
      <c r="G63" s="17">
        <v>0.21</v>
      </c>
      <c r="H63" s="19">
        <f t="shared" si="9"/>
        <v>0</v>
      </c>
    </row>
    <row r="64" spans="3:8" x14ac:dyDescent="0.2">
      <c r="C64" s="16">
        <v>15.78</v>
      </c>
      <c r="E64" s="16">
        <v>0.08</v>
      </c>
      <c r="F64" s="19">
        <f t="shared" si="10"/>
        <v>0.08</v>
      </c>
      <c r="G64" s="17">
        <v>0.21</v>
      </c>
      <c r="H64" s="19">
        <f t="shared" si="9"/>
        <v>1.6799999999999999E-2</v>
      </c>
    </row>
    <row r="65" spans="3:8" x14ac:dyDescent="0.2">
      <c r="C65" s="16">
        <v>3.1559999999999997</v>
      </c>
      <c r="E65" s="16">
        <v>0.05</v>
      </c>
      <c r="F65" s="19">
        <f t="shared" si="10"/>
        <v>0.05</v>
      </c>
      <c r="G65" s="17">
        <v>0.21</v>
      </c>
      <c r="H65" s="19">
        <f t="shared" si="9"/>
        <v>1.0500000000000001E-2</v>
      </c>
    </row>
    <row r="66" spans="3:8" x14ac:dyDescent="0.2">
      <c r="C66" s="16">
        <v>2.1040000000000001</v>
      </c>
      <c r="E66" s="16">
        <v>0.01</v>
      </c>
      <c r="F66" s="27">
        <f t="shared" si="10"/>
        <v>0.01</v>
      </c>
      <c r="G66" s="17">
        <v>0.21</v>
      </c>
      <c r="H66" s="27">
        <f t="shared" si="9"/>
        <v>2.0999999999999999E-3</v>
      </c>
    </row>
    <row r="67" spans="3:8" x14ac:dyDescent="0.2">
      <c r="C67" s="16">
        <v>-14734</v>
      </c>
      <c r="E67" s="16"/>
      <c r="F67" s="27">
        <f t="shared" si="10"/>
        <v>0</v>
      </c>
      <c r="G67" s="17">
        <v>0.21</v>
      </c>
      <c r="H67" s="27">
        <f t="shared" si="9"/>
        <v>0</v>
      </c>
    </row>
    <row r="68" spans="3:8" x14ac:dyDescent="0.2">
      <c r="C68" s="16">
        <v>38967</v>
      </c>
      <c r="E68" s="16">
        <v>92.76</v>
      </c>
      <c r="F68" s="27">
        <f t="shared" si="10"/>
        <v>92.76</v>
      </c>
      <c r="G68" s="17">
        <v>0.21</v>
      </c>
      <c r="H68" s="27">
        <f t="shared" si="9"/>
        <v>19.479600000000001</v>
      </c>
    </row>
    <row r="69" spans="3:8" x14ac:dyDescent="0.2">
      <c r="C69" s="16">
        <v>20762450</v>
      </c>
      <c r="E69" s="16">
        <v>92568.57</v>
      </c>
      <c r="F69" s="27">
        <f t="shared" si="10"/>
        <v>92568.57</v>
      </c>
      <c r="G69" s="17">
        <v>0.21</v>
      </c>
      <c r="H69" s="27">
        <f t="shared" si="9"/>
        <v>19439.399700000002</v>
      </c>
    </row>
    <row r="70" spans="3:8" x14ac:dyDescent="0.2">
      <c r="C70" s="16">
        <v>3989775</v>
      </c>
      <c r="E70" s="16">
        <v>13715.6</v>
      </c>
      <c r="F70" s="27">
        <f t="shared" si="10"/>
        <v>13715.6</v>
      </c>
      <c r="G70" s="17">
        <v>0.21</v>
      </c>
      <c r="H70" s="27">
        <f t="shared" si="9"/>
        <v>2880.2759999999998</v>
      </c>
    </row>
    <row r="71" spans="3:8" x14ac:dyDescent="0.2">
      <c r="C71" s="16">
        <v>1251958</v>
      </c>
      <c r="E71" s="16">
        <v>6966.1</v>
      </c>
      <c r="F71" s="27">
        <f t="shared" si="10"/>
        <v>6966.1</v>
      </c>
      <c r="G71" s="17">
        <v>0.21</v>
      </c>
      <c r="H71" s="27">
        <f t="shared" si="9"/>
        <v>1462.8810000000001</v>
      </c>
    </row>
    <row r="72" spans="3:8" x14ac:dyDescent="0.2">
      <c r="C72" s="16">
        <v>42515</v>
      </c>
      <c r="E72" s="16"/>
      <c r="F72" s="27">
        <f t="shared" si="10"/>
        <v>0</v>
      </c>
      <c r="G72" s="17">
        <v>0.21</v>
      </c>
      <c r="H72" s="27">
        <f t="shared" si="9"/>
        <v>0</v>
      </c>
    </row>
    <row r="73" spans="3:8" x14ac:dyDescent="0.2">
      <c r="C73" s="16">
        <v>-146644</v>
      </c>
      <c r="E73" s="16">
        <v>-1126.49</v>
      </c>
      <c r="F73" s="27">
        <f t="shared" si="10"/>
        <v>-1126.49</v>
      </c>
      <c r="G73" s="17">
        <v>0.21</v>
      </c>
      <c r="H73" s="27">
        <f t="shared" si="9"/>
        <v>-236.56289999999998</v>
      </c>
    </row>
    <row r="74" spans="3:8" x14ac:dyDescent="0.2">
      <c r="C74" s="16">
        <v>2874747</v>
      </c>
      <c r="E74" s="16">
        <v>11510.13</v>
      </c>
      <c r="F74" s="27">
        <f t="shared" si="10"/>
        <v>11510.13</v>
      </c>
      <c r="G74" s="17">
        <v>0.21</v>
      </c>
      <c r="H74" s="27">
        <f>F74*G74-0.1</f>
        <v>2417.0272999999997</v>
      </c>
    </row>
    <row r="75" spans="3:8" x14ac:dyDescent="0.2">
      <c r="C75" s="16">
        <v>6995179.2300000004</v>
      </c>
      <c r="E75" s="16">
        <v>43041.57</v>
      </c>
      <c r="F75" s="27">
        <f t="shared" si="10"/>
        <v>43041.57</v>
      </c>
      <c r="G75" s="17">
        <v>0.21</v>
      </c>
      <c r="H75" s="27">
        <f>F75*G75-0.1</f>
        <v>9038.6296999999995</v>
      </c>
    </row>
    <row r="76" spans="3:8" x14ac:dyDescent="0.2">
      <c r="C76" s="16">
        <v>5529579</v>
      </c>
      <c r="E76" s="16">
        <f>17279.93+2511</f>
        <v>19790.93</v>
      </c>
      <c r="F76" s="27">
        <f t="shared" si="10"/>
        <v>19790.93</v>
      </c>
      <c r="G76" s="17">
        <v>0.21</v>
      </c>
      <c r="H76" s="27">
        <f>F76*G76-0.1</f>
        <v>4155.9952999999996</v>
      </c>
    </row>
    <row r="77" spans="3:8" ht="15" x14ac:dyDescent="0.35">
      <c r="C77" s="16">
        <f>39676+1987</f>
        <v>41663</v>
      </c>
      <c r="E77" s="38">
        <f>123.99+6.21</f>
        <v>130.19999999999999</v>
      </c>
      <c r="F77" s="30">
        <f t="shared" si="10"/>
        <v>130.19999999999999</v>
      </c>
      <c r="G77" s="17">
        <v>0.21</v>
      </c>
      <c r="H77" s="30">
        <f>F77*G77-0.1</f>
        <v>27.241999999999994</v>
      </c>
    </row>
    <row r="78" spans="3:8" x14ac:dyDescent="0.2">
      <c r="E78" s="19">
        <f>SUM(E43:E77)</f>
        <v>710233.20303512516</v>
      </c>
      <c r="F78" s="19">
        <f>SUM(F43:F77)</f>
        <v>-583698.79696487507</v>
      </c>
      <c r="G78" s="29" t="s">
        <v>30</v>
      </c>
      <c r="H78" s="19">
        <f>SUM(H43:H77)</f>
        <v>-122577.14736262374</v>
      </c>
    </row>
    <row r="79" spans="3:8" ht="15" x14ac:dyDescent="0.35">
      <c r="G79" s="29" t="s">
        <v>31</v>
      </c>
      <c r="H79" s="30">
        <f>-H117*0.21</f>
        <v>32.422529999999362</v>
      </c>
    </row>
    <row r="80" spans="3:8" x14ac:dyDescent="0.2">
      <c r="H80" s="19">
        <f>H78+H79</f>
        <v>-122544.72483262375</v>
      </c>
    </row>
    <row r="81" spans="3:9" x14ac:dyDescent="0.2">
      <c r="H81" s="19">
        <f>H80-K13</f>
        <v>82171.465267376261</v>
      </c>
      <c r="I81" s="29" t="s">
        <v>32</v>
      </c>
    </row>
    <row r="82" spans="3:9" x14ac:dyDescent="0.2">
      <c r="C82" s="15" t="s">
        <v>33</v>
      </c>
      <c r="D82" s="22" t="s">
        <v>26</v>
      </c>
      <c r="E82" s="24" t="s">
        <v>34</v>
      </c>
      <c r="F82" s="15" t="s">
        <v>35</v>
      </c>
      <c r="G82" s="17" t="s">
        <v>13</v>
      </c>
      <c r="H82" s="15" t="s">
        <v>36</v>
      </c>
    </row>
    <row r="83" spans="3:9" x14ac:dyDescent="0.2">
      <c r="C83" s="19">
        <v>34138</v>
      </c>
      <c r="D83" s="19">
        <f>D43</f>
        <v>1293932</v>
      </c>
      <c r="E83" s="19"/>
      <c r="F83" s="19">
        <f>E83-D83</f>
        <v>-1293932</v>
      </c>
      <c r="G83" s="17">
        <v>0.05</v>
      </c>
      <c r="H83" s="19">
        <f>F83*G83</f>
        <v>-64696.600000000006</v>
      </c>
    </row>
    <row r="84" spans="3:9" x14ac:dyDescent="0.2">
      <c r="C84" s="19">
        <v>1726246.5</v>
      </c>
      <c r="E84" s="19">
        <v>6418.76</v>
      </c>
      <c r="F84" s="19">
        <f>E84</f>
        <v>6418.76</v>
      </c>
      <c r="G84" s="17">
        <v>0.05</v>
      </c>
      <c r="H84" s="19">
        <f t="shared" ref="H84:H116" si="11">F84*G84</f>
        <v>320.93800000000005</v>
      </c>
    </row>
    <row r="85" spans="3:9" x14ac:dyDescent="0.2">
      <c r="C85" s="19">
        <v>345249.3</v>
      </c>
      <c r="E85" s="19"/>
      <c r="F85" s="19">
        <f t="shared" ref="F85:F116" si="12">E85</f>
        <v>0</v>
      </c>
      <c r="G85" s="17">
        <v>0.05</v>
      </c>
      <c r="H85" s="19">
        <f t="shared" si="11"/>
        <v>0</v>
      </c>
    </row>
    <row r="86" spans="3:9" x14ac:dyDescent="0.2">
      <c r="C86" s="19">
        <v>230166.2</v>
      </c>
      <c r="E86" s="19">
        <v>855.83</v>
      </c>
      <c r="F86" s="19">
        <f t="shared" si="12"/>
        <v>855.83</v>
      </c>
      <c r="G86" s="17">
        <v>0.05</v>
      </c>
      <c r="H86" s="19">
        <f t="shared" si="11"/>
        <v>42.791500000000006</v>
      </c>
    </row>
    <row r="87" spans="3:9" x14ac:dyDescent="0.2">
      <c r="C87" s="19">
        <v>32248976.25</v>
      </c>
      <c r="E87" s="19">
        <v>121524.89</v>
      </c>
      <c r="F87" s="19">
        <f t="shared" si="12"/>
        <v>121524.89</v>
      </c>
      <c r="G87" s="17">
        <v>0.05</v>
      </c>
      <c r="H87" s="19">
        <f t="shared" si="11"/>
        <v>6076.2445000000007</v>
      </c>
    </row>
    <row r="88" spans="3:9" x14ac:dyDescent="0.2">
      <c r="C88" s="19">
        <v>6449795.25</v>
      </c>
      <c r="E88" s="19"/>
      <c r="F88" s="19">
        <f t="shared" si="12"/>
        <v>0</v>
      </c>
      <c r="G88" s="17">
        <v>0.05</v>
      </c>
      <c r="H88" s="19">
        <f t="shared" si="11"/>
        <v>0</v>
      </c>
    </row>
    <row r="89" spans="3:9" x14ac:dyDescent="0.2">
      <c r="C89" s="19">
        <v>4299863.5</v>
      </c>
      <c r="E89" s="19">
        <v>16203.32</v>
      </c>
      <c r="F89" s="19">
        <f t="shared" si="12"/>
        <v>16203.32</v>
      </c>
      <c r="G89" s="17">
        <v>0.05</v>
      </c>
      <c r="H89" s="19">
        <f t="shared" si="11"/>
        <v>810.16600000000005</v>
      </c>
    </row>
    <row r="90" spans="3:9" x14ac:dyDescent="0.2">
      <c r="C90" s="19">
        <v>192267074.83500001</v>
      </c>
      <c r="E90" s="19">
        <v>724526.43</v>
      </c>
      <c r="F90" s="19">
        <f t="shared" si="12"/>
        <v>724526.43</v>
      </c>
      <c r="G90" s="17">
        <v>0.05</v>
      </c>
      <c r="H90" s="19">
        <f t="shared" si="11"/>
        <v>36226.321500000005</v>
      </c>
    </row>
    <row r="91" spans="3:9" x14ac:dyDescent="0.2">
      <c r="C91" s="19">
        <v>38143965.266999997</v>
      </c>
      <c r="E91" s="19"/>
      <c r="F91" s="19">
        <f t="shared" si="12"/>
        <v>0</v>
      </c>
      <c r="G91" s="17">
        <v>0.05</v>
      </c>
      <c r="H91" s="19">
        <f t="shared" si="11"/>
        <v>0</v>
      </c>
    </row>
    <row r="92" spans="3:9" x14ac:dyDescent="0.2">
      <c r="C92" s="19">
        <v>25429310.178000003</v>
      </c>
      <c r="E92" s="19">
        <v>95826.12</v>
      </c>
      <c r="F92" s="19">
        <f t="shared" si="12"/>
        <v>95826.12</v>
      </c>
      <c r="G92" s="17">
        <v>0.05</v>
      </c>
      <c r="H92" s="19">
        <f t="shared" si="11"/>
        <v>4791.3059999999996</v>
      </c>
    </row>
    <row r="93" spans="3:9" x14ac:dyDescent="0.2">
      <c r="C93" s="19">
        <v>5070051.5025000004</v>
      </c>
      <c r="E93" s="19">
        <v>20652.009999999998</v>
      </c>
      <c r="F93" s="19">
        <f t="shared" si="12"/>
        <v>20652.009999999998</v>
      </c>
      <c r="G93" s="17">
        <v>0.05</v>
      </c>
      <c r="H93" s="19">
        <f t="shared" si="11"/>
        <v>1032.6005</v>
      </c>
    </row>
    <row r="94" spans="3:9" x14ac:dyDescent="0.2">
      <c r="C94" s="19">
        <v>1014010.3005</v>
      </c>
      <c r="E94" s="19">
        <v>0</v>
      </c>
      <c r="F94" s="19">
        <f t="shared" si="12"/>
        <v>0</v>
      </c>
      <c r="G94" s="17">
        <v>0.05</v>
      </c>
      <c r="H94" s="19">
        <f t="shared" si="11"/>
        <v>0</v>
      </c>
    </row>
    <row r="95" spans="3:9" x14ac:dyDescent="0.2">
      <c r="C95" s="19">
        <v>676006.86699999997</v>
      </c>
      <c r="E95" s="19">
        <v>2753.6</v>
      </c>
      <c r="F95" s="19">
        <f t="shared" si="12"/>
        <v>2753.6</v>
      </c>
      <c r="G95" s="17">
        <v>0.05</v>
      </c>
      <c r="H95" s="19">
        <f t="shared" si="11"/>
        <v>137.68</v>
      </c>
    </row>
    <row r="96" spans="3:9" x14ac:dyDescent="0.2">
      <c r="C96" s="19">
        <v>7507445.8799999999</v>
      </c>
      <c r="E96" s="19">
        <v>33064.04</v>
      </c>
      <c r="F96" s="19">
        <f t="shared" si="12"/>
        <v>33064.04</v>
      </c>
      <c r="G96" s="17">
        <v>0.05</v>
      </c>
      <c r="H96" s="19">
        <f t="shared" si="11"/>
        <v>1653.2020000000002</v>
      </c>
    </row>
    <row r="97" spans="3:8" x14ac:dyDescent="0.2">
      <c r="C97" s="19">
        <v>1501489.176</v>
      </c>
      <c r="E97" s="19">
        <v>12512.41</v>
      </c>
      <c r="F97" s="19">
        <f t="shared" si="12"/>
        <v>12512.41</v>
      </c>
      <c r="G97" s="17">
        <v>0.05</v>
      </c>
      <c r="H97" s="19">
        <f t="shared" si="11"/>
        <v>625.62049999999999</v>
      </c>
    </row>
    <row r="98" spans="3:8" x14ac:dyDescent="0.2">
      <c r="C98" s="19">
        <v>1000992.784</v>
      </c>
      <c r="E98" s="19">
        <v>4408.54</v>
      </c>
      <c r="F98" s="19">
        <f t="shared" si="12"/>
        <v>4408.54</v>
      </c>
      <c r="G98" s="17">
        <v>0.05</v>
      </c>
      <c r="H98" s="19">
        <f t="shared" si="11"/>
        <v>220.42700000000002</v>
      </c>
    </row>
    <row r="99" spans="3:8" x14ac:dyDescent="0.2">
      <c r="C99" s="19">
        <v>-43813.417499999996</v>
      </c>
      <c r="E99" s="19">
        <v>-192.96</v>
      </c>
      <c r="F99" s="19">
        <f t="shared" si="12"/>
        <v>-192.96</v>
      </c>
      <c r="G99" s="17">
        <v>0.05</v>
      </c>
      <c r="H99" s="19">
        <f t="shared" si="11"/>
        <v>-9.6480000000000015</v>
      </c>
    </row>
    <row r="100" spans="3:8" x14ac:dyDescent="0.2">
      <c r="C100" s="19">
        <v>-8762.6834999999992</v>
      </c>
      <c r="E100" s="19">
        <v>-109.53</v>
      </c>
      <c r="F100" s="19">
        <f t="shared" si="12"/>
        <v>-109.53</v>
      </c>
      <c r="G100" s="17">
        <v>0.05</v>
      </c>
      <c r="H100" s="19">
        <f t="shared" si="11"/>
        <v>-5.4765000000000006</v>
      </c>
    </row>
    <row r="101" spans="3:8" x14ac:dyDescent="0.2">
      <c r="C101" s="19">
        <v>-5841.7890000000007</v>
      </c>
      <c r="E101" s="19">
        <v>-25.73</v>
      </c>
      <c r="F101" s="19">
        <f t="shared" si="12"/>
        <v>-25.73</v>
      </c>
      <c r="G101" s="17">
        <v>0.05</v>
      </c>
      <c r="H101" s="19">
        <f t="shared" si="11"/>
        <v>-1.2865000000000002</v>
      </c>
    </row>
    <row r="102" spans="3:8" x14ac:dyDescent="0.2">
      <c r="C102" s="19">
        <v>58590.080000000002</v>
      </c>
      <c r="E102" s="19">
        <v>258.04000000000002</v>
      </c>
      <c r="F102" s="19">
        <f t="shared" si="12"/>
        <v>258.04000000000002</v>
      </c>
      <c r="G102" s="17">
        <v>0.05</v>
      </c>
      <c r="H102" s="19">
        <f t="shared" si="11"/>
        <v>12.902000000000001</v>
      </c>
    </row>
    <row r="103" spans="3:8" x14ac:dyDescent="0.2">
      <c r="C103" s="19">
        <v>31.56</v>
      </c>
      <c r="E103" s="19">
        <v>0.15</v>
      </c>
      <c r="F103" s="19">
        <f t="shared" si="12"/>
        <v>0.15</v>
      </c>
      <c r="G103" s="17">
        <v>0.05</v>
      </c>
      <c r="H103" s="19">
        <f t="shared" si="11"/>
        <v>7.4999999999999997E-3</v>
      </c>
    </row>
    <row r="104" spans="3:8" x14ac:dyDescent="0.2">
      <c r="C104" s="19">
        <v>6.3119999999999994</v>
      </c>
      <c r="E104" s="19">
        <v>0.11</v>
      </c>
      <c r="F104" s="19">
        <f t="shared" si="12"/>
        <v>0.11</v>
      </c>
      <c r="G104" s="17">
        <v>0.05</v>
      </c>
      <c r="H104" s="19">
        <f t="shared" si="11"/>
        <v>5.5000000000000005E-3</v>
      </c>
    </row>
    <row r="105" spans="3:8" x14ac:dyDescent="0.2">
      <c r="C105" s="19">
        <v>4.2080000000000002</v>
      </c>
      <c r="E105" s="27">
        <v>0.02</v>
      </c>
      <c r="F105" s="27">
        <f t="shared" si="12"/>
        <v>0.02</v>
      </c>
      <c r="G105" s="17">
        <v>0.05</v>
      </c>
      <c r="H105" s="27">
        <f t="shared" si="11"/>
        <v>1E-3</v>
      </c>
    </row>
    <row r="106" spans="3:8" x14ac:dyDescent="0.2">
      <c r="C106" s="16">
        <v>-14734</v>
      </c>
      <c r="E106" s="27"/>
      <c r="F106" s="27">
        <f t="shared" si="12"/>
        <v>0</v>
      </c>
      <c r="G106" s="17">
        <v>0.05</v>
      </c>
      <c r="H106" s="27">
        <f t="shared" si="11"/>
        <v>0</v>
      </c>
    </row>
    <row r="107" spans="3:8" x14ac:dyDescent="0.2">
      <c r="C107" s="16">
        <v>38967</v>
      </c>
      <c r="E107" s="27">
        <v>185.52</v>
      </c>
      <c r="F107" s="27">
        <f t="shared" si="12"/>
        <v>185.52</v>
      </c>
      <c r="G107" s="17">
        <v>0.05</v>
      </c>
      <c r="H107" s="27">
        <f t="shared" si="11"/>
        <v>9.2760000000000016</v>
      </c>
    </row>
    <row r="108" spans="3:8" x14ac:dyDescent="0.2">
      <c r="C108" s="16">
        <v>20762450</v>
      </c>
      <c r="E108" s="27">
        <v>135925.70000000001</v>
      </c>
      <c r="F108" s="27">
        <f t="shared" si="12"/>
        <v>135925.70000000001</v>
      </c>
      <c r="G108" s="17">
        <v>0.05</v>
      </c>
      <c r="H108" s="27">
        <f t="shared" si="11"/>
        <v>6796.2850000000008</v>
      </c>
    </row>
    <row r="109" spans="3:8" x14ac:dyDescent="0.2">
      <c r="C109" s="16">
        <v>3989775</v>
      </c>
      <c r="E109" s="27">
        <v>27431.200000000001</v>
      </c>
      <c r="F109" s="27">
        <f t="shared" si="12"/>
        <v>27431.200000000001</v>
      </c>
      <c r="G109" s="17">
        <v>0.05</v>
      </c>
      <c r="H109" s="27">
        <f t="shared" si="11"/>
        <v>1371.5600000000002</v>
      </c>
    </row>
    <row r="110" spans="3:8" x14ac:dyDescent="0.2">
      <c r="C110" s="16">
        <v>1251958</v>
      </c>
      <c r="E110" s="27">
        <v>6966.1</v>
      </c>
      <c r="F110" s="27">
        <f t="shared" si="12"/>
        <v>6966.1</v>
      </c>
      <c r="G110" s="17">
        <v>0.05</v>
      </c>
      <c r="H110" s="27">
        <f t="shared" si="11"/>
        <v>348.30500000000006</v>
      </c>
    </row>
    <row r="111" spans="3:8" x14ac:dyDescent="0.2">
      <c r="C111" s="16">
        <v>42515</v>
      </c>
      <c r="E111" s="27"/>
      <c r="F111" s="27">
        <f t="shared" si="12"/>
        <v>0</v>
      </c>
      <c r="G111" s="17">
        <v>0.05</v>
      </c>
      <c r="H111" s="27">
        <f t="shared" si="11"/>
        <v>0</v>
      </c>
    </row>
    <row r="112" spans="3:8" x14ac:dyDescent="0.2">
      <c r="C112" s="16">
        <v>-146644</v>
      </c>
      <c r="E112" s="27">
        <v>-1126.49</v>
      </c>
      <c r="F112" s="27">
        <f t="shared" si="12"/>
        <v>-1126.49</v>
      </c>
      <c r="G112" s="17">
        <v>0.05</v>
      </c>
      <c r="H112" s="27">
        <f t="shared" si="11"/>
        <v>-56.3245</v>
      </c>
    </row>
    <row r="113" spans="3:9" x14ac:dyDescent="0.2">
      <c r="C113" s="16">
        <v>2874747</v>
      </c>
      <c r="E113" s="27">
        <v>19183.54</v>
      </c>
      <c r="F113" s="27">
        <f t="shared" si="12"/>
        <v>19183.54</v>
      </c>
      <c r="G113" s="17">
        <v>0.05</v>
      </c>
      <c r="H113" s="27">
        <f t="shared" si="11"/>
        <v>959.17700000000013</v>
      </c>
    </row>
    <row r="114" spans="3:9" x14ac:dyDescent="0.2">
      <c r="C114" s="16">
        <f>C75</f>
        <v>6995179.2300000004</v>
      </c>
      <c r="E114" s="27">
        <v>43681.39</v>
      </c>
      <c r="F114" s="27">
        <f t="shared" si="12"/>
        <v>43681.39</v>
      </c>
      <c r="G114" s="17">
        <v>0.05</v>
      </c>
      <c r="H114" s="27">
        <f t="shared" si="11"/>
        <v>2184.0695000000001</v>
      </c>
    </row>
    <row r="115" spans="3:9" x14ac:dyDescent="0.2">
      <c r="C115" s="16">
        <f>C76</f>
        <v>5529579</v>
      </c>
      <c r="E115" s="27">
        <f>E76</f>
        <v>19790.93</v>
      </c>
      <c r="F115" s="27">
        <f t="shared" si="12"/>
        <v>19790.93</v>
      </c>
      <c r="G115" s="17">
        <v>0.05</v>
      </c>
      <c r="H115" s="27">
        <f t="shared" si="11"/>
        <v>989.54650000000004</v>
      </c>
    </row>
    <row r="116" spans="3:9" ht="15" x14ac:dyDescent="0.35">
      <c r="C116" s="16">
        <f>C77</f>
        <v>41663</v>
      </c>
      <c r="E116" s="30">
        <f>E77</f>
        <v>130.19999999999999</v>
      </c>
      <c r="F116" s="30">
        <f t="shared" si="12"/>
        <v>130.19999999999999</v>
      </c>
      <c r="G116" s="17">
        <v>0.05</v>
      </c>
      <c r="H116" s="30">
        <f t="shared" si="11"/>
        <v>6.51</v>
      </c>
    </row>
    <row r="117" spans="3:9" x14ac:dyDescent="0.2">
      <c r="E117" s="19">
        <f>SUM(E83:E116)</f>
        <v>1290844.1400000001</v>
      </c>
      <c r="F117" s="19">
        <f>SUM(F83:F116)</f>
        <v>-3087.8599999999469</v>
      </c>
      <c r="H117" s="19">
        <f>SUM(H83:H116)</f>
        <v>-154.39299999999696</v>
      </c>
    </row>
    <row r="118" spans="3:9" x14ac:dyDescent="0.2">
      <c r="H118" s="19">
        <f>H117-L13</f>
        <v>338.23050000000865</v>
      </c>
      <c r="I118" s="29" t="s">
        <v>37</v>
      </c>
    </row>
  </sheetData>
  <pageMargins left="0.7" right="0.7" top="1.15625" bottom="0.75" header="0.3" footer="0.3"/>
  <pageSetup scale="44" orientation="portrait" r:id="rId1"/>
  <headerFooter>
    <oddHeader>&amp;R&amp;"Times New Roman,Bold"&amp;12Attachment to Response to Question 3
Page 4 of 15
Clements</oddHeader>
    <oddFooter>&amp;L_x000D_&amp;1#&amp;"Calibri"&amp;14&amp;K000000 Business Use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6117-40B7-438F-AD31-E649C66E746F}">
  <dimension ref="A1:P33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5" t="s">
        <v>3</v>
      </c>
    </row>
    <row r="6" spans="1:16" x14ac:dyDescent="0.2">
      <c r="A6" s="6" t="s">
        <v>47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-87273</v>
      </c>
    </row>
    <row r="10" spans="1:16" x14ac:dyDescent="0.2">
      <c r="A10" s="14">
        <v>44264</v>
      </c>
      <c r="C10" s="15">
        <v>9031671</v>
      </c>
      <c r="D10" s="16">
        <v>11499</v>
      </c>
      <c r="E10" s="11">
        <f t="shared" ref="E10:F13" si="0">33579.22</f>
        <v>33579.22</v>
      </c>
      <c r="F10" s="11">
        <f t="shared" si="0"/>
        <v>33579.22</v>
      </c>
      <c r="G10" s="15">
        <f t="shared" ref="G10:G15" si="1">E10-D10</f>
        <v>22080.22</v>
      </c>
      <c r="H10" s="15">
        <f t="shared" ref="H10:H15" si="2">F10-D10</f>
        <v>22080.22</v>
      </c>
      <c r="I10" s="17">
        <v>0.21</v>
      </c>
      <c r="J10" s="17">
        <v>0.05</v>
      </c>
      <c r="K10" s="15">
        <f t="shared" ref="K10:K15" si="3">G10*I10-L10*I10</f>
        <v>4405.00389</v>
      </c>
      <c r="L10" s="15">
        <f t="shared" ref="L10:L15" si="4">H10*J10</f>
        <v>1104.0110000000002</v>
      </c>
      <c r="M10" s="15">
        <f t="shared" ref="M10:M13" si="5">M9+K10+L10</f>
        <v>-81763.985110000009</v>
      </c>
      <c r="N10" s="15">
        <v>0</v>
      </c>
      <c r="O10" s="13"/>
      <c r="P10" s="19"/>
    </row>
    <row r="11" spans="1:16" x14ac:dyDescent="0.2">
      <c r="A11" s="14">
        <v>44287</v>
      </c>
      <c r="C11" s="15">
        <v>9031671</v>
      </c>
      <c r="D11" s="16">
        <v>11499</v>
      </c>
      <c r="E11" s="11">
        <f t="shared" si="0"/>
        <v>33579.22</v>
      </c>
      <c r="F11" s="11">
        <f t="shared" si="0"/>
        <v>33579.22</v>
      </c>
      <c r="G11" s="15">
        <f t="shared" si="1"/>
        <v>22080.22</v>
      </c>
      <c r="H11" s="15">
        <f t="shared" si="2"/>
        <v>22080.22</v>
      </c>
      <c r="I11" s="17">
        <v>0.21</v>
      </c>
      <c r="J11" s="17">
        <v>0.05</v>
      </c>
      <c r="K11" s="15">
        <f t="shared" si="3"/>
        <v>4405.00389</v>
      </c>
      <c r="L11" s="15">
        <f t="shared" si="4"/>
        <v>1104.0110000000002</v>
      </c>
      <c r="M11" s="15">
        <f t="shared" si="5"/>
        <v>-76254.970220000017</v>
      </c>
      <c r="N11" s="15">
        <v>0</v>
      </c>
      <c r="O11" s="13"/>
      <c r="P11" s="19"/>
    </row>
    <row r="12" spans="1:16" x14ac:dyDescent="0.2">
      <c r="A12" s="14">
        <v>44317</v>
      </c>
      <c r="C12" s="15">
        <v>9031671</v>
      </c>
      <c r="D12" s="16">
        <v>11499</v>
      </c>
      <c r="E12" s="11">
        <f t="shared" si="0"/>
        <v>33579.22</v>
      </c>
      <c r="F12" s="11">
        <f t="shared" si="0"/>
        <v>33579.22</v>
      </c>
      <c r="G12" s="15">
        <f t="shared" si="1"/>
        <v>22080.22</v>
      </c>
      <c r="H12" s="15">
        <f t="shared" si="2"/>
        <v>22080.22</v>
      </c>
      <c r="I12" s="17">
        <v>0.21</v>
      </c>
      <c r="J12" s="17">
        <v>0.05</v>
      </c>
      <c r="K12" s="15">
        <f t="shared" si="3"/>
        <v>4405.00389</v>
      </c>
      <c r="L12" s="15">
        <f t="shared" si="4"/>
        <v>1104.0110000000002</v>
      </c>
      <c r="M12" s="15">
        <f t="shared" si="5"/>
        <v>-70745.955330000026</v>
      </c>
      <c r="N12" s="15">
        <v>0</v>
      </c>
      <c r="O12" s="12"/>
      <c r="P12" s="19"/>
    </row>
    <row r="13" spans="1:16" x14ac:dyDescent="0.2">
      <c r="A13" s="14">
        <v>44348</v>
      </c>
      <c r="C13" s="15">
        <v>9031671</v>
      </c>
      <c r="D13" s="16">
        <v>11499</v>
      </c>
      <c r="E13" s="11">
        <f t="shared" si="0"/>
        <v>33579.22</v>
      </c>
      <c r="F13" s="11">
        <f t="shared" si="0"/>
        <v>33579.22</v>
      </c>
      <c r="G13" s="15">
        <f t="shared" si="1"/>
        <v>22080.22</v>
      </c>
      <c r="H13" s="15">
        <f t="shared" si="2"/>
        <v>22080.22</v>
      </c>
      <c r="I13" s="17">
        <v>0.21</v>
      </c>
      <c r="J13" s="17">
        <v>0.05</v>
      </c>
      <c r="K13" s="15">
        <f t="shared" si="3"/>
        <v>4405.00389</v>
      </c>
      <c r="L13" s="15">
        <f t="shared" si="4"/>
        <v>1104.0110000000002</v>
      </c>
      <c r="M13" s="15">
        <f t="shared" si="5"/>
        <v>-65236.940440000035</v>
      </c>
      <c r="N13" s="15">
        <v>0</v>
      </c>
      <c r="O13" s="12"/>
      <c r="P13" s="19"/>
    </row>
    <row r="14" spans="1:16" x14ac:dyDescent="0.2">
      <c r="A14" s="14">
        <v>44378</v>
      </c>
      <c r="C14" s="15"/>
      <c r="D14" s="16"/>
      <c r="E14" s="11"/>
      <c r="F14" s="11"/>
      <c r="G14" s="15">
        <f t="shared" si="1"/>
        <v>0</v>
      </c>
      <c r="H14" s="15">
        <f t="shared" si="2"/>
        <v>0</v>
      </c>
      <c r="I14" s="17">
        <v>0.21</v>
      </c>
      <c r="J14" s="17">
        <v>0.05</v>
      </c>
      <c r="K14" s="15">
        <f t="shared" si="3"/>
        <v>0</v>
      </c>
      <c r="L14" s="15">
        <f t="shared" si="4"/>
        <v>0</v>
      </c>
      <c r="M14" s="15">
        <v>0</v>
      </c>
      <c r="N14" s="15">
        <v>0</v>
      </c>
      <c r="O14" s="15"/>
      <c r="P14" s="19"/>
    </row>
    <row r="15" spans="1:16" x14ac:dyDescent="0.2">
      <c r="A15" s="14">
        <v>44409</v>
      </c>
      <c r="C15" s="15"/>
      <c r="D15" s="16"/>
      <c r="E15" s="16"/>
      <c r="F15" s="16"/>
      <c r="G15" s="15">
        <f t="shared" si="1"/>
        <v>0</v>
      </c>
      <c r="H15" s="15">
        <f t="shared" si="2"/>
        <v>0</v>
      </c>
      <c r="I15" s="17">
        <v>0.21</v>
      </c>
      <c r="J15" s="17">
        <v>0.05</v>
      </c>
      <c r="K15" s="15">
        <f t="shared" si="3"/>
        <v>0</v>
      </c>
      <c r="L15" s="15">
        <f t="shared" si="4"/>
        <v>0</v>
      </c>
      <c r="M15" s="15">
        <v>0</v>
      </c>
      <c r="N15" s="15">
        <v>0</v>
      </c>
      <c r="P15" s="19"/>
    </row>
    <row r="16" spans="1:16" x14ac:dyDescent="0.2">
      <c r="A16" s="14">
        <v>44448</v>
      </c>
      <c r="C16" s="15"/>
      <c r="D16" s="15"/>
      <c r="E16" s="15"/>
      <c r="F16" s="15"/>
      <c r="G16" s="15">
        <f t="shared" ref="G16:G33" si="6">E16-D16</f>
        <v>0</v>
      </c>
      <c r="H16" s="15">
        <f t="shared" ref="H16:H33" si="7">F16-D16</f>
        <v>0</v>
      </c>
      <c r="I16" s="17">
        <v>0.21</v>
      </c>
      <c r="J16" s="17">
        <v>0.05</v>
      </c>
      <c r="K16" s="15">
        <f t="shared" ref="K16:K33" si="8">G16*I16-L16*I16</f>
        <v>0</v>
      </c>
      <c r="L16" s="15">
        <f t="shared" ref="L16:L33" si="9">H16*J16</f>
        <v>0</v>
      </c>
      <c r="M16" s="15">
        <v>0</v>
      </c>
      <c r="N16" s="15">
        <v>0</v>
      </c>
    </row>
    <row r="17" spans="1:14" x14ac:dyDescent="0.2">
      <c r="A17" s="14">
        <v>44470</v>
      </c>
      <c r="C17" s="15"/>
      <c r="D17" s="15"/>
      <c r="E17" s="15"/>
      <c r="F17" s="15"/>
      <c r="G17" s="15">
        <f t="shared" si="6"/>
        <v>0</v>
      </c>
      <c r="H17" s="15">
        <f t="shared" si="7"/>
        <v>0</v>
      </c>
      <c r="I17" s="17">
        <v>0.21</v>
      </c>
      <c r="J17" s="17">
        <v>0.05</v>
      </c>
      <c r="K17" s="15">
        <f t="shared" si="8"/>
        <v>0</v>
      </c>
      <c r="L17" s="15">
        <f t="shared" si="9"/>
        <v>0</v>
      </c>
      <c r="M17" s="15">
        <v>0</v>
      </c>
      <c r="N17" s="15">
        <v>0</v>
      </c>
    </row>
    <row r="18" spans="1:14" x14ac:dyDescent="0.2">
      <c r="A18" s="14">
        <v>44501</v>
      </c>
      <c r="C18" s="15"/>
      <c r="D18" s="15"/>
      <c r="E18" s="15"/>
      <c r="F18" s="15"/>
      <c r="G18" s="15">
        <f t="shared" si="6"/>
        <v>0</v>
      </c>
      <c r="H18" s="15">
        <f t="shared" si="7"/>
        <v>0</v>
      </c>
      <c r="I18" s="17">
        <v>0.21</v>
      </c>
      <c r="J18" s="17">
        <v>0.05</v>
      </c>
      <c r="K18" s="15">
        <f t="shared" si="8"/>
        <v>0</v>
      </c>
      <c r="L18" s="15">
        <f t="shared" si="9"/>
        <v>0</v>
      </c>
      <c r="M18" s="15">
        <v>0</v>
      </c>
      <c r="N18" s="15">
        <v>0</v>
      </c>
    </row>
    <row r="19" spans="1:14" x14ac:dyDescent="0.2">
      <c r="A19" s="14">
        <v>44531</v>
      </c>
      <c r="G19" s="15">
        <f t="shared" si="6"/>
        <v>0</v>
      </c>
      <c r="H19" s="15">
        <f t="shared" si="7"/>
        <v>0</v>
      </c>
      <c r="I19" s="17">
        <v>0.21</v>
      </c>
      <c r="J19" s="17">
        <v>0.05</v>
      </c>
      <c r="K19" s="15">
        <f t="shared" si="8"/>
        <v>0</v>
      </c>
      <c r="L19" s="15">
        <f t="shared" si="9"/>
        <v>0</v>
      </c>
      <c r="M19" s="15">
        <v>0</v>
      </c>
      <c r="N19" s="15">
        <v>0</v>
      </c>
    </row>
    <row r="20" spans="1:14" x14ac:dyDescent="0.2">
      <c r="A20" s="14">
        <v>44562</v>
      </c>
      <c r="G20" s="15">
        <f t="shared" si="6"/>
        <v>0</v>
      </c>
      <c r="H20" s="15">
        <f t="shared" si="7"/>
        <v>0</v>
      </c>
      <c r="I20" s="17">
        <v>0.21</v>
      </c>
      <c r="J20" s="17">
        <v>0.05</v>
      </c>
      <c r="K20" s="15">
        <f t="shared" si="8"/>
        <v>0</v>
      </c>
      <c r="L20" s="15">
        <f t="shared" si="9"/>
        <v>0</v>
      </c>
      <c r="M20" s="15">
        <v>0</v>
      </c>
      <c r="N20" s="15">
        <v>0</v>
      </c>
    </row>
    <row r="21" spans="1:14" x14ac:dyDescent="0.2">
      <c r="A21" s="14">
        <v>44593</v>
      </c>
      <c r="G21" s="15">
        <f t="shared" si="6"/>
        <v>0</v>
      </c>
      <c r="H21" s="15">
        <f t="shared" si="7"/>
        <v>0</v>
      </c>
      <c r="I21" s="17">
        <v>0.21</v>
      </c>
      <c r="J21" s="17">
        <v>0.05</v>
      </c>
      <c r="K21" s="15">
        <f t="shared" si="8"/>
        <v>0</v>
      </c>
      <c r="L21" s="15">
        <f t="shared" si="9"/>
        <v>0</v>
      </c>
      <c r="M21" s="15">
        <v>0</v>
      </c>
      <c r="N21" s="15">
        <v>0</v>
      </c>
    </row>
    <row r="22" spans="1:14" x14ac:dyDescent="0.2">
      <c r="A22" s="14">
        <v>44629</v>
      </c>
      <c r="G22" s="15">
        <f t="shared" si="6"/>
        <v>0</v>
      </c>
      <c r="H22" s="15">
        <f t="shared" si="7"/>
        <v>0</v>
      </c>
      <c r="I22" s="17">
        <v>0.21</v>
      </c>
      <c r="J22" s="17">
        <v>0.05</v>
      </c>
      <c r="K22" s="15">
        <f t="shared" si="8"/>
        <v>0</v>
      </c>
      <c r="L22" s="15">
        <f t="shared" si="9"/>
        <v>0</v>
      </c>
      <c r="M22" s="15">
        <v>0</v>
      </c>
      <c r="N22" s="15">
        <v>0</v>
      </c>
    </row>
    <row r="23" spans="1:14" x14ac:dyDescent="0.2">
      <c r="A23" s="14">
        <v>44652</v>
      </c>
      <c r="G23" s="15">
        <f t="shared" si="6"/>
        <v>0</v>
      </c>
      <c r="H23" s="15">
        <f t="shared" si="7"/>
        <v>0</v>
      </c>
      <c r="I23" s="17">
        <v>0.21</v>
      </c>
      <c r="J23" s="17">
        <v>0.05</v>
      </c>
      <c r="K23" s="15">
        <f t="shared" si="8"/>
        <v>0</v>
      </c>
      <c r="L23" s="15">
        <f t="shared" si="9"/>
        <v>0</v>
      </c>
      <c r="M23" s="15">
        <v>0</v>
      </c>
      <c r="N23" s="15">
        <v>0</v>
      </c>
    </row>
    <row r="24" spans="1:14" x14ac:dyDescent="0.2">
      <c r="A24" s="14">
        <v>44682</v>
      </c>
      <c r="G24" s="15">
        <f t="shared" si="6"/>
        <v>0</v>
      </c>
      <c r="H24" s="15">
        <f t="shared" si="7"/>
        <v>0</v>
      </c>
      <c r="I24" s="17">
        <v>0.21</v>
      </c>
      <c r="J24" s="17">
        <v>0.05</v>
      </c>
      <c r="K24" s="15">
        <f t="shared" si="8"/>
        <v>0</v>
      </c>
      <c r="L24" s="15">
        <f t="shared" si="9"/>
        <v>0</v>
      </c>
      <c r="M24" s="15">
        <v>0</v>
      </c>
      <c r="N24" s="15">
        <v>0</v>
      </c>
    </row>
    <row r="25" spans="1:14" x14ac:dyDescent="0.2">
      <c r="A25" s="14">
        <v>44713</v>
      </c>
      <c r="G25" s="15">
        <f t="shared" si="6"/>
        <v>0</v>
      </c>
      <c r="H25" s="15">
        <f t="shared" si="7"/>
        <v>0</v>
      </c>
      <c r="I25" s="17">
        <v>0.21</v>
      </c>
      <c r="J25" s="17">
        <v>0.05</v>
      </c>
      <c r="K25" s="15">
        <f t="shared" si="8"/>
        <v>0</v>
      </c>
      <c r="L25" s="15">
        <f t="shared" si="9"/>
        <v>0</v>
      </c>
      <c r="M25" s="15">
        <v>0</v>
      </c>
      <c r="N25" s="15">
        <v>0</v>
      </c>
    </row>
    <row r="26" spans="1:14" x14ac:dyDescent="0.2">
      <c r="A26" s="14">
        <v>44743</v>
      </c>
      <c r="G26" s="15">
        <f t="shared" si="6"/>
        <v>0</v>
      </c>
      <c r="H26" s="15">
        <f t="shared" si="7"/>
        <v>0</v>
      </c>
      <c r="I26" s="17">
        <v>0.21</v>
      </c>
      <c r="J26" s="17">
        <v>0.05</v>
      </c>
      <c r="K26" s="15">
        <f t="shared" si="8"/>
        <v>0</v>
      </c>
      <c r="L26" s="15">
        <f t="shared" si="9"/>
        <v>0</v>
      </c>
      <c r="M26" s="15">
        <v>0</v>
      </c>
      <c r="N26" s="15">
        <v>0</v>
      </c>
    </row>
    <row r="27" spans="1:14" x14ac:dyDescent="0.2">
      <c r="A27" s="14">
        <v>44774</v>
      </c>
      <c r="G27" s="15">
        <f t="shared" si="6"/>
        <v>0</v>
      </c>
      <c r="H27" s="15">
        <f t="shared" si="7"/>
        <v>0</v>
      </c>
      <c r="I27" s="17">
        <v>0.21</v>
      </c>
      <c r="J27" s="17">
        <v>0.05</v>
      </c>
      <c r="K27" s="15">
        <f t="shared" si="8"/>
        <v>0</v>
      </c>
      <c r="L27" s="15">
        <f t="shared" si="9"/>
        <v>0</v>
      </c>
      <c r="M27" s="15">
        <v>0</v>
      </c>
      <c r="N27" s="15">
        <v>0</v>
      </c>
    </row>
    <row r="28" spans="1:14" x14ac:dyDescent="0.2">
      <c r="A28" s="14">
        <v>44813</v>
      </c>
      <c r="G28" s="15">
        <f t="shared" si="6"/>
        <v>0</v>
      </c>
      <c r="H28" s="15">
        <f t="shared" si="7"/>
        <v>0</v>
      </c>
      <c r="I28" s="17">
        <v>0.21</v>
      </c>
      <c r="J28" s="17">
        <v>0.05</v>
      </c>
      <c r="K28" s="15">
        <f t="shared" si="8"/>
        <v>0</v>
      </c>
      <c r="L28" s="15">
        <f t="shared" si="9"/>
        <v>0</v>
      </c>
      <c r="M28" s="15">
        <v>0</v>
      </c>
      <c r="N28" s="15">
        <v>0</v>
      </c>
    </row>
    <row r="29" spans="1:14" x14ac:dyDescent="0.2">
      <c r="A29" s="14">
        <v>44835</v>
      </c>
      <c r="G29" s="15">
        <f t="shared" si="6"/>
        <v>0</v>
      </c>
      <c r="H29" s="15">
        <f t="shared" si="7"/>
        <v>0</v>
      </c>
      <c r="I29" s="17">
        <v>0.21</v>
      </c>
      <c r="J29" s="17">
        <v>0.05</v>
      </c>
      <c r="K29" s="15">
        <f t="shared" si="8"/>
        <v>0</v>
      </c>
      <c r="L29" s="15">
        <f t="shared" si="9"/>
        <v>0</v>
      </c>
      <c r="M29" s="15">
        <v>0</v>
      </c>
      <c r="N29" s="15">
        <v>0</v>
      </c>
    </row>
    <row r="30" spans="1:14" x14ac:dyDescent="0.2">
      <c r="A30" s="14">
        <v>44866</v>
      </c>
      <c r="G30" s="15">
        <f t="shared" si="6"/>
        <v>0</v>
      </c>
      <c r="H30" s="15">
        <f t="shared" si="7"/>
        <v>0</v>
      </c>
      <c r="I30" s="17">
        <v>0.21</v>
      </c>
      <c r="J30" s="17">
        <v>0.05</v>
      </c>
      <c r="K30" s="15">
        <f t="shared" si="8"/>
        <v>0</v>
      </c>
      <c r="L30" s="15">
        <f t="shared" si="9"/>
        <v>0</v>
      </c>
      <c r="M30" s="15">
        <v>0</v>
      </c>
      <c r="N30" s="15">
        <v>0</v>
      </c>
    </row>
    <row r="31" spans="1:14" x14ac:dyDescent="0.2">
      <c r="A31" s="14">
        <v>44896</v>
      </c>
      <c r="G31" s="15">
        <f t="shared" si="6"/>
        <v>0</v>
      </c>
      <c r="H31" s="15">
        <f t="shared" si="7"/>
        <v>0</v>
      </c>
      <c r="I31" s="17">
        <v>0.21</v>
      </c>
      <c r="J31" s="17">
        <v>0.05</v>
      </c>
      <c r="K31" s="15">
        <f t="shared" si="8"/>
        <v>0</v>
      </c>
      <c r="L31" s="15">
        <f t="shared" si="9"/>
        <v>0</v>
      </c>
      <c r="M31" s="15">
        <v>0</v>
      </c>
      <c r="N31" s="15">
        <v>0</v>
      </c>
    </row>
    <row r="32" spans="1:14" x14ac:dyDescent="0.2">
      <c r="A32" s="14">
        <v>44927</v>
      </c>
      <c r="G32" s="15">
        <f t="shared" si="6"/>
        <v>0</v>
      </c>
      <c r="H32" s="15">
        <f t="shared" si="7"/>
        <v>0</v>
      </c>
      <c r="I32" s="17">
        <v>0.21</v>
      </c>
      <c r="J32" s="17">
        <v>0.05</v>
      </c>
      <c r="K32" s="15">
        <f t="shared" si="8"/>
        <v>0</v>
      </c>
      <c r="L32" s="15">
        <f t="shared" si="9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6"/>
        <v>0</v>
      </c>
      <c r="H33" s="15">
        <f t="shared" si="7"/>
        <v>0</v>
      </c>
      <c r="I33" s="17">
        <v>0.21</v>
      </c>
      <c r="J33" s="17">
        <v>0.05</v>
      </c>
      <c r="K33" s="15">
        <f t="shared" si="8"/>
        <v>0</v>
      </c>
      <c r="L33" s="15">
        <f t="shared" si="9"/>
        <v>0</v>
      </c>
      <c r="M33" s="15">
        <v>0</v>
      </c>
      <c r="N33" s="15"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5 of 15
Clements</oddHeader>
    <oddFooter>&amp;L_x000D_&amp;1#&amp;"Calibri"&amp;14&amp;K000000 Business Use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0ECA-1807-42C5-B6C4-B5B737D35661}">
  <dimension ref="A1:P66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 t="s">
        <v>19</v>
      </c>
    </row>
    <row r="5" spans="1:16" x14ac:dyDescent="0.2">
      <c r="A5" s="5" t="s">
        <v>3</v>
      </c>
    </row>
    <row r="6" spans="1:16" x14ac:dyDescent="0.2">
      <c r="A6" s="6" t="s">
        <v>48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7788838</v>
      </c>
    </row>
    <row r="10" spans="1:16" x14ac:dyDescent="0.2">
      <c r="A10" s="14">
        <v>44264</v>
      </c>
      <c r="C10" s="15">
        <v>95983913</v>
      </c>
      <c r="D10" s="16">
        <v>171318</v>
      </c>
      <c r="E10" s="11">
        <f t="shared" ref="E10:E15" si="0">354189.43</f>
        <v>354189.43</v>
      </c>
      <c r="F10" s="11">
        <f t="shared" ref="F10:F15" si="1">531377.02</f>
        <v>531377.02</v>
      </c>
      <c r="G10" s="15">
        <f t="shared" ref="G10:G33" si="2">E10-D10</f>
        <v>182871.43</v>
      </c>
      <c r="H10" s="15">
        <f t="shared" ref="H10:H33" si="3">F10-D10</f>
        <v>360059.02</v>
      </c>
      <c r="I10" s="17">
        <v>0.21</v>
      </c>
      <c r="J10" s="17">
        <v>0.05</v>
      </c>
      <c r="K10" s="15">
        <f t="shared" ref="K10:K19" si="4">G10*I10-L10*I10</f>
        <v>34622.380590000001</v>
      </c>
      <c r="L10" s="15">
        <f t="shared" ref="L10:L33" si="5">H10*J10</f>
        <v>18002.951000000001</v>
      </c>
      <c r="M10" s="15">
        <f t="shared" ref="M10:M33" si="6">M9+K10+L10</f>
        <v>7841463.3315900005</v>
      </c>
      <c r="N10" s="15">
        <v>0</v>
      </c>
      <c r="O10" s="13"/>
      <c r="P10" s="19"/>
    </row>
    <row r="11" spans="1:16" x14ac:dyDescent="0.2">
      <c r="A11" s="14">
        <v>44287</v>
      </c>
      <c r="C11" s="15">
        <v>95983913</v>
      </c>
      <c r="D11" s="16">
        <v>171318</v>
      </c>
      <c r="E11" s="11">
        <f t="shared" si="0"/>
        <v>354189.43</v>
      </c>
      <c r="F11" s="11">
        <f t="shared" si="1"/>
        <v>531377.02</v>
      </c>
      <c r="G11" s="15">
        <f t="shared" si="2"/>
        <v>182871.43</v>
      </c>
      <c r="H11" s="15">
        <f t="shared" si="3"/>
        <v>360059.02</v>
      </c>
      <c r="I11" s="17">
        <v>0.21</v>
      </c>
      <c r="J11" s="17">
        <v>0.05</v>
      </c>
      <c r="K11" s="15">
        <f t="shared" si="4"/>
        <v>34622.380590000001</v>
      </c>
      <c r="L11" s="15">
        <f t="shared" si="5"/>
        <v>18002.951000000001</v>
      </c>
      <c r="M11" s="15">
        <f t="shared" si="6"/>
        <v>7894088.6631800011</v>
      </c>
      <c r="N11" s="15">
        <v>0</v>
      </c>
      <c r="O11" s="13"/>
      <c r="P11" s="19"/>
    </row>
    <row r="12" spans="1:16" x14ac:dyDescent="0.2">
      <c r="A12" s="14">
        <v>44317</v>
      </c>
      <c r="C12" s="15">
        <v>95983913</v>
      </c>
      <c r="D12" s="16">
        <v>171318</v>
      </c>
      <c r="E12" s="11">
        <f t="shared" si="0"/>
        <v>354189.43</v>
      </c>
      <c r="F12" s="11">
        <f t="shared" si="1"/>
        <v>531377.02</v>
      </c>
      <c r="G12" s="15">
        <f t="shared" si="2"/>
        <v>182871.43</v>
      </c>
      <c r="H12" s="15">
        <f t="shared" si="3"/>
        <v>360059.02</v>
      </c>
      <c r="I12" s="17">
        <v>0.21</v>
      </c>
      <c r="J12" s="17">
        <v>0.05</v>
      </c>
      <c r="K12" s="15">
        <f t="shared" si="4"/>
        <v>34622.380590000001</v>
      </c>
      <c r="L12" s="15">
        <f t="shared" si="5"/>
        <v>18002.951000000001</v>
      </c>
      <c r="M12" s="15">
        <f t="shared" si="6"/>
        <v>7946713.9947700016</v>
      </c>
      <c r="N12" s="15">
        <v>0</v>
      </c>
      <c r="O12" s="12"/>
      <c r="P12" s="19"/>
    </row>
    <row r="13" spans="1:16" x14ac:dyDescent="0.2">
      <c r="A13" s="14">
        <v>44348</v>
      </c>
      <c r="C13" s="15">
        <v>95983913</v>
      </c>
      <c r="D13" s="16">
        <v>171318</v>
      </c>
      <c r="E13" s="11">
        <f t="shared" si="0"/>
        <v>354189.43</v>
      </c>
      <c r="F13" s="11">
        <f t="shared" si="1"/>
        <v>531377.02</v>
      </c>
      <c r="G13" s="15">
        <f t="shared" si="2"/>
        <v>182871.43</v>
      </c>
      <c r="H13" s="15">
        <f t="shared" si="3"/>
        <v>360059.02</v>
      </c>
      <c r="I13" s="17">
        <v>0.21</v>
      </c>
      <c r="J13" s="17">
        <v>0.05</v>
      </c>
      <c r="K13" s="15">
        <f t="shared" si="4"/>
        <v>34622.380590000001</v>
      </c>
      <c r="L13" s="15">
        <f t="shared" si="5"/>
        <v>18002.951000000001</v>
      </c>
      <c r="M13" s="15">
        <f t="shared" si="6"/>
        <v>7999339.3263600022</v>
      </c>
      <c r="N13" s="15">
        <v>0</v>
      </c>
      <c r="O13" s="12"/>
      <c r="P13" s="19"/>
    </row>
    <row r="14" spans="1:16" x14ac:dyDescent="0.2">
      <c r="A14" s="14">
        <v>44378</v>
      </c>
      <c r="C14" s="15">
        <v>96531240</v>
      </c>
      <c r="D14" s="16">
        <v>184718</v>
      </c>
      <c r="E14" s="16">
        <f t="shared" si="0"/>
        <v>354189.43</v>
      </c>
      <c r="F14" s="16">
        <f t="shared" si="1"/>
        <v>531377.02</v>
      </c>
      <c r="G14" s="15">
        <f t="shared" si="2"/>
        <v>169471.43</v>
      </c>
      <c r="H14" s="15">
        <f t="shared" si="3"/>
        <v>346659.02</v>
      </c>
      <c r="I14" s="17">
        <v>0.21</v>
      </c>
      <c r="J14" s="17">
        <v>0.05</v>
      </c>
      <c r="K14" s="15">
        <f t="shared" si="4"/>
        <v>31949.080589999998</v>
      </c>
      <c r="L14" s="15">
        <f t="shared" si="5"/>
        <v>17332.951000000001</v>
      </c>
      <c r="M14" s="15">
        <f t="shared" si="6"/>
        <v>8048621.3579500029</v>
      </c>
      <c r="N14" s="15">
        <v>0</v>
      </c>
      <c r="O14" s="15"/>
      <c r="P14" s="19"/>
    </row>
    <row r="15" spans="1:16" x14ac:dyDescent="0.2">
      <c r="A15" s="14">
        <v>44409</v>
      </c>
      <c r="C15" s="15">
        <v>96531240</v>
      </c>
      <c r="D15" s="16">
        <v>184718</v>
      </c>
      <c r="E15" s="16">
        <f t="shared" si="0"/>
        <v>354189.43</v>
      </c>
      <c r="F15" s="16">
        <f t="shared" si="1"/>
        <v>531377.02</v>
      </c>
      <c r="G15" s="15">
        <f t="shared" si="2"/>
        <v>169471.43</v>
      </c>
      <c r="H15" s="15">
        <f t="shared" si="3"/>
        <v>346659.02</v>
      </c>
      <c r="I15" s="17">
        <v>0.21</v>
      </c>
      <c r="J15" s="17">
        <v>0.05</v>
      </c>
      <c r="K15" s="15">
        <f t="shared" si="4"/>
        <v>31949.080589999998</v>
      </c>
      <c r="L15" s="15">
        <f t="shared" si="5"/>
        <v>17332.951000000001</v>
      </c>
      <c r="M15" s="15">
        <f t="shared" si="6"/>
        <v>8097903.3895400036</v>
      </c>
      <c r="N15" s="15">
        <v>0</v>
      </c>
      <c r="P15" s="19"/>
    </row>
    <row r="16" spans="1:16" x14ac:dyDescent="0.2">
      <c r="A16" s="14">
        <v>44448</v>
      </c>
      <c r="C16" s="15">
        <f>96531240</f>
        <v>96531240</v>
      </c>
      <c r="D16" s="16">
        <f>184718</f>
        <v>184718</v>
      </c>
      <c r="E16" s="11">
        <f>354189.43+3.88</f>
        <v>354193.31</v>
      </c>
      <c r="F16" s="11">
        <f>531377.02+3.88</f>
        <v>531380.9</v>
      </c>
      <c r="G16" s="15">
        <f t="shared" si="2"/>
        <v>169475.31</v>
      </c>
      <c r="H16" s="15">
        <f t="shared" si="3"/>
        <v>346662.9</v>
      </c>
      <c r="I16" s="17">
        <v>0.21</v>
      </c>
      <c r="J16" s="17">
        <v>0.05</v>
      </c>
      <c r="K16" s="15">
        <f t="shared" si="4"/>
        <v>31949.854650000001</v>
      </c>
      <c r="L16" s="15">
        <f t="shared" si="5"/>
        <v>17333.145</v>
      </c>
      <c r="M16" s="15">
        <f t="shared" si="6"/>
        <v>8147186.3891900033</v>
      </c>
      <c r="N16" s="15">
        <v>0</v>
      </c>
    </row>
    <row r="17" spans="1:14" x14ac:dyDescent="0.2">
      <c r="A17" s="14">
        <v>44470</v>
      </c>
      <c r="C17" s="15">
        <f>96531240</f>
        <v>96531240</v>
      </c>
      <c r="D17" s="16">
        <f>184718</f>
        <v>184718</v>
      </c>
      <c r="E17" s="11">
        <f>354189.43</f>
        <v>354189.43</v>
      </c>
      <c r="F17" s="11">
        <f>531377.02</f>
        <v>531377.02</v>
      </c>
      <c r="G17" s="15">
        <f t="shared" si="2"/>
        <v>169471.43</v>
      </c>
      <c r="H17" s="15">
        <f t="shared" si="3"/>
        <v>346659.02</v>
      </c>
      <c r="I17" s="17">
        <v>0.21</v>
      </c>
      <c r="J17" s="17">
        <v>0.05</v>
      </c>
      <c r="K17" s="15">
        <f t="shared" si="4"/>
        <v>31949.080589999998</v>
      </c>
      <c r="L17" s="15">
        <f t="shared" si="5"/>
        <v>17332.951000000001</v>
      </c>
      <c r="M17" s="15">
        <f t="shared" si="6"/>
        <v>8196468.420780004</v>
      </c>
      <c r="N17" s="15">
        <v>0</v>
      </c>
    </row>
    <row r="18" spans="1:14" x14ac:dyDescent="0.2">
      <c r="A18" s="14">
        <v>44501</v>
      </c>
      <c r="C18" s="15">
        <v>96533408</v>
      </c>
      <c r="D18" s="16">
        <v>184718</v>
      </c>
      <c r="E18" s="11">
        <f>354189.43</f>
        <v>354189.43</v>
      </c>
      <c r="F18" s="11">
        <f>531377.02</f>
        <v>531377.02</v>
      </c>
      <c r="G18" s="15">
        <f t="shared" si="2"/>
        <v>169471.43</v>
      </c>
      <c r="H18" s="15">
        <f t="shared" si="3"/>
        <v>346659.02</v>
      </c>
      <c r="I18" s="17">
        <v>0.21</v>
      </c>
      <c r="J18" s="17">
        <v>0.05</v>
      </c>
      <c r="K18" s="15">
        <f t="shared" si="4"/>
        <v>31949.080589999998</v>
      </c>
      <c r="L18" s="15">
        <f t="shared" si="5"/>
        <v>17332.951000000001</v>
      </c>
      <c r="M18" s="15">
        <f t="shared" si="6"/>
        <v>8245750.4523700047</v>
      </c>
      <c r="N18" s="15">
        <v>0</v>
      </c>
    </row>
    <row r="19" spans="1:14" x14ac:dyDescent="0.2">
      <c r="A19" s="14">
        <v>44531</v>
      </c>
      <c r="C19" s="15">
        <v>96533408</v>
      </c>
      <c r="D19" s="16">
        <v>184718</v>
      </c>
      <c r="E19" s="11">
        <f>354189.43</f>
        <v>354189.43</v>
      </c>
      <c r="F19" s="11">
        <f>531377.02</f>
        <v>531377.02</v>
      </c>
      <c r="G19" s="15">
        <f t="shared" si="2"/>
        <v>169471.43</v>
      </c>
      <c r="H19" s="15">
        <f t="shared" si="3"/>
        <v>346659.02</v>
      </c>
      <c r="I19" s="17">
        <v>0.21</v>
      </c>
      <c r="J19" s="17">
        <v>0.05</v>
      </c>
      <c r="K19" s="15">
        <f t="shared" si="4"/>
        <v>31949.080589999998</v>
      </c>
      <c r="L19" s="15">
        <f t="shared" si="5"/>
        <v>17332.951000000001</v>
      </c>
      <c r="M19" s="15">
        <f t="shared" si="6"/>
        <v>8295032.4839600055</v>
      </c>
      <c r="N19" s="15">
        <v>0</v>
      </c>
    </row>
    <row r="20" spans="1:14" x14ac:dyDescent="0.2">
      <c r="A20" s="14">
        <v>44562</v>
      </c>
      <c r="C20" s="15">
        <v>96533408</v>
      </c>
      <c r="D20" s="16">
        <v>184718</v>
      </c>
      <c r="E20" s="11">
        <f>327638.79</f>
        <v>327638.78999999998</v>
      </c>
      <c r="F20" s="11">
        <v>491551.44</v>
      </c>
      <c r="G20" s="15">
        <f t="shared" si="2"/>
        <v>142920.78999999998</v>
      </c>
      <c r="H20" s="15">
        <f t="shared" si="3"/>
        <v>306833.44</v>
      </c>
      <c r="I20" s="17">
        <v>0.21</v>
      </c>
      <c r="J20" s="17">
        <v>0.05</v>
      </c>
      <c r="K20" s="15">
        <f>G20*I20-L20*I20-25.4</f>
        <v>26766.214779999991</v>
      </c>
      <c r="L20" s="15">
        <f t="shared" si="5"/>
        <v>15341.672</v>
      </c>
      <c r="M20" s="15">
        <f t="shared" si="6"/>
        <v>8337140.3707400057</v>
      </c>
      <c r="N20" s="15">
        <v>0</v>
      </c>
    </row>
    <row r="21" spans="1:14" x14ac:dyDescent="0.2">
      <c r="A21" s="14">
        <v>44593</v>
      </c>
      <c r="C21" s="15">
        <v>96533408</v>
      </c>
      <c r="D21" s="16">
        <v>184718</v>
      </c>
      <c r="E21" s="16">
        <f>327638.79</f>
        <v>327638.78999999998</v>
      </c>
      <c r="F21" s="16">
        <f>491551.44</f>
        <v>491551.44</v>
      </c>
      <c r="G21" s="15">
        <f t="shared" si="2"/>
        <v>142920.78999999998</v>
      </c>
      <c r="H21" s="15">
        <f t="shared" si="3"/>
        <v>306833.44</v>
      </c>
      <c r="I21" s="17">
        <v>0.21</v>
      </c>
      <c r="J21" s="17">
        <v>0.05</v>
      </c>
      <c r="K21" s="15">
        <f>G21*I21-L21*I21-25.4</f>
        <v>26766.214779999991</v>
      </c>
      <c r="L21" s="15">
        <f t="shared" si="5"/>
        <v>15341.672</v>
      </c>
      <c r="M21" s="15">
        <f t="shared" si="6"/>
        <v>8379248.257520006</v>
      </c>
      <c r="N21" s="15">
        <v>0</v>
      </c>
    </row>
    <row r="22" spans="1:14" x14ac:dyDescent="0.2">
      <c r="A22" s="14">
        <v>44629</v>
      </c>
      <c r="C22" s="15">
        <v>96533408</v>
      </c>
      <c r="D22" s="16">
        <v>184718</v>
      </c>
      <c r="E22" s="11">
        <f t="shared" ref="E22:E27" si="7">327638.79</f>
        <v>327638.78999999998</v>
      </c>
      <c r="F22" s="11">
        <f t="shared" ref="F22:F27" si="8">491551.44</f>
        <v>491551.44</v>
      </c>
      <c r="G22" s="15">
        <f t="shared" si="2"/>
        <v>142920.78999999998</v>
      </c>
      <c r="H22" s="15">
        <f t="shared" si="3"/>
        <v>306833.44</v>
      </c>
      <c r="I22" s="17">
        <v>0.21</v>
      </c>
      <c r="J22" s="17">
        <v>0.05</v>
      </c>
      <c r="K22" s="15">
        <f t="shared" ref="K22:K27" si="9">G22*I22-L22*I22-25.4</f>
        <v>26766.214779999991</v>
      </c>
      <c r="L22" s="15">
        <f t="shared" si="5"/>
        <v>15341.672</v>
      </c>
      <c r="M22" s="15">
        <f t="shared" si="6"/>
        <v>8421356.1443000063</v>
      </c>
      <c r="N22" s="15">
        <v>0</v>
      </c>
    </row>
    <row r="23" spans="1:14" x14ac:dyDescent="0.2">
      <c r="A23" s="14">
        <v>44652</v>
      </c>
      <c r="C23" s="15">
        <v>96533408</v>
      </c>
      <c r="D23" s="16">
        <v>184718</v>
      </c>
      <c r="E23" s="11">
        <f t="shared" si="7"/>
        <v>327638.78999999998</v>
      </c>
      <c r="F23" s="11">
        <f t="shared" si="8"/>
        <v>491551.44</v>
      </c>
      <c r="G23" s="15">
        <f t="shared" si="2"/>
        <v>142920.78999999998</v>
      </c>
      <c r="H23" s="15">
        <f t="shared" si="3"/>
        <v>306833.44</v>
      </c>
      <c r="I23" s="17">
        <v>0.21</v>
      </c>
      <c r="J23" s="17">
        <v>0.05</v>
      </c>
      <c r="K23" s="15">
        <f t="shared" si="9"/>
        <v>26766.214779999991</v>
      </c>
      <c r="L23" s="15">
        <f t="shared" si="5"/>
        <v>15341.672</v>
      </c>
      <c r="M23" s="15">
        <f t="shared" si="6"/>
        <v>8463464.0310800057</v>
      </c>
      <c r="N23" s="15">
        <v>0</v>
      </c>
    </row>
    <row r="24" spans="1:14" x14ac:dyDescent="0.2">
      <c r="A24" s="14">
        <v>44682</v>
      </c>
      <c r="C24" s="15">
        <v>96533408</v>
      </c>
      <c r="D24" s="16">
        <v>184718</v>
      </c>
      <c r="E24" s="11">
        <f t="shared" si="7"/>
        <v>327638.78999999998</v>
      </c>
      <c r="F24" s="11">
        <f t="shared" si="8"/>
        <v>491551.44</v>
      </c>
      <c r="G24" s="15">
        <f t="shared" si="2"/>
        <v>142920.78999999998</v>
      </c>
      <c r="H24" s="15">
        <f t="shared" si="3"/>
        <v>306833.44</v>
      </c>
      <c r="I24" s="17">
        <v>0.21</v>
      </c>
      <c r="J24" s="17">
        <v>0.05</v>
      </c>
      <c r="K24" s="15">
        <f t="shared" si="9"/>
        <v>26766.214779999991</v>
      </c>
      <c r="L24" s="15">
        <f t="shared" si="5"/>
        <v>15341.672</v>
      </c>
      <c r="M24" s="15">
        <f t="shared" si="6"/>
        <v>8505571.9178600051</v>
      </c>
      <c r="N24" s="15">
        <v>0</v>
      </c>
    </row>
    <row r="25" spans="1:14" x14ac:dyDescent="0.2">
      <c r="A25" s="14">
        <v>44713</v>
      </c>
      <c r="C25" s="15">
        <v>96533408</v>
      </c>
      <c r="D25" s="16">
        <v>184718</v>
      </c>
      <c r="E25" s="11">
        <f t="shared" si="7"/>
        <v>327638.78999999998</v>
      </c>
      <c r="F25" s="11">
        <f t="shared" si="8"/>
        <v>491551.44</v>
      </c>
      <c r="G25" s="15">
        <f t="shared" si="2"/>
        <v>142920.78999999998</v>
      </c>
      <c r="H25" s="15">
        <f t="shared" si="3"/>
        <v>306833.44</v>
      </c>
      <c r="I25" s="17">
        <v>0.21</v>
      </c>
      <c r="J25" s="17">
        <v>0.05</v>
      </c>
      <c r="K25" s="15">
        <f t="shared" si="9"/>
        <v>26766.214779999991</v>
      </c>
      <c r="L25" s="15">
        <f t="shared" si="5"/>
        <v>15341.672</v>
      </c>
      <c r="M25" s="15">
        <f t="shared" si="6"/>
        <v>8547679.8046400044</v>
      </c>
      <c r="N25" s="15">
        <v>0</v>
      </c>
    </row>
    <row r="26" spans="1:14" x14ac:dyDescent="0.2">
      <c r="A26" s="14">
        <v>44743</v>
      </c>
      <c r="C26" s="15">
        <v>96533408</v>
      </c>
      <c r="D26" s="16">
        <v>184717.5</v>
      </c>
      <c r="E26" s="11">
        <f t="shared" si="7"/>
        <v>327638.78999999998</v>
      </c>
      <c r="F26" s="11">
        <f t="shared" si="8"/>
        <v>491551.44</v>
      </c>
      <c r="G26" s="15">
        <f t="shared" si="2"/>
        <v>142921.28999999998</v>
      </c>
      <c r="H26" s="15">
        <f t="shared" si="3"/>
        <v>306833.94</v>
      </c>
      <c r="I26" s="17">
        <v>0.21</v>
      </c>
      <c r="J26" s="17">
        <v>0.05</v>
      </c>
      <c r="K26" s="15">
        <f t="shared" si="9"/>
        <v>26766.314529999992</v>
      </c>
      <c r="L26" s="15">
        <f t="shared" si="5"/>
        <v>15341.697</v>
      </c>
      <c r="M26" s="15">
        <f t="shared" si="6"/>
        <v>8589787.8161700051</v>
      </c>
      <c r="N26" s="15">
        <v>0</v>
      </c>
    </row>
    <row r="27" spans="1:14" x14ac:dyDescent="0.2">
      <c r="A27" s="14">
        <v>44774</v>
      </c>
      <c r="C27" s="15">
        <v>96533408</v>
      </c>
      <c r="D27" s="16">
        <v>184717.5</v>
      </c>
      <c r="E27" s="11">
        <f t="shared" si="7"/>
        <v>327638.78999999998</v>
      </c>
      <c r="F27" s="11">
        <f t="shared" si="8"/>
        <v>491551.44</v>
      </c>
      <c r="G27" s="15">
        <f t="shared" si="2"/>
        <v>142921.28999999998</v>
      </c>
      <c r="H27" s="15">
        <f t="shared" si="3"/>
        <v>306833.94</v>
      </c>
      <c r="I27" s="17">
        <v>0.21</v>
      </c>
      <c r="J27" s="17">
        <v>0.05</v>
      </c>
      <c r="K27" s="15">
        <f t="shared" si="9"/>
        <v>26766.314529999992</v>
      </c>
      <c r="L27" s="15">
        <f t="shared" si="5"/>
        <v>15341.697</v>
      </c>
      <c r="M27" s="15">
        <f t="shared" si="6"/>
        <v>8631895.8277000058</v>
      </c>
      <c r="N27" s="15">
        <v>0</v>
      </c>
    </row>
    <row r="28" spans="1:14" x14ac:dyDescent="0.2">
      <c r="A28" s="14">
        <v>44813</v>
      </c>
      <c r="C28" s="15">
        <v>96533408</v>
      </c>
      <c r="D28" s="16">
        <v>184718</v>
      </c>
      <c r="E28" s="11">
        <f>327638.79</f>
        <v>327638.78999999998</v>
      </c>
      <c r="F28" s="11">
        <f>491551.44</f>
        <v>491551.44</v>
      </c>
      <c r="G28" s="15">
        <f t="shared" si="2"/>
        <v>142920.78999999998</v>
      </c>
      <c r="H28" s="15">
        <f t="shared" si="3"/>
        <v>306833.44</v>
      </c>
      <c r="I28" s="17">
        <v>0.21</v>
      </c>
      <c r="J28" s="17">
        <v>0.05</v>
      </c>
      <c r="K28" s="15">
        <f>G28*I28-L28*I28-25.4</f>
        <v>26766.214779999991</v>
      </c>
      <c r="L28" s="15">
        <f t="shared" si="5"/>
        <v>15341.672</v>
      </c>
      <c r="M28" s="15">
        <f t="shared" si="6"/>
        <v>8674003.7144800052</v>
      </c>
      <c r="N28" s="15">
        <v>0</v>
      </c>
    </row>
    <row r="29" spans="1:14" x14ac:dyDescent="0.2">
      <c r="A29" s="14">
        <v>44835</v>
      </c>
      <c r="C29" s="15">
        <v>96533408</v>
      </c>
      <c r="D29" s="16">
        <v>184718</v>
      </c>
      <c r="E29" s="11">
        <f>327638.79</f>
        <v>327638.78999999998</v>
      </c>
      <c r="F29" s="11">
        <f>491551.44</f>
        <v>491551.44</v>
      </c>
      <c r="G29" s="15">
        <f t="shared" si="2"/>
        <v>142920.78999999998</v>
      </c>
      <c r="H29" s="15">
        <f t="shared" si="3"/>
        <v>306833.44</v>
      </c>
      <c r="I29" s="17">
        <v>0.21</v>
      </c>
      <c r="J29" s="17">
        <v>0.05</v>
      </c>
      <c r="K29" s="15">
        <f>G29*I29-L29*I29-25.4</f>
        <v>26766.214779999991</v>
      </c>
      <c r="L29" s="15">
        <f t="shared" si="5"/>
        <v>15341.672</v>
      </c>
      <c r="M29" s="15">
        <f t="shared" si="6"/>
        <v>8716111.6012600046</v>
      </c>
      <c r="N29" s="15">
        <v>0</v>
      </c>
    </row>
    <row r="30" spans="1:14" x14ac:dyDescent="0.2">
      <c r="A30" s="14">
        <v>44866</v>
      </c>
      <c r="C30" s="15">
        <v>96533408</v>
      </c>
      <c r="D30" s="16">
        <v>184717.5</v>
      </c>
      <c r="E30" s="11">
        <f>327639.49</f>
        <v>327639.49</v>
      </c>
      <c r="F30" s="11">
        <f t="shared" ref="F30:F31" si="10">491551.44</f>
        <v>491551.44</v>
      </c>
      <c r="G30" s="15">
        <f t="shared" si="2"/>
        <v>142921.99</v>
      </c>
      <c r="H30" s="15">
        <f t="shared" si="3"/>
        <v>306833.94</v>
      </c>
      <c r="I30" s="17">
        <v>0.21</v>
      </c>
      <c r="J30" s="17">
        <v>0.05</v>
      </c>
      <c r="K30" s="15">
        <f>G30*I30-L30*I30-25.4</f>
        <v>26766.461529999997</v>
      </c>
      <c r="L30" s="15">
        <f t="shared" si="5"/>
        <v>15341.697</v>
      </c>
      <c r="M30" s="15">
        <f t="shared" si="6"/>
        <v>8758219.7597900052</v>
      </c>
      <c r="N30" s="15">
        <v>0</v>
      </c>
    </row>
    <row r="31" spans="1:14" x14ac:dyDescent="0.2">
      <c r="A31" s="14">
        <v>44896</v>
      </c>
      <c r="C31" s="15">
        <v>96647438</v>
      </c>
      <c r="D31" s="16">
        <v>184718</v>
      </c>
      <c r="E31" s="11">
        <f>327638.79</f>
        <v>327638.78999999998</v>
      </c>
      <c r="F31" s="11">
        <f t="shared" si="10"/>
        <v>491551.44</v>
      </c>
      <c r="G31" s="15">
        <f t="shared" si="2"/>
        <v>142920.78999999998</v>
      </c>
      <c r="H31" s="15">
        <f t="shared" si="3"/>
        <v>306833.44</v>
      </c>
      <c r="I31" s="17">
        <v>0.21</v>
      </c>
      <c r="J31" s="17">
        <v>0.05</v>
      </c>
      <c r="K31" s="15">
        <f>G31*I31-L31*I31-25.4</f>
        <v>26766.214779999991</v>
      </c>
      <c r="L31" s="15">
        <f t="shared" si="5"/>
        <v>15341.672</v>
      </c>
      <c r="M31" s="15">
        <f t="shared" si="6"/>
        <v>8800327.6465700045</v>
      </c>
      <c r="N31" s="15">
        <v>0</v>
      </c>
    </row>
    <row r="32" spans="1:14" x14ac:dyDescent="0.2">
      <c r="A32" s="14">
        <v>44927</v>
      </c>
      <c r="C32" s="15">
        <v>96647438</v>
      </c>
      <c r="D32" s="16">
        <v>184717.5</v>
      </c>
      <c r="E32" s="11">
        <f>303496.49</f>
        <v>303496.49</v>
      </c>
      <c r="F32" s="11">
        <f>455541.28</f>
        <v>455541.28</v>
      </c>
      <c r="G32" s="15">
        <f t="shared" si="2"/>
        <v>118778.98999999999</v>
      </c>
      <c r="H32" s="15">
        <f t="shared" si="3"/>
        <v>270823.78000000003</v>
      </c>
      <c r="I32" s="17">
        <v>0.21</v>
      </c>
      <c r="J32" s="17">
        <v>0.05</v>
      </c>
      <c r="K32" s="15">
        <f>G32*I32-L32*I32-38.07</f>
        <v>22061.868210000001</v>
      </c>
      <c r="L32" s="15">
        <f t="shared" si="5"/>
        <v>13541.189000000002</v>
      </c>
      <c r="M32" s="15">
        <f t="shared" si="6"/>
        <v>8835930.7037800048</v>
      </c>
      <c r="N32" s="15">
        <v>0</v>
      </c>
    </row>
    <row r="33" spans="1:14" x14ac:dyDescent="0.2">
      <c r="A33" s="14">
        <v>44958</v>
      </c>
      <c r="C33" s="15">
        <v>96647438</v>
      </c>
      <c r="D33" s="16">
        <v>184717.5</v>
      </c>
      <c r="E33" s="11">
        <f>303496.49</f>
        <v>303496.49</v>
      </c>
      <c r="F33" s="11">
        <f>455541.28</f>
        <v>455541.28</v>
      </c>
      <c r="G33" s="15">
        <f t="shared" si="2"/>
        <v>118778.98999999999</v>
      </c>
      <c r="H33" s="15">
        <f t="shared" si="3"/>
        <v>270823.78000000003</v>
      </c>
      <c r="I33" s="17">
        <v>0.21</v>
      </c>
      <c r="J33" s="17">
        <v>0.05</v>
      </c>
      <c r="K33" s="15">
        <f>G33*I33-L33*I33-38.07</f>
        <v>22061.868210000001</v>
      </c>
      <c r="L33" s="15">
        <f t="shared" si="5"/>
        <v>13541.189000000002</v>
      </c>
      <c r="M33" s="15">
        <f t="shared" si="6"/>
        <v>8871533.760990005</v>
      </c>
      <c r="N33" s="15">
        <v>0</v>
      </c>
    </row>
    <row r="34" spans="1:14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21"/>
      <c r="C35" s="41" t="s">
        <v>42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C37" s="23" t="s">
        <v>49</v>
      </c>
    </row>
    <row r="38" spans="1:14" x14ac:dyDescent="0.2">
      <c r="C38" s="23" t="s">
        <v>22</v>
      </c>
    </row>
    <row r="39" spans="1:14" x14ac:dyDescent="0.2">
      <c r="C39" s="23" t="s">
        <v>67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42" t="s">
        <v>26</v>
      </c>
      <c r="E42" s="43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5">
        <v>1880068.145</v>
      </c>
      <c r="D43" s="15">
        <v>184718</v>
      </c>
      <c r="E43" s="15">
        <v>6990.72</v>
      </c>
      <c r="F43" s="15">
        <f>-D43+E43+0.6</f>
        <v>-177726.68</v>
      </c>
      <c r="G43" s="17">
        <v>0.21</v>
      </c>
      <c r="H43" s="15">
        <f>F43*G43</f>
        <v>-37322.602800000001</v>
      </c>
    </row>
    <row r="44" spans="1:14" x14ac:dyDescent="0.2">
      <c r="C44" s="15">
        <v>184335</v>
      </c>
      <c r="D44" s="15"/>
      <c r="E44" s="15">
        <v>811.84</v>
      </c>
      <c r="F44" s="15">
        <f>E44</f>
        <v>811.84</v>
      </c>
      <c r="G44" s="17">
        <v>0.21</v>
      </c>
      <c r="H44" s="15">
        <f t="shared" ref="H44:H51" si="11">F44*G44</f>
        <v>170.4864</v>
      </c>
    </row>
    <row r="45" spans="1:14" x14ac:dyDescent="0.2">
      <c r="C45" s="15">
        <v>36765919</v>
      </c>
      <c r="D45" s="15"/>
      <c r="E45" s="15">
        <v>175036.41</v>
      </c>
      <c r="F45" s="15">
        <f t="shared" ref="F45:F51" si="12">E45</f>
        <v>175036.41</v>
      </c>
      <c r="G45" s="17">
        <v>0.21</v>
      </c>
      <c r="H45" s="15">
        <f t="shared" si="11"/>
        <v>36757.646099999998</v>
      </c>
    </row>
    <row r="46" spans="1:14" x14ac:dyDescent="0.2">
      <c r="C46" s="15">
        <v>570444</v>
      </c>
      <c r="D46" s="15"/>
      <c r="E46" s="15"/>
      <c r="F46" s="15">
        <f t="shared" si="12"/>
        <v>0</v>
      </c>
      <c r="G46" s="17">
        <v>0.21</v>
      </c>
      <c r="H46" s="15">
        <f t="shared" si="11"/>
        <v>0</v>
      </c>
    </row>
    <row r="47" spans="1:14" x14ac:dyDescent="0.2">
      <c r="C47" s="15">
        <v>209122</v>
      </c>
      <c r="D47" s="15"/>
      <c r="E47" s="15">
        <v>995.59</v>
      </c>
      <c r="F47" s="15">
        <f t="shared" si="12"/>
        <v>995.59</v>
      </c>
      <c r="G47" s="17">
        <v>0.21</v>
      </c>
      <c r="H47" s="15">
        <f t="shared" si="11"/>
        <v>209.07390000000001</v>
      </c>
    </row>
    <row r="48" spans="1:14" x14ac:dyDescent="0.2">
      <c r="C48" s="15">
        <v>5510178</v>
      </c>
      <c r="D48" s="15"/>
      <c r="E48" s="15"/>
      <c r="F48" s="15">
        <f t="shared" si="12"/>
        <v>0</v>
      </c>
      <c r="G48" s="17">
        <v>0.21</v>
      </c>
      <c r="H48" s="15">
        <f t="shared" si="11"/>
        <v>0</v>
      </c>
    </row>
    <row r="49" spans="3:9" x14ac:dyDescent="0.2">
      <c r="C49" s="15">
        <v>20738213</v>
      </c>
      <c r="D49" s="15"/>
      <c r="E49" s="26">
        <v>106749.95</v>
      </c>
      <c r="F49" s="15">
        <f t="shared" si="12"/>
        <v>106749.95</v>
      </c>
      <c r="G49" s="17">
        <v>0.21</v>
      </c>
      <c r="H49" s="15">
        <f t="shared" si="11"/>
        <v>22417.4895</v>
      </c>
    </row>
    <row r="50" spans="3:9" x14ac:dyDescent="0.2">
      <c r="C50" s="15">
        <v>1400</v>
      </c>
      <c r="D50" s="15"/>
      <c r="E50" s="26">
        <v>7.21</v>
      </c>
      <c r="F50" s="15">
        <f t="shared" si="12"/>
        <v>7.21</v>
      </c>
      <c r="G50" s="17">
        <v>0.21</v>
      </c>
      <c r="H50" s="15">
        <f t="shared" si="11"/>
        <v>1.5141</v>
      </c>
    </row>
    <row r="51" spans="3:9" ht="15" x14ac:dyDescent="0.35">
      <c r="C51" s="15">
        <v>2506896</v>
      </c>
      <c r="D51" s="15"/>
      <c r="E51" s="28">
        <v>12904.25</v>
      </c>
      <c r="F51" s="28">
        <f t="shared" si="12"/>
        <v>12904.25</v>
      </c>
      <c r="G51" s="39">
        <v>0.21</v>
      </c>
      <c r="H51" s="28">
        <f t="shared" si="11"/>
        <v>2709.8924999999999</v>
      </c>
    </row>
    <row r="52" spans="3:9" x14ac:dyDescent="0.2">
      <c r="C52" s="15"/>
      <c r="D52" s="15"/>
      <c r="E52" s="15">
        <f>SUM(E43:E51)</f>
        <v>303495.97000000003</v>
      </c>
      <c r="F52" s="15">
        <f>SUM(F43:F51)</f>
        <v>118778.57</v>
      </c>
      <c r="G52" s="39" t="s">
        <v>30</v>
      </c>
      <c r="H52" s="15">
        <f>SUM(H43:H51)</f>
        <v>24943.4997</v>
      </c>
    </row>
    <row r="53" spans="3:9" ht="15" x14ac:dyDescent="0.35">
      <c r="G53" s="29" t="s">
        <v>31</v>
      </c>
      <c r="H53" s="28">
        <f>-H65*0.21</f>
        <v>-2843.650635</v>
      </c>
    </row>
    <row r="54" spans="3:9" x14ac:dyDescent="0.2">
      <c r="H54" s="15">
        <f>H52+H53</f>
        <v>22099.849065000002</v>
      </c>
    </row>
    <row r="55" spans="3:9" x14ac:dyDescent="0.2">
      <c r="H55" s="15">
        <f>H54-K33</f>
        <v>37.980855000001611</v>
      </c>
      <c r="I55" s="44" t="s">
        <v>32</v>
      </c>
    </row>
    <row r="56" spans="3:9" x14ac:dyDescent="0.2">
      <c r="C56" s="15" t="s">
        <v>33</v>
      </c>
      <c r="D56" s="45" t="s">
        <v>26</v>
      </c>
      <c r="E56" s="43" t="s">
        <v>34</v>
      </c>
      <c r="F56" s="15" t="s">
        <v>35</v>
      </c>
      <c r="G56" s="17" t="s">
        <v>13</v>
      </c>
      <c r="H56" s="15" t="s">
        <v>36</v>
      </c>
    </row>
    <row r="57" spans="3:9" x14ac:dyDescent="0.2">
      <c r="C57" s="15">
        <v>3760136.29</v>
      </c>
      <c r="D57" s="15">
        <v>184718</v>
      </c>
      <c r="E57" s="15">
        <v>13981.44</v>
      </c>
      <c r="F57" s="15">
        <f>-D57+E57+0.6</f>
        <v>-170735.96</v>
      </c>
      <c r="G57" s="17">
        <v>0.05</v>
      </c>
      <c r="H57" s="15">
        <f>F57*G57</f>
        <v>-8536.7980000000007</v>
      </c>
    </row>
    <row r="58" spans="3:9" x14ac:dyDescent="0.2">
      <c r="C58" s="15">
        <v>184335</v>
      </c>
      <c r="D58" s="15"/>
      <c r="E58" s="15">
        <v>811.84</v>
      </c>
      <c r="F58" s="15">
        <f>E58</f>
        <v>811.84</v>
      </c>
      <c r="G58" s="17">
        <v>0.05</v>
      </c>
      <c r="H58" s="15">
        <f t="shared" ref="H58:H64" si="13">F58*G58</f>
        <v>40.592000000000006</v>
      </c>
    </row>
    <row r="59" spans="3:9" x14ac:dyDescent="0.2">
      <c r="C59" s="40">
        <v>61276531.409999996</v>
      </c>
      <c r="D59" s="15"/>
      <c r="E59" s="15">
        <v>291727.34999999998</v>
      </c>
      <c r="F59" s="15">
        <f t="shared" ref="F59:F64" si="14">E59</f>
        <v>291727.34999999998</v>
      </c>
      <c r="G59" s="17">
        <v>0.05</v>
      </c>
      <c r="H59" s="15">
        <f t="shared" si="13"/>
        <v>14586.3675</v>
      </c>
    </row>
    <row r="60" spans="3:9" x14ac:dyDescent="0.2">
      <c r="C60" s="40">
        <v>570444</v>
      </c>
      <c r="D60" s="15"/>
      <c r="E60" s="15"/>
      <c r="F60" s="15">
        <f t="shared" si="14"/>
        <v>0</v>
      </c>
      <c r="G60" s="17">
        <v>0.05</v>
      </c>
      <c r="H60" s="15">
        <f t="shared" si="13"/>
        <v>0</v>
      </c>
    </row>
    <row r="61" spans="3:9" x14ac:dyDescent="0.2">
      <c r="C61" s="15">
        <v>209122</v>
      </c>
      <c r="D61" s="15"/>
      <c r="E61" s="15">
        <v>995.59</v>
      </c>
      <c r="F61" s="15">
        <f t="shared" si="14"/>
        <v>995.59</v>
      </c>
      <c r="G61" s="17">
        <v>0.05</v>
      </c>
      <c r="H61" s="15">
        <f t="shared" si="13"/>
        <v>49.779500000000006</v>
      </c>
    </row>
    <row r="62" spans="3:9" x14ac:dyDescent="0.2">
      <c r="C62" s="15">
        <v>26248391</v>
      </c>
      <c r="D62" s="15"/>
      <c r="E62" s="26">
        <v>135113.59</v>
      </c>
      <c r="F62" s="15">
        <f t="shared" si="14"/>
        <v>135113.59</v>
      </c>
      <c r="G62" s="17">
        <v>0.05</v>
      </c>
      <c r="H62" s="15">
        <f t="shared" si="13"/>
        <v>6755.6795000000002</v>
      </c>
    </row>
    <row r="63" spans="3:9" x14ac:dyDescent="0.2">
      <c r="C63" s="15">
        <v>1400</v>
      </c>
      <c r="D63" s="15"/>
      <c r="E63" s="26">
        <v>7.21</v>
      </c>
      <c r="F63" s="15">
        <f t="shared" si="14"/>
        <v>7.21</v>
      </c>
      <c r="G63" s="17">
        <v>0.05</v>
      </c>
      <c r="H63" s="15">
        <f t="shared" si="13"/>
        <v>0.36050000000000004</v>
      </c>
    </row>
    <row r="64" spans="3:9" ht="15" x14ac:dyDescent="0.35">
      <c r="C64" s="15">
        <v>2506896</v>
      </c>
      <c r="D64" s="15"/>
      <c r="E64" s="28">
        <v>12904.25</v>
      </c>
      <c r="F64" s="28">
        <f t="shared" si="14"/>
        <v>12904.25</v>
      </c>
      <c r="G64" s="39">
        <v>0.05</v>
      </c>
      <c r="H64" s="28">
        <f t="shared" si="13"/>
        <v>645.21250000000009</v>
      </c>
    </row>
    <row r="65" spans="3:8" x14ac:dyDescent="0.2">
      <c r="C65" s="15"/>
      <c r="D65" s="15"/>
      <c r="E65" s="15">
        <f>SUM(E56:E64)</f>
        <v>455541.27000000008</v>
      </c>
      <c r="F65" s="15">
        <f>SUM(F56:F64)</f>
        <v>270823.87</v>
      </c>
      <c r="G65" s="39"/>
      <c r="H65" s="15">
        <f>SUM(H56:H64)</f>
        <v>13541.193500000001</v>
      </c>
    </row>
    <row r="66" spans="3:8" x14ac:dyDescent="0.2">
      <c r="H66" s="15">
        <f>H65-L33</f>
        <v>4.4999999990977813E-3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15
Clements</oddHeader>
    <oddFooter>&amp;L_x000D_&amp;1#&amp;"Calibri"&amp;14&amp;K000000 Business Use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B12EE-1246-4F97-B529-FD91B5C2C3A2}">
  <dimension ref="A1:P53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x14ac:dyDescent="0.2">
      <c r="A5" s="5" t="s">
        <v>3</v>
      </c>
    </row>
    <row r="6" spans="1:16" x14ac:dyDescent="0.2">
      <c r="A6" s="6" t="s">
        <v>50</v>
      </c>
    </row>
    <row r="8" spans="1:16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6" x14ac:dyDescent="0.2">
      <c r="A9" s="10" t="s">
        <v>18</v>
      </c>
      <c r="M9" s="11">
        <v>890350</v>
      </c>
    </row>
    <row r="10" spans="1:16" x14ac:dyDescent="0.2">
      <c r="A10" s="14">
        <v>44264</v>
      </c>
      <c r="C10" s="15">
        <v>4193823</v>
      </c>
      <c r="D10" s="16">
        <v>7332</v>
      </c>
      <c r="E10" s="11">
        <f t="shared" ref="E10:E15" si="0">7780.04</f>
        <v>7780.04</v>
      </c>
      <c r="F10" s="11">
        <f t="shared" ref="F10:F15" si="1">15560.08</f>
        <v>15560.08</v>
      </c>
      <c r="G10" s="15">
        <f t="shared" ref="G10:G33" si="2">E10-D10</f>
        <v>448.03999999999996</v>
      </c>
      <c r="H10" s="15">
        <f t="shared" ref="H10:H33" si="3">F10-D10</f>
        <v>8228.08</v>
      </c>
      <c r="I10" s="17">
        <v>0.21</v>
      </c>
      <c r="J10" s="17">
        <v>0.05</v>
      </c>
      <c r="K10" s="15">
        <f t="shared" ref="K10:K19" si="4">G10*I10-L10*I10</f>
        <v>7.6935599999999909</v>
      </c>
      <c r="L10" s="15">
        <f t="shared" ref="L10:L33" si="5">H10*J10</f>
        <v>411.404</v>
      </c>
      <c r="M10" s="15">
        <f t="shared" ref="M10:M33" si="6">M9+K10+L10</f>
        <v>890769.09756000002</v>
      </c>
      <c r="N10" s="15">
        <v>0</v>
      </c>
      <c r="O10" s="29"/>
      <c r="P10" s="19"/>
    </row>
    <row r="11" spans="1:16" x14ac:dyDescent="0.2">
      <c r="A11" s="14">
        <v>44287</v>
      </c>
      <c r="C11" s="15">
        <v>4193823</v>
      </c>
      <c r="D11" s="16">
        <v>7332</v>
      </c>
      <c r="E11" s="11">
        <f t="shared" si="0"/>
        <v>7780.04</v>
      </c>
      <c r="F11" s="11">
        <f t="shared" si="1"/>
        <v>15560.08</v>
      </c>
      <c r="G11" s="15">
        <f t="shared" si="2"/>
        <v>448.03999999999996</v>
      </c>
      <c r="H11" s="15">
        <f t="shared" si="3"/>
        <v>8228.08</v>
      </c>
      <c r="I11" s="17">
        <v>0.21</v>
      </c>
      <c r="J11" s="17">
        <v>0.05</v>
      </c>
      <c r="K11" s="15">
        <f t="shared" si="4"/>
        <v>7.6935599999999909</v>
      </c>
      <c r="L11" s="15">
        <f t="shared" si="5"/>
        <v>411.404</v>
      </c>
      <c r="M11" s="15">
        <f t="shared" si="6"/>
        <v>891188.19512000005</v>
      </c>
      <c r="N11" s="15">
        <v>0</v>
      </c>
      <c r="O11" s="18"/>
      <c r="P11" s="19"/>
    </row>
    <row r="12" spans="1:16" x14ac:dyDescent="0.2">
      <c r="A12" s="14">
        <v>44317</v>
      </c>
      <c r="C12" s="15">
        <v>4193823</v>
      </c>
      <c r="D12" s="16">
        <v>7332</v>
      </c>
      <c r="E12" s="11">
        <f t="shared" si="0"/>
        <v>7780.04</v>
      </c>
      <c r="F12" s="11">
        <f t="shared" si="1"/>
        <v>15560.08</v>
      </c>
      <c r="G12" s="15">
        <f t="shared" si="2"/>
        <v>448.03999999999996</v>
      </c>
      <c r="H12" s="15">
        <f t="shared" si="3"/>
        <v>8228.08</v>
      </c>
      <c r="I12" s="17">
        <v>0.21</v>
      </c>
      <c r="J12" s="17">
        <v>0.05</v>
      </c>
      <c r="K12" s="15">
        <f t="shared" si="4"/>
        <v>7.6935599999999909</v>
      </c>
      <c r="L12" s="15">
        <f t="shared" si="5"/>
        <v>411.404</v>
      </c>
      <c r="M12" s="15">
        <f t="shared" si="6"/>
        <v>891607.29268000007</v>
      </c>
      <c r="N12" s="15">
        <v>0</v>
      </c>
      <c r="O12" s="13"/>
      <c r="P12" s="19"/>
    </row>
    <row r="13" spans="1:16" x14ac:dyDescent="0.2">
      <c r="A13" s="14">
        <v>44348</v>
      </c>
      <c r="C13" s="15">
        <v>4193823</v>
      </c>
      <c r="D13" s="16">
        <v>7332</v>
      </c>
      <c r="E13" s="11">
        <f t="shared" si="0"/>
        <v>7780.04</v>
      </c>
      <c r="F13" s="11">
        <f t="shared" si="1"/>
        <v>15560.08</v>
      </c>
      <c r="G13" s="15">
        <f t="shared" si="2"/>
        <v>448.03999999999996</v>
      </c>
      <c r="H13" s="15">
        <f t="shared" si="3"/>
        <v>8228.08</v>
      </c>
      <c r="I13" s="17">
        <v>0.21</v>
      </c>
      <c r="J13" s="17">
        <v>0.05</v>
      </c>
      <c r="K13" s="15">
        <f t="shared" si="4"/>
        <v>7.6935599999999909</v>
      </c>
      <c r="L13" s="15">
        <f t="shared" si="5"/>
        <v>411.404</v>
      </c>
      <c r="M13" s="15">
        <f t="shared" si="6"/>
        <v>892026.3902400001</v>
      </c>
      <c r="N13" s="15">
        <v>0</v>
      </c>
      <c r="O13" s="26"/>
      <c r="P13" s="19"/>
    </row>
    <row r="14" spans="1:16" x14ac:dyDescent="0.2">
      <c r="A14" s="14">
        <v>44378</v>
      </c>
      <c r="C14" s="15">
        <v>4193823</v>
      </c>
      <c r="D14" s="16">
        <v>7836</v>
      </c>
      <c r="E14" s="11">
        <f t="shared" si="0"/>
        <v>7780.04</v>
      </c>
      <c r="F14" s="11">
        <f t="shared" si="1"/>
        <v>15560.08</v>
      </c>
      <c r="G14" s="15">
        <f t="shared" si="2"/>
        <v>-55.960000000000036</v>
      </c>
      <c r="H14" s="15">
        <f t="shared" si="3"/>
        <v>7724.08</v>
      </c>
      <c r="I14" s="17">
        <v>0.21</v>
      </c>
      <c r="J14" s="17">
        <v>0.05</v>
      </c>
      <c r="K14" s="15">
        <f t="shared" si="4"/>
        <v>-92.854440000000011</v>
      </c>
      <c r="L14" s="15">
        <f t="shared" si="5"/>
        <v>386.20400000000001</v>
      </c>
      <c r="M14" s="15">
        <f t="shared" si="6"/>
        <v>892319.7398000001</v>
      </c>
      <c r="N14" s="15">
        <v>0</v>
      </c>
      <c r="O14" s="26"/>
      <c r="P14" s="19"/>
    </row>
    <row r="15" spans="1:16" x14ac:dyDescent="0.2">
      <c r="A15" s="14">
        <v>44409</v>
      </c>
      <c r="C15" s="15">
        <v>4193823</v>
      </c>
      <c r="D15" s="16">
        <v>7836</v>
      </c>
      <c r="E15" s="16">
        <f t="shared" si="0"/>
        <v>7780.04</v>
      </c>
      <c r="F15" s="16">
        <f t="shared" si="1"/>
        <v>15560.08</v>
      </c>
      <c r="G15" s="15">
        <f t="shared" si="2"/>
        <v>-55.960000000000036</v>
      </c>
      <c r="H15" s="15">
        <f t="shared" si="3"/>
        <v>7724.08</v>
      </c>
      <c r="I15" s="17">
        <v>0.21</v>
      </c>
      <c r="J15" s="17">
        <v>0.05</v>
      </c>
      <c r="K15" s="15">
        <f t="shared" si="4"/>
        <v>-92.854440000000011</v>
      </c>
      <c r="L15" s="15">
        <f t="shared" si="5"/>
        <v>386.20400000000001</v>
      </c>
      <c r="M15" s="15">
        <f t="shared" si="6"/>
        <v>892613.0893600001</v>
      </c>
      <c r="N15" s="15">
        <v>0</v>
      </c>
      <c r="P15" s="19"/>
    </row>
    <row r="16" spans="1:16" x14ac:dyDescent="0.2">
      <c r="A16" s="14">
        <v>44448</v>
      </c>
      <c r="C16" s="15">
        <f>4193823</f>
        <v>4193823</v>
      </c>
      <c r="D16" s="16">
        <f>7836</f>
        <v>7836</v>
      </c>
      <c r="E16" s="11">
        <f>7780.04</f>
        <v>7780.04</v>
      </c>
      <c r="F16" s="11">
        <f>15560.08</f>
        <v>15560.08</v>
      </c>
      <c r="G16" s="15">
        <f t="shared" si="2"/>
        <v>-55.960000000000036</v>
      </c>
      <c r="H16" s="15">
        <f t="shared" si="3"/>
        <v>7724.08</v>
      </c>
      <c r="I16" s="17">
        <v>0.21</v>
      </c>
      <c r="J16" s="17">
        <v>0.05</v>
      </c>
      <c r="K16" s="15">
        <f t="shared" si="4"/>
        <v>-92.854440000000011</v>
      </c>
      <c r="L16" s="15">
        <f t="shared" si="5"/>
        <v>386.20400000000001</v>
      </c>
      <c r="M16" s="15">
        <f t="shared" si="6"/>
        <v>892906.4389200001</v>
      </c>
      <c r="N16" s="15">
        <v>0</v>
      </c>
    </row>
    <row r="17" spans="1:14" x14ac:dyDescent="0.2">
      <c r="A17" s="14">
        <v>44470</v>
      </c>
      <c r="C17" s="15">
        <f>4193823</f>
        <v>4193823</v>
      </c>
      <c r="D17" s="16">
        <f>7836</f>
        <v>7836</v>
      </c>
      <c r="E17" s="11">
        <f>7780.04</f>
        <v>7780.04</v>
      </c>
      <c r="F17" s="11">
        <f>15560.08</f>
        <v>15560.08</v>
      </c>
      <c r="G17" s="15">
        <f t="shared" si="2"/>
        <v>-55.960000000000036</v>
      </c>
      <c r="H17" s="15">
        <f t="shared" si="3"/>
        <v>7724.08</v>
      </c>
      <c r="I17" s="17">
        <v>0.21</v>
      </c>
      <c r="J17" s="17">
        <v>0.05</v>
      </c>
      <c r="K17" s="15">
        <f t="shared" si="4"/>
        <v>-92.854440000000011</v>
      </c>
      <c r="L17" s="15">
        <f t="shared" si="5"/>
        <v>386.20400000000001</v>
      </c>
      <c r="M17" s="15">
        <f t="shared" si="6"/>
        <v>893199.7884800001</v>
      </c>
      <c r="N17" s="15">
        <v>0</v>
      </c>
    </row>
    <row r="18" spans="1:14" x14ac:dyDescent="0.2">
      <c r="A18" s="14">
        <v>44501</v>
      </c>
      <c r="C18" s="15">
        <f>4193823</f>
        <v>4193823</v>
      </c>
      <c r="D18" s="16">
        <f>7836</f>
        <v>7836</v>
      </c>
      <c r="E18" s="11">
        <f>7780.04</f>
        <v>7780.04</v>
      </c>
      <c r="F18" s="11">
        <f>15560.08</f>
        <v>15560.08</v>
      </c>
      <c r="G18" s="15">
        <f t="shared" si="2"/>
        <v>-55.960000000000036</v>
      </c>
      <c r="H18" s="15">
        <f t="shared" si="3"/>
        <v>7724.08</v>
      </c>
      <c r="I18" s="17">
        <v>0.21</v>
      </c>
      <c r="J18" s="17">
        <v>0.05</v>
      </c>
      <c r="K18" s="15">
        <f t="shared" si="4"/>
        <v>-92.854440000000011</v>
      </c>
      <c r="L18" s="15">
        <f t="shared" si="5"/>
        <v>386.20400000000001</v>
      </c>
      <c r="M18" s="15">
        <f t="shared" si="6"/>
        <v>893493.13804000011</v>
      </c>
      <c r="N18" s="15">
        <v>0</v>
      </c>
    </row>
    <row r="19" spans="1:14" x14ac:dyDescent="0.2">
      <c r="A19" s="14">
        <v>44531</v>
      </c>
      <c r="C19" s="15">
        <f>4193823</f>
        <v>4193823</v>
      </c>
      <c r="D19" s="16">
        <f>7835.5</f>
        <v>7835.5</v>
      </c>
      <c r="E19" s="11">
        <f>7780.04</f>
        <v>7780.04</v>
      </c>
      <c r="F19" s="11">
        <f>15560.08</f>
        <v>15560.08</v>
      </c>
      <c r="G19" s="15">
        <f t="shared" si="2"/>
        <v>-55.460000000000036</v>
      </c>
      <c r="H19" s="15">
        <f t="shared" si="3"/>
        <v>7724.58</v>
      </c>
      <c r="I19" s="17">
        <v>0.21</v>
      </c>
      <c r="J19" s="17">
        <v>0.05</v>
      </c>
      <c r="K19" s="15">
        <f t="shared" si="4"/>
        <v>-92.754690000000011</v>
      </c>
      <c r="L19" s="15">
        <f t="shared" si="5"/>
        <v>386.22900000000004</v>
      </c>
      <c r="M19" s="15">
        <f t="shared" si="6"/>
        <v>893786.61235000018</v>
      </c>
      <c r="N19" s="15">
        <v>0</v>
      </c>
    </row>
    <row r="20" spans="1:14" x14ac:dyDescent="0.2">
      <c r="A20" s="14">
        <v>44562</v>
      </c>
      <c r="C20" s="15">
        <f>4193823</f>
        <v>4193823</v>
      </c>
      <c r="D20" s="16">
        <f>7835.5</f>
        <v>7835.5</v>
      </c>
      <c r="E20" s="11">
        <f>7794.88</f>
        <v>7794.88</v>
      </c>
      <c r="F20" s="11">
        <v>15589.75</v>
      </c>
      <c r="G20" s="15">
        <f t="shared" si="2"/>
        <v>-40.619999999999891</v>
      </c>
      <c r="H20" s="15">
        <f t="shared" si="3"/>
        <v>7754.25</v>
      </c>
      <c r="I20" s="17">
        <v>0.21</v>
      </c>
      <c r="J20" s="17">
        <v>0.05</v>
      </c>
      <c r="K20" s="15">
        <f>G20*I20-L20*I20-5.68</f>
        <v>-95.629824999999983</v>
      </c>
      <c r="L20" s="15">
        <f t="shared" si="5"/>
        <v>387.71250000000003</v>
      </c>
      <c r="M20" s="15">
        <f t="shared" si="6"/>
        <v>894078.69502500026</v>
      </c>
      <c r="N20" s="15">
        <v>0</v>
      </c>
    </row>
    <row r="21" spans="1:14" x14ac:dyDescent="0.2">
      <c r="A21" s="14">
        <v>44593</v>
      </c>
      <c r="C21" s="15">
        <v>4193823</v>
      </c>
      <c r="D21" s="16">
        <v>7836</v>
      </c>
      <c r="E21" s="16">
        <f>7794.88</f>
        <v>7794.88</v>
      </c>
      <c r="F21" s="16">
        <f>15589.75</f>
        <v>15589.75</v>
      </c>
      <c r="G21" s="15">
        <f t="shared" si="2"/>
        <v>-41.119999999999891</v>
      </c>
      <c r="H21" s="15">
        <f t="shared" si="3"/>
        <v>7753.75</v>
      </c>
      <c r="I21" s="17">
        <v>0.21</v>
      </c>
      <c r="J21" s="17">
        <v>0.05</v>
      </c>
      <c r="K21" s="15">
        <f>G21*I21-L21*I21-5.68</f>
        <v>-95.729574999999983</v>
      </c>
      <c r="L21" s="15">
        <f t="shared" si="5"/>
        <v>387.6875</v>
      </c>
      <c r="M21" s="15">
        <f t="shared" si="6"/>
        <v>894370.65295000025</v>
      </c>
      <c r="N21" s="15">
        <v>0</v>
      </c>
    </row>
    <row r="22" spans="1:14" x14ac:dyDescent="0.2">
      <c r="A22" s="14">
        <v>44629</v>
      </c>
      <c r="C22" s="15">
        <v>4193823</v>
      </c>
      <c r="D22" s="16">
        <v>7836</v>
      </c>
      <c r="E22" s="11">
        <f t="shared" ref="E22:E27" si="7">7794.88</f>
        <v>7794.88</v>
      </c>
      <c r="F22" s="11">
        <f t="shared" ref="F22:F27" si="8">15589.75</f>
        <v>15589.75</v>
      </c>
      <c r="G22" s="15">
        <f t="shared" si="2"/>
        <v>-41.119999999999891</v>
      </c>
      <c r="H22" s="15">
        <f t="shared" si="3"/>
        <v>7753.75</v>
      </c>
      <c r="I22" s="17">
        <v>0.21</v>
      </c>
      <c r="J22" s="17">
        <v>0.05</v>
      </c>
      <c r="K22" s="15">
        <f t="shared" ref="K22:K27" si="9">G22*I22-L22*I22-5.68</f>
        <v>-95.729574999999983</v>
      </c>
      <c r="L22" s="15">
        <f t="shared" si="5"/>
        <v>387.6875</v>
      </c>
      <c r="M22" s="15">
        <f t="shared" si="6"/>
        <v>894662.61087500025</v>
      </c>
      <c r="N22" s="15">
        <v>0</v>
      </c>
    </row>
    <row r="23" spans="1:14" x14ac:dyDescent="0.2">
      <c r="A23" s="14">
        <v>44652</v>
      </c>
      <c r="C23" s="15">
        <v>4193823</v>
      </c>
      <c r="D23" s="16">
        <v>7836</v>
      </c>
      <c r="E23" s="11">
        <f t="shared" si="7"/>
        <v>7794.88</v>
      </c>
      <c r="F23" s="11">
        <f t="shared" si="8"/>
        <v>15589.75</v>
      </c>
      <c r="G23" s="15">
        <f t="shared" si="2"/>
        <v>-41.119999999999891</v>
      </c>
      <c r="H23" s="15">
        <f t="shared" si="3"/>
        <v>7753.75</v>
      </c>
      <c r="I23" s="17">
        <v>0.21</v>
      </c>
      <c r="J23" s="17">
        <v>0.05</v>
      </c>
      <c r="K23" s="15">
        <f t="shared" si="9"/>
        <v>-95.729574999999983</v>
      </c>
      <c r="L23" s="15">
        <f t="shared" si="5"/>
        <v>387.6875</v>
      </c>
      <c r="M23" s="15">
        <f t="shared" si="6"/>
        <v>894954.56880000024</v>
      </c>
      <c r="N23" s="15">
        <v>0</v>
      </c>
    </row>
    <row r="24" spans="1:14" x14ac:dyDescent="0.2">
      <c r="A24" s="14">
        <v>44682</v>
      </c>
      <c r="C24" s="15">
        <v>4193823</v>
      </c>
      <c r="D24" s="16">
        <v>7836</v>
      </c>
      <c r="E24" s="11">
        <f t="shared" si="7"/>
        <v>7794.88</v>
      </c>
      <c r="F24" s="11">
        <f t="shared" si="8"/>
        <v>15589.75</v>
      </c>
      <c r="G24" s="15">
        <f t="shared" si="2"/>
        <v>-41.119999999999891</v>
      </c>
      <c r="H24" s="15">
        <f t="shared" si="3"/>
        <v>7753.75</v>
      </c>
      <c r="I24" s="17">
        <v>0.21</v>
      </c>
      <c r="J24" s="17">
        <v>0.05</v>
      </c>
      <c r="K24" s="15">
        <f t="shared" si="9"/>
        <v>-95.729574999999983</v>
      </c>
      <c r="L24" s="15">
        <f t="shared" si="5"/>
        <v>387.6875</v>
      </c>
      <c r="M24" s="15">
        <f t="shared" si="6"/>
        <v>895246.52672500024</v>
      </c>
      <c r="N24" s="15">
        <v>0</v>
      </c>
    </row>
    <row r="25" spans="1:14" x14ac:dyDescent="0.2">
      <c r="A25" s="14">
        <v>44713</v>
      </c>
      <c r="C25" s="15">
        <v>4193823</v>
      </c>
      <c r="D25" s="16">
        <v>7835.5</v>
      </c>
      <c r="E25" s="11">
        <f t="shared" si="7"/>
        <v>7794.88</v>
      </c>
      <c r="F25" s="11">
        <f t="shared" si="8"/>
        <v>15589.75</v>
      </c>
      <c r="G25" s="15">
        <f t="shared" si="2"/>
        <v>-40.619999999999891</v>
      </c>
      <c r="H25" s="15">
        <f t="shared" si="3"/>
        <v>7754.25</v>
      </c>
      <c r="I25" s="17">
        <v>0.21</v>
      </c>
      <c r="J25" s="17">
        <v>0.05</v>
      </c>
      <c r="K25" s="15">
        <f t="shared" si="9"/>
        <v>-95.629824999999983</v>
      </c>
      <c r="L25" s="15">
        <f t="shared" si="5"/>
        <v>387.71250000000003</v>
      </c>
      <c r="M25" s="15">
        <f t="shared" si="6"/>
        <v>895538.60940000031</v>
      </c>
      <c r="N25" s="15">
        <v>0</v>
      </c>
    </row>
    <row r="26" spans="1:14" x14ac:dyDescent="0.2">
      <c r="A26" s="14">
        <v>44743</v>
      </c>
      <c r="C26" s="15">
        <v>4193823</v>
      </c>
      <c r="D26" s="16">
        <v>7836</v>
      </c>
      <c r="E26" s="11">
        <f t="shared" si="7"/>
        <v>7794.88</v>
      </c>
      <c r="F26" s="11">
        <f t="shared" si="8"/>
        <v>15589.75</v>
      </c>
      <c r="G26" s="15">
        <f t="shared" si="2"/>
        <v>-41.119999999999891</v>
      </c>
      <c r="H26" s="15">
        <f t="shared" si="3"/>
        <v>7753.75</v>
      </c>
      <c r="I26" s="17">
        <v>0.21</v>
      </c>
      <c r="J26" s="17">
        <v>0.05</v>
      </c>
      <c r="K26" s="15">
        <f t="shared" si="9"/>
        <v>-95.729574999999983</v>
      </c>
      <c r="L26" s="15">
        <f t="shared" si="5"/>
        <v>387.6875</v>
      </c>
      <c r="M26" s="15">
        <f t="shared" si="6"/>
        <v>895830.5673250003</v>
      </c>
      <c r="N26" s="15">
        <v>0</v>
      </c>
    </row>
    <row r="27" spans="1:14" x14ac:dyDescent="0.2">
      <c r="A27" s="14">
        <v>44774</v>
      </c>
      <c r="C27" s="15">
        <v>4193823</v>
      </c>
      <c r="D27" s="16">
        <v>7836</v>
      </c>
      <c r="E27" s="11">
        <f t="shared" si="7"/>
        <v>7794.88</v>
      </c>
      <c r="F27" s="11">
        <f t="shared" si="8"/>
        <v>15589.75</v>
      </c>
      <c r="G27" s="15">
        <f t="shared" si="2"/>
        <v>-41.119999999999891</v>
      </c>
      <c r="H27" s="15">
        <f t="shared" si="3"/>
        <v>7753.75</v>
      </c>
      <c r="I27" s="17">
        <v>0.21</v>
      </c>
      <c r="J27" s="17">
        <v>0.05</v>
      </c>
      <c r="K27" s="15">
        <f t="shared" si="9"/>
        <v>-95.729574999999983</v>
      </c>
      <c r="L27" s="15">
        <f t="shared" si="5"/>
        <v>387.6875</v>
      </c>
      <c r="M27" s="15">
        <f t="shared" si="6"/>
        <v>896122.5252500003</v>
      </c>
      <c r="N27" s="15">
        <v>0</v>
      </c>
    </row>
    <row r="28" spans="1:14" x14ac:dyDescent="0.2">
      <c r="A28" s="14">
        <v>44813</v>
      </c>
      <c r="C28" s="15">
        <v>4193823</v>
      </c>
      <c r="D28" s="16">
        <v>7835.5</v>
      </c>
      <c r="E28" s="11">
        <f>7794.88</f>
        <v>7794.88</v>
      </c>
      <c r="F28" s="11">
        <f>15589.75</f>
        <v>15589.75</v>
      </c>
      <c r="G28" s="15">
        <f t="shared" si="2"/>
        <v>-40.619999999999891</v>
      </c>
      <c r="H28" s="15">
        <f t="shared" si="3"/>
        <v>7754.25</v>
      </c>
      <c r="I28" s="17">
        <v>0.21</v>
      </c>
      <c r="J28" s="17">
        <v>0.05</v>
      </c>
      <c r="K28" s="15">
        <f>G28*I28-L28*I28-5.68</f>
        <v>-95.629824999999983</v>
      </c>
      <c r="L28" s="15">
        <f t="shared" si="5"/>
        <v>387.71250000000003</v>
      </c>
      <c r="M28" s="15">
        <f t="shared" si="6"/>
        <v>896414.60792500037</v>
      </c>
      <c r="N28" s="15">
        <v>0</v>
      </c>
    </row>
    <row r="29" spans="1:14" x14ac:dyDescent="0.2">
      <c r="A29" s="14">
        <v>44835</v>
      </c>
      <c r="C29" s="15">
        <v>4193823</v>
      </c>
      <c r="D29" s="16">
        <v>7836</v>
      </c>
      <c r="E29" s="11">
        <f>7794.88</f>
        <v>7794.88</v>
      </c>
      <c r="F29" s="11">
        <f>15589.75</f>
        <v>15589.75</v>
      </c>
      <c r="G29" s="15">
        <f t="shared" si="2"/>
        <v>-41.119999999999891</v>
      </c>
      <c r="H29" s="15">
        <f t="shared" si="3"/>
        <v>7753.75</v>
      </c>
      <c r="I29" s="17">
        <v>0.21</v>
      </c>
      <c r="J29" s="17">
        <v>0.05</v>
      </c>
      <c r="K29" s="15">
        <f>G29*I29-L29*I29-5.68</f>
        <v>-95.729574999999983</v>
      </c>
      <c r="L29" s="15">
        <f t="shared" si="5"/>
        <v>387.6875</v>
      </c>
      <c r="M29" s="15">
        <f t="shared" si="6"/>
        <v>896706.56585000036</v>
      </c>
      <c r="N29" s="15">
        <v>0</v>
      </c>
    </row>
    <row r="30" spans="1:14" x14ac:dyDescent="0.2">
      <c r="A30" s="14">
        <v>44866</v>
      </c>
      <c r="C30" s="15">
        <v>4193823</v>
      </c>
      <c r="D30" s="16">
        <v>7836</v>
      </c>
      <c r="E30" s="11">
        <f>7794.88</f>
        <v>7794.88</v>
      </c>
      <c r="F30" s="11">
        <f t="shared" ref="F30:F31" si="10">15589.75</f>
        <v>15589.75</v>
      </c>
      <c r="G30" s="15">
        <f t="shared" si="2"/>
        <v>-41.119999999999891</v>
      </c>
      <c r="H30" s="15">
        <f t="shared" si="3"/>
        <v>7753.75</v>
      </c>
      <c r="I30" s="17">
        <v>0.21</v>
      </c>
      <c r="J30" s="17">
        <v>0.05</v>
      </c>
      <c r="K30" s="15">
        <f>G30*I30-L30*I30-5.68</f>
        <v>-95.729574999999983</v>
      </c>
      <c r="L30" s="15">
        <f t="shared" si="5"/>
        <v>387.6875</v>
      </c>
      <c r="M30" s="15">
        <f t="shared" si="6"/>
        <v>896998.52377500036</v>
      </c>
      <c r="N30" s="15">
        <v>0</v>
      </c>
    </row>
    <row r="31" spans="1:14" x14ac:dyDescent="0.2">
      <c r="A31" s="14">
        <v>44896</v>
      </c>
      <c r="C31" s="15">
        <v>4193823</v>
      </c>
      <c r="D31" s="16">
        <v>7835.5</v>
      </c>
      <c r="E31" s="11">
        <f>7794.88</f>
        <v>7794.88</v>
      </c>
      <c r="F31" s="11">
        <f t="shared" si="10"/>
        <v>15589.75</v>
      </c>
      <c r="G31" s="15">
        <f t="shared" si="2"/>
        <v>-40.619999999999891</v>
      </c>
      <c r="H31" s="15">
        <f t="shared" si="3"/>
        <v>7754.25</v>
      </c>
      <c r="I31" s="17">
        <v>0.21</v>
      </c>
      <c r="J31" s="17">
        <v>0.05</v>
      </c>
      <c r="K31" s="15">
        <f>G31*I31-L31*I31-5.68</f>
        <v>-95.629824999999983</v>
      </c>
      <c r="L31" s="15">
        <f t="shared" si="5"/>
        <v>387.71250000000003</v>
      </c>
      <c r="M31" s="15">
        <f t="shared" si="6"/>
        <v>897290.60645000043</v>
      </c>
      <c r="N31" s="15">
        <v>0</v>
      </c>
    </row>
    <row r="32" spans="1:14" x14ac:dyDescent="0.2">
      <c r="A32" s="14">
        <v>44927</v>
      </c>
      <c r="C32" s="15">
        <v>4193823</v>
      </c>
      <c r="D32" s="16">
        <v>7836</v>
      </c>
      <c r="E32" s="11">
        <f>7795.23</f>
        <v>7795.23</v>
      </c>
      <c r="F32" s="11">
        <f>15590.47</f>
        <v>15590.47</v>
      </c>
      <c r="G32" s="15">
        <f t="shared" si="2"/>
        <v>-40.770000000000437</v>
      </c>
      <c r="H32" s="15">
        <f t="shared" si="3"/>
        <v>7754.4699999999993</v>
      </c>
      <c r="I32" s="17">
        <v>0.21</v>
      </c>
      <c r="J32" s="17">
        <v>0.05</v>
      </c>
      <c r="K32" s="15">
        <f>G32*I32-L32*I32-5.63</f>
        <v>-95.613635000000073</v>
      </c>
      <c r="L32" s="15">
        <f t="shared" si="5"/>
        <v>387.7235</v>
      </c>
      <c r="M32" s="15">
        <f t="shared" si="6"/>
        <v>897582.71631500043</v>
      </c>
      <c r="N32" s="15">
        <v>0</v>
      </c>
    </row>
    <row r="33" spans="1:14" x14ac:dyDescent="0.2">
      <c r="A33" s="14">
        <v>44958</v>
      </c>
      <c r="C33" s="15">
        <v>4193823</v>
      </c>
      <c r="D33" s="16">
        <v>7835.5</v>
      </c>
      <c r="E33" s="11">
        <f>7797.4</f>
        <v>7797.4</v>
      </c>
      <c r="F33" s="11">
        <f>15592.4</f>
        <v>15592.4</v>
      </c>
      <c r="G33" s="15">
        <f t="shared" si="2"/>
        <v>-38.100000000000364</v>
      </c>
      <c r="H33" s="15">
        <f t="shared" si="3"/>
        <v>7756.9</v>
      </c>
      <c r="I33" s="17">
        <v>0.21</v>
      </c>
      <c r="J33" s="17">
        <v>0.05</v>
      </c>
      <c r="K33" s="15">
        <f>G33*I33-L33*I33-5.5</f>
        <v>-94.948450000000079</v>
      </c>
      <c r="L33" s="15">
        <f t="shared" si="5"/>
        <v>387.84500000000003</v>
      </c>
      <c r="M33" s="15">
        <f t="shared" si="6"/>
        <v>897875.61286500038</v>
      </c>
      <c r="N33" s="15">
        <v>0</v>
      </c>
    </row>
    <row r="34" spans="1:14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21"/>
      <c r="C35" s="41" t="s">
        <v>42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15"/>
    </row>
    <row r="36" spans="1:14" x14ac:dyDescent="0.2">
      <c r="A36" s="2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15"/>
    </row>
    <row r="37" spans="1:14" x14ac:dyDescent="0.2">
      <c r="C37" s="46" t="s">
        <v>51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4" x14ac:dyDescent="0.2">
      <c r="C38" s="46" t="s">
        <v>22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4" x14ac:dyDescent="0.2">
      <c r="C39" s="46" t="s">
        <v>67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4" x14ac:dyDescent="0.2">
      <c r="C40" s="41" t="s">
        <v>24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2" spans="1:14" x14ac:dyDescent="0.2">
      <c r="C42" s="41" t="s">
        <v>25</v>
      </c>
      <c r="D42" s="42" t="s">
        <v>26</v>
      </c>
      <c r="E42" s="43" t="s">
        <v>27</v>
      </c>
      <c r="F42" s="41" t="s">
        <v>28</v>
      </c>
      <c r="G42" s="47" t="s">
        <v>12</v>
      </c>
      <c r="H42" s="41" t="s">
        <v>29</v>
      </c>
      <c r="I42" s="44"/>
      <c r="J42" s="44"/>
      <c r="K42" s="44"/>
      <c r="L42" s="44"/>
      <c r="M42" s="44"/>
    </row>
    <row r="43" spans="1:14" x14ac:dyDescent="0.2">
      <c r="C43" s="41">
        <v>2139710</v>
      </c>
      <c r="D43" s="41">
        <v>7836</v>
      </c>
      <c r="E43" s="41">
        <v>7954.37</v>
      </c>
      <c r="F43" s="41">
        <f>-D43+E43</f>
        <v>118.36999999999989</v>
      </c>
      <c r="G43" s="47">
        <v>0.21</v>
      </c>
      <c r="H43" s="41">
        <f>F43*G43</f>
        <v>24.857699999999976</v>
      </c>
      <c r="I43" s="44"/>
      <c r="J43" s="44"/>
      <c r="K43" s="44"/>
      <c r="L43" s="44"/>
      <c r="M43" s="44"/>
    </row>
    <row r="44" spans="1:14" ht="15" x14ac:dyDescent="0.35">
      <c r="C44" s="41">
        <v>-42798.530000000028</v>
      </c>
      <c r="D44" s="41"/>
      <c r="E44" s="48">
        <f>-159.14+2.29</f>
        <v>-156.85</v>
      </c>
      <c r="F44" s="48">
        <f>E44</f>
        <v>-156.85</v>
      </c>
      <c r="G44" s="47">
        <v>0.21</v>
      </c>
      <c r="H44" s="48">
        <f>F44*G44</f>
        <v>-32.938499999999998</v>
      </c>
      <c r="I44" s="44"/>
      <c r="J44" s="44"/>
      <c r="K44" s="44"/>
      <c r="L44" s="44"/>
      <c r="M44" s="44"/>
    </row>
    <row r="45" spans="1:14" x14ac:dyDescent="0.2">
      <c r="C45" s="44"/>
      <c r="D45" s="44"/>
      <c r="E45" s="41">
        <f>SUM(E43:E44)-1</f>
        <v>7796.5199999999995</v>
      </c>
      <c r="F45" s="41">
        <f>SUM(F43:F44)</f>
        <v>-38.480000000000103</v>
      </c>
      <c r="G45" s="44" t="s">
        <v>30</v>
      </c>
      <c r="H45" s="41">
        <f>SUM(H43:H44)</f>
        <v>-8.0808000000000213</v>
      </c>
      <c r="I45" s="44"/>
      <c r="J45" s="44"/>
      <c r="K45" s="44"/>
      <c r="L45" s="44"/>
      <c r="M45" s="44"/>
    </row>
    <row r="46" spans="1:14" ht="15" x14ac:dyDescent="0.35">
      <c r="C46" s="44"/>
      <c r="D46" s="44"/>
      <c r="E46" s="44"/>
      <c r="F46" s="44"/>
      <c r="G46" s="44" t="s">
        <v>31</v>
      </c>
      <c r="H46" s="48">
        <f>-H52*0.21</f>
        <v>-81.438630000000003</v>
      </c>
      <c r="I46" s="44"/>
      <c r="J46" s="44"/>
      <c r="K46" s="44"/>
      <c r="L46" s="44"/>
      <c r="M46" s="44"/>
    </row>
    <row r="47" spans="1:14" x14ac:dyDescent="0.2">
      <c r="C47" s="44"/>
      <c r="D47" s="44"/>
      <c r="E47" s="44"/>
      <c r="F47" s="44"/>
      <c r="G47" s="44"/>
      <c r="H47" s="41">
        <f>H45+H46</f>
        <v>-89.519430000000028</v>
      </c>
      <c r="I47" s="44"/>
      <c r="J47" s="44"/>
      <c r="K47" s="44"/>
      <c r="L47" s="44"/>
      <c r="M47" s="44"/>
    </row>
    <row r="48" spans="1:14" x14ac:dyDescent="0.2">
      <c r="C48" s="44"/>
      <c r="D48" s="44"/>
      <c r="E48" s="44"/>
      <c r="F48" s="44"/>
      <c r="G48" s="44"/>
      <c r="H48" s="41">
        <f>H47-K33</f>
        <v>5.429020000000051</v>
      </c>
      <c r="I48" s="44" t="s">
        <v>32</v>
      </c>
      <c r="J48" s="44"/>
      <c r="K48" s="44"/>
      <c r="L48" s="44"/>
      <c r="M48" s="44"/>
    </row>
    <row r="49" spans="3:13" x14ac:dyDescent="0.2">
      <c r="C49" s="41" t="s">
        <v>33</v>
      </c>
      <c r="D49" s="45" t="s">
        <v>26</v>
      </c>
      <c r="E49" s="43" t="s">
        <v>34</v>
      </c>
      <c r="F49" s="41" t="s">
        <v>35</v>
      </c>
      <c r="G49" s="47" t="s">
        <v>13</v>
      </c>
      <c r="H49" s="41" t="s">
        <v>36</v>
      </c>
      <c r="I49" s="44"/>
      <c r="J49" s="44"/>
      <c r="K49" s="44"/>
      <c r="L49" s="44"/>
      <c r="M49" s="44"/>
    </row>
    <row r="50" spans="3:13" x14ac:dyDescent="0.2">
      <c r="C50" s="41">
        <v>4279420</v>
      </c>
      <c r="D50" s="41">
        <v>7836</v>
      </c>
      <c r="E50" s="41">
        <v>15908.74</v>
      </c>
      <c r="F50" s="41">
        <f>-D50+E50</f>
        <v>8072.74</v>
      </c>
      <c r="G50" s="47">
        <v>0.05</v>
      </c>
      <c r="H50" s="41">
        <f>F50*G50</f>
        <v>403.637</v>
      </c>
      <c r="I50" s="44"/>
      <c r="J50" s="44"/>
      <c r="K50" s="44"/>
      <c r="L50" s="44"/>
      <c r="M50" s="44"/>
    </row>
    <row r="51" spans="3:13" ht="15" x14ac:dyDescent="0.35">
      <c r="C51" s="41">
        <v>-85597.060000000056</v>
      </c>
      <c r="D51" s="41"/>
      <c r="E51" s="48">
        <f>-318.28+1.6</f>
        <v>-316.67999999999995</v>
      </c>
      <c r="F51" s="48">
        <f>E51</f>
        <v>-316.67999999999995</v>
      </c>
      <c r="G51" s="47">
        <v>0.05</v>
      </c>
      <c r="H51" s="48">
        <f>F51*G51</f>
        <v>-15.833999999999998</v>
      </c>
    </row>
    <row r="52" spans="3:13" x14ac:dyDescent="0.2">
      <c r="C52" s="44"/>
      <c r="D52" s="44"/>
      <c r="E52" s="41">
        <f>SUM(E50:E51)</f>
        <v>15592.06</v>
      </c>
      <c r="F52" s="41">
        <f>SUM(F50:F51)+1</f>
        <v>7757.0599999999995</v>
      </c>
      <c r="G52" s="44"/>
      <c r="H52" s="41">
        <f>SUM(H50:H51)</f>
        <v>387.803</v>
      </c>
    </row>
    <row r="53" spans="3:13" x14ac:dyDescent="0.2">
      <c r="C53" s="44"/>
      <c r="D53" s="44"/>
      <c r="E53" s="44"/>
      <c r="F53" s="44"/>
      <c r="G53" s="44"/>
      <c r="H53" s="41">
        <f>H52-L33</f>
        <v>-4.2000000000030013E-2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7 of 15
Clements</oddHeader>
    <oddFooter>&amp;L_x000D_&amp;1#&amp;"Calibri"&amp;14&amp;K000000 Business Use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F91A-E59C-47EE-9985-CCE2B55FEE7C}">
  <dimension ref="A1:Q61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4.5703125" bestFit="1" customWidth="1"/>
    <col min="17" max="17" width="11.42578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2">
      <c r="A5" s="5" t="s">
        <v>40</v>
      </c>
    </row>
    <row r="6" spans="1:17" x14ac:dyDescent="0.2">
      <c r="A6" s="6" t="s">
        <v>52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21412956</v>
      </c>
    </row>
    <row r="10" spans="1:17" x14ac:dyDescent="0.2">
      <c r="A10" s="14">
        <v>44264</v>
      </c>
      <c r="C10" s="15">
        <v>86697565</v>
      </c>
      <c r="D10" s="16">
        <v>374967</v>
      </c>
      <c r="E10" s="11">
        <f>66031.46</f>
        <v>66031.460000000006</v>
      </c>
      <c r="F10" s="11">
        <f>121781.76</f>
        <v>121781.75999999999</v>
      </c>
      <c r="G10" s="15">
        <f>E10-D10</f>
        <v>-308935.53999999998</v>
      </c>
      <c r="H10" s="15">
        <f>F10-D10</f>
        <v>-253185.24</v>
      </c>
      <c r="I10" s="17">
        <v>0.21</v>
      </c>
      <c r="J10" s="17">
        <v>0.05</v>
      </c>
      <c r="K10" s="15">
        <f>G10*I10+12659*I10-36819.5</f>
        <v>-99037.573399999994</v>
      </c>
      <c r="L10" s="15">
        <f>H10*J10-1460.18</f>
        <v>-14119.442000000001</v>
      </c>
      <c r="M10" s="15">
        <f t="shared" ref="M10:M13" si="0">M9+K10+L10</f>
        <v>21299798.9846</v>
      </c>
      <c r="N10" s="15">
        <f>53420.98+31018.18+178334.57</f>
        <v>262773.73</v>
      </c>
      <c r="Q10" s="19"/>
    </row>
    <row r="11" spans="1:17" x14ac:dyDescent="0.2">
      <c r="A11" s="14">
        <v>44287</v>
      </c>
      <c r="C11" s="15">
        <v>86697565</v>
      </c>
      <c r="D11" s="16">
        <v>374967</v>
      </c>
      <c r="E11" s="11">
        <f>66031.46</f>
        <v>66031.460000000006</v>
      </c>
      <c r="F11" s="11">
        <f>121781.76</f>
        <v>121781.75999999999</v>
      </c>
      <c r="G11" s="15">
        <f t="shared" ref="G11:G15" si="1">E11-D11</f>
        <v>-308935.53999999998</v>
      </c>
      <c r="H11" s="15">
        <f t="shared" ref="H11:H15" si="2">F11-D11</f>
        <v>-253185.24</v>
      </c>
      <c r="I11" s="17">
        <v>0.21</v>
      </c>
      <c r="J11" s="17">
        <v>0.05</v>
      </c>
      <c r="K11" s="15">
        <f>G11*I11+12659*I11-36819.5</f>
        <v>-99037.573399999994</v>
      </c>
      <c r="L11" s="15">
        <f>H11*J11-1460.18</f>
        <v>-14119.442000000001</v>
      </c>
      <c r="M11" s="15">
        <f t="shared" si="0"/>
        <v>21186641.9692</v>
      </c>
      <c r="N11" s="15">
        <f>52916.25+30854.07+177138.85</f>
        <v>260909.17</v>
      </c>
      <c r="O11" s="15"/>
      <c r="Q11" s="19"/>
    </row>
    <row r="12" spans="1:17" x14ac:dyDescent="0.2">
      <c r="A12" s="14">
        <v>44317</v>
      </c>
      <c r="C12" s="15">
        <v>86557830</v>
      </c>
      <c r="D12" s="16">
        <v>374665</v>
      </c>
      <c r="E12" s="11">
        <f>65376.45+265</f>
        <v>65641.45</v>
      </c>
      <c r="F12" s="11">
        <f>121126.75+265</f>
        <v>121391.75</v>
      </c>
      <c r="G12" s="15">
        <f t="shared" si="1"/>
        <v>-309023.55</v>
      </c>
      <c r="H12" s="15">
        <f t="shared" si="2"/>
        <v>-253273.25</v>
      </c>
      <c r="I12" s="17">
        <v>0.21</v>
      </c>
      <c r="J12" s="17">
        <v>0.05</v>
      </c>
      <c r="K12" s="15">
        <f>G12*I12+12664*I12-36819.5</f>
        <v>-99055.005499999999</v>
      </c>
      <c r="L12" s="15">
        <f>H12*J12-1460.18</f>
        <v>-14123.842500000001</v>
      </c>
      <c r="M12" s="15">
        <f t="shared" si="0"/>
        <v>21073463.121199999</v>
      </c>
      <c r="N12" s="15">
        <f>52411.51+30689.96+175943.13</f>
        <v>259044.6</v>
      </c>
      <c r="O12" s="13"/>
      <c r="Q12" s="19"/>
    </row>
    <row r="13" spans="1:17" x14ac:dyDescent="0.2">
      <c r="A13" s="14">
        <v>44348</v>
      </c>
      <c r="C13" s="15">
        <v>86557830</v>
      </c>
      <c r="D13" s="16">
        <v>374363</v>
      </c>
      <c r="E13" s="11">
        <f>65376.45-39</f>
        <v>65337.45</v>
      </c>
      <c r="F13" s="11">
        <f>121126.75-39</f>
        <v>121087.75</v>
      </c>
      <c r="G13" s="15">
        <f t="shared" si="1"/>
        <v>-309025.55</v>
      </c>
      <c r="H13" s="15">
        <f t="shared" si="2"/>
        <v>-253275.25</v>
      </c>
      <c r="I13" s="17">
        <v>0.21</v>
      </c>
      <c r="J13" s="17">
        <v>0.05</v>
      </c>
      <c r="K13" s="15">
        <f>G13*I13+12664*I13-36819.5</f>
        <v>-99055.425499999983</v>
      </c>
      <c r="L13" s="15">
        <f>H13*J13-1460.18</f>
        <v>-14123.942500000001</v>
      </c>
      <c r="M13" s="15">
        <f t="shared" si="0"/>
        <v>20960283.753199998</v>
      </c>
      <c r="N13" s="15">
        <f>51906.78+30525.84+174747.41</f>
        <v>257180.03</v>
      </c>
      <c r="O13" s="15"/>
      <c r="P13" s="13"/>
      <c r="Q13" s="19"/>
    </row>
    <row r="14" spans="1:17" x14ac:dyDescent="0.2">
      <c r="A14" s="14">
        <v>44378</v>
      </c>
      <c r="C14" s="15"/>
      <c r="D14" s="16"/>
      <c r="E14" s="11"/>
      <c r="F14" s="15"/>
      <c r="G14" s="15">
        <f t="shared" si="1"/>
        <v>0</v>
      </c>
      <c r="H14" s="15">
        <f t="shared" si="2"/>
        <v>0</v>
      </c>
      <c r="I14" s="17">
        <v>0.21</v>
      </c>
      <c r="J14" s="17">
        <v>0.05</v>
      </c>
      <c r="K14" s="15">
        <f t="shared" ref="K14:K15" si="3">G14*I14-L14*I14</f>
        <v>0</v>
      </c>
      <c r="L14" s="15">
        <f t="shared" ref="L14:L15" si="4">H14*J14</f>
        <v>0</v>
      </c>
      <c r="M14" s="15">
        <v>0</v>
      </c>
      <c r="N14" s="15">
        <v>0</v>
      </c>
      <c r="O14" s="13"/>
      <c r="P14" s="13"/>
      <c r="Q14" s="19"/>
    </row>
    <row r="15" spans="1:17" x14ac:dyDescent="0.2">
      <c r="A15" s="14">
        <v>44409</v>
      </c>
      <c r="C15" s="15"/>
      <c r="D15" s="16"/>
      <c r="E15" s="16"/>
      <c r="F15" s="16"/>
      <c r="G15" s="15">
        <f t="shared" si="1"/>
        <v>0</v>
      </c>
      <c r="H15" s="15">
        <f t="shared" si="2"/>
        <v>0</v>
      </c>
      <c r="I15" s="17">
        <v>0.21</v>
      </c>
      <c r="J15" s="17">
        <v>0.05</v>
      </c>
      <c r="K15" s="15">
        <f t="shared" si="3"/>
        <v>0</v>
      </c>
      <c r="L15" s="15">
        <f t="shared" si="4"/>
        <v>0</v>
      </c>
      <c r="M15" s="15">
        <v>0</v>
      </c>
      <c r="N15" s="15">
        <v>0</v>
      </c>
      <c r="O15" s="15"/>
      <c r="Q15" s="19"/>
    </row>
    <row r="16" spans="1:17" x14ac:dyDescent="0.2">
      <c r="A16" s="14">
        <v>44448</v>
      </c>
      <c r="C16" s="15"/>
      <c r="D16" s="15"/>
      <c r="E16" s="15"/>
      <c r="F16" s="15"/>
      <c r="G16" s="15">
        <f t="shared" ref="G16:G33" si="5">E16-D16</f>
        <v>0</v>
      </c>
      <c r="H16" s="15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9"/>
    </row>
    <row r="17" spans="1:14" x14ac:dyDescent="0.2">
      <c r="A17" s="14">
        <v>44470</v>
      </c>
      <c r="G17" s="15">
        <f t="shared" si="5"/>
        <v>0</v>
      </c>
      <c r="H17" s="15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</row>
    <row r="18" spans="1:14" x14ac:dyDescent="0.2">
      <c r="A18" s="14">
        <v>44501</v>
      </c>
      <c r="G18" s="15">
        <f t="shared" si="5"/>
        <v>0</v>
      </c>
      <c r="H18" s="15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</row>
    <row r="19" spans="1:14" x14ac:dyDescent="0.2">
      <c r="A19" s="14">
        <v>44531</v>
      </c>
      <c r="G19" s="15">
        <f t="shared" si="5"/>
        <v>0</v>
      </c>
      <c r="H19" s="15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4" x14ac:dyDescent="0.2">
      <c r="A20" s="14">
        <v>44562</v>
      </c>
      <c r="G20" s="15">
        <f t="shared" si="5"/>
        <v>0</v>
      </c>
      <c r="H20" s="15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4" x14ac:dyDescent="0.2">
      <c r="A21" s="14">
        <v>44593</v>
      </c>
      <c r="G21" s="15">
        <f t="shared" si="5"/>
        <v>0</v>
      </c>
      <c r="H21" s="15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4" x14ac:dyDescent="0.2">
      <c r="A22" s="14">
        <v>44629</v>
      </c>
      <c r="G22" s="15">
        <f t="shared" si="5"/>
        <v>0</v>
      </c>
      <c r="H22" s="15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4" x14ac:dyDescent="0.2">
      <c r="A23" s="14">
        <v>44652</v>
      </c>
      <c r="G23" s="15">
        <f t="shared" si="5"/>
        <v>0</v>
      </c>
      <c r="H23" s="15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4" x14ac:dyDescent="0.2">
      <c r="A24" s="14">
        <v>44682</v>
      </c>
      <c r="G24" s="15">
        <f t="shared" si="5"/>
        <v>0</v>
      </c>
      <c r="H24" s="15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4" x14ac:dyDescent="0.2">
      <c r="A25" s="14">
        <v>44713</v>
      </c>
      <c r="G25" s="15">
        <f t="shared" si="5"/>
        <v>0</v>
      </c>
      <c r="H25" s="15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4" x14ac:dyDescent="0.2">
      <c r="A26" s="14">
        <v>44743</v>
      </c>
      <c r="G26" s="15">
        <f t="shared" si="5"/>
        <v>0</v>
      </c>
      <c r="H26" s="15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4" x14ac:dyDescent="0.2">
      <c r="A27" s="14">
        <v>44774</v>
      </c>
      <c r="G27" s="15">
        <f t="shared" si="5"/>
        <v>0</v>
      </c>
      <c r="H27" s="15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4" x14ac:dyDescent="0.2">
      <c r="A28" s="14">
        <v>44813</v>
      </c>
      <c r="G28" s="15">
        <f t="shared" si="5"/>
        <v>0</v>
      </c>
      <c r="H28" s="15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4" x14ac:dyDescent="0.2">
      <c r="A29" s="14">
        <v>44835</v>
      </c>
      <c r="G29" s="15">
        <f t="shared" si="5"/>
        <v>0</v>
      </c>
      <c r="H29" s="15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4" x14ac:dyDescent="0.2">
      <c r="A30" s="14">
        <v>44866</v>
      </c>
      <c r="G30" s="15">
        <f t="shared" si="5"/>
        <v>0</v>
      </c>
      <c r="H30" s="15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4" x14ac:dyDescent="0.2">
      <c r="A31" s="14">
        <v>44896</v>
      </c>
      <c r="G31" s="15">
        <f t="shared" si="5"/>
        <v>0</v>
      </c>
      <c r="H31" s="15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4" x14ac:dyDescent="0.2">
      <c r="A32" s="14">
        <v>44927</v>
      </c>
      <c r="G32" s="15">
        <f t="shared" si="5"/>
        <v>0</v>
      </c>
      <c r="H32" s="15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5"/>
        <v>0</v>
      </c>
      <c r="H33" s="15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6" t="s">
        <v>20</v>
      </c>
      <c r="D35" s="15"/>
      <c r="E35" s="15"/>
      <c r="F35" s="15"/>
      <c r="G35" s="15"/>
      <c r="H35" s="15"/>
      <c r="I35" s="15"/>
      <c r="J35" s="15"/>
      <c r="K35" s="15"/>
    </row>
    <row r="36" spans="1:14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">
      <c r="C37" s="23" t="s">
        <v>53</v>
      </c>
    </row>
    <row r="38" spans="1:14" x14ac:dyDescent="0.2">
      <c r="C38" s="23" t="s">
        <v>22</v>
      </c>
    </row>
    <row r="39" spans="1:14" x14ac:dyDescent="0.2">
      <c r="C39" s="23" t="s">
        <v>23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5">
        <v>17445568.128000002</v>
      </c>
      <c r="D43" s="15">
        <v>374363</v>
      </c>
      <c r="E43" s="15">
        <v>71061.61</v>
      </c>
      <c r="F43" s="15">
        <f>E43-D43</f>
        <v>-303301.39</v>
      </c>
      <c r="G43" s="17">
        <v>0.21</v>
      </c>
      <c r="H43" s="15">
        <f>F43*G43</f>
        <v>-63693.291900000004</v>
      </c>
    </row>
    <row r="44" spans="1:14" x14ac:dyDescent="0.2">
      <c r="C44" s="15">
        <v>26168352.191999998</v>
      </c>
      <c r="D44" s="15"/>
      <c r="E44" s="15"/>
      <c r="F44" s="15">
        <f t="shared" ref="F44:F48" si="9">E44-D44</f>
        <v>0</v>
      </c>
      <c r="G44" s="17">
        <v>0.21</v>
      </c>
      <c r="H44" s="15">
        <f t="shared" ref="H44:H48" si="10">F44*G44</f>
        <v>0</v>
      </c>
    </row>
    <row r="45" spans="1:14" x14ac:dyDescent="0.2">
      <c r="C45" s="15">
        <v>-1286197</v>
      </c>
      <c r="D45" s="15"/>
      <c r="E45" s="15">
        <f>-2449.35-12861.97</f>
        <v>-15311.32</v>
      </c>
      <c r="F45" s="15">
        <f t="shared" si="9"/>
        <v>-15311.32</v>
      </c>
      <c r="G45" s="17">
        <v>0.21</v>
      </c>
      <c r="H45" s="15">
        <f t="shared" si="10"/>
        <v>-3215.3771999999999</v>
      </c>
    </row>
    <row r="46" spans="1:14" x14ac:dyDescent="0.2">
      <c r="C46" s="15">
        <v>149237</v>
      </c>
      <c r="D46" s="15"/>
      <c r="E46" s="15">
        <v>830.38</v>
      </c>
      <c r="F46" s="15">
        <f t="shared" si="9"/>
        <v>830.38</v>
      </c>
      <c r="G46" s="17">
        <v>0.21</v>
      </c>
      <c r="H46" s="15">
        <f t="shared" si="10"/>
        <v>174.37979999999999</v>
      </c>
    </row>
    <row r="47" spans="1:14" x14ac:dyDescent="0.2">
      <c r="C47" s="15">
        <v>321897</v>
      </c>
      <c r="D47" s="15"/>
      <c r="E47" s="26">
        <v>0</v>
      </c>
      <c r="F47" s="26">
        <f t="shared" si="9"/>
        <v>0</v>
      </c>
      <c r="G47" s="17">
        <v>0.21</v>
      </c>
      <c r="H47" s="26">
        <f t="shared" si="10"/>
        <v>0</v>
      </c>
    </row>
    <row r="48" spans="1:14" ht="15" x14ac:dyDescent="0.35">
      <c r="C48" s="15">
        <f>1570984.08</f>
        <v>1570984.08</v>
      </c>
      <c r="D48" s="15"/>
      <c r="E48" s="28">
        <f>9450.78-694</f>
        <v>8756.7800000000007</v>
      </c>
      <c r="F48" s="28">
        <f t="shared" si="9"/>
        <v>8756.7800000000007</v>
      </c>
      <c r="G48" s="17">
        <v>0.21</v>
      </c>
      <c r="H48" s="28">
        <f t="shared" si="10"/>
        <v>1838.9238</v>
      </c>
    </row>
    <row r="49" spans="3:9" x14ac:dyDescent="0.2">
      <c r="E49" s="15">
        <f>SUM(E43:E48)</f>
        <v>65337.45</v>
      </c>
      <c r="F49" s="15">
        <f>SUM(F43:F48)</f>
        <v>-309025.55</v>
      </c>
      <c r="G49" s="29" t="s">
        <v>30</v>
      </c>
      <c r="H49" s="15">
        <f>SUM(H43:H48)</f>
        <v>-64895.365500000007</v>
      </c>
    </row>
    <row r="50" spans="3:9" ht="15" x14ac:dyDescent="0.35">
      <c r="G50" s="29" t="s">
        <v>31</v>
      </c>
      <c r="H50" s="28">
        <f>-H60*0.21</f>
        <v>2659.3899149999997</v>
      </c>
    </row>
    <row r="51" spans="3:9" x14ac:dyDescent="0.2">
      <c r="H51" s="15">
        <f>H49+H50</f>
        <v>-62235.975585000007</v>
      </c>
    </row>
    <row r="52" spans="3:9" x14ac:dyDescent="0.2">
      <c r="H52" s="15">
        <f>H51-K13</f>
        <v>36819.449914999976</v>
      </c>
      <c r="I52" s="29" t="s">
        <v>32</v>
      </c>
    </row>
    <row r="53" spans="3:9" x14ac:dyDescent="0.2">
      <c r="C53" s="15" t="s">
        <v>33</v>
      </c>
      <c r="D53" s="22" t="s">
        <v>26</v>
      </c>
      <c r="E53" s="24" t="s">
        <v>34</v>
      </c>
      <c r="F53" s="15" t="s">
        <v>35</v>
      </c>
      <c r="G53" s="17" t="s">
        <v>13</v>
      </c>
      <c r="H53" s="15" t="s">
        <v>36</v>
      </c>
    </row>
    <row r="54" spans="3:9" x14ac:dyDescent="0.2">
      <c r="C54" s="15">
        <v>34891136.256000005</v>
      </c>
      <c r="D54" s="15">
        <f>D43</f>
        <v>374363</v>
      </c>
      <c r="E54" s="15">
        <v>142123.23000000001</v>
      </c>
      <c r="F54" s="15">
        <f>E54-D54</f>
        <v>-232239.77</v>
      </c>
      <c r="G54" s="17">
        <v>0.05</v>
      </c>
      <c r="H54" s="15">
        <f>F54*G54</f>
        <v>-11611.988499999999</v>
      </c>
    </row>
    <row r="55" spans="3:9" x14ac:dyDescent="0.2">
      <c r="C55" s="15">
        <v>52336704.383999996</v>
      </c>
      <c r="D55" s="15"/>
      <c r="E55" s="26"/>
      <c r="F55" s="26">
        <f>E55</f>
        <v>0</v>
      </c>
      <c r="G55" s="39">
        <v>0.05</v>
      </c>
      <c r="H55" s="15">
        <f t="shared" ref="H55:H59" si="11">F55*G55</f>
        <v>0</v>
      </c>
    </row>
    <row r="56" spans="3:9" x14ac:dyDescent="0.2">
      <c r="C56" s="15">
        <v>-2572393</v>
      </c>
      <c r="D56" s="15"/>
      <c r="E56" s="26">
        <f>-4898.69-25723.93</f>
        <v>-30622.62</v>
      </c>
      <c r="F56" s="26">
        <f t="shared" ref="F56:F59" si="12">E56</f>
        <v>-30622.62</v>
      </c>
      <c r="G56" s="39">
        <v>0.05</v>
      </c>
      <c r="H56" s="15">
        <f t="shared" si="11"/>
        <v>-1531.1310000000001</v>
      </c>
    </row>
    <row r="57" spans="3:9" x14ac:dyDescent="0.2">
      <c r="C57" s="15">
        <v>149237</v>
      </c>
      <c r="D57" s="15"/>
      <c r="E57" s="26">
        <v>830.38</v>
      </c>
      <c r="F57" s="26">
        <f t="shared" si="12"/>
        <v>830.38</v>
      </c>
      <c r="G57" s="39">
        <v>0.05</v>
      </c>
      <c r="H57" s="15">
        <f t="shared" si="11"/>
        <v>41.519000000000005</v>
      </c>
    </row>
    <row r="58" spans="3:9" x14ac:dyDescent="0.2">
      <c r="C58" s="15">
        <v>321897</v>
      </c>
      <c r="D58" s="15"/>
      <c r="E58" s="26">
        <v>0</v>
      </c>
      <c r="F58" s="26">
        <f t="shared" si="12"/>
        <v>0</v>
      </c>
      <c r="G58" s="39">
        <v>0.05</v>
      </c>
      <c r="H58" s="26">
        <f t="shared" si="11"/>
        <v>0</v>
      </c>
    </row>
    <row r="59" spans="3:9" ht="15" x14ac:dyDescent="0.35">
      <c r="C59" s="15">
        <f>C48</f>
        <v>1570984.08</v>
      </c>
      <c r="D59" s="15"/>
      <c r="E59" s="28">
        <f>9450.78-694</f>
        <v>8756.7800000000007</v>
      </c>
      <c r="F59" s="28">
        <f t="shared" si="12"/>
        <v>8756.7800000000007</v>
      </c>
      <c r="G59" s="39">
        <v>0.05</v>
      </c>
      <c r="H59" s="28">
        <f t="shared" si="11"/>
        <v>437.83900000000006</v>
      </c>
    </row>
    <row r="60" spans="3:9" x14ac:dyDescent="0.2">
      <c r="E60" s="15">
        <f>SUM(E54:E59)</f>
        <v>121087.77000000002</v>
      </c>
      <c r="F60" s="15">
        <f>SUM(F54:F59)</f>
        <v>-253275.23</v>
      </c>
      <c r="H60" s="15">
        <f>SUM(H54:H59)</f>
        <v>-12663.761499999999</v>
      </c>
    </row>
    <row r="61" spans="3:9" x14ac:dyDescent="0.2">
      <c r="H61" s="15">
        <f>H60-L13</f>
        <v>1460.1810000000023</v>
      </c>
      <c r="I61" s="29" t="s">
        <v>37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8 of 15
Clements</oddHeader>
    <oddFooter>&amp;L_x000D_&amp;1#&amp;"Calibri"&amp;14&amp;K000000 Business Use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1614E-1A6B-43AC-A849-352915F4904B}">
  <dimension ref="A1:Q106"/>
  <sheetViews>
    <sheetView zoomScaleNormal="100" workbookViewId="0"/>
  </sheetViews>
  <sheetFormatPr defaultRowHeight="12.75" x14ac:dyDescent="0.2"/>
  <cols>
    <col min="1" max="1" width="11.28515625" style="10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customWidth="1"/>
    <col min="16" max="16" width="16.5703125" bestFit="1" customWidth="1"/>
    <col min="17" max="17" width="12.42578125" bestFit="1" customWidth="1"/>
  </cols>
  <sheetData>
    <row r="1" spans="1:17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x14ac:dyDescent="0.2">
      <c r="A5" s="5" t="s">
        <v>40</v>
      </c>
    </row>
    <row r="6" spans="1:17" x14ac:dyDescent="0.2">
      <c r="A6" s="6" t="s">
        <v>54</v>
      </c>
    </row>
    <row r="8" spans="1:17" s="9" customFormat="1" ht="38.25" x14ac:dyDescent="0.2">
      <c r="A8" s="7" t="s">
        <v>5</v>
      </c>
      <c r="B8" s="8"/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7" x14ac:dyDescent="0.2">
      <c r="A9" s="10" t="s">
        <v>18</v>
      </c>
      <c r="M9" s="11">
        <v>157805171</v>
      </c>
    </row>
    <row r="10" spans="1:17" x14ac:dyDescent="0.2">
      <c r="A10" s="14">
        <v>44264</v>
      </c>
      <c r="C10" s="15">
        <v>652863061</v>
      </c>
      <c r="D10" s="16">
        <v>2375842</v>
      </c>
      <c r="E10" s="11">
        <f>1899880.91</f>
        <v>1899880.91</v>
      </c>
      <c r="F10" s="11">
        <f>3738967.32</f>
        <v>3738967.32</v>
      </c>
      <c r="G10" s="15">
        <f>E10-D10</f>
        <v>-475961.09000000008</v>
      </c>
      <c r="H10" s="15">
        <f>F10-D10</f>
        <v>1363125.3199999998</v>
      </c>
      <c r="I10" s="17">
        <v>0.21</v>
      </c>
      <c r="J10" s="17">
        <v>0.05</v>
      </c>
      <c r="K10" s="15">
        <f>G10*I10-L10*I10-83989.87</f>
        <v>-198254.51475999999</v>
      </c>
      <c r="L10" s="15">
        <f t="shared" ref="L10:L15" si="0">H10*J10</f>
        <v>68156.265999999989</v>
      </c>
      <c r="M10" s="15">
        <f t="shared" ref="M10:M13" si="1">M9+K10+L10</f>
        <v>157675072.75124002</v>
      </c>
      <c r="N10" s="15">
        <f>27897.18+43544.88</f>
        <v>71442.06</v>
      </c>
      <c r="Q10" s="19"/>
    </row>
    <row r="11" spans="1:17" x14ac:dyDescent="0.2">
      <c r="A11" s="14">
        <v>44287</v>
      </c>
      <c r="C11" s="15">
        <v>652863061</v>
      </c>
      <c r="D11" s="16">
        <v>2375842</v>
      </c>
      <c r="E11" s="11">
        <f>1899880.91</f>
        <v>1899880.91</v>
      </c>
      <c r="F11" s="11">
        <f>3738967.32</f>
        <v>3738967.32</v>
      </c>
      <c r="G11" s="15">
        <f t="shared" ref="G11:G15" si="2">E11-D11</f>
        <v>-475961.09000000008</v>
      </c>
      <c r="H11" s="15">
        <f t="shared" ref="H11:H15" si="3">F11-D11</f>
        <v>1363125.3199999998</v>
      </c>
      <c r="I11" s="17">
        <v>0.21</v>
      </c>
      <c r="J11" s="17">
        <v>0.05</v>
      </c>
      <c r="K11" s="15">
        <f>G11*I11-L11*I11-83989.87</f>
        <v>-198254.51475999999</v>
      </c>
      <c r="L11" s="15">
        <f t="shared" si="0"/>
        <v>68156.265999999989</v>
      </c>
      <c r="M11" s="15">
        <f t="shared" si="1"/>
        <v>157544974.50248003</v>
      </c>
      <c r="N11" s="15">
        <f>27740.35+43359.58</f>
        <v>71099.929999999993</v>
      </c>
      <c r="O11" s="15"/>
      <c r="Q11" s="19"/>
    </row>
    <row r="12" spans="1:17" x14ac:dyDescent="0.2">
      <c r="A12" s="14">
        <v>44317</v>
      </c>
      <c r="C12" s="15">
        <v>655726259</v>
      </c>
      <c r="D12" s="16">
        <v>2381604</v>
      </c>
      <c r="E12" s="11">
        <f>1913302.14-5043</f>
        <v>1908259.14</v>
      </c>
      <c r="F12" s="11">
        <f>3752388.56-5043</f>
        <v>3747345.56</v>
      </c>
      <c r="G12" s="15">
        <f t="shared" si="2"/>
        <v>-473344.8600000001</v>
      </c>
      <c r="H12" s="15">
        <f t="shared" si="3"/>
        <v>1365741.56</v>
      </c>
      <c r="I12" s="17">
        <v>0.21</v>
      </c>
      <c r="J12" s="17">
        <v>0.05</v>
      </c>
      <c r="K12" s="15">
        <f>G12*I12-L12*I12-83989.87</f>
        <v>-197732.57698000001</v>
      </c>
      <c r="L12" s="15">
        <f t="shared" si="0"/>
        <v>68287.078000000009</v>
      </c>
      <c r="M12" s="15">
        <f t="shared" si="1"/>
        <v>157415529.00350004</v>
      </c>
      <c r="N12" s="15">
        <f>27583.53+43174.28+28964.2</f>
        <v>99722.01</v>
      </c>
      <c r="O12" s="13"/>
      <c r="Q12" s="19"/>
    </row>
    <row r="13" spans="1:17" x14ac:dyDescent="0.2">
      <c r="A13" s="14">
        <v>44348</v>
      </c>
      <c r="C13" s="15">
        <v>655729191</v>
      </c>
      <c r="D13" s="16">
        <v>2387372</v>
      </c>
      <c r="E13" s="11">
        <f>1913317.86+715</f>
        <v>1914032.86</v>
      </c>
      <c r="F13" s="11">
        <f>3752404.27+715</f>
        <v>3753119.27</v>
      </c>
      <c r="G13" s="15">
        <f t="shared" si="2"/>
        <v>-473339.1399999999</v>
      </c>
      <c r="H13" s="15">
        <f t="shared" si="3"/>
        <v>1365747.27</v>
      </c>
      <c r="I13" s="17">
        <v>0.21</v>
      </c>
      <c r="J13" s="17">
        <v>0.05</v>
      </c>
      <c r="K13" s="15">
        <f>G13*I13-L13*I13-83989.87</f>
        <v>-197731.43573499995</v>
      </c>
      <c r="L13" s="15">
        <f t="shared" si="0"/>
        <v>68287.363500000007</v>
      </c>
      <c r="M13" s="15">
        <f t="shared" si="1"/>
        <v>157286084.93126506</v>
      </c>
      <c r="N13" s="15">
        <f>27426.7+42988.98+28786.97+22.76</f>
        <v>99225.41</v>
      </c>
      <c r="O13" s="15"/>
      <c r="P13" s="13"/>
      <c r="Q13" s="19"/>
    </row>
    <row r="14" spans="1:17" x14ac:dyDescent="0.2">
      <c r="A14" s="14">
        <v>44378</v>
      </c>
      <c r="C14" s="15"/>
      <c r="D14" s="16"/>
      <c r="E14" s="11"/>
      <c r="F14" s="11"/>
      <c r="G14" s="15">
        <f t="shared" si="2"/>
        <v>0</v>
      </c>
      <c r="H14" s="15">
        <f t="shared" si="3"/>
        <v>0</v>
      </c>
      <c r="I14" s="17">
        <v>0.21</v>
      </c>
      <c r="J14" s="17">
        <v>0.05</v>
      </c>
      <c r="K14" s="15">
        <f t="shared" ref="K14:K15" si="4">G14*I14-L14*I14</f>
        <v>0</v>
      </c>
      <c r="L14" s="15">
        <f t="shared" si="0"/>
        <v>0</v>
      </c>
      <c r="M14" s="15">
        <v>0</v>
      </c>
      <c r="N14" s="15">
        <v>0</v>
      </c>
      <c r="O14" s="13"/>
      <c r="P14" s="13"/>
      <c r="Q14" s="19"/>
    </row>
    <row r="15" spans="1:17" x14ac:dyDescent="0.2">
      <c r="A15" s="14">
        <v>44409</v>
      </c>
      <c r="C15" s="15"/>
      <c r="D15" s="16"/>
      <c r="E15" s="16"/>
      <c r="F15" s="16"/>
      <c r="G15" s="15">
        <f t="shared" si="2"/>
        <v>0</v>
      </c>
      <c r="H15" s="15">
        <f t="shared" si="3"/>
        <v>0</v>
      </c>
      <c r="I15" s="17">
        <v>0.21</v>
      </c>
      <c r="J15" s="17">
        <v>0.05</v>
      </c>
      <c r="K15" s="15">
        <f t="shared" si="4"/>
        <v>0</v>
      </c>
      <c r="L15" s="15">
        <f t="shared" si="0"/>
        <v>0</v>
      </c>
      <c r="M15" s="15">
        <v>0</v>
      </c>
      <c r="N15" s="15">
        <v>0</v>
      </c>
      <c r="O15" s="15"/>
      <c r="Q15" s="19"/>
    </row>
    <row r="16" spans="1:17" x14ac:dyDescent="0.2">
      <c r="A16" s="14">
        <v>44448</v>
      </c>
      <c r="C16" s="15"/>
      <c r="D16" s="15"/>
      <c r="E16" s="15"/>
      <c r="F16" s="15"/>
      <c r="G16" s="15">
        <f t="shared" ref="G16:G33" si="5">E16-D16</f>
        <v>0</v>
      </c>
      <c r="H16" s="15">
        <f t="shared" ref="H16:H33" si="6">F16-D16</f>
        <v>0</v>
      </c>
      <c r="I16" s="17">
        <v>0.21</v>
      </c>
      <c r="J16" s="17">
        <v>0.05</v>
      </c>
      <c r="K16" s="15">
        <f t="shared" ref="K16:K33" si="7">G16*I16-L16*I16</f>
        <v>0</v>
      </c>
      <c r="L16" s="15">
        <f t="shared" ref="L16:L33" si="8">H16*J16</f>
        <v>0</v>
      </c>
      <c r="M16" s="15">
        <v>0</v>
      </c>
      <c r="N16" s="15">
        <v>0</v>
      </c>
      <c r="O16" s="19"/>
    </row>
    <row r="17" spans="1:14" x14ac:dyDescent="0.2">
      <c r="A17" s="14">
        <v>44470</v>
      </c>
      <c r="G17" s="15">
        <f t="shared" si="5"/>
        <v>0</v>
      </c>
      <c r="H17" s="15">
        <f t="shared" si="6"/>
        <v>0</v>
      </c>
      <c r="I17" s="17">
        <v>0.21</v>
      </c>
      <c r="J17" s="17">
        <v>0.05</v>
      </c>
      <c r="K17" s="15">
        <f t="shared" si="7"/>
        <v>0</v>
      </c>
      <c r="L17" s="15">
        <f t="shared" si="8"/>
        <v>0</v>
      </c>
      <c r="M17" s="15">
        <v>0</v>
      </c>
      <c r="N17" s="15">
        <v>0</v>
      </c>
    </row>
    <row r="18" spans="1:14" x14ac:dyDescent="0.2">
      <c r="A18" s="14">
        <v>44501</v>
      </c>
      <c r="G18" s="15">
        <f t="shared" si="5"/>
        <v>0</v>
      </c>
      <c r="H18" s="15">
        <f t="shared" si="6"/>
        <v>0</v>
      </c>
      <c r="I18" s="17">
        <v>0.21</v>
      </c>
      <c r="J18" s="17">
        <v>0.05</v>
      </c>
      <c r="K18" s="15">
        <f t="shared" si="7"/>
        <v>0</v>
      </c>
      <c r="L18" s="15">
        <f t="shared" si="8"/>
        <v>0</v>
      </c>
      <c r="M18" s="15">
        <v>0</v>
      </c>
      <c r="N18" s="15">
        <v>0</v>
      </c>
    </row>
    <row r="19" spans="1:14" x14ac:dyDescent="0.2">
      <c r="A19" s="14">
        <v>44531</v>
      </c>
      <c r="G19" s="15">
        <f t="shared" si="5"/>
        <v>0</v>
      </c>
      <c r="H19" s="15">
        <f t="shared" si="6"/>
        <v>0</v>
      </c>
      <c r="I19" s="17">
        <v>0.21</v>
      </c>
      <c r="J19" s="17">
        <v>0.05</v>
      </c>
      <c r="K19" s="15">
        <f t="shared" si="7"/>
        <v>0</v>
      </c>
      <c r="L19" s="15">
        <f t="shared" si="8"/>
        <v>0</v>
      </c>
      <c r="M19" s="15">
        <v>0</v>
      </c>
      <c r="N19" s="15">
        <v>0</v>
      </c>
    </row>
    <row r="20" spans="1:14" x14ac:dyDescent="0.2">
      <c r="A20" s="14">
        <v>44562</v>
      </c>
      <c r="G20" s="15">
        <f t="shared" si="5"/>
        <v>0</v>
      </c>
      <c r="H20" s="15">
        <f t="shared" si="6"/>
        <v>0</v>
      </c>
      <c r="I20" s="17">
        <v>0.21</v>
      </c>
      <c r="J20" s="17">
        <v>0.05</v>
      </c>
      <c r="K20" s="15">
        <f t="shared" si="7"/>
        <v>0</v>
      </c>
      <c r="L20" s="15">
        <f t="shared" si="8"/>
        <v>0</v>
      </c>
      <c r="M20" s="15">
        <v>0</v>
      </c>
      <c r="N20" s="15">
        <v>0</v>
      </c>
    </row>
    <row r="21" spans="1:14" x14ac:dyDescent="0.2">
      <c r="A21" s="14">
        <v>44593</v>
      </c>
      <c r="G21" s="15">
        <f t="shared" si="5"/>
        <v>0</v>
      </c>
      <c r="H21" s="15">
        <f t="shared" si="6"/>
        <v>0</v>
      </c>
      <c r="I21" s="17">
        <v>0.21</v>
      </c>
      <c r="J21" s="17">
        <v>0.05</v>
      </c>
      <c r="K21" s="15">
        <f t="shared" si="7"/>
        <v>0</v>
      </c>
      <c r="L21" s="15">
        <f t="shared" si="8"/>
        <v>0</v>
      </c>
      <c r="M21" s="15">
        <v>0</v>
      </c>
      <c r="N21" s="15">
        <v>0</v>
      </c>
    </row>
    <row r="22" spans="1:14" x14ac:dyDescent="0.2">
      <c r="A22" s="14">
        <v>44629</v>
      </c>
      <c r="G22" s="15">
        <f t="shared" si="5"/>
        <v>0</v>
      </c>
      <c r="H22" s="15">
        <f t="shared" si="6"/>
        <v>0</v>
      </c>
      <c r="I22" s="17">
        <v>0.21</v>
      </c>
      <c r="J22" s="17">
        <v>0.05</v>
      </c>
      <c r="K22" s="15">
        <f t="shared" si="7"/>
        <v>0</v>
      </c>
      <c r="L22" s="15">
        <f t="shared" si="8"/>
        <v>0</v>
      </c>
      <c r="M22" s="15">
        <v>0</v>
      </c>
      <c r="N22" s="15">
        <v>0</v>
      </c>
    </row>
    <row r="23" spans="1:14" x14ac:dyDescent="0.2">
      <c r="A23" s="14">
        <v>44652</v>
      </c>
      <c r="G23" s="15">
        <f t="shared" si="5"/>
        <v>0</v>
      </c>
      <c r="H23" s="15">
        <f t="shared" si="6"/>
        <v>0</v>
      </c>
      <c r="I23" s="17">
        <v>0.21</v>
      </c>
      <c r="J23" s="17">
        <v>0.05</v>
      </c>
      <c r="K23" s="15">
        <f t="shared" si="7"/>
        <v>0</v>
      </c>
      <c r="L23" s="15">
        <f t="shared" si="8"/>
        <v>0</v>
      </c>
      <c r="M23" s="15">
        <v>0</v>
      </c>
      <c r="N23" s="15">
        <v>0</v>
      </c>
    </row>
    <row r="24" spans="1:14" x14ac:dyDescent="0.2">
      <c r="A24" s="14">
        <v>44682</v>
      </c>
      <c r="G24" s="15">
        <f t="shared" si="5"/>
        <v>0</v>
      </c>
      <c r="H24" s="15">
        <f t="shared" si="6"/>
        <v>0</v>
      </c>
      <c r="I24" s="17">
        <v>0.21</v>
      </c>
      <c r="J24" s="17">
        <v>0.05</v>
      </c>
      <c r="K24" s="15">
        <f t="shared" si="7"/>
        <v>0</v>
      </c>
      <c r="L24" s="15">
        <f t="shared" si="8"/>
        <v>0</v>
      </c>
      <c r="M24" s="15">
        <v>0</v>
      </c>
      <c r="N24" s="15">
        <v>0</v>
      </c>
    </row>
    <row r="25" spans="1:14" x14ac:dyDescent="0.2">
      <c r="A25" s="14">
        <v>44713</v>
      </c>
      <c r="G25" s="15">
        <f t="shared" si="5"/>
        <v>0</v>
      </c>
      <c r="H25" s="15">
        <f t="shared" si="6"/>
        <v>0</v>
      </c>
      <c r="I25" s="17">
        <v>0.21</v>
      </c>
      <c r="J25" s="17">
        <v>0.05</v>
      </c>
      <c r="K25" s="15">
        <f t="shared" si="7"/>
        <v>0</v>
      </c>
      <c r="L25" s="15">
        <f t="shared" si="8"/>
        <v>0</v>
      </c>
      <c r="M25" s="15">
        <v>0</v>
      </c>
      <c r="N25" s="15">
        <v>0</v>
      </c>
    </row>
    <row r="26" spans="1:14" x14ac:dyDescent="0.2">
      <c r="A26" s="14">
        <v>44743</v>
      </c>
      <c r="G26" s="15">
        <f t="shared" si="5"/>
        <v>0</v>
      </c>
      <c r="H26" s="15">
        <f t="shared" si="6"/>
        <v>0</v>
      </c>
      <c r="I26" s="17">
        <v>0.21</v>
      </c>
      <c r="J26" s="17">
        <v>0.05</v>
      </c>
      <c r="K26" s="15">
        <f t="shared" si="7"/>
        <v>0</v>
      </c>
      <c r="L26" s="15">
        <f t="shared" si="8"/>
        <v>0</v>
      </c>
      <c r="M26" s="15">
        <v>0</v>
      </c>
      <c r="N26" s="15">
        <v>0</v>
      </c>
    </row>
    <row r="27" spans="1:14" x14ac:dyDescent="0.2">
      <c r="A27" s="14">
        <v>44774</v>
      </c>
      <c r="G27" s="15">
        <f t="shared" si="5"/>
        <v>0</v>
      </c>
      <c r="H27" s="15">
        <f t="shared" si="6"/>
        <v>0</v>
      </c>
      <c r="I27" s="17">
        <v>0.21</v>
      </c>
      <c r="J27" s="17">
        <v>0.05</v>
      </c>
      <c r="K27" s="15">
        <f t="shared" si="7"/>
        <v>0</v>
      </c>
      <c r="L27" s="15">
        <f t="shared" si="8"/>
        <v>0</v>
      </c>
      <c r="M27" s="15">
        <v>0</v>
      </c>
      <c r="N27" s="15">
        <v>0</v>
      </c>
    </row>
    <row r="28" spans="1:14" x14ac:dyDescent="0.2">
      <c r="A28" s="14">
        <v>44813</v>
      </c>
      <c r="G28" s="15">
        <f t="shared" si="5"/>
        <v>0</v>
      </c>
      <c r="H28" s="15">
        <f t="shared" si="6"/>
        <v>0</v>
      </c>
      <c r="I28" s="17">
        <v>0.21</v>
      </c>
      <c r="J28" s="17">
        <v>0.05</v>
      </c>
      <c r="K28" s="15">
        <f t="shared" si="7"/>
        <v>0</v>
      </c>
      <c r="L28" s="15">
        <f t="shared" si="8"/>
        <v>0</v>
      </c>
      <c r="M28" s="15">
        <v>0</v>
      </c>
      <c r="N28" s="15">
        <v>0</v>
      </c>
    </row>
    <row r="29" spans="1:14" x14ac:dyDescent="0.2">
      <c r="A29" s="14">
        <v>44835</v>
      </c>
      <c r="G29" s="15">
        <f t="shared" si="5"/>
        <v>0</v>
      </c>
      <c r="H29" s="15">
        <f t="shared" si="6"/>
        <v>0</v>
      </c>
      <c r="I29" s="17">
        <v>0.21</v>
      </c>
      <c r="J29" s="17">
        <v>0.05</v>
      </c>
      <c r="K29" s="15">
        <f t="shared" si="7"/>
        <v>0</v>
      </c>
      <c r="L29" s="15">
        <f t="shared" si="8"/>
        <v>0</v>
      </c>
      <c r="M29" s="15">
        <v>0</v>
      </c>
      <c r="N29" s="15">
        <v>0</v>
      </c>
    </row>
    <row r="30" spans="1:14" x14ac:dyDescent="0.2">
      <c r="A30" s="14">
        <v>44866</v>
      </c>
      <c r="G30" s="15">
        <f t="shared" si="5"/>
        <v>0</v>
      </c>
      <c r="H30" s="15">
        <f t="shared" si="6"/>
        <v>0</v>
      </c>
      <c r="I30" s="17">
        <v>0.21</v>
      </c>
      <c r="J30" s="17">
        <v>0.05</v>
      </c>
      <c r="K30" s="15">
        <f t="shared" si="7"/>
        <v>0</v>
      </c>
      <c r="L30" s="15">
        <f t="shared" si="8"/>
        <v>0</v>
      </c>
      <c r="M30" s="15">
        <v>0</v>
      </c>
      <c r="N30" s="15">
        <v>0</v>
      </c>
    </row>
    <row r="31" spans="1:14" x14ac:dyDescent="0.2">
      <c r="A31" s="14">
        <v>44896</v>
      </c>
      <c r="G31" s="15">
        <f t="shared" si="5"/>
        <v>0</v>
      </c>
      <c r="H31" s="15">
        <f t="shared" si="6"/>
        <v>0</v>
      </c>
      <c r="I31" s="17">
        <v>0.21</v>
      </c>
      <c r="J31" s="17">
        <v>0.05</v>
      </c>
      <c r="K31" s="15">
        <f t="shared" si="7"/>
        <v>0</v>
      </c>
      <c r="L31" s="15">
        <f t="shared" si="8"/>
        <v>0</v>
      </c>
      <c r="M31" s="15">
        <v>0</v>
      </c>
      <c r="N31" s="15">
        <v>0</v>
      </c>
    </row>
    <row r="32" spans="1:14" x14ac:dyDescent="0.2">
      <c r="A32" s="14">
        <v>44927</v>
      </c>
      <c r="G32" s="15">
        <f t="shared" si="5"/>
        <v>0</v>
      </c>
      <c r="H32" s="15">
        <f t="shared" si="6"/>
        <v>0</v>
      </c>
      <c r="I32" s="17">
        <v>0.21</v>
      </c>
      <c r="J32" s="17">
        <v>0.05</v>
      </c>
      <c r="K32" s="15">
        <f t="shared" si="7"/>
        <v>0</v>
      </c>
      <c r="L32" s="15">
        <f t="shared" si="8"/>
        <v>0</v>
      </c>
      <c r="M32" s="15">
        <v>0</v>
      </c>
      <c r="N32" s="15">
        <v>0</v>
      </c>
    </row>
    <row r="33" spans="1:14" x14ac:dyDescent="0.2">
      <c r="A33" s="14">
        <v>44958</v>
      </c>
      <c r="G33" s="15">
        <f t="shared" si="5"/>
        <v>0</v>
      </c>
      <c r="H33" s="15">
        <f t="shared" si="6"/>
        <v>0</v>
      </c>
      <c r="I33" s="17">
        <v>0.21</v>
      </c>
      <c r="J33" s="17">
        <v>0.05</v>
      </c>
      <c r="K33" s="15">
        <f t="shared" si="7"/>
        <v>0</v>
      </c>
      <c r="L33" s="15">
        <f t="shared" si="8"/>
        <v>0</v>
      </c>
      <c r="M33" s="15">
        <v>0</v>
      </c>
      <c r="N33" s="15">
        <v>0</v>
      </c>
    </row>
    <row r="35" spans="1:14" x14ac:dyDescent="0.2">
      <c r="C35" s="26" t="s">
        <v>42</v>
      </c>
      <c r="D35" s="15"/>
      <c r="E35" s="15"/>
      <c r="F35" s="15"/>
      <c r="G35" s="15"/>
      <c r="H35" s="15"/>
      <c r="I35" s="15"/>
      <c r="J35" s="15"/>
      <c r="K35" s="15"/>
    </row>
    <row r="36" spans="1:14" x14ac:dyDescent="0.2"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">
      <c r="C37" s="23" t="s">
        <v>55</v>
      </c>
    </row>
    <row r="38" spans="1:14" x14ac:dyDescent="0.2">
      <c r="C38" s="23" t="s">
        <v>22</v>
      </c>
    </row>
    <row r="39" spans="1:14" x14ac:dyDescent="0.2">
      <c r="C39" s="23" t="s">
        <v>23</v>
      </c>
    </row>
    <row r="40" spans="1:14" x14ac:dyDescent="0.2">
      <c r="C40" s="15" t="s">
        <v>24</v>
      </c>
    </row>
    <row r="42" spans="1:14" x14ac:dyDescent="0.2">
      <c r="C42" s="15" t="s">
        <v>25</v>
      </c>
      <c r="D42" s="25" t="s">
        <v>26</v>
      </c>
      <c r="E42" s="24" t="s">
        <v>27</v>
      </c>
      <c r="F42" s="15" t="s">
        <v>28</v>
      </c>
      <c r="G42" s="17" t="s">
        <v>12</v>
      </c>
      <c r="H42" s="15" t="s">
        <v>29</v>
      </c>
    </row>
    <row r="43" spans="1:14" x14ac:dyDescent="0.2">
      <c r="C43" s="15">
        <v>1707678.0000000002</v>
      </c>
      <c r="D43" s="15">
        <v>2387372</v>
      </c>
      <c r="E43" s="15">
        <v>6349.72</v>
      </c>
      <c r="F43" s="15">
        <f>E43-D43</f>
        <v>-2381022.2799999998</v>
      </c>
      <c r="G43" s="17">
        <v>0.21</v>
      </c>
      <c r="H43" s="15">
        <f>F43*G43</f>
        <v>-500014.67879999994</v>
      </c>
    </row>
    <row r="44" spans="1:14" x14ac:dyDescent="0.2">
      <c r="C44" s="15">
        <v>2561517</v>
      </c>
      <c r="E44" s="15"/>
      <c r="F44" s="15">
        <f>E44</f>
        <v>0</v>
      </c>
      <c r="G44" s="17">
        <v>0.21</v>
      </c>
      <c r="H44" s="15">
        <f t="shared" ref="H44:H71" si="9">F44*G44</f>
        <v>0</v>
      </c>
    </row>
    <row r="45" spans="1:14" x14ac:dyDescent="0.2">
      <c r="C45" s="15">
        <v>30650265</v>
      </c>
      <c r="E45" s="15">
        <v>115500.42</v>
      </c>
      <c r="F45" s="15">
        <f t="shared" ref="F45:F71" si="10">E45</f>
        <v>115500.42</v>
      </c>
      <c r="G45" s="17">
        <v>0.21</v>
      </c>
      <c r="H45" s="15">
        <f t="shared" si="9"/>
        <v>24255.088199999998</v>
      </c>
    </row>
    <row r="46" spans="1:14" x14ac:dyDescent="0.2">
      <c r="C46" s="15">
        <v>45975398</v>
      </c>
      <c r="E46" s="15">
        <v>228052.57</v>
      </c>
      <c r="F46" s="15">
        <f t="shared" si="10"/>
        <v>228052.57</v>
      </c>
      <c r="G46" s="17">
        <v>0.21</v>
      </c>
      <c r="H46" s="15">
        <f t="shared" si="9"/>
        <v>47891.039700000001</v>
      </c>
    </row>
    <row r="47" spans="1:14" x14ac:dyDescent="0.2">
      <c r="C47" s="15">
        <v>27464567.032000002</v>
      </c>
      <c r="E47" s="15">
        <v>103495.64</v>
      </c>
      <c r="F47" s="15">
        <f t="shared" si="10"/>
        <v>103495.64</v>
      </c>
      <c r="G47" s="17">
        <v>0.21</v>
      </c>
      <c r="H47" s="15">
        <f t="shared" si="9"/>
        <v>21734.0844</v>
      </c>
    </row>
    <row r="48" spans="1:14" x14ac:dyDescent="0.2">
      <c r="C48" s="15">
        <v>41196850.548</v>
      </c>
      <c r="E48" s="15">
        <v>449568.81</v>
      </c>
      <c r="F48" s="15">
        <f t="shared" si="10"/>
        <v>449568.81</v>
      </c>
      <c r="G48" s="17">
        <v>0.21</v>
      </c>
      <c r="H48" s="15">
        <f t="shared" si="9"/>
        <v>94409.450100000002</v>
      </c>
    </row>
    <row r="49" spans="3:8" x14ac:dyDescent="0.2">
      <c r="C49" s="15">
        <v>8604879.8300000001</v>
      </c>
      <c r="E49" s="15">
        <v>35050.54</v>
      </c>
      <c r="F49" s="15">
        <f t="shared" si="10"/>
        <v>35050.54</v>
      </c>
      <c r="G49" s="17">
        <v>0.21</v>
      </c>
      <c r="H49" s="15">
        <f t="shared" si="9"/>
        <v>7360.6134000000002</v>
      </c>
    </row>
    <row r="50" spans="3:8" x14ac:dyDescent="0.2">
      <c r="C50" s="15">
        <v>3423604.6119999997</v>
      </c>
      <c r="E50" s="15">
        <v>13945.48</v>
      </c>
      <c r="F50" s="15">
        <f t="shared" si="10"/>
        <v>13945.48</v>
      </c>
      <c r="G50" s="17">
        <v>0.21</v>
      </c>
      <c r="H50" s="15">
        <f t="shared" si="9"/>
        <v>2928.5508</v>
      </c>
    </row>
    <row r="51" spans="3:8" x14ac:dyDescent="0.2">
      <c r="C51" s="15">
        <v>5135406.9179999996</v>
      </c>
      <c r="E51" s="15">
        <v>61135.8</v>
      </c>
      <c r="F51" s="15">
        <f t="shared" si="10"/>
        <v>61135.8</v>
      </c>
      <c r="G51" s="17">
        <v>0.21</v>
      </c>
      <c r="H51" s="15">
        <f t="shared" si="9"/>
        <v>12838.518</v>
      </c>
    </row>
    <row r="52" spans="3:8" x14ac:dyDescent="0.2">
      <c r="C52" s="15">
        <v>16610.338</v>
      </c>
      <c r="E52" s="15">
        <v>67.66</v>
      </c>
      <c r="F52" s="15">
        <f t="shared" si="10"/>
        <v>67.66</v>
      </c>
      <c r="G52" s="17">
        <v>0.21</v>
      </c>
      <c r="H52" s="15">
        <f t="shared" si="9"/>
        <v>14.208599999999999</v>
      </c>
    </row>
    <row r="53" spans="3:8" x14ac:dyDescent="0.2">
      <c r="C53" s="15">
        <v>24915.507000000001</v>
      </c>
      <c r="E53" s="15">
        <v>296.61</v>
      </c>
      <c r="F53" s="15">
        <f t="shared" si="10"/>
        <v>296.61</v>
      </c>
      <c r="G53" s="17">
        <v>0.21</v>
      </c>
      <c r="H53" s="15">
        <f t="shared" si="9"/>
        <v>62.2881</v>
      </c>
    </row>
    <row r="54" spans="3:8" x14ac:dyDescent="0.2">
      <c r="C54" s="15">
        <v>31061870.714000002</v>
      </c>
      <c r="E54" s="15">
        <v>126525.35</v>
      </c>
      <c r="F54" s="15">
        <f t="shared" si="10"/>
        <v>126525.35</v>
      </c>
      <c r="G54" s="17">
        <v>0.21</v>
      </c>
      <c r="H54" s="15">
        <f t="shared" si="9"/>
        <v>26570.323499999999</v>
      </c>
    </row>
    <row r="55" spans="3:8" x14ac:dyDescent="0.2">
      <c r="C55" s="15">
        <v>46592806.070999995</v>
      </c>
      <c r="E55" s="15"/>
      <c r="F55" s="15">
        <f t="shared" si="10"/>
        <v>0</v>
      </c>
      <c r="G55" s="17">
        <v>0.21</v>
      </c>
      <c r="H55" s="15">
        <f t="shared" si="9"/>
        <v>0</v>
      </c>
    </row>
    <row r="56" spans="3:8" x14ac:dyDescent="0.2">
      <c r="C56" s="15">
        <v>1219848.1800000002</v>
      </c>
      <c r="E56" s="15">
        <v>4968.8500000000004</v>
      </c>
      <c r="F56" s="15">
        <f t="shared" si="10"/>
        <v>4968.8500000000004</v>
      </c>
      <c r="G56" s="17">
        <v>0.21</v>
      </c>
      <c r="H56" s="15">
        <f t="shared" si="9"/>
        <v>1043.4585</v>
      </c>
    </row>
    <row r="57" spans="3:8" x14ac:dyDescent="0.2">
      <c r="C57" s="15">
        <v>2523999.9120000005</v>
      </c>
      <c r="E57" s="15">
        <v>10281.09</v>
      </c>
      <c r="F57" s="15">
        <f t="shared" si="10"/>
        <v>10281.09</v>
      </c>
      <c r="G57" s="17">
        <v>0.21</v>
      </c>
      <c r="H57" s="15">
        <f t="shared" si="9"/>
        <v>2159.0288999999998</v>
      </c>
    </row>
    <row r="58" spans="3:8" x14ac:dyDescent="0.2">
      <c r="C58" s="15">
        <v>3785999.8679999998</v>
      </c>
      <c r="E58" s="15">
        <v>45071.426999999996</v>
      </c>
      <c r="F58" s="15">
        <f t="shared" si="10"/>
        <v>45071.426999999996</v>
      </c>
      <c r="G58" s="17">
        <v>0.21</v>
      </c>
      <c r="H58" s="15">
        <f t="shared" si="9"/>
        <v>9464.9996699999992</v>
      </c>
    </row>
    <row r="59" spans="3:8" x14ac:dyDescent="0.2">
      <c r="C59" s="15">
        <v>25974568.388</v>
      </c>
      <c r="E59" s="15">
        <v>105803.08</v>
      </c>
      <c r="F59" s="15">
        <f t="shared" si="10"/>
        <v>105803.08</v>
      </c>
      <c r="G59" s="17">
        <v>0.21</v>
      </c>
      <c r="H59" s="15">
        <f t="shared" si="9"/>
        <v>22218.646799999999</v>
      </c>
    </row>
    <row r="60" spans="3:8" x14ac:dyDescent="0.2">
      <c r="C60" s="15">
        <v>38961852.581999995</v>
      </c>
      <c r="E60" s="15">
        <v>463831.5783571428</v>
      </c>
      <c r="F60" s="15">
        <f t="shared" si="10"/>
        <v>463831.5783571428</v>
      </c>
      <c r="G60" s="17">
        <v>0.21</v>
      </c>
      <c r="H60" s="15">
        <f t="shared" si="9"/>
        <v>97404.631454999981</v>
      </c>
    </row>
    <row r="61" spans="3:8" x14ac:dyDescent="0.2">
      <c r="C61" s="15">
        <v>2779050.4420000003</v>
      </c>
      <c r="E61" s="15">
        <v>12239.4</v>
      </c>
      <c r="F61" s="15">
        <f t="shared" si="10"/>
        <v>12239.4</v>
      </c>
      <c r="G61" s="17">
        <v>0.21</v>
      </c>
      <c r="H61" s="15">
        <f t="shared" si="9"/>
        <v>2570.2739999999999</v>
      </c>
    </row>
    <row r="62" spans="3:8" x14ac:dyDescent="0.2">
      <c r="C62" s="15">
        <v>4168575.6630000002</v>
      </c>
      <c r="E62" s="26">
        <v>49625.9</v>
      </c>
      <c r="F62" s="26">
        <f t="shared" si="10"/>
        <v>49625.9</v>
      </c>
      <c r="G62" s="39">
        <v>0.21</v>
      </c>
      <c r="H62" s="26">
        <f t="shared" si="9"/>
        <v>10421.439</v>
      </c>
    </row>
    <row r="63" spans="3:8" x14ac:dyDescent="0.2">
      <c r="C63" s="15">
        <v>2382156</v>
      </c>
      <c r="E63" s="26">
        <f>4904.86+23821.56</f>
        <v>28726.420000000002</v>
      </c>
      <c r="F63" s="26">
        <f t="shared" si="10"/>
        <v>28726.420000000002</v>
      </c>
      <c r="G63" s="39">
        <v>0.21</v>
      </c>
      <c r="H63" s="26">
        <f t="shared" si="9"/>
        <v>6032.5482000000002</v>
      </c>
    </row>
    <row r="64" spans="3:8" x14ac:dyDescent="0.2">
      <c r="C64" s="15">
        <v>2137779</v>
      </c>
      <c r="E64" s="26">
        <f>4401.69+54.49+15230.93</f>
        <v>19687.11</v>
      </c>
      <c r="F64" s="26">
        <f t="shared" si="10"/>
        <v>19687.11</v>
      </c>
      <c r="G64" s="39">
        <v>0.21</v>
      </c>
      <c r="H64" s="26">
        <f t="shared" si="9"/>
        <v>4134.2930999999999</v>
      </c>
    </row>
    <row r="65" spans="3:9" x14ac:dyDescent="0.2">
      <c r="C65" s="15">
        <v>1682939</v>
      </c>
      <c r="E65" s="26">
        <v>9364.15</v>
      </c>
      <c r="F65" s="26">
        <f t="shared" si="10"/>
        <v>9364.15</v>
      </c>
      <c r="G65" s="39">
        <v>0.21</v>
      </c>
      <c r="H65" s="26">
        <f t="shared" si="9"/>
        <v>1966.4714999999999</v>
      </c>
    </row>
    <row r="66" spans="3:9" x14ac:dyDescent="0.2">
      <c r="C66" s="15">
        <v>1069488</v>
      </c>
      <c r="E66" s="26">
        <v>0</v>
      </c>
      <c r="F66" s="26">
        <f t="shared" si="10"/>
        <v>0</v>
      </c>
      <c r="G66" s="39">
        <v>0.21</v>
      </c>
      <c r="H66" s="26">
        <f t="shared" si="9"/>
        <v>0</v>
      </c>
    </row>
    <row r="67" spans="3:9" x14ac:dyDescent="0.2">
      <c r="C67" s="15">
        <v>-523388</v>
      </c>
      <c r="E67" s="26">
        <v>-426.39</v>
      </c>
      <c r="F67" s="26">
        <f t="shared" si="10"/>
        <v>-426.39</v>
      </c>
      <c r="G67" s="39">
        <v>0.21</v>
      </c>
      <c r="H67" s="26">
        <f t="shared" si="9"/>
        <v>-89.541899999999998</v>
      </c>
    </row>
    <row r="68" spans="3:9" x14ac:dyDescent="0.2">
      <c r="C68" s="15">
        <v>180531</v>
      </c>
      <c r="E68" s="26">
        <f>401.8+473.23+951.49</f>
        <v>1826.52</v>
      </c>
      <c r="F68" s="26">
        <f t="shared" si="10"/>
        <v>1826.52</v>
      </c>
      <c r="G68" s="39">
        <v>0.21</v>
      </c>
      <c r="H68" s="26">
        <f t="shared" si="9"/>
        <v>383.56919999999997</v>
      </c>
    </row>
    <row r="69" spans="3:9" x14ac:dyDescent="0.2">
      <c r="C69" s="15">
        <v>-152912</v>
      </c>
      <c r="E69" s="26">
        <v>-919.89</v>
      </c>
      <c r="F69" s="26">
        <f t="shared" si="10"/>
        <v>-919.89</v>
      </c>
      <c r="G69" s="39">
        <v>0.21</v>
      </c>
      <c r="H69" s="26">
        <f t="shared" si="9"/>
        <v>-193.17689999999999</v>
      </c>
    </row>
    <row r="70" spans="3:9" x14ac:dyDescent="0.2">
      <c r="C70" s="15">
        <f>1630648+558</f>
        <v>1631206</v>
      </c>
      <c r="E70" s="26">
        <f>9809.71+3.35</f>
        <v>9813.06</v>
      </c>
      <c r="F70" s="26">
        <f t="shared" si="10"/>
        <v>9813.06</v>
      </c>
      <c r="G70" s="39">
        <v>0.21</v>
      </c>
      <c r="H70" s="26">
        <f t="shared" si="9"/>
        <v>2060.7426</v>
      </c>
    </row>
    <row r="71" spans="3:9" ht="15" x14ac:dyDescent="0.35">
      <c r="C71" s="15">
        <f>2863197+2933</f>
        <v>2866130</v>
      </c>
      <c r="E71" s="28">
        <f>8947.49+9.16+5195</f>
        <v>14151.65</v>
      </c>
      <c r="F71" s="28">
        <f t="shared" si="10"/>
        <v>14151.65</v>
      </c>
      <c r="G71" s="39">
        <v>0.21</v>
      </c>
      <c r="H71" s="28">
        <f t="shared" si="9"/>
        <v>2971.8464999999997</v>
      </c>
    </row>
    <row r="72" spans="3:9" x14ac:dyDescent="0.2">
      <c r="D72" s="15"/>
      <c r="E72" s="15">
        <f>SUM(E43:E71)</f>
        <v>1914032.5553571431</v>
      </c>
      <c r="F72" s="15">
        <f>SUM(F43:F71)</f>
        <v>-473339.44464285654</v>
      </c>
      <c r="G72" s="29" t="s">
        <v>30</v>
      </c>
      <c r="H72" s="15">
        <f>SUM(H43:H71)</f>
        <v>-99401.283374999941</v>
      </c>
    </row>
    <row r="73" spans="3:9" ht="15" x14ac:dyDescent="0.35">
      <c r="G73" s="29" t="s">
        <v>31</v>
      </c>
      <c r="H73" s="28">
        <f>-H105*0.21</f>
        <v>-14340.343091999999</v>
      </c>
    </row>
    <row r="74" spans="3:9" x14ac:dyDescent="0.2">
      <c r="H74" s="15">
        <f>H72+H73</f>
        <v>-113741.62646699994</v>
      </c>
    </row>
    <row r="75" spans="3:9" x14ac:dyDescent="0.2">
      <c r="H75" s="15">
        <f>H74-K13</f>
        <v>83989.809268000012</v>
      </c>
      <c r="I75" s="29" t="s">
        <v>32</v>
      </c>
    </row>
    <row r="76" spans="3:9" x14ac:dyDescent="0.2">
      <c r="C76" s="15" t="s">
        <v>33</v>
      </c>
      <c r="D76" s="22" t="s">
        <v>26</v>
      </c>
      <c r="E76" s="24" t="s">
        <v>34</v>
      </c>
      <c r="F76" s="15" t="s">
        <v>35</v>
      </c>
      <c r="G76" s="17" t="s">
        <v>13</v>
      </c>
      <c r="H76" s="15" t="s">
        <v>36</v>
      </c>
    </row>
    <row r="77" spans="3:9" x14ac:dyDescent="0.2">
      <c r="C77" s="15">
        <v>3645863</v>
      </c>
      <c r="D77" s="15">
        <f>D43</f>
        <v>2387372</v>
      </c>
      <c r="E77" s="15">
        <v>13553.5</v>
      </c>
      <c r="F77" s="15">
        <f>E77-D77</f>
        <v>-2373818.5</v>
      </c>
      <c r="G77" s="17">
        <v>0.05</v>
      </c>
      <c r="H77" s="15">
        <f>F77*G77</f>
        <v>-118690.925</v>
      </c>
    </row>
    <row r="78" spans="3:9" x14ac:dyDescent="0.2">
      <c r="C78" s="15">
        <v>3415356</v>
      </c>
      <c r="E78" s="15">
        <v>12699.43</v>
      </c>
      <c r="F78" s="15">
        <f t="shared" ref="F78:F104" si="11">E78-D78</f>
        <v>12699.43</v>
      </c>
      <c r="G78" s="17">
        <v>0.05</v>
      </c>
      <c r="H78" s="15">
        <f t="shared" ref="H78:H104" si="12">F78*G78</f>
        <v>634.97150000000011</v>
      </c>
    </row>
    <row r="79" spans="3:9" x14ac:dyDescent="0.2">
      <c r="C79" s="15">
        <v>5123034</v>
      </c>
      <c r="E79" s="15"/>
      <c r="F79" s="15">
        <f t="shared" si="11"/>
        <v>0</v>
      </c>
      <c r="G79" s="17">
        <v>0.05</v>
      </c>
      <c r="H79" s="15">
        <f t="shared" si="12"/>
        <v>0</v>
      </c>
    </row>
    <row r="80" spans="3:9" x14ac:dyDescent="0.2">
      <c r="C80" s="15">
        <v>61300530.800000004</v>
      </c>
      <c r="E80" s="15">
        <v>231000.83</v>
      </c>
      <c r="F80" s="15">
        <f t="shared" si="11"/>
        <v>231000.83</v>
      </c>
      <c r="G80" s="17">
        <v>0.05</v>
      </c>
      <c r="H80" s="15">
        <f t="shared" si="12"/>
        <v>11550.041499999999</v>
      </c>
    </row>
    <row r="81" spans="3:8" x14ac:dyDescent="0.2">
      <c r="C81" s="15">
        <v>91950796.200000003</v>
      </c>
      <c r="E81" s="15">
        <v>456105.14</v>
      </c>
      <c r="F81" s="15">
        <f t="shared" si="11"/>
        <v>456105.14</v>
      </c>
      <c r="G81" s="17">
        <v>0.05</v>
      </c>
      <c r="H81" s="15">
        <f t="shared" si="12"/>
        <v>22805.257000000001</v>
      </c>
    </row>
    <row r="82" spans="3:8" x14ac:dyDescent="0.2">
      <c r="C82" s="15">
        <v>54929134.064000003</v>
      </c>
      <c r="E82" s="15">
        <v>206991.29</v>
      </c>
      <c r="F82" s="15">
        <f t="shared" si="11"/>
        <v>206991.29</v>
      </c>
      <c r="G82" s="17">
        <v>0.05</v>
      </c>
      <c r="H82" s="15">
        <f t="shared" si="12"/>
        <v>10349.5645</v>
      </c>
    </row>
    <row r="83" spans="3:8" x14ac:dyDescent="0.2">
      <c r="C83" s="15">
        <v>82393701.096000001</v>
      </c>
      <c r="E83" s="15">
        <v>899137.61</v>
      </c>
      <c r="F83" s="15">
        <f t="shared" si="11"/>
        <v>899137.61</v>
      </c>
      <c r="G83" s="17">
        <v>0.05</v>
      </c>
      <c r="H83" s="15">
        <f t="shared" si="12"/>
        <v>44956.880499999999</v>
      </c>
    </row>
    <row r="84" spans="3:8" x14ac:dyDescent="0.2">
      <c r="C84" s="15">
        <v>8604879.8300000001</v>
      </c>
      <c r="E84" s="15">
        <v>35050.54</v>
      </c>
      <c r="F84" s="15">
        <f t="shared" si="11"/>
        <v>35050.54</v>
      </c>
      <c r="G84" s="17">
        <v>0.05</v>
      </c>
      <c r="H84" s="15">
        <f t="shared" si="12"/>
        <v>1752.527</v>
      </c>
    </row>
    <row r="85" spans="3:8" x14ac:dyDescent="0.2">
      <c r="C85" s="15">
        <v>6880429.9000000022</v>
      </c>
      <c r="E85" s="15">
        <v>28026.28</v>
      </c>
      <c r="F85" s="15">
        <f t="shared" si="11"/>
        <v>28026.28</v>
      </c>
      <c r="G85" s="17">
        <v>0.05</v>
      </c>
      <c r="H85" s="15">
        <f t="shared" si="12"/>
        <v>1401.3140000000001</v>
      </c>
    </row>
    <row r="86" spans="3:8" x14ac:dyDescent="0.2">
      <c r="C86" s="15">
        <v>10320644.850000001</v>
      </c>
      <c r="E86" s="15">
        <v>122864.81964285717</v>
      </c>
      <c r="F86" s="15">
        <f t="shared" si="11"/>
        <v>122864.81964285717</v>
      </c>
      <c r="G86" s="17">
        <v>0.05</v>
      </c>
      <c r="H86" s="15">
        <f t="shared" si="12"/>
        <v>6143.2409821428591</v>
      </c>
    </row>
    <row r="87" spans="3:8" x14ac:dyDescent="0.2">
      <c r="C87" s="15">
        <v>62123741.428000003</v>
      </c>
      <c r="E87" s="15">
        <v>253050.71</v>
      </c>
      <c r="F87" s="15">
        <f t="shared" si="11"/>
        <v>253050.71</v>
      </c>
      <c r="G87" s="17">
        <v>0.05</v>
      </c>
      <c r="H87" s="15">
        <f t="shared" si="12"/>
        <v>12652.5355</v>
      </c>
    </row>
    <row r="88" spans="3:8" x14ac:dyDescent="0.2">
      <c r="C88" s="15">
        <v>93185612.14199999</v>
      </c>
      <c r="E88" s="15"/>
      <c r="F88" s="15">
        <f t="shared" si="11"/>
        <v>0</v>
      </c>
      <c r="G88" s="17">
        <v>0.05</v>
      </c>
      <c r="H88" s="15">
        <f t="shared" si="12"/>
        <v>0</v>
      </c>
    </row>
    <row r="89" spans="3:8" x14ac:dyDescent="0.2">
      <c r="C89" s="15">
        <v>1219848.1800000002</v>
      </c>
      <c r="E89" s="15">
        <v>4968.8500000000004</v>
      </c>
      <c r="F89" s="15">
        <f t="shared" si="11"/>
        <v>4968.8500000000004</v>
      </c>
      <c r="G89" s="17">
        <v>0.05</v>
      </c>
      <c r="H89" s="15">
        <f t="shared" si="12"/>
        <v>248.44250000000002</v>
      </c>
    </row>
    <row r="90" spans="3:8" x14ac:dyDescent="0.2">
      <c r="C90" s="15">
        <v>5047999.824000001</v>
      </c>
      <c r="E90" s="15">
        <v>20562.189999999999</v>
      </c>
      <c r="F90" s="15">
        <f t="shared" si="11"/>
        <v>20562.189999999999</v>
      </c>
      <c r="G90" s="17">
        <v>0.05</v>
      </c>
      <c r="H90" s="15">
        <f t="shared" si="12"/>
        <v>1028.1095</v>
      </c>
    </row>
    <row r="91" spans="3:8" x14ac:dyDescent="0.2">
      <c r="C91" s="15">
        <v>7571999.7359999996</v>
      </c>
      <c r="E91" s="15">
        <v>90142.85</v>
      </c>
      <c r="F91" s="15">
        <f t="shared" si="11"/>
        <v>90142.85</v>
      </c>
      <c r="G91" s="17">
        <v>0.05</v>
      </c>
      <c r="H91" s="15">
        <f t="shared" si="12"/>
        <v>4507.1425000000008</v>
      </c>
    </row>
    <row r="92" spans="3:8" x14ac:dyDescent="0.2">
      <c r="C92" s="15">
        <v>51949136.776000001</v>
      </c>
      <c r="E92" s="15">
        <v>211606.15</v>
      </c>
      <c r="F92" s="15">
        <f t="shared" si="11"/>
        <v>211606.15</v>
      </c>
      <c r="G92" s="17">
        <v>0.05</v>
      </c>
      <c r="H92" s="15">
        <f t="shared" si="12"/>
        <v>10580.307500000001</v>
      </c>
    </row>
    <row r="93" spans="3:8" x14ac:dyDescent="0.2">
      <c r="C93" s="15">
        <v>77923705.16399999</v>
      </c>
      <c r="E93" s="15">
        <v>927663.16</v>
      </c>
      <c r="F93" s="15">
        <f t="shared" si="11"/>
        <v>927663.16</v>
      </c>
      <c r="G93" s="17">
        <v>0.05</v>
      </c>
      <c r="H93" s="15">
        <f t="shared" si="12"/>
        <v>46383.158000000003</v>
      </c>
    </row>
    <row r="94" spans="3:8" x14ac:dyDescent="0.2">
      <c r="C94" s="15">
        <v>5558100.8840000005</v>
      </c>
      <c r="E94" s="15">
        <v>24478.799999999999</v>
      </c>
      <c r="F94" s="26">
        <f t="shared" si="11"/>
        <v>24478.799999999999</v>
      </c>
      <c r="G94" s="17">
        <v>0.05</v>
      </c>
      <c r="H94" s="15">
        <f t="shared" si="12"/>
        <v>1223.94</v>
      </c>
    </row>
    <row r="95" spans="3:8" x14ac:dyDescent="0.2">
      <c r="C95" s="15">
        <v>8337151.3260000004</v>
      </c>
      <c r="E95" s="26">
        <v>99251.801500000001</v>
      </c>
      <c r="F95" s="26">
        <f t="shared" si="11"/>
        <v>99251.801500000001</v>
      </c>
      <c r="G95" s="39">
        <v>0.05</v>
      </c>
      <c r="H95" s="26">
        <f t="shared" si="12"/>
        <v>4962.5900750000001</v>
      </c>
    </row>
    <row r="96" spans="3:8" x14ac:dyDescent="0.2">
      <c r="C96" s="15">
        <v>4764312</v>
      </c>
      <c r="E96" s="26">
        <f>9809.72+47643.12</f>
        <v>57452.840000000004</v>
      </c>
      <c r="F96" s="26">
        <f t="shared" si="11"/>
        <v>57452.840000000004</v>
      </c>
      <c r="G96" s="39">
        <v>0.05</v>
      </c>
      <c r="H96" s="26">
        <f t="shared" si="12"/>
        <v>2872.6420000000003</v>
      </c>
    </row>
    <row r="97" spans="3:8" x14ac:dyDescent="0.2">
      <c r="C97" s="15">
        <v>2729220</v>
      </c>
      <c r="E97" s="26">
        <f>5619.46+54.49+19455.5</f>
        <v>25129.45</v>
      </c>
      <c r="F97" s="26">
        <f t="shared" si="11"/>
        <v>25129.45</v>
      </c>
      <c r="G97" s="39">
        <v>0.05</v>
      </c>
      <c r="H97" s="26">
        <f t="shared" si="12"/>
        <v>1256.4725000000001</v>
      </c>
    </row>
    <row r="98" spans="3:8" x14ac:dyDescent="0.2">
      <c r="C98" s="15">
        <v>1682939</v>
      </c>
      <c r="E98" s="26">
        <v>9364.15</v>
      </c>
      <c r="F98" s="26">
        <f t="shared" si="11"/>
        <v>9364.15</v>
      </c>
      <c r="G98" s="39">
        <v>0.05</v>
      </c>
      <c r="H98" s="26">
        <f t="shared" si="12"/>
        <v>468.20749999999998</v>
      </c>
    </row>
    <row r="99" spans="3:8" x14ac:dyDescent="0.2">
      <c r="C99" s="15">
        <v>1069488</v>
      </c>
      <c r="E99" s="26">
        <v>0</v>
      </c>
      <c r="F99" s="26">
        <f t="shared" si="11"/>
        <v>0</v>
      </c>
      <c r="G99" s="39">
        <v>0.05</v>
      </c>
      <c r="H99" s="26">
        <f t="shared" si="12"/>
        <v>0</v>
      </c>
    </row>
    <row r="100" spans="3:8" x14ac:dyDescent="0.2">
      <c r="C100" s="15">
        <v>-523388</v>
      </c>
      <c r="E100" s="26">
        <v>-852.77</v>
      </c>
      <c r="F100" s="26">
        <f t="shared" si="11"/>
        <v>-852.77</v>
      </c>
      <c r="G100" s="39">
        <v>0.05</v>
      </c>
      <c r="H100" s="26">
        <f t="shared" si="12"/>
        <v>-42.638500000000001</v>
      </c>
    </row>
    <row r="101" spans="3:8" x14ac:dyDescent="0.2">
      <c r="C101" s="15">
        <v>180531</v>
      </c>
      <c r="E101" s="26">
        <f>401.8+473.23+951.49</f>
        <v>1826.52</v>
      </c>
      <c r="F101" s="26">
        <f t="shared" si="11"/>
        <v>1826.52</v>
      </c>
      <c r="G101" s="39">
        <v>0.05</v>
      </c>
      <c r="H101" s="26">
        <f t="shared" si="12"/>
        <v>91.326000000000008</v>
      </c>
    </row>
    <row r="102" spans="3:8" x14ac:dyDescent="0.2">
      <c r="C102" s="15">
        <v>-152912</v>
      </c>
      <c r="E102" s="26">
        <v>-919.89</v>
      </c>
      <c r="F102" s="26">
        <f t="shared" si="11"/>
        <v>-919.89</v>
      </c>
      <c r="G102" s="39">
        <v>0.05</v>
      </c>
      <c r="H102" s="26">
        <f t="shared" si="12"/>
        <v>-45.994500000000002</v>
      </c>
    </row>
    <row r="103" spans="3:8" x14ac:dyDescent="0.2">
      <c r="C103" s="15">
        <f>C70</f>
        <v>1631206</v>
      </c>
      <c r="E103" s="26">
        <f>9809.71+3.35</f>
        <v>9813.06</v>
      </c>
      <c r="F103" s="26">
        <f t="shared" si="11"/>
        <v>9813.06</v>
      </c>
      <c r="G103" s="39">
        <v>0.05</v>
      </c>
      <c r="H103" s="26">
        <f t="shared" si="12"/>
        <v>490.65300000000002</v>
      </c>
    </row>
    <row r="104" spans="3:8" ht="15" x14ac:dyDescent="0.35">
      <c r="C104" s="15"/>
      <c r="E104" s="28">
        <f>E71</f>
        <v>14151.65</v>
      </c>
      <c r="F104" s="28">
        <f t="shared" si="11"/>
        <v>14151.65</v>
      </c>
      <c r="G104" s="39">
        <v>0.05</v>
      </c>
      <c r="H104" s="28">
        <f t="shared" si="12"/>
        <v>707.58249999999998</v>
      </c>
    </row>
    <row r="105" spans="3:8" x14ac:dyDescent="0.2">
      <c r="E105" s="15">
        <f>SUM(E77:E104)</f>
        <v>3753118.9611428571</v>
      </c>
      <c r="F105" s="15">
        <f>SUM(F77:F104)</f>
        <v>1365746.9611428578</v>
      </c>
      <c r="H105" s="15">
        <f>SUM(H77:H104)</f>
        <v>68287.348057142852</v>
      </c>
    </row>
    <row r="106" spans="3:8" x14ac:dyDescent="0.2">
      <c r="H106" s="15">
        <f>H105-L13</f>
        <v>-1.5442857154994272E-2</v>
      </c>
    </row>
  </sheetData>
  <pageMargins left="0.7" right="0.7" top="1.15625" bottom="0.75" header="0.3" footer="0.3"/>
  <pageSetup scale="49" orientation="portrait" r:id="rId1"/>
  <headerFooter>
    <oddHeader>&amp;R&amp;"Times New Roman,Bold"&amp;12Attachment to Response to Question 3
Page 9 of 15
Clements</oddHead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ACE39EEF-A83E-40DD-88D3-8F91B52280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89AB63-7EDA-43C4-B7E5-26027CBB49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39840D-8DC3-45A3-9921-779D9C5768FA}">
  <ds:schemaRefs>
    <ds:schemaRef ds:uri="http://purl.org/dc/elements/1.1/"/>
    <ds:schemaRef ds:uri="http://schemas.microsoft.com/sharepoint/v3"/>
    <ds:schemaRef ds:uri="http://purl.org/dc/dcmitype/"/>
    <ds:schemaRef ds:uri="http://purl.org/dc/terms/"/>
    <ds:schemaRef ds:uri="http://schemas.microsoft.com/office/2006/metadata/properties"/>
    <ds:schemaRef ds:uri="http://schemas.microsoft.com/sharepoint/v4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5bfb563-8fe2-4d34-a09f-38a217d8fe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40</vt:lpstr>
      <vt:lpstr>Project 41</vt:lpstr>
      <vt:lpstr>Project 42</vt:lpstr>
      <vt:lpstr>Project 43</vt:lpstr>
      <vt:lpstr>'Project 28'!Print_Area</vt:lpstr>
      <vt:lpstr>'Project 29'!Print_Area</vt:lpstr>
      <vt:lpstr>'Project 29_2011 Plan'!Print_Area</vt:lpstr>
      <vt:lpstr>'Project 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Jay Fister</dc:creator>
  <cp:lastModifiedBy>Fackler, Andrea</cp:lastModifiedBy>
  <cp:lastPrinted>2024-02-14T19:55:25Z</cp:lastPrinted>
  <dcterms:created xsi:type="dcterms:W3CDTF">2024-01-26T17:25:34Z</dcterms:created>
  <dcterms:modified xsi:type="dcterms:W3CDTF">2024-02-14T19:55:33Z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2024-01-26T17:44:59Z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ea6f6337-2bdd-42bb-8f1b-3905326affa7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2024-02-14T19:55:10Z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2d8aac71-4cd4-416c-b820-5e272ba266cc</vt:lpwstr>
  </property>
  <property fmtid="{D5CDD505-2E9C-101B-9397-08002B2CF9AE}" pid="16" name="MSIP_Label_d662fcd2-3ff9-4261-9b26-9dd5808d0bb4_ContentBits">
    <vt:lpwstr>0</vt:lpwstr>
  </property>
</Properties>
</file>