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KU\0 - efiled 02-14-2024\"/>
    </mc:Choice>
  </mc:AlternateContent>
  <xr:revisionPtr revIDLastSave="0" documentId="13_ncr:1_{FB4A8D70-D50E-4009-B07D-C221377086CD}" xr6:coauthVersionLast="47" xr6:coauthVersionMax="47" xr10:uidLastSave="{00000000-0000-0000-0000-000000000000}"/>
  <bookViews>
    <workbookView xWindow="-120" yWindow="-120" windowWidth="29040" windowHeight="17025" tabRatio="770" xr2:uid="{00000000-000D-0000-FFFF-FFFF00000000}"/>
  </bookViews>
  <sheets>
    <sheet name="Project 32" sheetId="36" r:id="rId1"/>
    <sheet name="Project 33" sheetId="33" r:id="rId2"/>
    <sheet name="Project 40" sheetId="42" r:id="rId3"/>
    <sheet name="Project 41" sheetId="39" r:id="rId4"/>
    <sheet name="Project 42" sheetId="43" r:id="rId5"/>
    <sheet name="Project 43" sheetId="44" r:id="rId6"/>
  </sheets>
  <definedNames>
    <definedName name="_xlnm.Print_Area" localSheetId="0">'Project 32'!$A$1:$N$48</definedName>
    <definedName name="_xlnm.Print_Area" localSheetId="1">'Project 33'!$A$1:$N$35</definedName>
    <definedName name="_xlnm.Print_Area" localSheetId="2">'Project 40'!$A$1:$N$15</definedName>
    <definedName name="_xlnm.Print_Area" localSheetId="3">'Project 41'!$A$1:$N$37</definedName>
    <definedName name="_xlnm.Print_Area" localSheetId="4">'Project 42'!$A$1:$N$15</definedName>
    <definedName name="_xlnm.Print_Area" localSheetId="5">'Project 43'!$A$1:$N$15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4" l="1"/>
  <c r="E15" i="44"/>
  <c r="E14" i="44"/>
  <c r="E13" i="44"/>
  <c r="E12" i="44"/>
  <c r="E11" i="44"/>
  <c r="E10" i="44"/>
  <c r="F15" i="43"/>
  <c r="E15" i="43"/>
  <c r="F14" i="43"/>
  <c r="E14" i="43"/>
  <c r="F13" i="43"/>
  <c r="E13" i="43"/>
  <c r="F12" i="43"/>
  <c r="E12" i="43"/>
  <c r="F11" i="43"/>
  <c r="E11" i="43"/>
  <c r="F10" i="43"/>
  <c r="E10" i="43"/>
  <c r="H35" i="39"/>
  <c r="H34" i="39"/>
  <c r="H33" i="39"/>
  <c r="F36" i="39"/>
  <c r="E36" i="39"/>
  <c r="F35" i="39"/>
  <c r="F34" i="39"/>
  <c r="F33" i="39"/>
  <c r="H27" i="39"/>
  <c r="H26" i="39"/>
  <c r="H28" i="39" s="1"/>
  <c r="H25" i="39"/>
  <c r="F28" i="39"/>
  <c r="E28" i="39"/>
  <c r="F27" i="39"/>
  <c r="F26" i="39"/>
  <c r="F25" i="39"/>
  <c r="E15" i="39"/>
  <c r="E14" i="39"/>
  <c r="E13" i="39"/>
  <c r="E12" i="39"/>
  <c r="E11" i="39"/>
  <c r="E10" i="39"/>
  <c r="F15" i="42"/>
  <c r="E15" i="42"/>
  <c r="F14" i="42"/>
  <c r="E14" i="42"/>
  <c r="F13" i="42"/>
  <c r="E13" i="42"/>
  <c r="F12" i="42"/>
  <c r="E12" i="42"/>
  <c r="F11" i="42"/>
  <c r="E11" i="42"/>
  <c r="F10" i="42"/>
  <c r="E10" i="42"/>
  <c r="K15" i="33"/>
  <c r="K14" i="33"/>
  <c r="K13" i="33"/>
  <c r="K12" i="33"/>
  <c r="K11" i="33"/>
  <c r="K10" i="33"/>
  <c r="E15" i="33"/>
  <c r="E14" i="33"/>
  <c r="E13" i="33"/>
  <c r="E12" i="33"/>
  <c r="E11" i="33"/>
  <c r="E10" i="33"/>
  <c r="H35" i="33"/>
  <c r="H33" i="33"/>
  <c r="H34" i="33" s="1"/>
  <c r="H32" i="33"/>
  <c r="H26" i="33"/>
  <c r="H25" i="33"/>
  <c r="F33" i="33"/>
  <c r="F32" i="33"/>
  <c r="F26" i="33"/>
  <c r="F25" i="33"/>
  <c r="F27" i="33" s="1"/>
  <c r="E34" i="33"/>
  <c r="H27" i="33"/>
  <c r="H29" i="33" s="1"/>
  <c r="E27" i="33"/>
  <c r="K13" i="36"/>
  <c r="K12" i="36"/>
  <c r="K11" i="36"/>
  <c r="K10" i="36"/>
  <c r="E15" i="36"/>
  <c r="E14" i="36"/>
  <c r="E13" i="36"/>
  <c r="E12" i="36"/>
  <c r="E11" i="36"/>
  <c r="E10" i="36"/>
  <c r="H40" i="36"/>
  <c r="H41" i="36"/>
  <c r="H47" i="36" s="1"/>
  <c r="H35" i="36" s="1"/>
  <c r="H36" i="36" s="1"/>
  <c r="H42" i="36"/>
  <c r="H43" i="36"/>
  <c r="H44" i="36"/>
  <c r="H45" i="36"/>
  <c r="H46" i="36"/>
  <c r="H39" i="36"/>
  <c r="E47" i="36"/>
  <c r="F47" i="36"/>
  <c r="F41" i="36"/>
  <c r="F42" i="36"/>
  <c r="F43" i="36"/>
  <c r="F44" i="36"/>
  <c r="F45" i="36"/>
  <c r="F46" i="36"/>
  <c r="F40" i="36"/>
  <c r="F39" i="36"/>
  <c r="H26" i="36"/>
  <c r="H27" i="36"/>
  <c r="H28" i="36"/>
  <c r="H29" i="36"/>
  <c r="H30" i="36"/>
  <c r="H31" i="36"/>
  <c r="H32" i="36"/>
  <c r="H33" i="36"/>
  <c r="H25" i="36"/>
  <c r="E34" i="36"/>
  <c r="F34" i="36"/>
  <c r="F27" i="36"/>
  <c r="F28" i="36"/>
  <c r="F29" i="36"/>
  <c r="F30" i="36"/>
  <c r="F31" i="36"/>
  <c r="F32" i="36"/>
  <c r="F33" i="36"/>
  <c r="F26" i="36"/>
  <c r="F25" i="36"/>
  <c r="F15" i="39"/>
  <c r="F15" i="33"/>
  <c r="F15" i="36"/>
  <c r="H36" i="39" l="1"/>
  <c r="H29" i="39" s="1"/>
  <c r="H30" i="39" s="1"/>
  <c r="H31" i="39" s="1"/>
  <c r="H37" i="39"/>
  <c r="F34" i="33"/>
  <c r="H34" i="36"/>
  <c r="F14" i="44" l="1"/>
  <c r="F13" i="44"/>
  <c r="F14" i="39"/>
  <c r="F13" i="39"/>
  <c r="F14" i="33"/>
  <c r="F13" i="33"/>
  <c r="F14" i="36"/>
  <c r="F13" i="36"/>
  <c r="F12" i="44" l="1"/>
  <c r="F12" i="39"/>
  <c r="F12" i="33"/>
  <c r="F12" i="36"/>
  <c r="F11" i="44" l="1"/>
  <c r="F11" i="39"/>
  <c r="F11" i="33"/>
  <c r="F11" i="36"/>
  <c r="F10" i="44" l="1"/>
  <c r="F10" i="39"/>
  <c r="F10" i="33"/>
  <c r="F10" i="36"/>
  <c r="H15" i="44" l="1"/>
  <c r="L15" i="44" s="1"/>
  <c r="G15" i="44"/>
  <c r="H14" i="44"/>
  <c r="L14" i="44" s="1"/>
  <c r="G14" i="44"/>
  <c r="H13" i="44"/>
  <c r="L13" i="44" s="1"/>
  <c r="G13" i="44"/>
  <c r="H12" i="44"/>
  <c r="L12" i="44" s="1"/>
  <c r="G12" i="44"/>
  <c r="H11" i="44"/>
  <c r="L11" i="44" s="1"/>
  <c r="G11" i="44"/>
  <c r="H10" i="44"/>
  <c r="L10" i="44" s="1"/>
  <c r="G10" i="44"/>
  <c r="G12" i="43"/>
  <c r="H12" i="43"/>
  <c r="L12" i="43" s="1"/>
  <c r="H15" i="43"/>
  <c r="L15" i="43" s="1"/>
  <c r="G15" i="43"/>
  <c r="H14" i="43"/>
  <c r="L14" i="43" s="1"/>
  <c r="G14" i="43"/>
  <c r="H13" i="43"/>
  <c r="L13" i="43" s="1"/>
  <c r="G13" i="43"/>
  <c r="H11" i="43"/>
  <c r="L11" i="43" s="1"/>
  <c r="G11" i="43"/>
  <c r="H10" i="43"/>
  <c r="L10" i="43" s="1"/>
  <c r="G10" i="43"/>
  <c r="G12" i="42"/>
  <c r="H12" i="42"/>
  <c r="K15" i="43" l="1"/>
  <c r="K14" i="44"/>
  <c r="K15" i="44"/>
  <c r="K13" i="44"/>
  <c r="K12" i="44"/>
  <c r="K11" i="44"/>
  <c r="K10" i="44"/>
  <c r="M10" i="44" s="1"/>
  <c r="K14" i="43"/>
  <c r="K13" i="43"/>
  <c r="K12" i="43"/>
  <c r="K11" i="43"/>
  <c r="K10" i="43"/>
  <c r="M10" i="43" s="1"/>
  <c r="M11" i="44" l="1"/>
  <c r="M12" i="44" s="1"/>
  <c r="M13" i="44" s="1"/>
  <c r="M11" i="43"/>
  <c r="O11" i="44" l="1"/>
  <c r="O12" i="44" s="1"/>
  <c r="M14" i="44"/>
  <c r="M12" i="43"/>
  <c r="O13" i="44" l="1"/>
  <c r="O14" i="44" s="1"/>
  <c r="M15" i="44"/>
  <c r="O11" i="43"/>
  <c r="O12" i="43" s="1"/>
  <c r="M13" i="43"/>
  <c r="O15" i="44" l="1"/>
  <c r="O16" i="44" s="1"/>
  <c r="M14" i="43"/>
  <c r="M15" i="43" s="1"/>
  <c r="L12" i="42"/>
  <c r="G11" i="42"/>
  <c r="H15" i="42"/>
  <c r="L15" i="42" s="1"/>
  <c r="G15" i="42"/>
  <c r="H14" i="42"/>
  <c r="L14" i="42" s="1"/>
  <c r="G14" i="42"/>
  <c r="H13" i="42"/>
  <c r="L13" i="42" s="1"/>
  <c r="G13" i="42"/>
  <c r="H11" i="42"/>
  <c r="L11" i="42" s="1"/>
  <c r="H10" i="42"/>
  <c r="L10" i="42" s="1"/>
  <c r="G10" i="42"/>
  <c r="O13" i="43" l="1"/>
  <c r="O14" i="43" s="1"/>
  <c r="O15" i="43"/>
  <c r="O16" i="43" s="1"/>
  <c r="K15" i="42"/>
  <c r="K14" i="42"/>
  <c r="K13" i="42"/>
  <c r="K11" i="42"/>
  <c r="K10" i="42"/>
  <c r="M10" i="42" s="1"/>
  <c r="K12" i="42"/>
  <c r="M11" i="42" l="1"/>
  <c r="M12" i="42" l="1"/>
  <c r="O11" i="42" l="1"/>
  <c r="O12" i="42" s="1"/>
  <c r="M13" i="42"/>
  <c r="M14" i="42" l="1"/>
  <c r="O13" i="42" l="1"/>
  <c r="O14" i="42" s="1"/>
  <c r="M15" i="42"/>
  <c r="O15" i="42" l="1"/>
  <c r="O16" i="42" s="1"/>
  <c r="H13" i="39"/>
  <c r="L13" i="39" s="1"/>
  <c r="G13" i="39"/>
  <c r="H12" i="39"/>
  <c r="L12" i="39" s="1"/>
  <c r="G12" i="39"/>
  <c r="H11" i="39"/>
  <c r="L11" i="39" s="1"/>
  <c r="G11" i="39"/>
  <c r="H10" i="39"/>
  <c r="L10" i="39" s="1"/>
  <c r="G10" i="39"/>
  <c r="K12" i="39" l="1"/>
  <c r="K10" i="39"/>
  <c r="K11" i="39"/>
  <c r="K13" i="39"/>
  <c r="M10" i="39" l="1"/>
  <c r="M11" i="39" l="1"/>
  <c r="M12" i="39" l="1"/>
  <c r="M13" i="39" l="1"/>
  <c r="G15" i="39" l="1"/>
  <c r="H15" i="39"/>
  <c r="L15" i="39" s="1"/>
  <c r="H14" i="39"/>
  <c r="L14" i="39" s="1"/>
  <c r="G14" i="39"/>
  <c r="K15" i="39" l="1"/>
  <c r="K14" i="39"/>
  <c r="M14" i="39" l="1"/>
  <c r="G14" i="33"/>
  <c r="G13" i="33"/>
  <c r="G15" i="33"/>
  <c r="G11" i="33"/>
  <c r="H11" i="33"/>
  <c r="L11" i="33" s="1"/>
  <c r="G12" i="33"/>
  <c r="H12" i="33"/>
  <c r="L12" i="33" s="1"/>
  <c r="H13" i="33"/>
  <c r="L13" i="33" s="1"/>
  <c r="H14" i="33"/>
  <c r="L14" i="33" s="1"/>
  <c r="H15" i="33"/>
  <c r="L15" i="33" s="1"/>
  <c r="H10" i="33"/>
  <c r="L10" i="33" s="1"/>
  <c r="G10" i="33"/>
  <c r="G11" i="36"/>
  <c r="H11" i="36"/>
  <c r="L11" i="36" s="1"/>
  <c r="G12" i="36"/>
  <c r="H12" i="36"/>
  <c r="L12" i="36" s="1"/>
  <c r="G13" i="36"/>
  <c r="H13" i="36"/>
  <c r="L13" i="36" s="1"/>
  <c r="G14" i="36"/>
  <c r="H14" i="36"/>
  <c r="L14" i="36" s="1"/>
  <c r="G15" i="36"/>
  <c r="H15" i="36"/>
  <c r="L15" i="36" s="1"/>
  <c r="H48" i="36" s="1"/>
  <c r="H10" i="36"/>
  <c r="L10" i="36" s="1"/>
  <c r="G10" i="36"/>
  <c r="K15" i="36" l="1"/>
  <c r="K14" i="36"/>
  <c r="M15" i="39"/>
  <c r="M10" i="33"/>
  <c r="M10" i="36"/>
  <c r="H37" i="36"/>
  <c r="H30" i="33"/>
  <c r="M11" i="33" l="1"/>
  <c r="M11" i="36"/>
  <c r="M12" i="33" l="1"/>
  <c r="M12" i="36"/>
  <c r="M13" i="33" l="1"/>
  <c r="M13" i="36"/>
  <c r="M14" i="33" l="1"/>
  <c r="M14" i="36"/>
  <c r="M15" i="33" l="1"/>
  <c r="M15" i="36"/>
  <c r="O11" i="39"/>
  <c r="O12" i="39" s="1"/>
  <c r="O13" i="39" l="1"/>
  <c r="O14" i="39" s="1"/>
  <c r="O15" i="39" l="1"/>
  <c r="O16" i="39" s="1"/>
</calcChain>
</file>

<file path=xl/sharedStrings.xml><?xml version="1.0" encoding="utf-8"?>
<sst xmlns="http://schemas.openxmlformats.org/spreadsheetml/2006/main" count="174" uniqueCount="46">
  <si>
    <t>Month</t>
  </si>
  <si>
    <t>Plant Balance</t>
  </si>
  <si>
    <t>Book Depreciation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</si>
  <si>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</si>
  <si>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</si>
  <si>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</si>
  <si>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</si>
  <si>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</si>
  <si>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</si>
  <si>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2009 - Plan</t>
  </si>
  <si>
    <t xml:space="preserve"> </t>
  </si>
  <si>
    <t>Project 33 - Beneficial Reuse</t>
  </si>
  <si>
    <t>Project 32 - Trimble County CCP Storage (Landfill - Phase I)</t>
  </si>
  <si>
    <t>2016 - Plan</t>
  </si>
  <si>
    <t>Project 41 -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</si>
  <si>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</si>
  <si>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</si>
  <si>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</si>
  <si>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</si>
  <si>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</si>
  <si>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</si>
  <si>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</si>
  <si>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</si>
  <si>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</si>
  <si>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</si>
  <si>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</si>
  <si>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</si>
  <si>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</si>
  <si>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</si>
  <si>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</si>
  <si>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>State Basis</t>
  </si>
  <si>
    <t>State Tax Depr</t>
  </si>
  <si>
    <t>St. Difference</t>
  </si>
  <si>
    <t>St Def Tax</t>
  </si>
  <si>
    <t>Subtotal</t>
  </si>
  <si>
    <t>State Offset</t>
  </si>
  <si>
    <t xml:space="preserve">Due to Bonus Depreciation for tax purposes taken on certain components of Project 32, the deferred tax calculation for this project </t>
  </si>
  <si>
    <t xml:space="preserve">Due to Bonus Depreciation for tax purposes taken on certain components of Project 33, the deferred tax calculation for this project </t>
  </si>
  <si>
    <t xml:space="preserve">Due to Bonus Depreciation for tax purposes taken on certain components of Project 41, the deferred tax calculation for this project </t>
  </si>
  <si>
    <t>Project 40 - Ghent New Process Water System</t>
  </si>
  <si>
    <t>Project 42 - Brown New Process Water Systems</t>
  </si>
  <si>
    <t>2020 - Plan</t>
  </si>
  <si>
    <t>Project 43 - Ghent ELG Water Treatment System, Diffuser, and BATW Recirculation System</t>
  </si>
  <si>
    <t>The federal deferred tax column includes an amount for amortization of excess deferred tax amounts.</t>
  </si>
  <si>
    <t>Excess fed deferred tax amortization</t>
  </si>
  <si>
    <t>depreciation, which reduces the Federal tax basis to 50% of the plant balance.  A sample calculation of deferred taxes for Aug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</si>
</sst>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165" fontId="2" fillId="0" borderId="0" xfId="0" applyNumberFormat="1" applyFont="1" applyFill="1" applyAlignment="1"/>
    <xf numFmtId="0" fontId="2" fillId="0" borderId="0" xfId="0" applyFont="1" applyFill="1" applyAlignment="1"/>
    <xf numFmtId="165" fontId="0" fillId="0" borderId="0" xfId="0" applyNumberFormat="1"/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1" fontId="0" fillId="0" borderId="0" xfId="0" applyNumberFormat="1"/>
    <xf numFmtId="166" fontId="0" fillId="0" borderId="0" xfId="0" applyNumberFormat="1"/>
    <xf numFmtId="165" fontId="3" fillId="0" borderId="0" xfId="0" quotePrefix="1" applyNumberFormat="1" applyFont="1" applyFill="1" applyBorder="1" applyAlignment="1">
      <alignment horizontal="left"/>
    </xf>
    <xf numFmtId="164" fontId="1" fillId="0" borderId="0" xfId="1" applyNumberFormat="1"/>
    <xf numFmtId="165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/>
    <xf numFmtId="164" fontId="4" fillId="0" borderId="0" xfId="1" applyNumberFormat="1" applyFont="1"/>
    <xf numFmtId="165" fontId="4" fillId="0" borderId="0" xfId="0" applyNumberFormat="1" applyFont="1" applyAlignment="1">
      <alignment horizontal="left"/>
    </xf>
    <xf numFmtId="43" fontId="0" fillId="0" borderId="0" xfId="1" applyFont="1"/>
    <xf numFmtId="164" fontId="0" fillId="0" borderId="0" xfId="0" applyNumberFormat="1"/>
    <xf numFmtId="0" fontId="4" fillId="0" borderId="0" xfId="0" applyFont="1"/>
    <xf numFmtId="43" fontId="4" fillId="0" borderId="0" xfId="1" applyFont="1"/>
    <xf numFmtId="41" fontId="4" fillId="0" borderId="0" xfId="0" applyNumberFormat="1" applyFont="1"/>
    <xf numFmtId="164" fontId="0" fillId="0" borderId="0" xfId="1" applyNumberFormat="1" applyFont="1"/>
    <xf numFmtId="41" fontId="0" fillId="0" borderId="0" xfId="0" applyNumberFormat="1" applyFill="1"/>
    <xf numFmtId="41" fontId="1" fillId="0" borderId="0" xfId="0" quotePrefix="1" applyNumberFormat="1" applyFont="1" applyFill="1" applyAlignment="1">
      <alignment horizontal="left"/>
    </xf>
    <xf numFmtId="164" fontId="1" fillId="0" borderId="0" xfId="3" applyNumberFormat="1" applyFont="1" applyFill="1"/>
    <xf numFmtId="43" fontId="1" fillId="0" borderId="0" xfId="3" applyFont="1" applyFill="1"/>
    <xf numFmtId="164" fontId="1" fillId="0" borderId="0" xfId="3" quotePrefix="1" applyNumberFormat="1" applyFont="1" applyFill="1" applyAlignment="1">
      <alignment horizontal="left"/>
    </xf>
    <xf numFmtId="166" fontId="0" fillId="0" borderId="0" xfId="0" applyNumberFormat="1" applyFill="1"/>
    <xf numFmtId="41" fontId="8" fillId="0" borderId="0" xfId="0" applyNumberFormat="1" applyFont="1"/>
    <xf numFmtId="0" fontId="1" fillId="0" borderId="0" xfId="0" applyFont="1"/>
    <xf numFmtId="165" fontId="1" fillId="0" borderId="0" xfId="8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0" fontId="0" fillId="0" borderId="0" xfId="0"/>
    <xf numFmtId="41" fontId="0" fillId="0" borderId="0" xfId="0" applyNumberFormat="1"/>
    <xf numFmtId="166" fontId="0" fillId="0" borderId="0" xfId="0" applyNumberFormat="1"/>
    <xf numFmtId="0" fontId="1" fillId="0" borderId="0" xfId="0" applyFont="1"/>
    <xf numFmtId="41" fontId="1" fillId="0" borderId="0" xfId="0" applyNumberFormat="1" applyFont="1"/>
    <xf numFmtId="41" fontId="8" fillId="0" borderId="0" xfId="0" applyNumberFormat="1" applyFont="1"/>
    <xf numFmtId="164" fontId="1" fillId="0" borderId="0" xfId="17" applyNumberFormat="1" applyFont="1" applyFill="1"/>
    <xf numFmtId="43" fontId="1" fillId="0" borderId="0" xfId="17" applyFont="1" applyFill="1"/>
    <xf numFmtId="164" fontId="1" fillId="0" borderId="0" xfId="17" quotePrefix="1" applyNumberFormat="1" applyFont="1" applyFill="1" applyAlignment="1">
      <alignment horizontal="left"/>
    </xf>
    <xf numFmtId="41" fontId="1" fillId="0" borderId="0" xfId="0" quotePrefix="1" applyNumberFormat="1" applyFont="1" applyAlignment="1">
      <alignment horizontal="left"/>
    </xf>
    <xf numFmtId="166" fontId="1" fillId="0" borderId="0" xfId="0" applyNumberFormat="1" applyFont="1"/>
    <xf numFmtId="164" fontId="0" fillId="0" borderId="0" xfId="1" applyNumberFormat="1" applyFont="1" applyFill="1" applyBorder="1"/>
    <xf numFmtId="0" fontId="1" fillId="0" borderId="0" xfId="22" applyFont="1"/>
    <xf numFmtId="41" fontId="1" fillId="0" borderId="0" xfId="22" applyNumberFormat="1" applyFont="1"/>
    <xf numFmtId="0" fontId="1" fillId="0" borderId="0" xfId="22"/>
    <xf numFmtId="41" fontId="1" fillId="0" borderId="0" xfId="22" applyNumberFormat="1"/>
    <xf numFmtId="164" fontId="1" fillId="0" borderId="0" xfId="1" applyNumberFormat="1"/>
    <xf numFmtId="164" fontId="1" fillId="0" borderId="0" xfId="17" applyNumberFormat="1" applyFont="1" applyFill="1"/>
    <xf numFmtId="43" fontId="1" fillId="0" borderId="0" xfId="17" applyFont="1" applyFill="1"/>
    <xf numFmtId="164" fontId="1" fillId="0" borderId="0" xfId="17" quotePrefix="1" applyNumberFormat="1" applyFont="1" applyFill="1" applyAlignment="1">
      <alignment horizontal="left"/>
    </xf>
    <xf numFmtId="0" fontId="1" fillId="0" borderId="0" xfId="22"/>
    <xf numFmtId="41" fontId="1" fillId="0" borderId="0" xfId="22" applyNumberFormat="1"/>
    <xf numFmtId="166" fontId="1" fillId="0" borderId="0" xfId="22" applyNumberFormat="1"/>
    <xf numFmtId="0" fontId="1" fillId="0" borderId="0" xfId="22" applyFont="1"/>
    <xf numFmtId="41" fontId="8" fillId="0" borderId="0" xfId="22" applyNumberFormat="1" applyFont="1"/>
    <xf numFmtId="41" fontId="1" fillId="0" borderId="0" xfId="22" quotePrefix="1" applyNumberFormat="1" applyFont="1" applyAlignment="1">
      <alignment horizontal="left"/>
    </xf>
    <xf numFmtId="41" fontId="1" fillId="0" borderId="0" xfId="22" applyNumberFormat="1" applyFont="1"/>
    <xf numFmtId="164" fontId="1" fillId="0" borderId="0" xfId="1" applyNumberFormat="1"/>
    <xf numFmtId="164" fontId="1" fillId="0" borderId="0" xfId="17" applyNumberFormat="1" applyFont="1" applyFill="1"/>
    <xf numFmtId="43" fontId="1" fillId="0" borderId="0" xfId="17" applyFont="1" applyFill="1"/>
    <xf numFmtId="164" fontId="1" fillId="0" borderId="0" xfId="17" quotePrefix="1" applyNumberFormat="1" applyFont="1" applyFill="1" applyAlignment="1">
      <alignment horizontal="left"/>
    </xf>
    <xf numFmtId="0" fontId="1" fillId="0" borderId="0" xfId="22"/>
    <xf numFmtId="41" fontId="1" fillId="0" borderId="0" xfId="22" applyNumberFormat="1"/>
    <xf numFmtId="166" fontId="1" fillId="0" borderId="0" xfId="22" applyNumberFormat="1"/>
    <xf numFmtId="0" fontId="1" fillId="0" borderId="0" xfId="22" applyFont="1"/>
    <xf numFmtId="41" fontId="8" fillId="0" borderId="0" xfId="22" applyNumberFormat="1" applyFont="1"/>
    <xf numFmtId="41" fontId="1" fillId="0" borderId="0" xfId="22" quotePrefix="1" applyNumberFormat="1" applyFont="1" applyAlignment="1">
      <alignment horizontal="left"/>
    </xf>
    <xf numFmtId="41" fontId="1" fillId="0" borderId="0" xfId="22" applyNumberFormat="1" applyFont="1"/>
    <xf numFmtId="164" fontId="1" fillId="0" borderId="0" xfId="22" applyNumberFormat="1"/>
  </cellXfs>
  <cellStyles count="23">
    <cellStyle name="Comma" xfId="1" builtinId="3"/>
    <cellStyle name="Comma 2" xfId="2" xr:uid="{00000000-0005-0000-0000-000001000000}"/>
    <cellStyle name="Comma 2 2" xfId="3" xr:uid="{00000000-0005-0000-0000-000002000000}"/>
    <cellStyle name="Comma 2 2 2" xfId="17" xr:uid="{5740407B-D43D-46B0-9C3C-163185698774}"/>
    <cellStyle name="Comma 2 2 3" xfId="10" xr:uid="{E0E37184-2CDD-4C8A-B80B-AB228164348E}"/>
    <cellStyle name="Comma 2 3" xfId="16" xr:uid="{9D6F4BE4-1D53-4FA4-8970-B031D17BC395}"/>
    <cellStyle name="Comma 2 4" xfId="9" xr:uid="{698F4DA1-0D87-4CBC-9265-FEE765116249}"/>
    <cellStyle name="Comma 3" xfId="4" xr:uid="{00000000-0005-0000-0000-000003000000}"/>
    <cellStyle name="Comma 3 2" xfId="5" xr:uid="{00000000-0005-0000-0000-000004000000}"/>
    <cellStyle name="Comma 3 2 2" xfId="19" xr:uid="{42213CAE-C1F3-441F-A3B2-56CC3846C048}"/>
    <cellStyle name="Comma 3 2 3" xfId="12" xr:uid="{25F9B1E1-18BE-4FDF-BF24-BBFDD62D0AD3}"/>
    <cellStyle name="Comma 3 3" xfId="18" xr:uid="{17974828-A2E7-484A-BD47-CFA8FBCBED51}"/>
    <cellStyle name="Comma 3 4" xfId="11" xr:uid="{7FF079E2-3B0D-4D64-9B5A-ACB9A26A49B1}"/>
    <cellStyle name="Comma 4" xfId="6" xr:uid="{00000000-0005-0000-0000-000005000000}"/>
    <cellStyle name="Comma 4 2" xfId="20" xr:uid="{2F7DD943-6D34-4307-85A5-F05130A0B32D}"/>
    <cellStyle name="Comma 4 3" xfId="13" xr:uid="{43608D20-D02D-4530-83DE-87EE74AD2B09}"/>
    <cellStyle name="Comma 5" xfId="7" xr:uid="{00000000-0005-0000-0000-000006000000}"/>
    <cellStyle name="Comma 5 2" xfId="21" xr:uid="{3C06890D-74C8-4E45-BDF9-7C6DAF1CB8AB}"/>
    <cellStyle name="Comma 5 3" xfId="14" xr:uid="{C64E55E8-0A7C-4DFA-932F-D4D04DE04DD4}"/>
    <cellStyle name="Normal" xfId="0" builtinId="0"/>
    <cellStyle name="Normal 2" xfId="8" xr:uid="{00000000-0005-0000-0000-000008000000}"/>
    <cellStyle name="Normal 2 2" xfId="22" xr:uid="{5D6CD6A9-07A9-4179-B9F5-8A7C65D57FA5}"/>
    <cellStyle name="Normal 2 3" xfId="15" xr:uid="{ED281BC8-8961-40D2-813A-B6CD7F6E9DC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tabSelected="1"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" customWidth="1"/>
    <col min="4" max="4" width="14.28515625" bestFit="1" customWidth="1"/>
    <col min="5" max="5" width="17.1406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10</v>
      </c>
      <c r="O4" s="14"/>
    </row>
    <row r="5" spans="1:16" x14ac:dyDescent="0.2">
      <c r="A5" s="9" t="s">
        <v>9</v>
      </c>
    </row>
    <row r="6" spans="1:16" x14ac:dyDescent="0.2">
      <c r="A6" s="11" t="s">
        <v>12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8379248</v>
      </c>
    </row>
    <row r="10" spans="1:16" x14ac:dyDescent="0.2">
      <c r="A10" s="31">
        <v>44629</v>
      </c>
      <c r="C10" s="7">
        <v>96533408</v>
      </c>
      <c r="D10" s="15">
        <v>184718</v>
      </c>
      <c r="E10" s="10">
        <f t="shared" ref="E10:E15" si="0">327638.79</f>
        <v>327638.78999999998</v>
      </c>
      <c r="F10" s="10">
        <f t="shared" ref="F10:F15" si="1">491551.44</f>
        <v>491551.44</v>
      </c>
      <c r="G10" s="7">
        <f t="shared" ref="G10:G15" si="2">E10-D10</f>
        <v>142920.78999999998</v>
      </c>
      <c r="H10" s="7">
        <f t="shared" ref="H10:H15" si="3">F10-D10</f>
        <v>306833.44</v>
      </c>
      <c r="I10" s="8">
        <v>0.21</v>
      </c>
      <c r="J10" s="8">
        <v>0.05</v>
      </c>
      <c r="K10" s="7">
        <f t="shared" ref="K10:K15" si="4">G10*I10-L10*I10-25.4</f>
        <v>26766.214779999991</v>
      </c>
      <c r="L10" s="7">
        <f t="shared" ref="L10:L15" si="5">H10*J10</f>
        <v>15341.672</v>
      </c>
      <c r="M10" s="7">
        <f t="shared" ref="M10:M15" si="6">M9+K10+L10</f>
        <v>8421355.8867799994</v>
      </c>
      <c r="N10" s="7">
        <v>0</v>
      </c>
      <c r="O10" s="17"/>
      <c r="P10" s="18"/>
    </row>
    <row r="11" spans="1:16" x14ac:dyDescent="0.2">
      <c r="A11" s="31">
        <v>44652</v>
      </c>
      <c r="C11" s="7">
        <v>96533408</v>
      </c>
      <c r="D11" s="15">
        <v>184718</v>
      </c>
      <c r="E11" s="10">
        <f t="shared" si="0"/>
        <v>327638.78999999998</v>
      </c>
      <c r="F11" s="10">
        <f t="shared" si="1"/>
        <v>491551.44</v>
      </c>
      <c r="G11" s="7">
        <f t="shared" si="2"/>
        <v>142920.78999999998</v>
      </c>
      <c r="H11" s="7">
        <f t="shared" si="3"/>
        <v>306833.44</v>
      </c>
      <c r="I11" s="8">
        <v>0.21</v>
      </c>
      <c r="J11" s="8">
        <v>0.05</v>
      </c>
      <c r="K11" s="35">
        <f t="shared" si="4"/>
        <v>26766.214779999991</v>
      </c>
      <c r="L11" s="7">
        <f t="shared" si="5"/>
        <v>15341.672</v>
      </c>
      <c r="M11" s="23">
        <f t="shared" si="6"/>
        <v>8463463.7735599987</v>
      </c>
      <c r="N11" s="7">
        <v>0</v>
      </c>
      <c r="O11" s="17"/>
      <c r="P11" s="18"/>
    </row>
    <row r="12" spans="1:16" x14ac:dyDescent="0.2">
      <c r="A12" s="31">
        <v>44682</v>
      </c>
      <c r="C12" s="7">
        <v>96533408</v>
      </c>
      <c r="D12" s="15">
        <v>184718</v>
      </c>
      <c r="E12" s="10">
        <f t="shared" si="0"/>
        <v>327638.78999999998</v>
      </c>
      <c r="F12" s="10">
        <f t="shared" si="1"/>
        <v>491551.44</v>
      </c>
      <c r="G12" s="7">
        <f t="shared" si="2"/>
        <v>142920.78999999998</v>
      </c>
      <c r="H12" s="7">
        <f t="shared" si="3"/>
        <v>306833.44</v>
      </c>
      <c r="I12" s="8">
        <v>0.21</v>
      </c>
      <c r="J12" s="8">
        <v>0.05</v>
      </c>
      <c r="K12" s="35">
        <f t="shared" si="4"/>
        <v>26766.214779999991</v>
      </c>
      <c r="L12" s="7">
        <f t="shared" si="5"/>
        <v>15341.672</v>
      </c>
      <c r="M12" s="7">
        <f t="shared" si="6"/>
        <v>8505571.6603399981</v>
      </c>
      <c r="N12" s="7">
        <v>0</v>
      </c>
      <c r="O12" s="22"/>
      <c r="P12" s="18"/>
    </row>
    <row r="13" spans="1:16" x14ac:dyDescent="0.2">
      <c r="A13" s="31">
        <v>44713</v>
      </c>
      <c r="C13" s="7">
        <v>96533408</v>
      </c>
      <c r="D13" s="15">
        <v>184718</v>
      </c>
      <c r="E13" s="10">
        <f t="shared" si="0"/>
        <v>327638.78999999998</v>
      </c>
      <c r="F13" s="10">
        <f t="shared" si="1"/>
        <v>491551.44</v>
      </c>
      <c r="G13" s="7">
        <f t="shared" si="2"/>
        <v>142920.78999999998</v>
      </c>
      <c r="H13" s="7">
        <f t="shared" si="3"/>
        <v>306833.44</v>
      </c>
      <c r="I13" s="8">
        <v>0.21</v>
      </c>
      <c r="J13" s="8">
        <v>0.05</v>
      </c>
      <c r="K13" s="35">
        <f t="shared" si="4"/>
        <v>26766.214779999991</v>
      </c>
      <c r="L13" s="7">
        <f t="shared" si="5"/>
        <v>15341.672</v>
      </c>
      <c r="M13" s="7">
        <f t="shared" si="6"/>
        <v>8547679.5471199974</v>
      </c>
      <c r="N13" s="7">
        <v>0</v>
      </c>
      <c r="O13" s="22"/>
      <c r="P13" s="18"/>
    </row>
    <row r="14" spans="1:16" x14ac:dyDescent="0.2">
      <c r="A14" s="31">
        <v>44743</v>
      </c>
      <c r="C14" s="7">
        <v>96533408</v>
      </c>
      <c r="D14" s="15">
        <v>184717.5</v>
      </c>
      <c r="E14" s="10">
        <f t="shared" si="0"/>
        <v>327638.78999999998</v>
      </c>
      <c r="F14" s="10">
        <f t="shared" si="1"/>
        <v>491551.44</v>
      </c>
      <c r="G14" s="7">
        <f t="shared" si="2"/>
        <v>142921.28999999998</v>
      </c>
      <c r="H14" s="7">
        <f t="shared" si="3"/>
        <v>306833.94</v>
      </c>
      <c r="I14" s="8">
        <v>0.21</v>
      </c>
      <c r="J14" s="8">
        <v>0.05</v>
      </c>
      <c r="K14" s="35">
        <f t="shared" si="4"/>
        <v>26766.314529999992</v>
      </c>
      <c r="L14" s="7">
        <f t="shared" si="5"/>
        <v>15341.697</v>
      </c>
      <c r="M14" s="7">
        <f t="shared" si="6"/>
        <v>8589787.5586499982</v>
      </c>
      <c r="N14" s="7">
        <v>0</v>
      </c>
      <c r="O14" s="7"/>
      <c r="P14" s="18"/>
    </row>
    <row r="15" spans="1:16" x14ac:dyDescent="0.2">
      <c r="A15" s="31">
        <v>44774</v>
      </c>
      <c r="C15" s="7">
        <v>96533408</v>
      </c>
      <c r="D15" s="15">
        <v>184717.5</v>
      </c>
      <c r="E15" s="10">
        <f t="shared" si="0"/>
        <v>327638.78999999998</v>
      </c>
      <c r="F15" s="10">
        <f t="shared" si="1"/>
        <v>491551.44</v>
      </c>
      <c r="G15" s="7">
        <f t="shared" si="2"/>
        <v>142921.28999999998</v>
      </c>
      <c r="H15" s="7">
        <f t="shared" si="3"/>
        <v>306833.94</v>
      </c>
      <c r="I15" s="8">
        <v>0.21</v>
      </c>
      <c r="J15" s="8">
        <v>0.05</v>
      </c>
      <c r="K15" s="35">
        <f t="shared" si="4"/>
        <v>26766.314529999992</v>
      </c>
      <c r="L15" s="7">
        <f t="shared" si="5"/>
        <v>15341.697</v>
      </c>
      <c r="M15" s="7">
        <f t="shared" si="6"/>
        <v>8631895.5701799989</v>
      </c>
      <c r="N15" s="7">
        <v>0</v>
      </c>
      <c r="P15" s="18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47" t="s">
        <v>43</v>
      </c>
      <c r="D17" s="35"/>
      <c r="E17" s="35"/>
      <c r="F17" s="35"/>
      <c r="G17" s="35"/>
      <c r="H17" s="35"/>
      <c r="I17" s="35"/>
      <c r="J17" s="35"/>
      <c r="K17" s="35"/>
      <c r="L17" s="7"/>
      <c r="M17" s="7"/>
      <c r="N17" s="7"/>
    </row>
    <row r="18" spans="1:14" x14ac:dyDescent="0.2">
      <c r="A18" s="16"/>
      <c r="C18" s="35"/>
      <c r="D18" s="35"/>
      <c r="E18" s="35"/>
      <c r="F18" s="35"/>
      <c r="G18" s="35"/>
      <c r="H18" s="35"/>
      <c r="I18" s="35"/>
      <c r="J18" s="35"/>
      <c r="K18" s="35"/>
      <c r="L18" s="7"/>
      <c r="M18" s="7"/>
      <c r="N18" s="7"/>
    </row>
    <row r="19" spans="1:14" x14ac:dyDescent="0.2">
      <c r="C19" s="43" t="s">
        <v>36</v>
      </c>
      <c r="D19" s="34"/>
      <c r="E19" s="34"/>
      <c r="F19" s="34"/>
      <c r="G19" s="34"/>
      <c r="H19" s="34"/>
      <c r="I19" s="34"/>
      <c r="J19" s="34"/>
      <c r="K19" s="34"/>
    </row>
    <row r="20" spans="1:14" x14ac:dyDescent="0.2">
      <c r="C20" s="43" t="s">
        <v>23</v>
      </c>
      <c r="D20" s="34"/>
      <c r="E20" s="34"/>
      <c r="F20" s="34"/>
      <c r="G20" s="34"/>
      <c r="H20" s="34"/>
      <c r="I20" s="34"/>
      <c r="J20" s="34"/>
      <c r="K20" s="34"/>
    </row>
    <row r="21" spans="1:14" x14ac:dyDescent="0.2">
      <c r="C21" s="43" t="s">
        <v>45</v>
      </c>
      <c r="D21" s="34"/>
      <c r="E21" s="34"/>
      <c r="F21" s="34"/>
      <c r="G21" s="34"/>
      <c r="H21" s="34"/>
      <c r="I21" s="34"/>
      <c r="J21" s="34"/>
      <c r="K21" s="34"/>
    </row>
    <row r="22" spans="1:14" x14ac:dyDescent="0.2">
      <c r="C22" s="35" t="s">
        <v>24</v>
      </c>
      <c r="D22" s="34"/>
      <c r="E22" s="34"/>
      <c r="F22" s="34"/>
      <c r="G22" s="34"/>
      <c r="H22" s="34"/>
      <c r="I22" s="34"/>
      <c r="J22" s="34"/>
      <c r="K22" s="34"/>
    </row>
    <row r="24" spans="1:14" x14ac:dyDescent="0.2">
      <c r="C24" s="35" t="s">
        <v>25</v>
      </c>
      <c r="D24" s="42" t="s">
        <v>26</v>
      </c>
      <c r="E24" s="41" t="s">
        <v>27</v>
      </c>
      <c r="F24" s="35" t="s">
        <v>28</v>
      </c>
      <c r="G24" s="36" t="s">
        <v>19</v>
      </c>
      <c r="H24" s="35" t="s">
        <v>29</v>
      </c>
      <c r="I24" s="34"/>
      <c r="J24" s="34"/>
      <c r="K24" s="34"/>
    </row>
    <row r="25" spans="1:14" x14ac:dyDescent="0.2">
      <c r="C25" s="35">
        <v>1880068.145</v>
      </c>
      <c r="D25" s="35">
        <v>184718</v>
      </c>
      <c r="E25" s="35">
        <v>7084.72</v>
      </c>
      <c r="F25" s="35">
        <f>-D25+E25</f>
        <v>-177633.28</v>
      </c>
      <c r="G25" s="36">
        <v>0.21</v>
      </c>
      <c r="H25" s="35">
        <f>F25*G25</f>
        <v>-37302.988799999999</v>
      </c>
      <c r="I25" s="34"/>
      <c r="J25" s="34"/>
      <c r="K25" s="34"/>
    </row>
    <row r="26" spans="1:14" x14ac:dyDescent="0.2">
      <c r="C26" s="35">
        <v>184335</v>
      </c>
      <c r="D26" s="35"/>
      <c r="E26" s="35">
        <v>877.59</v>
      </c>
      <c r="F26" s="35">
        <f>E26</f>
        <v>877.59</v>
      </c>
      <c r="G26" s="36">
        <v>0.21</v>
      </c>
      <c r="H26" s="35">
        <f t="shared" ref="H26:H33" si="7">F26*G26</f>
        <v>184.29390000000001</v>
      </c>
      <c r="I26" s="34"/>
      <c r="J26" s="34"/>
      <c r="K26" s="34"/>
    </row>
    <row r="27" spans="1:14" x14ac:dyDescent="0.2">
      <c r="C27" s="35">
        <v>36765919</v>
      </c>
      <c r="D27" s="35"/>
      <c r="E27" s="35">
        <v>189252.57</v>
      </c>
      <c r="F27" s="35">
        <f t="shared" ref="F27:F33" si="8">E27</f>
        <v>189252.57</v>
      </c>
      <c r="G27" s="36">
        <v>0.21</v>
      </c>
      <c r="H27" s="35">
        <f t="shared" si="7"/>
        <v>39743.039700000001</v>
      </c>
      <c r="I27" s="34"/>
      <c r="J27" s="34"/>
      <c r="K27" s="34"/>
    </row>
    <row r="28" spans="1:14" x14ac:dyDescent="0.2">
      <c r="C28" s="35">
        <v>570444</v>
      </c>
      <c r="D28" s="35"/>
      <c r="E28" s="35"/>
      <c r="F28" s="35">
        <f t="shared" si="8"/>
        <v>0</v>
      </c>
      <c r="G28" s="36">
        <v>0.21</v>
      </c>
      <c r="H28" s="35">
        <f t="shared" si="7"/>
        <v>0</v>
      </c>
      <c r="I28" s="34"/>
      <c r="J28" s="34"/>
      <c r="K28" s="34"/>
    </row>
    <row r="29" spans="1:14" x14ac:dyDescent="0.2">
      <c r="C29" s="35">
        <v>209122</v>
      </c>
      <c r="D29" s="35"/>
      <c r="E29" s="35">
        <v>1076.45</v>
      </c>
      <c r="F29" s="35">
        <f t="shared" si="8"/>
        <v>1076.45</v>
      </c>
      <c r="G29" s="36">
        <v>0.21</v>
      </c>
      <c r="H29" s="35">
        <f t="shared" si="7"/>
        <v>226.05449999999999</v>
      </c>
      <c r="I29" s="34"/>
      <c r="J29" s="34"/>
      <c r="K29" s="34"/>
    </row>
    <row r="30" spans="1:14" x14ac:dyDescent="0.2">
      <c r="C30" s="35">
        <v>5510178</v>
      </c>
      <c r="D30" s="35"/>
      <c r="E30" s="35"/>
      <c r="F30" s="35">
        <f t="shared" si="8"/>
        <v>0</v>
      </c>
      <c r="G30" s="36">
        <v>0.21</v>
      </c>
      <c r="H30" s="35">
        <f t="shared" si="7"/>
        <v>0</v>
      </c>
      <c r="I30" s="34"/>
      <c r="J30" s="34"/>
      <c r="K30" s="34"/>
    </row>
    <row r="31" spans="1:14" x14ac:dyDescent="0.2">
      <c r="C31" s="35">
        <v>20738213</v>
      </c>
      <c r="D31" s="35"/>
      <c r="E31" s="38">
        <v>115390.87</v>
      </c>
      <c r="F31" s="35">
        <f t="shared" si="8"/>
        <v>115390.87</v>
      </c>
      <c r="G31" s="36">
        <v>0.21</v>
      </c>
      <c r="H31" s="35">
        <f t="shared" si="7"/>
        <v>24232.082699999999</v>
      </c>
      <c r="I31" s="34"/>
      <c r="J31" s="34"/>
      <c r="K31" s="34"/>
    </row>
    <row r="32" spans="1:14" x14ac:dyDescent="0.2">
      <c r="C32" s="35">
        <v>1400</v>
      </c>
      <c r="D32" s="35"/>
      <c r="E32" s="38">
        <v>7.79</v>
      </c>
      <c r="F32" s="35">
        <f t="shared" si="8"/>
        <v>7.79</v>
      </c>
      <c r="G32" s="36">
        <v>0.21</v>
      </c>
      <c r="H32" s="35">
        <f t="shared" si="7"/>
        <v>1.6358999999999999</v>
      </c>
      <c r="I32" s="34"/>
      <c r="J32" s="34"/>
      <c r="K32" s="34"/>
    </row>
    <row r="33" spans="3:9" ht="15" x14ac:dyDescent="0.35">
      <c r="C33" s="35">
        <v>2506896</v>
      </c>
      <c r="D33" s="35"/>
      <c r="E33" s="39">
        <v>13948.79</v>
      </c>
      <c r="F33" s="39">
        <f t="shared" si="8"/>
        <v>13948.79</v>
      </c>
      <c r="G33" s="44">
        <v>0.21</v>
      </c>
      <c r="H33" s="39">
        <f t="shared" si="7"/>
        <v>2929.2458999999999</v>
      </c>
      <c r="I33" s="34"/>
    </row>
    <row r="34" spans="3:9" x14ac:dyDescent="0.2">
      <c r="C34" s="35"/>
      <c r="D34" s="35"/>
      <c r="E34" s="35">
        <f>SUM(E25:E33)</f>
        <v>327638.77999999997</v>
      </c>
      <c r="F34" s="35">
        <f>SUM(F25:F33)</f>
        <v>142920.78</v>
      </c>
      <c r="G34" s="44" t="s">
        <v>34</v>
      </c>
      <c r="H34" s="35">
        <f>SUM(H25:H33)</f>
        <v>30013.363799999999</v>
      </c>
      <c r="I34" s="34"/>
    </row>
    <row r="35" spans="3:9" ht="15" x14ac:dyDescent="0.35">
      <c r="C35" s="34"/>
      <c r="D35" s="34"/>
      <c r="E35" s="34"/>
      <c r="F35" s="34"/>
      <c r="G35" s="37" t="s">
        <v>35</v>
      </c>
      <c r="H35" s="39">
        <f>-H47*0.21</f>
        <v>-3221.7511200000004</v>
      </c>
      <c r="I35" s="34"/>
    </row>
    <row r="36" spans="3:9" x14ac:dyDescent="0.2">
      <c r="C36" s="34"/>
      <c r="D36" s="34"/>
      <c r="E36" s="34"/>
      <c r="F36" s="34"/>
      <c r="G36" s="34"/>
      <c r="H36" s="35">
        <f>H34+H35</f>
        <v>26791.612679999998</v>
      </c>
      <c r="I36" s="34"/>
    </row>
    <row r="37" spans="3:9" x14ac:dyDescent="0.2">
      <c r="C37" s="34"/>
      <c r="D37" s="34"/>
      <c r="E37" s="34"/>
      <c r="F37" s="34"/>
      <c r="G37" s="34"/>
      <c r="H37" s="35">
        <f>H36-K15</f>
        <v>25.29815000000599</v>
      </c>
      <c r="I37" s="46" t="s">
        <v>44</v>
      </c>
    </row>
    <row r="38" spans="3:9" x14ac:dyDescent="0.2">
      <c r="C38" s="35" t="s">
        <v>30</v>
      </c>
      <c r="D38" s="40" t="s">
        <v>26</v>
      </c>
      <c r="E38" s="41" t="s">
        <v>31</v>
      </c>
      <c r="F38" s="35" t="s">
        <v>32</v>
      </c>
      <c r="G38" s="36" t="s">
        <v>20</v>
      </c>
      <c r="H38" s="35" t="s">
        <v>33</v>
      </c>
      <c r="I38" s="34"/>
    </row>
    <row r="39" spans="3:9" x14ac:dyDescent="0.2">
      <c r="C39" s="35">
        <v>3760136.29</v>
      </c>
      <c r="D39" s="35">
        <v>184718</v>
      </c>
      <c r="E39" s="35">
        <v>14169.45</v>
      </c>
      <c r="F39" s="35">
        <f>-D39+E39</f>
        <v>-170548.55</v>
      </c>
      <c r="G39" s="36">
        <v>0.05</v>
      </c>
      <c r="H39" s="35">
        <f>F39*G39</f>
        <v>-8527.4274999999998</v>
      </c>
      <c r="I39" s="34"/>
    </row>
    <row r="40" spans="3:9" x14ac:dyDescent="0.2">
      <c r="C40" s="35">
        <v>184335</v>
      </c>
      <c r="D40" s="35"/>
      <c r="E40" s="35">
        <v>877.59</v>
      </c>
      <c r="F40" s="35">
        <f>E40</f>
        <v>877.59</v>
      </c>
      <c r="G40" s="36">
        <v>0.05</v>
      </c>
      <c r="H40" s="35">
        <f t="shared" ref="H40:H46" si="9">F40*G40</f>
        <v>43.879500000000007</v>
      </c>
      <c r="I40" s="34"/>
    </row>
    <row r="41" spans="3:9" x14ac:dyDescent="0.2">
      <c r="C41" s="45">
        <v>61276531.409999996</v>
      </c>
      <c r="D41" s="35"/>
      <c r="E41" s="35">
        <v>315420.95</v>
      </c>
      <c r="F41" s="35">
        <f t="shared" ref="F41:F46" si="10">E41</f>
        <v>315420.95</v>
      </c>
      <c r="G41" s="36">
        <v>0.05</v>
      </c>
      <c r="H41" s="35">
        <f t="shared" si="9"/>
        <v>15771.047500000001</v>
      </c>
      <c r="I41" s="34"/>
    </row>
    <row r="42" spans="3:9" x14ac:dyDescent="0.2">
      <c r="C42" s="45">
        <v>570444</v>
      </c>
      <c r="D42" s="35"/>
      <c r="E42" s="35"/>
      <c r="F42" s="35">
        <f t="shared" si="10"/>
        <v>0</v>
      </c>
      <c r="G42" s="36">
        <v>0.05</v>
      </c>
      <c r="H42" s="35">
        <f t="shared" si="9"/>
        <v>0</v>
      </c>
      <c r="I42" s="34"/>
    </row>
    <row r="43" spans="3:9" x14ac:dyDescent="0.2">
      <c r="C43" s="35">
        <v>209122</v>
      </c>
      <c r="D43" s="35"/>
      <c r="E43" s="35">
        <v>1076.45</v>
      </c>
      <c r="F43" s="35">
        <f t="shared" si="10"/>
        <v>1076.45</v>
      </c>
      <c r="G43" s="36">
        <v>0.05</v>
      </c>
      <c r="H43" s="35">
        <f t="shared" si="9"/>
        <v>53.822500000000005</v>
      </c>
      <c r="I43" s="34"/>
    </row>
    <row r="44" spans="3:9" x14ac:dyDescent="0.2">
      <c r="C44" s="35">
        <v>26248391</v>
      </c>
      <c r="D44" s="35"/>
      <c r="E44" s="38">
        <v>146050.42000000001</v>
      </c>
      <c r="F44" s="35">
        <f t="shared" si="10"/>
        <v>146050.42000000001</v>
      </c>
      <c r="G44" s="36">
        <v>0.05</v>
      </c>
      <c r="H44" s="35">
        <f t="shared" si="9"/>
        <v>7302.5210000000006</v>
      </c>
      <c r="I44" s="34"/>
    </row>
    <row r="45" spans="3:9" x14ac:dyDescent="0.2">
      <c r="C45" s="35">
        <v>1400</v>
      </c>
      <c r="D45" s="35"/>
      <c r="E45" s="38">
        <v>7.79</v>
      </c>
      <c r="F45" s="35">
        <f t="shared" si="10"/>
        <v>7.79</v>
      </c>
      <c r="G45" s="36">
        <v>0.05</v>
      </c>
      <c r="H45" s="35">
        <f t="shared" si="9"/>
        <v>0.38950000000000001</v>
      </c>
      <c r="I45" s="34"/>
    </row>
    <row r="46" spans="3:9" ht="15" x14ac:dyDescent="0.35">
      <c r="C46" s="35">
        <v>2506896</v>
      </c>
      <c r="D46" s="35"/>
      <c r="E46" s="39">
        <v>13948.79</v>
      </c>
      <c r="F46" s="39">
        <f t="shared" si="10"/>
        <v>13948.79</v>
      </c>
      <c r="G46" s="44">
        <v>0.05</v>
      </c>
      <c r="H46" s="39">
        <f t="shared" si="9"/>
        <v>697.43950000000007</v>
      </c>
      <c r="I46" s="34"/>
    </row>
    <row r="47" spans="3:9" x14ac:dyDescent="0.2">
      <c r="C47" s="35"/>
      <c r="D47" s="35"/>
      <c r="E47" s="35">
        <f>SUM(E39:E46)</f>
        <v>491551.43999999994</v>
      </c>
      <c r="F47" s="35">
        <f>SUM(F39:F46)</f>
        <v>306833.44</v>
      </c>
      <c r="G47" s="44"/>
      <c r="H47" s="35">
        <f>SUM(H39:H46)</f>
        <v>15341.672000000002</v>
      </c>
      <c r="I47" s="34"/>
    </row>
    <row r="48" spans="3:9" x14ac:dyDescent="0.2">
      <c r="C48" s="34"/>
      <c r="D48" s="34"/>
      <c r="E48" s="34"/>
      <c r="F48" s="34"/>
      <c r="G48" s="34"/>
      <c r="H48" s="35">
        <f>H47-L15</f>
        <v>-2.4999999997817213E-2</v>
      </c>
      <c r="I48" s="34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1 of 6
Clements</oddHead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P35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7109375" customWidth="1"/>
    <col min="4" max="4" width="14.28515625" bestFit="1" customWidth="1"/>
    <col min="5" max="5" width="16.7109375" customWidth="1"/>
    <col min="6" max="6" width="1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9</v>
      </c>
    </row>
    <row r="6" spans="1:16" x14ac:dyDescent="0.2">
      <c r="A6" s="11" t="s">
        <v>11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894371</v>
      </c>
    </row>
    <row r="10" spans="1:16" x14ac:dyDescent="0.2">
      <c r="A10" s="31">
        <v>44629</v>
      </c>
      <c r="C10" s="7">
        <v>4193823</v>
      </c>
      <c r="D10" s="15">
        <v>7836</v>
      </c>
      <c r="E10" s="10">
        <f t="shared" ref="E10:E15" si="0">7794.88</f>
        <v>7794.88</v>
      </c>
      <c r="F10" s="10">
        <f t="shared" ref="F10:F15" si="1">15589.75</f>
        <v>15589.75</v>
      </c>
      <c r="G10" s="7">
        <f t="shared" ref="G10:G15" si="2">E10-D10</f>
        <v>-41.119999999999891</v>
      </c>
      <c r="H10" s="7">
        <f t="shared" ref="H10:H15" si="3">F10-D10</f>
        <v>7753.75</v>
      </c>
      <c r="I10" s="8">
        <v>0.21</v>
      </c>
      <c r="J10" s="8">
        <v>0.05</v>
      </c>
      <c r="K10" s="7">
        <f t="shared" ref="K10:K15" si="4">G10*I10-L10*I10-5.68</f>
        <v>-95.729574999999983</v>
      </c>
      <c r="L10" s="7">
        <f t="shared" ref="L10:L15" si="5">H10*J10</f>
        <v>387.6875</v>
      </c>
      <c r="M10" s="7">
        <f t="shared" ref="M10:M15" si="6">M9+K10+L10</f>
        <v>894662.957925</v>
      </c>
      <c r="N10" s="7">
        <v>0</v>
      </c>
      <c r="O10" s="19"/>
      <c r="P10" s="18"/>
    </row>
    <row r="11" spans="1:16" x14ac:dyDescent="0.2">
      <c r="A11" s="31">
        <v>44652</v>
      </c>
      <c r="C11" s="7">
        <v>4193823</v>
      </c>
      <c r="D11" s="15">
        <v>7836</v>
      </c>
      <c r="E11" s="50">
        <f t="shared" si="0"/>
        <v>7794.88</v>
      </c>
      <c r="F11" s="10">
        <f t="shared" si="1"/>
        <v>15589.75</v>
      </c>
      <c r="G11" s="7">
        <f t="shared" si="2"/>
        <v>-41.119999999999891</v>
      </c>
      <c r="H11" s="7">
        <f t="shared" si="3"/>
        <v>7753.75</v>
      </c>
      <c r="I11" s="8">
        <v>0.21</v>
      </c>
      <c r="J11" s="8">
        <v>0.05</v>
      </c>
      <c r="K11" s="35">
        <f t="shared" si="4"/>
        <v>-95.729574999999983</v>
      </c>
      <c r="L11" s="7">
        <f t="shared" si="5"/>
        <v>387.6875</v>
      </c>
      <c r="M11" s="7">
        <f t="shared" si="6"/>
        <v>894954.91584999999</v>
      </c>
      <c r="N11" s="7">
        <v>0</v>
      </c>
      <c r="O11" s="20"/>
      <c r="P11" s="18"/>
    </row>
    <row r="12" spans="1:16" x14ac:dyDescent="0.2">
      <c r="A12" s="31">
        <v>44682</v>
      </c>
      <c r="C12" s="7">
        <v>4193823</v>
      </c>
      <c r="D12" s="15">
        <v>7836</v>
      </c>
      <c r="E12" s="50">
        <f t="shared" si="0"/>
        <v>7794.88</v>
      </c>
      <c r="F12" s="10">
        <f t="shared" si="1"/>
        <v>15589.75</v>
      </c>
      <c r="G12" s="7">
        <f t="shared" si="2"/>
        <v>-41.119999999999891</v>
      </c>
      <c r="H12" s="7">
        <f t="shared" si="3"/>
        <v>7753.75</v>
      </c>
      <c r="I12" s="8">
        <v>0.21</v>
      </c>
      <c r="J12" s="8">
        <v>0.05</v>
      </c>
      <c r="K12" s="35">
        <f t="shared" si="4"/>
        <v>-95.729574999999983</v>
      </c>
      <c r="L12" s="7">
        <f t="shared" si="5"/>
        <v>387.6875</v>
      </c>
      <c r="M12" s="7">
        <f t="shared" si="6"/>
        <v>895246.87377499999</v>
      </c>
      <c r="N12" s="7">
        <v>0</v>
      </c>
      <c r="O12" s="17"/>
      <c r="P12" s="18"/>
    </row>
    <row r="13" spans="1:16" x14ac:dyDescent="0.2">
      <c r="A13" s="31">
        <v>44713</v>
      </c>
      <c r="C13" s="7">
        <v>4193823</v>
      </c>
      <c r="D13" s="15">
        <v>7836</v>
      </c>
      <c r="E13" s="50">
        <f t="shared" si="0"/>
        <v>7794.88</v>
      </c>
      <c r="F13" s="10">
        <f t="shared" si="1"/>
        <v>15589.75</v>
      </c>
      <c r="G13" s="7">
        <f t="shared" si="2"/>
        <v>-41.119999999999891</v>
      </c>
      <c r="H13" s="7">
        <f t="shared" si="3"/>
        <v>7753.75</v>
      </c>
      <c r="I13" s="8">
        <v>0.21</v>
      </c>
      <c r="J13" s="8">
        <v>0.05</v>
      </c>
      <c r="K13" s="35">
        <f t="shared" si="4"/>
        <v>-95.729574999999983</v>
      </c>
      <c r="L13" s="7">
        <f t="shared" si="5"/>
        <v>387.6875</v>
      </c>
      <c r="M13" s="7">
        <f t="shared" si="6"/>
        <v>895538.83169999998</v>
      </c>
      <c r="N13" s="7">
        <v>0</v>
      </c>
      <c r="O13" s="21"/>
      <c r="P13" s="18"/>
    </row>
    <row r="14" spans="1:16" x14ac:dyDescent="0.2">
      <c r="A14" s="31">
        <v>44743</v>
      </c>
      <c r="C14" s="7">
        <v>4193823</v>
      </c>
      <c r="D14" s="15">
        <v>7836</v>
      </c>
      <c r="E14" s="50">
        <f t="shared" si="0"/>
        <v>7794.88</v>
      </c>
      <c r="F14" s="10">
        <f t="shared" si="1"/>
        <v>15589.75</v>
      </c>
      <c r="G14" s="7">
        <f t="shared" si="2"/>
        <v>-41.119999999999891</v>
      </c>
      <c r="H14" s="7">
        <f t="shared" si="3"/>
        <v>7753.75</v>
      </c>
      <c r="I14" s="8">
        <v>0.21</v>
      </c>
      <c r="J14" s="8">
        <v>0.05</v>
      </c>
      <c r="K14" s="35">
        <f t="shared" si="4"/>
        <v>-95.729574999999983</v>
      </c>
      <c r="L14" s="7">
        <f t="shared" si="5"/>
        <v>387.6875</v>
      </c>
      <c r="M14" s="7">
        <f t="shared" si="6"/>
        <v>895830.78962499998</v>
      </c>
      <c r="N14" s="7">
        <v>0</v>
      </c>
      <c r="O14" s="21"/>
      <c r="P14" s="18"/>
    </row>
    <row r="15" spans="1:16" x14ac:dyDescent="0.2">
      <c r="A15" s="31">
        <v>44774</v>
      </c>
      <c r="C15" s="7">
        <v>4193823</v>
      </c>
      <c r="D15" s="15">
        <v>7836</v>
      </c>
      <c r="E15" s="50">
        <f t="shared" si="0"/>
        <v>7794.88</v>
      </c>
      <c r="F15" s="10">
        <f t="shared" si="1"/>
        <v>15589.75</v>
      </c>
      <c r="G15" s="7">
        <f t="shared" si="2"/>
        <v>-41.119999999999891</v>
      </c>
      <c r="H15" s="7">
        <f t="shared" si="3"/>
        <v>7753.75</v>
      </c>
      <c r="I15" s="8">
        <v>0.21</v>
      </c>
      <c r="J15" s="8">
        <v>0.05</v>
      </c>
      <c r="K15" s="35">
        <f t="shared" si="4"/>
        <v>-95.729574999999983</v>
      </c>
      <c r="L15" s="7">
        <f t="shared" si="5"/>
        <v>387.6875</v>
      </c>
      <c r="M15" s="7">
        <f t="shared" si="6"/>
        <v>896122.74754999997</v>
      </c>
      <c r="N15" s="7">
        <v>0</v>
      </c>
      <c r="P15" s="18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60" t="s">
        <v>43</v>
      </c>
      <c r="D17" s="49"/>
      <c r="E17" s="49"/>
      <c r="F17" s="49"/>
      <c r="G17" s="49"/>
      <c r="H17" s="49"/>
      <c r="I17" s="49"/>
      <c r="J17" s="49"/>
      <c r="K17" s="49"/>
      <c r="L17" s="7"/>
      <c r="M17" s="7"/>
      <c r="N17" s="7"/>
    </row>
    <row r="18" spans="1:14" x14ac:dyDescent="0.2">
      <c r="A18" s="16"/>
      <c r="C18" s="49"/>
      <c r="D18" s="49"/>
      <c r="E18" s="49"/>
      <c r="F18" s="49"/>
      <c r="G18" s="49"/>
      <c r="H18" s="49"/>
      <c r="I18" s="49"/>
      <c r="J18" s="49"/>
      <c r="K18" s="49"/>
      <c r="L18" s="7"/>
      <c r="M18" s="7"/>
      <c r="N18" s="7"/>
    </row>
    <row r="19" spans="1:14" x14ac:dyDescent="0.2">
      <c r="C19" s="59" t="s">
        <v>37</v>
      </c>
      <c r="D19" s="54"/>
      <c r="E19" s="54"/>
      <c r="F19" s="54"/>
      <c r="G19" s="54"/>
      <c r="H19" s="54"/>
      <c r="I19" s="54"/>
      <c r="J19" s="54"/>
      <c r="K19" s="48"/>
    </row>
    <row r="20" spans="1:14" x14ac:dyDescent="0.2">
      <c r="C20" s="59" t="s">
        <v>23</v>
      </c>
      <c r="D20" s="54"/>
      <c r="E20" s="54"/>
      <c r="F20" s="54"/>
      <c r="G20" s="54"/>
      <c r="H20" s="54"/>
      <c r="I20" s="54"/>
      <c r="J20" s="54"/>
      <c r="K20" s="48"/>
    </row>
    <row r="21" spans="1:14" x14ac:dyDescent="0.2">
      <c r="C21" s="59" t="s">
        <v>45</v>
      </c>
      <c r="D21" s="54"/>
      <c r="E21" s="54"/>
      <c r="F21" s="54"/>
      <c r="G21" s="54"/>
      <c r="H21" s="54"/>
      <c r="I21" s="54"/>
      <c r="J21" s="54"/>
      <c r="K21" s="48"/>
    </row>
    <row r="22" spans="1:14" x14ac:dyDescent="0.2">
      <c r="C22" s="55" t="s">
        <v>24</v>
      </c>
      <c r="D22" s="54"/>
      <c r="E22" s="54"/>
      <c r="F22" s="54"/>
      <c r="G22" s="54"/>
      <c r="H22" s="54"/>
      <c r="I22" s="54"/>
      <c r="J22" s="54"/>
      <c r="K22" s="48"/>
    </row>
    <row r="24" spans="1:14" x14ac:dyDescent="0.2">
      <c r="C24" s="55" t="s">
        <v>25</v>
      </c>
      <c r="D24" s="53" t="s">
        <v>26</v>
      </c>
      <c r="E24" s="52" t="s">
        <v>27</v>
      </c>
      <c r="F24" s="55" t="s">
        <v>28</v>
      </c>
      <c r="G24" s="56" t="s">
        <v>19</v>
      </c>
      <c r="H24" s="55" t="s">
        <v>29</v>
      </c>
      <c r="I24" s="54"/>
      <c r="J24" s="54"/>
      <c r="K24" s="48"/>
    </row>
    <row r="25" spans="1:14" x14ac:dyDescent="0.2">
      <c r="C25" s="55">
        <v>2139710</v>
      </c>
      <c r="D25" s="55">
        <v>7836</v>
      </c>
      <c r="E25" s="55">
        <v>7956.16</v>
      </c>
      <c r="F25" s="55">
        <f>-D25+E25</f>
        <v>120.15999999999985</v>
      </c>
      <c r="G25" s="56">
        <v>0.21</v>
      </c>
      <c r="H25" s="55">
        <f>F25*G25</f>
        <v>25.233599999999967</v>
      </c>
      <c r="I25" s="54"/>
      <c r="J25" s="54"/>
      <c r="K25" s="48"/>
    </row>
    <row r="26" spans="1:14" ht="15" x14ac:dyDescent="0.35">
      <c r="C26" s="55">
        <v>-42798.530000000028</v>
      </c>
      <c r="D26" s="55"/>
      <c r="E26" s="58">
        <v>-161.28</v>
      </c>
      <c r="F26" s="58">
        <f>E26</f>
        <v>-161.28</v>
      </c>
      <c r="G26" s="56">
        <v>0.21</v>
      </c>
      <c r="H26" s="58">
        <f>F26*G26</f>
        <v>-33.8688</v>
      </c>
      <c r="I26" s="54"/>
      <c r="J26" s="54"/>
      <c r="K26" s="48"/>
    </row>
    <row r="27" spans="1:14" x14ac:dyDescent="0.2">
      <c r="C27" s="54"/>
      <c r="D27" s="54"/>
      <c r="E27" s="55">
        <f>SUM(E25:E26)</f>
        <v>7794.88</v>
      </c>
      <c r="F27" s="55">
        <f>SUM(F25:F26)</f>
        <v>-41.120000000000147</v>
      </c>
      <c r="G27" s="57" t="s">
        <v>34</v>
      </c>
      <c r="H27" s="55">
        <f>SUM(H25:H26)</f>
        <v>-8.6352000000000331</v>
      </c>
      <c r="I27" s="54"/>
      <c r="J27" s="54"/>
      <c r="K27" s="48"/>
    </row>
    <row r="28" spans="1:14" ht="15" x14ac:dyDescent="0.35">
      <c r="C28" s="54"/>
      <c r="D28" s="54"/>
      <c r="E28" s="54"/>
      <c r="F28" s="54"/>
      <c r="G28" s="57" t="s">
        <v>35</v>
      </c>
      <c r="H28" s="58">
        <v>-81.414374999999993</v>
      </c>
      <c r="I28" s="54"/>
      <c r="J28" s="54"/>
      <c r="K28" s="48"/>
    </row>
    <row r="29" spans="1:14" x14ac:dyDescent="0.2">
      <c r="C29" s="54"/>
      <c r="D29" s="54"/>
      <c r="E29" s="54"/>
      <c r="F29" s="54"/>
      <c r="G29" s="54"/>
      <c r="H29" s="55">
        <f>H27+H28</f>
        <v>-90.049575000000033</v>
      </c>
      <c r="I29" s="54"/>
      <c r="J29" s="54"/>
      <c r="K29" s="48"/>
    </row>
    <row r="30" spans="1:14" x14ac:dyDescent="0.2">
      <c r="C30" s="54"/>
      <c r="D30" s="54"/>
      <c r="E30" s="54"/>
      <c r="F30" s="54"/>
      <c r="G30" s="54"/>
      <c r="H30" s="55">
        <f>H29-K15</f>
        <v>5.67999999999995</v>
      </c>
      <c r="I30" s="57" t="s">
        <v>44</v>
      </c>
      <c r="J30" s="54"/>
      <c r="K30" s="48"/>
    </row>
    <row r="31" spans="1:14" x14ac:dyDescent="0.2">
      <c r="C31" s="55" t="s">
        <v>30</v>
      </c>
      <c r="D31" s="51" t="s">
        <v>26</v>
      </c>
      <c r="E31" s="52" t="s">
        <v>31</v>
      </c>
      <c r="F31" s="55" t="s">
        <v>32</v>
      </c>
      <c r="G31" s="56" t="s">
        <v>20</v>
      </c>
      <c r="H31" s="55" t="s">
        <v>33</v>
      </c>
      <c r="I31" s="54"/>
      <c r="J31" s="54"/>
      <c r="K31" s="48"/>
    </row>
    <row r="32" spans="1:14" x14ac:dyDescent="0.2">
      <c r="C32" s="55">
        <v>4279420</v>
      </c>
      <c r="D32" s="55">
        <v>7836</v>
      </c>
      <c r="E32" s="55">
        <v>15912.31</v>
      </c>
      <c r="F32" s="55">
        <f>-D32+E32</f>
        <v>8076.3099999999995</v>
      </c>
      <c r="G32" s="56">
        <v>0.05</v>
      </c>
      <c r="H32" s="55">
        <f>F32*G32</f>
        <v>403.81549999999999</v>
      </c>
      <c r="I32" s="54"/>
      <c r="J32" s="54"/>
      <c r="K32" s="48"/>
    </row>
    <row r="33" spans="3:8" ht="15" x14ac:dyDescent="0.35">
      <c r="C33" s="55">
        <v>-85597.060000000056</v>
      </c>
      <c r="D33" s="55"/>
      <c r="E33" s="58">
        <v>-322.56</v>
      </c>
      <c r="F33" s="58">
        <f>E33</f>
        <v>-322.56</v>
      </c>
      <c r="G33" s="56">
        <v>0.05</v>
      </c>
      <c r="H33" s="58">
        <f>F33*G33</f>
        <v>-16.128</v>
      </c>
    </row>
    <row r="34" spans="3:8" x14ac:dyDescent="0.2">
      <c r="C34" s="54"/>
      <c r="D34" s="54"/>
      <c r="E34" s="55">
        <f>SUM(E32:E33)</f>
        <v>15589.75</v>
      </c>
      <c r="F34" s="55">
        <f>SUM(F32:F33)</f>
        <v>7753.7499999999991</v>
      </c>
      <c r="G34" s="54"/>
      <c r="H34" s="55">
        <f>SUM(H32:H33)</f>
        <v>387.6875</v>
      </c>
    </row>
    <row r="35" spans="3:8" x14ac:dyDescent="0.2">
      <c r="C35" s="54"/>
      <c r="D35" s="54"/>
      <c r="E35" s="54"/>
      <c r="F35" s="54"/>
      <c r="G35" s="54"/>
      <c r="H35" s="55">
        <f>H34-L15</f>
        <v>0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2 of 6
Clements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2374E-388D-4C97-8725-60B636E9F3ED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13</v>
      </c>
    </row>
    <row r="6" spans="1:17" x14ac:dyDescent="0.2">
      <c r="A6" s="11" t="s">
        <v>39</v>
      </c>
    </row>
    <row r="7" spans="1:17" x14ac:dyDescent="0.2">
      <c r="Q7" t="s">
        <v>10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2834999</v>
      </c>
    </row>
    <row r="10" spans="1:17" x14ac:dyDescent="0.2">
      <c r="A10" s="31">
        <v>44629</v>
      </c>
      <c r="C10" s="7">
        <v>168126997</v>
      </c>
      <c r="D10" s="15">
        <v>710862</v>
      </c>
      <c r="E10" s="10">
        <f>1208471.38-6342.85</f>
        <v>1202128.5299999998</v>
      </c>
      <c r="F10" s="10">
        <f>1208471.38-6342.85</f>
        <v>1202128.5299999998</v>
      </c>
      <c r="G10" s="7">
        <f>E10-D10</f>
        <v>491266.5299999998</v>
      </c>
      <c r="H10" s="7">
        <f>F10-D10</f>
        <v>491266.5299999998</v>
      </c>
      <c r="I10" s="8">
        <v>0.21</v>
      </c>
      <c r="J10" s="8">
        <v>0.05</v>
      </c>
      <c r="K10" s="7">
        <f>G10*I10-L10*I10</f>
        <v>98007.672734999942</v>
      </c>
      <c r="L10" s="7">
        <f>H10*J10</f>
        <v>24563.326499999992</v>
      </c>
      <c r="M10" s="7">
        <f t="shared" ref="M10:M15" si="0">M9+K10+L10</f>
        <v>2957569.999235</v>
      </c>
      <c r="N10" s="7">
        <v>0</v>
      </c>
      <c r="P10" s="17"/>
    </row>
    <row r="11" spans="1:17" x14ac:dyDescent="0.2">
      <c r="A11" s="31">
        <v>44652</v>
      </c>
      <c r="C11" s="7">
        <v>168126997</v>
      </c>
      <c r="D11" s="15">
        <v>717912</v>
      </c>
      <c r="E11" s="50">
        <f>1208471.38+703.15</f>
        <v>1209174.5299999998</v>
      </c>
      <c r="F11" s="10">
        <f>1208471.38+703.15</f>
        <v>1209174.5299999998</v>
      </c>
      <c r="G11" s="7">
        <f t="shared" ref="G11:G13" si="1">E11-D11</f>
        <v>491262.5299999998</v>
      </c>
      <c r="H11" s="7">
        <f t="shared" ref="H11:H13" si="2">F11-D11</f>
        <v>491262.5299999998</v>
      </c>
      <c r="I11" s="8">
        <v>0.21</v>
      </c>
      <c r="J11" s="8">
        <v>0.05</v>
      </c>
      <c r="K11" s="7">
        <f t="shared" ref="K11:K13" si="3">G11*I11-L11*I11</f>
        <v>98006.874734999947</v>
      </c>
      <c r="L11" s="7">
        <f t="shared" ref="L11:L13" si="4">H11*J11</f>
        <v>24563.126499999991</v>
      </c>
      <c r="M11" s="7">
        <f t="shared" si="0"/>
        <v>3080140.0004699999</v>
      </c>
      <c r="N11" s="7">
        <v>0</v>
      </c>
      <c r="O11" s="7">
        <f>1598189-M12</f>
        <v>-1604521.9997049998</v>
      </c>
      <c r="P11" s="17"/>
    </row>
    <row r="12" spans="1:17" x14ac:dyDescent="0.2">
      <c r="A12" s="31">
        <v>44682</v>
      </c>
      <c r="C12" s="7">
        <v>168126997</v>
      </c>
      <c r="D12" s="15">
        <v>717912</v>
      </c>
      <c r="E12" s="50">
        <f>1208471.38+707.15</f>
        <v>1209178.5299999998</v>
      </c>
      <c r="F12" s="10">
        <f>1208471.38+707.15</f>
        <v>1209178.5299999998</v>
      </c>
      <c r="G12" s="7">
        <f t="shared" ref="G12" si="5">E12-D12</f>
        <v>491266.5299999998</v>
      </c>
      <c r="H12" s="7">
        <f t="shared" ref="H12" si="6">F12-D12</f>
        <v>491266.5299999998</v>
      </c>
      <c r="I12" s="8">
        <v>0.21</v>
      </c>
      <c r="J12" s="8">
        <v>0.05</v>
      </c>
      <c r="K12" s="7">
        <f t="shared" si="3"/>
        <v>98007.672734999942</v>
      </c>
      <c r="L12" s="7">
        <f t="shared" si="4"/>
        <v>24563.326499999992</v>
      </c>
      <c r="M12" s="7">
        <f t="shared" si="0"/>
        <v>3202710.9997049998</v>
      </c>
      <c r="N12" s="7">
        <v>0</v>
      </c>
      <c r="O12" s="17">
        <f>+O11/0.389</f>
        <v>-4124735.217750642</v>
      </c>
    </row>
    <row r="13" spans="1:17" x14ac:dyDescent="0.2">
      <c r="A13" s="31">
        <v>44713</v>
      </c>
      <c r="C13" s="7">
        <v>168126997</v>
      </c>
      <c r="D13" s="15">
        <v>717912</v>
      </c>
      <c r="E13" s="50">
        <f>1208471.38+703.15</f>
        <v>1209174.5299999998</v>
      </c>
      <c r="F13" s="10">
        <f>1208471.38+703.15</f>
        <v>1209174.5299999998</v>
      </c>
      <c r="G13" s="7">
        <f t="shared" si="1"/>
        <v>491262.5299999998</v>
      </c>
      <c r="H13" s="7">
        <f t="shared" si="2"/>
        <v>491262.5299999998</v>
      </c>
      <c r="I13" s="8">
        <v>0.21</v>
      </c>
      <c r="J13" s="8">
        <v>0.05</v>
      </c>
      <c r="K13" s="7">
        <f t="shared" si="3"/>
        <v>98006.874734999947</v>
      </c>
      <c r="L13" s="7">
        <f t="shared" si="4"/>
        <v>24563.126499999991</v>
      </c>
      <c r="M13" s="7">
        <f t="shared" si="0"/>
        <v>3325281.0009399997</v>
      </c>
      <c r="N13" s="7">
        <v>0</v>
      </c>
      <c r="O13" s="7">
        <f>1923738-M14</f>
        <v>-1524112.9996799999</v>
      </c>
    </row>
    <row r="14" spans="1:17" x14ac:dyDescent="0.2">
      <c r="A14" s="31">
        <v>44743</v>
      </c>
      <c r="C14" s="7">
        <v>168126997</v>
      </c>
      <c r="D14" s="15">
        <v>717912</v>
      </c>
      <c r="E14" s="50">
        <f>1208471.38+703.14</f>
        <v>1209174.5199999998</v>
      </c>
      <c r="F14" s="10">
        <f>1208471.38+703.14</f>
        <v>1209174.5199999998</v>
      </c>
      <c r="G14" s="7">
        <f>E14-D14</f>
        <v>491262.51999999979</v>
      </c>
      <c r="H14" s="7">
        <f>F14-D14</f>
        <v>491262.51999999979</v>
      </c>
      <c r="I14" s="8">
        <v>0.21</v>
      </c>
      <c r="J14" s="8">
        <v>0.05</v>
      </c>
      <c r="K14" s="7">
        <f>G14*I14-L14*I14</f>
        <v>98006.872739999948</v>
      </c>
      <c r="L14" s="7">
        <f>H14*J14</f>
        <v>24563.125999999989</v>
      </c>
      <c r="M14" s="7">
        <f t="shared" si="0"/>
        <v>3447850.9996799999</v>
      </c>
      <c r="N14" s="7">
        <v>0</v>
      </c>
      <c r="O14" s="17">
        <f>+O13/0.389</f>
        <v>-3918028.2768123387</v>
      </c>
      <c r="Q14" s="7"/>
    </row>
    <row r="15" spans="1:17" x14ac:dyDescent="0.2">
      <c r="A15" s="31">
        <v>44774</v>
      </c>
      <c r="C15" s="7">
        <v>168126997</v>
      </c>
      <c r="D15" s="15">
        <v>717911.5</v>
      </c>
      <c r="E15" s="50">
        <f>1208471.38+704.7</f>
        <v>1209176.0799999998</v>
      </c>
      <c r="F15" s="50">
        <f>1208471.38+704.7</f>
        <v>1209176.0799999998</v>
      </c>
      <c r="G15" s="7">
        <f>E15-D15</f>
        <v>491264.57999999984</v>
      </c>
      <c r="H15" s="7">
        <f>F15-D15</f>
        <v>491264.57999999984</v>
      </c>
      <c r="I15" s="8">
        <v>0.21</v>
      </c>
      <c r="J15" s="8">
        <v>0.05</v>
      </c>
      <c r="K15" s="7">
        <f>G15*I15-L15*I15</f>
        <v>98007.283709999974</v>
      </c>
      <c r="L15" s="7">
        <f>H15*J15</f>
        <v>24563.228999999992</v>
      </c>
      <c r="M15" s="7">
        <f t="shared" si="0"/>
        <v>3570421.5123899998</v>
      </c>
      <c r="N15" s="7">
        <v>0</v>
      </c>
      <c r="O15" s="7">
        <f>+M15-2105354</f>
        <v>1465067.5123899998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3766240.3917480712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4"/>
    </row>
    <row r="20" spans="1:14" x14ac:dyDescent="0.2">
      <c r="C20" s="24"/>
    </row>
    <row r="21" spans="1:14" x14ac:dyDescent="0.2">
      <c r="C21" s="24"/>
    </row>
    <row r="22" spans="1:14" x14ac:dyDescent="0.2">
      <c r="C22" s="23"/>
    </row>
    <row r="24" spans="1:14" x14ac:dyDescent="0.2">
      <c r="C24" s="23"/>
      <c r="D24" s="27"/>
      <c r="E24" s="26"/>
      <c r="F24" s="23"/>
      <c r="G24" s="28"/>
      <c r="H24" s="23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29"/>
      <c r="F26" s="29"/>
      <c r="G26" s="8"/>
      <c r="H26" s="29"/>
    </row>
    <row r="27" spans="1:14" x14ac:dyDescent="0.2">
      <c r="E27" s="7"/>
      <c r="F27" s="7"/>
      <c r="G27" s="30"/>
      <c r="H27" s="7"/>
    </row>
    <row r="28" spans="1:14" ht="15" x14ac:dyDescent="0.35">
      <c r="G28" s="30"/>
      <c r="H28" s="29"/>
    </row>
    <row r="29" spans="1:14" x14ac:dyDescent="0.2">
      <c r="H29" s="7"/>
    </row>
    <row r="30" spans="1:14" x14ac:dyDescent="0.2">
      <c r="H30" s="7"/>
    </row>
    <row r="31" spans="1:14" x14ac:dyDescent="0.2">
      <c r="C31" s="23"/>
      <c r="D31" s="25"/>
      <c r="E31" s="26"/>
      <c r="F31" s="23"/>
      <c r="G31" s="28"/>
      <c r="H31" s="23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3 of 6
Clements</oddHead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7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13</v>
      </c>
    </row>
    <row r="6" spans="1:17" x14ac:dyDescent="0.2">
      <c r="A6" s="11" t="s">
        <v>14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3966630</v>
      </c>
    </row>
    <row r="10" spans="1:17" x14ac:dyDescent="0.2">
      <c r="A10" s="31">
        <v>44629</v>
      </c>
      <c r="C10" s="7">
        <v>41905553</v>
      </c>
      <c r="D10" s="15">
        <v>81716.490000000005</v>
      </c>
      <c r="E10" s="10">
        <f t="shared" ref="E10:E15" si="0">139113.83</f>
        <v>139113.82999999999</v>
      </c>
      <c r="F10" s="10">
        <f t="shared" ref="F10:F15" si="1">215897.07</f>
        <v>215897.07</v>
      </c>
      <c r="G10" s="7">
        <f>E10-D10</f>
        <v>57397.339999999982</v>
      </c>
      <c r="H10" s="7">
        <f>F10-D10</f>
        <v>134180.58000000002</v>
      </c>
      <c r="I10" s="8">
        <v>0.21</v>
      </c>
      <c r="J10" s="8">
        <v>0.05</v>
      </c>
      <c r="K10" s="7">
        <f>G10*I10-L10*I10</f>
        <v>10644.545309999996</v>
      </c>
      <c r="L10" s="7">
        <f>H10*J10</f>
        <v>6709.0290000000014</v>
      </c>
      <c r="M10" s="7">
        <f t="shared" ref="M10:M15" si="2">M9+K10+L10</f>
        <v>3983983.5743100001</v>
      </c>
      <c r="N10" s="7">
        <v>0</v>
      </c>
      <c r="P10" s="17"/>
    </row>
    <row r="11" spans="1:17" x14ac:dyDescent="0.2">
      <c r="A11" s="31">
        <v>44652</v>
      </c>
      <c r="C11" s="7">
        <v>41905553</v>
      </c>
      <c r="D11" s="15">
        <v>81716</v>
      </c>
      <c r="E11" s="10">
        <f t="shared" si="0"/>
        <v>139113.82999999999</v>
      </c>
      <c r="F11" s="10">
        <f t="shared" si="1"/>
        <v>215897.07</v>
      </c>
      <c r="G11" s="7">
        <f t="shared" ref="G11:G13" si="3">E11-D11</f>
        <v>57397.829999999987</v>
      </c>
      <c r="H11" s="7">
        <f t="shared" ref="H11:H13" si="4">F11-D11</f>
        <v>134181.07</v>
      </c>
      <c r="I11" s="8">
        <v>0.21</v>
      </c>
      <c r="J11" s="8">
        <v>0.05</v>
      </c>
      <c r="K11" s="7">
        <f t="shared" ref="K11:K13" si="5">G11*I11-L11*I11</f>
        <v>10644.643064999998</v>
      </c>
      <c r="L11" s="7">
        <f t="shared" ref="L11:L13" si="6">H11*J11</f>
        <v>6709.0535000000009</v>
      </c>
      <c r="M11" s="7">
        <f t="shared" si="2"/>
        <v>4001337.2708749999</v>
      </c>
      <c r="N11" s="7">
        <v>0</v>
      </c>
      <c r="O11" s="7">
        <f>1598189-M12</f>
        <v>-2420501.9674399998</v>
      </c>
      <c r="P11" s="17"/>
    </row>
    <row r="12" spans="1:17" x14ac:dyDescent="0.2">
      <c r="A12" s="31">
        <v>44682</v>
      </c>
      <c r="C12" s="7">
        <v>41905553</v>
      </c>
      <c r="D12" s="15">
        <v>81716</v>
      </c>
      <c r="E12" s="10">
        <f t="shared" si="0"/>
        <v>139113.82999999999</v>
      </c>
      <c r="F12" s="10">
        <f t="shared" si="1"/>
        <v>215897.07</v>
      </c>
      <c r="G12" s="7">
        <f t="shared" si="3"/>
        <v>57397.829999999987</v>
      </c>
      <c r="H12" s="7">
        <f t="shared" si="4"/>
        <v>134181.07</v>
      </c>
      <c r="I12" s="8">
        <v>0.21</v>
      </c>
      <c r="J12" s="8">
        <v>0.05</v>
      </c>
      <c r="K12" s="7">
        <f t="shared" si="5"/>
        <v>10644.643064999998</v>
      </c>
      <c r="L12" s="7">
        <f t="shared" si="6"/>
        <v>6709.0535000000009</v>
      </c>
      <c r="M12" s="7">
        <f t="shared" si="2"/>
        <v>4018690.9674399998</v>
      </c>
      <c r="N12" s="7">
        <v>0</v>
      </c>
      <c r="O12" s="17">
        <f>+O11/0.389</f>
        <v>-6222370.0962467855</v>
      </c>
    </row>
    <row r="13" spans="1:17" x14ac:dyDescent="0.2">
      <c r="A13" s="31">
        <v>44713</v>
      </c>
      <c r="C13" s="7">
        <v>41905553</v>
      </c>
      <c r="D13" s="15">
        <v>81716</v>
      </c>
      <c r="E13" s="10">
        <f t="shared" si="0"/>
        <v>139113.82999999999</v>
      </c>
      <c r="F13" s="10">
        <f t="shared" si="1"/>
        <v>215897.07</v>
      </c>
      <c r="G13" s="7">
        <f t="shared" si="3"/>
        <v>57397.829999999987</v>
      </c>
      <c r="H13" s="7">
        <f t="shared" si="4"/>
        <v>134181.07</v>
      </c>
      <c r="I13" s="8">
        <v>0.21</v>
      </c>
      <c r="J13" s="8">
        <v>0.05</v>
      </c>
      <c r="K13" s="7">
        <f t="shared" si="5"/>
        <v>10644.643064999998</v>
      </c>
      <c r="L13" s="7">
        <f t="shared" si="6"/>
        <v>6709.0535000000009</v>
      </c>
      <c r="M13" s="7">
        <f t="shared" si="2"/>
        <v>4036044.6640049997</v>
      </c>
      <c r="N13" s="7">
        <v>0</v>
      </c>
      <c r="O13" s="7">
        <f>1923738-M14</f>
        <v>-2129660.3605699996</v>
      </c>
    </row>
    <row r="14" spans="1:17" x14ac:dyDescent="0.2">
      <c r="A14" s="31">
        <v>44743</v>
      </c>
      <c r="C14" s="7">
        <v>41905553</v>
      </c>
      <c r="D14" s="15">
        <v>81716</v>
      </c>
      <c r="E14" s="10">
        <f t="shared" si="0"/>
        <v>139113.82999999999</v>
      </c>
      <c r="F14" s="10">
        <f t="shared" si="1"/>
        <v>215897.07</v>
      </c>
      <c r="G14" s="7">
        <f>E14-D14</f>
        <v>57397.829999999987</v>
      </c>
      <c r="H14" s="7">
        <f>F14-D14</f>
        <v>134181.07</v>
      </c>
      <c r="I14" s="8">
        <v>0.21</v>
      </c>
      <c r="J14" s="8">
        <v>0.05</v>
      </c>
      <c r="K14" s="7">
        <f>G14*I14-L14*I14</f>
        <v>10644.643064999998</v>
      </c>
      <c r="L14" s="7">
        <f>H14*J14</f>
        <v>6709.0535000000009</v>
      </c>
      <c r="M14" s="7">
        <f t="shared" si="2"/>
        <v>4053398.3605699996</v>
      </c>
      <c r="N14" s="7">
        <v>0</v>
      </c>
      <c r="O14" s="17">
        <f>+O13/0.389</f>
        <v>-5474705.2970951144</v>
      </c>
      <c r="Q14" s="7"/>
    </row>
    <row r="15" spans="1:17" x14ac:dyDescent="0.2">
      <c r="A15" s="31">
        <v>44774</v>
      </c>
      <c r="C15" s="7">
        <v>41905553</v>
      </c>
      <c r="D15" s="15">
        <v>81716</v>
      </c>
      <c r="E15" s="10">
        <f t="shared" si="0"/>
        <v>139113.82999999999</v>
      </c>
      <c r="F15" s="10">
        <f t="shared" si="1"/>
        <v>215897.07</v>
      </c>
      <c r="G15" s="7">
        <f>E15-D15</f>
        <v>57397.829999999987</v>
      </c>
      <c r="H15" s="7">
        <f>F15-D15</f>
        <v>134181.07</v>
      </c>
      <c r="I15" s="8">
        <v>0.21</v>
      </c>
      <c r="J15" s="8">
        <v>0.05</v>
      </c>
      <c r="K15" s="7">
        <f>G15*I15-L15*I15</f>
        <v>10644.643064999998</v>
      </c>
      <c r="L15" s="7">
        <f>H15*J15</f>
        <v>6709.0535000000009</v>
      </c>
      <c r="M15" s="7">
        <f t="shared" si="2"/>
        <v>4070752.0571349994</v>
      </c>
      <c r="N15" s="7">
        <v>0</v>
      </c>
      <c r="O15" s="7">
        <f>+M15-2105354</f>
        <v>1965398.0571349994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5052437.1648714636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70" t="s">
        <v>38</v>
      </c>
      <c r="D19" s="65"/>
      <c r="E19" s="65"/>
      <c r="F19" s="65"/>
      <c r="G19" s="65"/>
      <c r="H19" s="65"/>
      <c r="I19" s="65"/>
      <c r="J19" s="65"/>
    </row>
    <row r="20" spans="1:14" x14ac:dyDescent="0.2">
      <c r="C20" s="70" t="s">
        <v>23</v>
      </c>
      <c r="D20" s="65"/>
      <c r="E20" s="65"/>
      <c r="F20" s="65"/>
      <c r="G20" s="65"/>
      <c r="H20" s="65"/>
      <c r="I20" s="65"/>
      <c r="J20" s="65"/>
    </row>
    <row r="21" spans="1:14" x14ac:dyDescent="0.2">
      <c r="C21" s="59" t="s">
        <v>45</v>
      </c>
      <c r="D21" s="65"/>
      <c r="E21" s="65"/>
      <c r="F21" s="65"/>
      <c r="G21" s="65"/>
      <c r="H21" s="65"/>
      <c r="I21" s="65"/>
      <c r="J21" s="65"/>
    </row>
    <row r="22" spans="1:14" x14ac:dyDescent="0.2">
      <c r="C22" s="66" t="s">
        <v>24</v>
      </c>
      <c r="D22" s="65"/>
      <c r="E22" s="65"/>
      <c r="F22" s="65"/>
      <c r="G22" s="65"/>
      <c r="H22" s="65"/>
      <c r="I22" s="65"/>
      <c r="J22" s="65"/>
    </row>
    <row r="24" spans="1:14" x14ac:dyDescent="0.2">
      <c r="C24" s="66" t="s">
        <v>25</v>
      </c>
      <c r="D24" s="64" t="s">
        <v>26</v>
      </c>
      <c r="E24" s="63" t="s">
        <v>27</v>
      </c>
      <c r="F24" s="66" t="s">
        <v>28</v>
      </c>
      <c r="G24" s="67" t="s">
        <v>19</v>
      </c>
      <c r="H24" s="66" t="s">
        <v>29</v>
      </c>
      <c r="I24" s="65"/>
      <c r="J24" s="65"/>
    </row>
    <row r="25" spans="1:14" x14ac:dyDescent="0.2">
      <c r="C25" s="66">
        <v>175037.2</v>
      </c>
      <c r="D25" s="66">
        <v>81716</v>
      </c>
      <c r="E25" s="66">
        <v>770.89</v>
      </c>
      <c r="F25" s="66">
        <f>-D25+E25</f>
        <v>-80945.11</v>
      </c>
      <c r="G25" s="67">
        <v>0.21</v>
      </c>
      <c r="H25" s="66">
        <f>F25*G25</f>
        <v>-16998.473099999999</v>
      </c>
      <c r="I25" s="65"/>
      <c r="J25" s="65"/>
    </row>
    <row r="26" spans="1:14" x14ac:dyDescent="0.2">
      <c r="C26" s="66">
        <v>25712341</v>
      </c>
      <c r="D26" s="66"/>
      <c r="E26" s="71">
        <v>132354.28</v>
      </c>
      <c r="F26" s="71">
        <f>E26</f>
        <v>132354.28</v>
      </c>
      <c r="G26" s="67">
        <v>0.21</v>
      </c>
      <c r="H26" s="71">
        <f>F26*G26</f>
        <v>27794.398799999999</v>
      </c>
      <c r="I26" s="65"/>
      <c r="J26" s="65"/>
    </row>
    <row r="27" spans="1:14" ht="15" x14ac:dyDescent="0.35">
      <c r="C27" s="72">
        <v>1076291.1100000001</v>
      </c>
      <c r="D27" s="66"/>
      <c r="E27" s="69">
        <v>5988.66</v>
      </c>
      <c r="F27" s="69">
        <f>E27</f>
        <v>5988.66</v>
      </c>
      <c r="G27" s="67">
        <v>0.21</v>
      </c>
      <c r="H27" s="69">
        <f>F27*G27</f>
        <v>1257.6186</v>
      </c>
      <c r="I27" s="65"/>
      <c r="J27" s="65"/>
    </row>
    <row r="28" spans="1:14" x14ac:dyDescent="0.2">
      <c r="C28" s="65"/>
      <c r="D28" s="65"/>
      <c r="E28" s="66">
        <f>SUM(E25:E27)</f>
        <v>139113.83000000002</v>
      </c>
      <c r="F28" s="66">
        <f>SUM(F25:F27)</f>
        <v>57397.83</v>
      </c>
      <c r="G28" s="68" t="s">
        <v>34</v>
      </c>
      <c r="H28" s="66">
        <f>SUM(H25:H27)</f>
        <v>12053.5443</v>
      </c>
      <c r="I28" s="65"/>
      <c r="J28" s="65"/>
    </row>
    <row r="29" spans="1:14" ht="15" x14ac:dyDescent="0.35">
      <c r="C29" s="65"/>
      <c r="D29" s="65"/>
      <c r="E29" s="65"/>
      <c r="F29" s="65"/>
      <c r="G29" s="68" t="s">
        <v>35</v>
      </c>
      <c r="H29" s="69">
        <f>-H36*0.21</f>
        <v>-1408.9012349999998</v>
      </c>
      <c r="I29" s="65"/>
      <c r="J29" s="65"/>
    </row>
    <row r="30" spans="1:14" x14ac:dyDescent="0.2">
      <c r="C30" s="65"/>
      <c r="D30" s="65"/>
      <c r="E30" s="65"/>
      <c r="F30" s="65"/>
      <c r="G30" s="65"/>
      <c r="H30" s="66">
        <f>H28+H29</f>
        <v>10644.643065</v>
      </c>
      <c r="I30" s="65"/>
      <c r="J30" s="65"/>
    </row>
    <row r="31" spans="1:14" x14ac:dyDescent="0.2">
      <c r="C31" s="65"/>
      <c r="D31" s="65"/>
      <c r="E31" s="65"/>
      <c r="F31" s="65"/>
      <c r="G31" s="65"/>
      <c r="H31" s="66">
        <f>H30-K15</f>
        <v>0</v>
      </c>
      <c r="I31" s="65"/>
      <c r="J31" s="65"/>
    </row>
    <row r="32" spans="1:14" x14ac:dyDescent="0.2">
      <c r="C32" s="66" t="s">
        <v>30</v>
      </c>
      <c r="D32" s="62" t="s">
        <v>26</v>
      </c>
      <c r="E32" s="63" t="s">
        <v>31</v>
      </c>
      <c r="F32" s="66" t="s">
        <v>32</v>
      </c>
      <c r="G32" s="67" t="s">
        <v>20</v>
      </c>
      <c r="H32" s="66" t="s">
        <v>33</v>
      </c>
      <c r="I32" s="65"/>
      <c r="J32" s="65"/>
    </row>
    <row r="33" spans="3:8" x14ac:dyDescent="0.2">
      <c r="C33" s="66">
        <v>350074.4</v>
      </c>
      <c r="D33" s="66">
        <v>81716</v>
      </c>
      <c r="E33" s="66">
        <v>1541.79</v>
      </c>
      <c r="F33" s="66">
        <f>-D33+E33</f>
        <v>-80174.210000000006</v>
      </c>
      <c r="G33" s="67">
        <v>0.05</v>
      </c>
      <c r="H33" s="66">
        <f>F33*G33</f>
        <v>-4008.7105000000006</v>
      </c>
    </row>
    <row r="34" spans="3:8" x14ac:dyDescent="0.2">
      <c r="C34" s="66">
        <v>40479188</v>
      </c>
      <c r="D34" s="66"/>
      <c r="E34" s="71">
        <v>208366.62</v>
      </c>
      <c r="F34" s="71">
        <f>E34</f>
        <v>208366.62</v>
      </c>
      <c r="G34" s="67">
        <v>0.05</v>
      </c>
      <c r="H34" s="71">
        <f>F34*G34</f>
        <v>10418.331</v>
      </c>
    </row>
    <row r="35" spans="3:8" ht="15" x14ac:dyDescent="0.35">
      <c r="C35" s="66">
        <v>1076291.1100000001</v>
      </c>
      <c r="D35" s="66"/>
      <c r="E35" s="69">
        <v>5988.66</v>
      </c>
      <c r="F35" s="69">
        <f>E35</f>
        <v>5988.66</v>
      </c>
      <c r="G35" s="67">
        <v>0.05</v>
      </c>
      <c r="H35" s="69">
        <f>F35*G35</f>
        <v>299.43299999999999</v>
      </c>
    </row>
    <row r="36" spans="3:8" x14ac:dyDescent="0.2">
      <c r="C36" s="65"/>
      <c r="D36" s="65"/>
      <c r="E36" s="66">
        <f>SUM(E33:E35)</f>
        <v>215897.07</v>
      </c>
      <c r="F36" s="66">
        <f>SUM(F33:F35)</f>
        <v>134181.06999999998</v>
      </c>
      <c r="G36" s="65"/>
      <c r="H36" s="66">
        <f>SUM(H33:H35)</f>
        <v>6709.0534999999991</v>
      </c>
    </row>
    <row r="37" spans="3:8" x14ac:dyDescent="0.2">
      <c r="C37" s="65"/>
      <c r="D37" s="65"/>
      <c r="E37" s="65"/>
      <c r="F37" s="65"/>
      <c r="G37" s="65"/>
      <c r="H37" s="66">
        <f>H36-L15</f>
        <v>0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4 of 6
Clements</oddHeader>
  </headerFooter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932C-395C-4F36-A16E-83860B4C88FD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13</v>
      </c>
    </row>
    <row r="6" spans="1:17" x14ac:dyDescent="0.2">
      <c r="A6" s="11" t="s">
        <v>40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1031631</v>
      </c>
    </row>
    <row r="10" spans="1:17" x14ac:dyDescent="0.2">
      <c r="A10" s="31">
        <v>44629</v>
      </c>
      <c r="C10" s="7">
        <v>38352605</v>
      </c>
      <c r="D10" s="15">
        <v>135581</v>
      </c>
      <c r="E10" s="10">
        <f>438883.5-24681.26</f>
        <v>414202.24</v>
      </c>
      <c r="F10" s="10">
        <f>438883.5-24681.26</f>
        <v>414202.24</v>
      </c>
      <c r="G10" s="7">
        <f>E10-D10</f>
        <v>278621.24</v>
      </c>
      <c r="H10" s="7">
        <f>F10-D10</f>
        <v>278621.24</v>
      </c>
      <c r="I10" s="8">
        <v>0.21</v>
      </c>
      <c r="J10" s="8">
        <v>0.05</v>
      </c>
      <c r="K10" s="7">
        <f>G10*I10-L10*I10</f>
        <v>55584.937379999996</v>
      </c>
      <c r="L10" s="7">
        <f>H10*J10</f>
        <v>13931.062</v>
      </c>
      <c r="M10" s="7">
        <f t="shared" ref="M10:M15" si="0">M9+K10+L10</f>
        <v>1101146.9993799999</v>
      </c>
      <c r="N10" s="7">
        <v>0</v>
      </c>
      <c r="P10" s="17"/>
    </row>
    <row r="11" spans="1:17" x14ac:dyDescent="0.2">
      <c r="A11" s="31">
        <v>44652</v>
      </c>
      <c r="C11" s="7">
        <v>38352605</v>
      </c>
      <c r="D11" s="15">
        <v>163002</v>
      </c>
      <c r="E11" s="10">
        <f>438883.5+2743.75</f>
        <v>441627.25</v>
      </c>
      <c r="F11" s="10">
        <f>438883.5+2743.75</f>
        <v>441627.25</v>
      </c>
      <c r="G11" s="7">
        <f t="shared" ref="G11:G13" si="1">E11-D11</f>
        <v>278625.25</v>
      </c>
      <c r="H11" s="7">
        <f t="shared" ref="H11:H13" si="2">F11-D11</f>
        <v>278625.25</v>
      </c>
      <c r="I11" s="8">
        <v>0.21</v>
      </c>
      <c r="J11" s="8">
        <v>0.05</v>
      </c>
      <c r="K11" s="7">
        <f t="shared" ref="K11:K13" si="3">G11*I11-L11*I11</f>
        <v>55585.737374999997</v>
      </c>
      <c r="L11" s="7">
        <f t="shared" ref="L11:L13" si="4">H11*J11</f>
        <v>13931.262500000001</v>
      </c>
      <c r="M11" s="7">
        <f t="shared" si="0"/>
        <v>1170663.9992549999</v>
      </c>
      <c r="N11" s="7">
        <v>0</v>
      </c>
      <c r="O11" s="7">
        <f>1598189-M12</f>
        <v>358008.99887000001</v>
      </c>
      <c r="P11" s="17"/>
    </row>
    <row r="12" spans="1:17" x14ac:dyDescent="0.2">
      <c r="A12" s="31">
        <v>44682</v>
      </c>
      <c r="C12" s="7">
        <v>38352605</v>
      </c>
      <c r="D12" s="15">
        <v>163002</v>
      </c>
      <c r="E12" s="61">
        <f>438883.5+2739.75</f>
        <v>441623.25</v>
      </c>
      <c r="F12" s="10">
        <f>438883.5+2739.75</f>
        <v>441623.25</v>
      </c>
      <c r="G12" s="7">
        <f t="shared" si="1"/>
        <v>278621.25</v>
      </c>
      <c r="H12" s="7">
        <f t="shared" si="2"/>
        <v>278621.25</v>
      </c>
      <c r="I12" s="8">
        <v>0.21</v>
      </c>
      <c r="J12" s="8">
        <v>0.05</v>
      </c>
      <c r="K12" s="7">
        <f t="shared" si="3"/>
        <v>55584.939375000002</v>
      </c>
      <c r="L12" s="7">
        <f t="shared" si="4"/>
        <v>13931.0625</v>
      </c>
      <c r="M12" s="7">
        <f t="shared" si="0"/>
        <v>1240180.00113</v>
      </c>
      <c r="N12" s="7">
        <v>0</v>
      </c>
      <c r="O12" s="17">
        <f>+O11/0.389</f>
        <v>920331.61663239077</v>
      </c>
    </row>
    <row r="13" spans="1:17" x14ac:dyDescent="0.2">
      <c r="A13" s="31">
        <v>44713</v>
      </c>
      <c r="C13" s="7">
        <v>38352605</v>
      </c>
      <c r="D13" s="15">
        <v>163001.5</v>
      </c>
      <c r="E13" s="61">
        <f>438883.5+2741.3</f>
        <v>441624.8</v>
      </c>
      <c r="F13" s="61">
        <f>438883.5+2741.3</f>
        <v>441624.8</v>
      </c>
      <c r="G13" s="7">
        <f t="shared" si="1"/>
        <v>278623.3</v>
      </c>
      <c r="H13" s="7">
        <f t="shared" si="2"/>
        <v>278623.3</v>
      </c>
      <c r="I13" s="8">
        <v>0.21</v>
      </c>
      <c r="J13" s="8">
        <v>0.05</v>
      </c>
      <c r="K13" s="7">
        <f t="shared" si="3"/>
        <v>55585.348349999993</v>
      </c>
      <c r="L13" s="7">
        <f t="shared" si="4"/>
        <v>13931.165000000001</v>
      </c>
      <c r="M13" s="7">
        <f t="shared" si="0"/>
        <v>1309696.5144800001</v>
      </c>
      <c r="N13" s="7">
        <v>0</v>
      </c>
      <c r="O13" s="7">
        <f>1923738-M14</f>
        <v>544525.09691999992</v>
      </c>
    </row>
    <row r="14" spans="1:17" x14ac:dyDescent="0.2">
      <c r="A14" s="31">
        <v>44743</v>
      </c>
      <c r="C14" s="7">
        <v>38352605</v>
      </c>
      <c r="D14" s="15">
        <v>163002</v>
      </c>
      <c r="E14" s="61">
        <f>438883.5+2741.3</f>
        <v>441624.8</v>
      </c>
      <c r="F14" s="61">
        <f>438883.5+2741.3</f>
        <v>441624.8</v>
      </c>
      <c r="G14" s="7">
        <f>E14-D14</f>
        <v>278622.8</v>
      </c>
      <c r="H14" s="7">
        <f>F14-D14</f>
        <v>278622.8</v>
      </c>
      <c r="I14" s="8">
        <v>0.21</v>
      </c>
      <c r="J14" s="8">
        <v>0.05</v>
      </c>
      <c r="K14" s="7">
        <f>G14*I14-L14*I14</f>
        <v>55585.248599999992</v>
      </c>
      <c r="L14" s="7">
        <f>H14*J14</f>
        <v>13931.14</v>
      </c>
      <c r="M14" s="7">
        <f t="shared" si="0"/>
        <v>1379212.9030800001</v>
      </c>
      <c r="N14" s="7">
        <v>0</v>
      </c>
      <c r="O14" s="17">
        <f>+O13/0.389</f>
        <v>1399807.4470951154</v>
      </c>
      <c r="Q14" s="7"/>
    </row>
    <row r="15" spans="1:17" x14ac:dyDescent="0.2">
      <c r="A15" s="31">
        <v>44774</v>
      </c>
      <c r="C15" s="7">
        <v>38352605</v>
      </c>
      <c r="D15" s="15">
        <v>163001.5</v>
      </c>
      <c r="E15" s="61">
        <f>438883.5+2741.7</f>
        <v>441625.2</v>
      </c>
      <c r="F15" s="61">
        <f>438883.5+2741.7</f>
        <v>441625.2</v>
      </c>
      <c r="G15" s="7">
        <f>E15-D15</f>
        <v>278623.7</v>
      </c>
      <c r="H15" s="7">
        <f>F15-D15</f>
        <v>278623.7</v>
      </c>
      <c r="I15" s="8">
        <v>0.21</v>
      </c>
      <c r="J15" s="8">
        <v>0.05</v>
      </c>
      <c r="K15" s="7">
        <f>G15*I15-L15*I15</f>
        <v>55585.42815</v>
      </c>
      <c r="L15" s="7">
        <f>H15*J15</f>
        <v>13931.185000000001</v>
      </c>
      <c r="M15" s="7">
        <f t="shared" si="0"/>
        <v>1448729.5162300002</v>
      </c>
      <c r="N15" s="7">
        <v>0</v>
      </c>
      <c r="O15" s="7">
        <f>+M15-2105354</f>
        <v>-656624.48376999982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-1687980.678071979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4"/>
    </row>
    <row r="20" spans="1:14" x14ac:dyDescent="0.2">
      <c r="C20" s="24"/>
    </row>
    <row r="21" spans="1:14" x14ac:dyDescent="0.2">
      <c r="C21" s="24"/>
    </row>
    <row r="22" spans="1:14" x14ac:dyDescent="0.2">
      <c r="C22" s="23"/>
    </row>
    <row r="24" spans="1:14" x14ac:dyDescent="0.2">
      <c r="C24" s="23"/>
      <c r="D24" s="27"/>
      <c r="E24" s="26"/>
      <c r="F24" s="23"/>
      <c r="G24" s="28"/>
      <c r="H24" s="23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29"/>
      <c r="F26" s="29"/>
      <c r="G26" s="8"/>
      <c r="H26" s="29"/>
    </row>
    <row r="27" spans="1:14" x14ac:dyDescent="0.2">
      <c r="E27" s="7"/>
      <c r="F27" s="7"/>
      <c r="G27" s="30"/>
      <c r="H27" s="7"/>
    </row>
    <row r="28" spans="1:14" ht="15" x14ac:dyDescent="0.35">
      <c r="G28" s="30"/>
      <c r="H28" s="29"/>
    </row>
    <row r="29" spans="1:14" x14ac:dyDescent="0.2">
      <c r="H29" s="7"/>
    </row>
    <row r="30" spans="1:14" x14ac:dyDescent="0.2">
      <c r="H30" s="7"/>
    </row>
    <row r="31" spans="1:14" x14ac:dyDescent="0.2">
      <c r="C31" s="23"/>
      <c r="D31" s="25"/>
      <c r="E31" s="26"/>
      <c r="F31" s="23"/>
      <c r="G31" s="28"/>
      <c r="H31" s="23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5 of 6
Clements</oddHeader>
  </headerFooter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F4EA-AC79-4DB9-BA17-B1633DE38C7E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32" t="s">
        <v>41</v>
      </c>
    </row>
    <row r="6" spans="1:17" x14ac:dyDescent="0.2">
      <c r="A6" s="33" t="s">
        <v>42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66012</v>
      </c>
    </row>
    <row r="10" spans="1:17" x14ac:dyDescent="0.2">
      <c r="A10" s="31">
        <v>44629</v>
      </c>
      <c r="C10" s="7">
        <v>7269910</v>
      </c>
      <c r="D10" s="15">
        <v>31138.5</v>
      </c>
      <c r="E10" s="10">
        <f>55349.16</f>
        <v>55349.16</v>
      </c>
      <c r="F10" s="10">
        <f t="shared" ref="F10:F14" si="0">55349.16</f>
        <v>55349.16</v>
      </c>
      <c r="G10" s="7">
        <f>E10-D10</f>
        <v>24210.660000000003</v>
      </c>
      <c r="H10" s="7">
        <f>F10-D10</f>
        <v>24210.660000000003</v>
      </c>
      <c r="I10" s="8">
        <v>0.21</v>
      </c>
      <c r="J10" s="8">
        <v>0.05</v>
      </c>
      <c r="K10" s="7">
        <f>G10*I10-L10*I10</f>
        <v>4830.0266700000002</v>
      </c>
      <c r="L10" s="7">
        <f>H10*J10</f>
        <v>1210.5330000000001</v>
      </c>
      <c r="M10" s="7">
        <f t="shared" ref="M10:M15" si="1">M9+K10+L10</f>
        <v>72052.559670000002</v>
      </c>
      <c r="N10" s="7">
        <v>0</v>
      </c>
      <c r="P10" s="17"/>
    </row>
    <row r="11" spans="1:17" x14ac:dyDescent="0.2">
      <c r="A11" s="31">
        <v>44652</v>
      </c>
      <c r="C11" s="7">
        <v>7269910</v>
      </c>
      <c r="D11" s="15">
        <v>31139</v>
      </c>
      <c r="E11" s="61">
        <f t="shared" ref="E11:E14" si="2">55349.16</f>
        <v>55349.16</v>
      </c>
      <c r="F11" s="10">
        <f t="shared" si="0"/>
        <v>55349.16</v>
      </c>
      <c r="G11" s="7">
        <f t="shared" ref="G11:G13" si="3">E11-D11</f>
        <v>24210.160000000003</v>
      </c>
      <c r="H11" s="7">
        <f t="shared" ref="H11:H13" si="4">F11-D11</f>
        <v>24210.160000000003</v>
      </c>
      <c r="I11" s="8">
        <v>0.21</v>
      </c>
      <c r="J11" s="8">
        <v>0.05</v>
      </c>
      <c r="K11" s="7">
        <f t="shared" ref="K11:K13" si="5">G11*I11-L11*I11</f>
        <v>4829.9269199999999</v>
      </c>
      <c r="L11" s="7">
        <f t="shared" ref="L11:L13" si="6">H11*J11</f>
        <v>1210.5080000000003</v>
      </c>
      <c r="M11" s="7">
        <f t="shared" si="1"/>
        <v>78092.994590000002</v>
      </c>
      <c r="N11" s="7">
        <v>0</v>
      </c>
      <c r="O11" s="7">
        <f>1598189-M12</f>
        <v>1514055.5704900001</v>
      </c>
      <c r="P11" s="17"/>
    </row>
    <row r="12" spans="1:17" x14ac:dyDescent="0.2">
      <c r="A12" s="31">
        <v>44682</v>
      </c>
      <c r="C12" s="7">
        <v>7269910</v>
      </c>
      <c r="D12" s="15">
        <v>31139</v>
      </c>
      <c r="E12" s="61">
        <f t="shared" si="2"/>
        <v>55349.16</v>
      </c>
      <c r="F12" s="10">
        <f t="shared" si="0"/>
        <v>55349.16</v>
      </c>
      <c r="G12" s="7">
        <f t="shared" si="3"/>
        <v>24210.160000000003</v>
      </c>
      <c r="H12" s="7">
        <f t="shared" si="4"/>
        <v>24210.160000000003</v>
      </c>
      <c r="I12" s="8">
        <v>0.21</v>
      </c>
      <c r="J12" s="8">
        <v>0.05</v>
      </c>
      <c r="K12" s="7">
        <f t="shared" si="5"/>
        <v>4829.9269199999999</v>
      </c>
      <c r="L12" s="7">
        <f t="shared" si="6"/>
        <v>1210.5080000000003</v>
      </c>
      <c r="M12" s="7">
        <f t="shared" si="1"/>
        <v>84133.429510000002</v>
      </c>
      <c r="N12" s="7">
        <v>0</v>
      </c>
      <c r="O12" s="17">
        <f>+O11/0.389</f>
        <v>3892173.7030591262</v>
      </c>
    </row>
    <row r="13" spans="1:17" x14ac:dyDescent="0.2">
      <c r="A13" s="31">
        <v>44713</v>
      </c>
      <c r="C13" s="7">
        <v>7269910</v>
      </c>
      <c r="D13" s="15">
        <v>31139</v>
      </c>
      <c r="E13" s="61">
        <f t="shared" si="2"/>
        <v>55349.16</v>
      </c>
      <c r="F13" s="10">
        <f t="shared" si="0"/>
        <v>55349.16</v>
      </c>
      <c r="G13" s="7">
        <f t="shared" si="3"/>
        <v>24210.160000000003</v>
      </c>
      <c r="H13" s="7">
        <f t="shared" si="4"/>
        <v>24210.160000000003</v>
      </c>
      <c r="I13" s="8">
        <v>0.21</v>
      </c>
      <c r="J13" s="8">
        <v>0.05</v>
      </c>
      <c r="K13" s="7">
        <f t="shared" si="5"/>
        <v>4829.9269199999999</v>
      </c>
      <c r="L13" s="7">
        <f t="shared" si="6"/>
        <v>1210.5080000000003</v>
      </c>
      <c r="M13" s="7">
        <f t="shared" si="1"/>
        <v>90173.864430000001</v>
      </c>
      <c r="N13" s="7">
        <v>0</v>
      </c>
      <c r="O13" s="7">
        <f>1923738-M14</f>
        <v>1827523.70065</v>
      </c>
    </row>
    <row r="14" spans="1:17" x14ac:dyDescent="0.2">
      <c r="A14" s="31">
        <v>44743</v>
      </c>
      <c r="C14" s="7">
        <v>7269910</v>
      </c>
      <c r="D14" s="15">
        <v>31139</v>
      </c>
      <c r="E14" s="61">
        <f t="shared" si="2"/>
        <v>55349.16</v>
      </c>
      <c r="F14" s="10">
        <f t="shared" si="0"/>
        <v>55349.16</v>
      </c>
      <c r="G14" s="7">
        <f>E14-D14</f>
        <v>24210.160000000003</v>
      </c>
      <c r="H14" s="7">
        <f>F14-D14</f>
        <v>24210.160000000003</v>
      </c>
      <c r="I14" s="8">
        <v>0.21</v>
      </c>
      <c r="J14" s="8">
        <v>0.05</v>
      </c>
      <c r="K14" s="7">
        <f>G14*I14-L14*I14</f>
        <v>4829.9269199999999</v>
      </c>
      <c r="L14" s="7">
        <f>H14*J14</f>
        <v>1210.5080000000003</v>
      </c>
      <c r="M14" s="7">
        <f t="shared" si="1"/>
        <v>96214.299350000001</v>
      </c>
      <c r="N14" s="7">
        <v>0</v>
      </c>
      <c r="O14" s="17">
        <f>+O13/0.389</f>
        <v>4698004.3718508994</v>
      </c>
      <c r="Q14" s="7"/>
    </row>
    <row r="15" spans="1:17" x14ac:dyDescent="0.2">
      <c r="A15" s="31">
        <v>44774</v>
      </c>
      <c r="C15" s="7">
        <v>7269910</v>
      </c>
      <c r="D15" s="15">
        <v>31139.49</v>
      </c>
      <c r="E15" s="61">
        <f>55348.5</f>
        <v>55348.5</v>
      </c>
      <c r="F15" s="10">
        <f>55348.5</f>
        <v>55348.5</v>
      </c>
      <c r="G15" s="7">
        <f>E15-D15</f>
        <v>24209.01</v>
      </c>
      <c r="H15" s="7">
        <f>F15-D15</f>
        <v>24209.01</v>
      </c>
      <c r="I15" s="8">
        <v>0.21</v>
      </c>
      <c r="J15" s="8">
        <v>0.05</v>
      </c>
      <c r="K15" s="7">
        <f>G15*I15-L15*I15</f>
        <v>4829.6974949999994</v>
      </c>
      <c r="L15" s="7">
        <f>H15*J15</f>
        <v>1210.4504999999999</v>
      </c>
      <c r="M15" s="7">
        <f t="shared" si="1"/>
        <v>102254.44734500001</v>
      </c>
      <c r="N15" s="7">
        <v>0</v>
      </c>
      <c r="O15" s="7">
        <f>+M15-2105354</f>
        <v>-2003099.552655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-5149356.1764910026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4"/>
    </row>
    <row r="20" spans="1:14" x14ac:dyDescent="0.2">
      <c r="C20" s="24"/>
    </row>
    <row r="21" spans="1:14" x14ac:dyDescent="0.2">
      <c r="C21" s="24"/>
    </row>
    <row r="22" spans="1:14" x14ac:dyDescent="0.2">
      <c r="C22" s="23"/>
    </row>
    <row r="24" spans="1:14" x14ac:dyDescent="0.2">
      <c r="C24" s="23"/>
      <c r="D24" s="27"/>
      <c r="E24" s="26"/>
      <c r="F24" s="23"/>
      <c r="G24" s="28"/>
      <c r="H24" s="23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29"/>
      <c r="F26" s="29"/>
      <c r="G26" s="8"/>
      <c r="H26" s="29"/>
    </row>
    <row r="27" spans="1:14" x14ac:dyDescent="0.2">
      <c r="E27" s="7"/>
      <c r="F27" s="7"/>
      <c r="G27" s="30"/>
      <c r="H27" s="7"/>
    </row>
    <row r="28" spans="1:14" ht="15" x14ac:dyDescent="0.35">
      <c r="G28" s="30"/>
      <c r="H28" s="29"/>
    </row>
    <row r="29" spans="1:14" x14ac:dyDescent="0.2">
      <c r="H29" s="7"/>
    </row>
    <row r="30" spans="1:14" x14ac:dyDescent="0.2">
      <c r="H30" s="7"/>
    </row>
    <row r="31" spans="1:14" x14ac:dyDescent="0.2">
      <c r="C31" s="23"/>
      <c r="D31" s="25"/>
      <c r="E31" s="26"/>
      <c r="F31" s="23"/>
      <c r="G31" s="28"/>
      <c r="H31" s="23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6 of 6
Clements</oddHeader>
  </headerFooter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2023-00376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KU</Value>
    </Company>
  </documentManagement>
</p:properties>
</file>

<file path=customXml/itemProps1.xml><?xml version="1.0" encoding="utf-8"?>
<ds:datastoreItem xmlns:ds="http://schemas.openxmlformats.org/officeDocument/2006/customXml" ds:itemID="{58D70DC8-CBB0-4EC6-859E-71EE05EFE4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342204-114A-4AB5-90B8-C55B505F9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F1634D-BF1A-436D-B06C-0DE0E8268DAD}">
  <ds:schemaRefs>
    <ds:schemaRef ds:uri="http://schemas.microsoft.com/office/2006/metadata/properties"/>
    <ds:schemaRef ds:uri="http://schemas.microsoft.com/office/infopath/2007/PartnerControls"/>
    <ds:schemaRef ds:uri="65bfb563-8fe2-4d34-a09f-38a217d8feea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Project 32</vt:lpstr>
      <vt:lpstr>Project 33</vt:lpstr>
      <vt:lpstr>Project 40</vt:lpstr>
      <vt:lpstr>Project 41</vt:lpstr>
      <vt:lpstr>Project 42</vt:lpstr>
      <vt:lpstr>Project 43</vt:lpstr>
      <vt:lpstr>'Project 32'!Print_Area</vt:lpstr>
      <vt:lpstr>'Project 33'!Print_Area</vt:lpstr>
      <vt:lpstr>'Project 40'!Print_Area</vt:lpstr>
      <vt:lpstr>'Project 41'!Print_Area</vt:lpstr>
      <vt:lpstr>'Project 42'!Print_Area</vt:lpstr>
      <vt:lpstr>'Project 43'!Print_Area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Nathan Frederic Hall</dc:creator>
  <cp:lastModifiedBy>Fackler, Andrea</cp:lastModifiedBy>
  <cp:lastPrinted>2024-02-14T19:57:09Z</cp:lastPrinted>
  <dcterms:created xsi:type="dcterms:W3CDTF">2006-05-12T17:38:13Z</dcterms:created>
  <dcterms:modified xsi:type="dcterms:W3CDTF">2024-02-14T19:57:17Z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2024-01-25T17:47:09Z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2c85362e-2a0a-4aa3-b07a-9c18711eea41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2024-02-14T19:57:16Z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a1ad0fca-e5e3-4967-acab-18cdf570f2e1</vt:lpwstr>
  </property>
  <property fmtid="{D5CDD505-2E9C-101B-9397-08002B2CF9AE}" pid="16" name="MSIP_Label_d662fcd2-3ff9-4261-9b26-9dd5808d0bb4_ContentBits">
    <vt:lpwstr>0</vt:lpwstr>
  </property>
</Properties>
</file>