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fs2\rates\CN2023\CNs-00375-00376 - L K ECR 2-year review (Sep19-Aug23)\3 - Data Requests and Testimony\KU\0 - efiled 02-14-2024\"/>
    </mc:Choice>
  </mc:AlternateContent>
  <xr:revisionPtr revIDLastSave="0" documentId="13_ncr:1_{9DB0634A-6572-47CB-B32C-724030DAF3F1}" xr6:coauthVersionLast="47" xr6:coauthVersionMax="47" xr10:uidLastSave="{00000000-0000-0000-0000-000000000000}"/>
  <bookViews>
    <workbookView xWindow="-120" yWindow="-120" windowWidth="29040" windowHeight="17025" tabRatio="770" xr2:uid="{00000000-000D-0000-FFFF-FFFF00000000}"/>
  </bookViews>
  <sheets>
    <sheet name="Project 32" sheetId="36" r:id="rId1"/>
    <sheet name="Project 33" sheetId="33" r:id="rId2"/>
    <sheet name="Project 40" sheetId="42" r:id="rId3"/>
    <sheet name="Project 41" sheetId="39" r:id="rId4"/>
    <sheet name="Project 42" sheetId="43" r:id="rId5"/>
    <sheet name="Project 43" sheetId="44" r:id="rId6"/>
  </sheets>
  <definedNames>
    <definedName name="_xlnm.Print_Area" localSheetId="0">'Project 32'!$A$1:$N$48</definedName>
    <definedName name="_xlnm.Print_Area" localSheetId="1">'Project 33'!$A$1:$N$35</definedName>
    <definedName name="_xlnm.Print_Area" localSheetId="2">'Project 40'!$A$1:$O$15</definedName>
    <definedName name="_xlnm.Print_Area" localSheetId="3">'Project 41'!$A$1:$O$37</definedName>
    <definedName name="_xlnm.Print_Area" localSheetId="4">'Project 42'!$A$1:$N$15</definedName>
    <definedName name="_xlnm.Print_Area" localSheetId="5">'Project 43'!$A$1:$O$15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4" i="44" l="1"/>
  <c r="F15" i="43"/>
  <c r="E15" i="43"/>
  <c r="F11" i="43"/>
  <c r="E11" i="43"/>
  <c r="D11" i="43"/>
  <c r="E36" i="39"/>
  <c r="F35" i="39"/>
  <c r="H35" i="39" s="1"/>
  <c r="F34" i="39"/>
  <c r="H34" i="39" s="1"/>
  <c r="F33" i="39"/>
  <c r="H33" i="39" s="1"/>
  <c r="H26" i="39"/>
  <c r="H25" i="39"/>
  <c r="E28" i="39"/>
  <c r="F27" i="39"/>
  <c r="H27" i="39" s="1"/>
  <c r="F26" i="39"/>
  <c r="F28" i="39" s="1"/>
  <c r="F25" i="39"/>
  <c r="F15" i="42"/>
  <c r="E15" i="42"/>
  <c r="F14" i="42"/>
  <c r="E14" i="42"/>
  <c r="F13" i="42"/>
  <c r="E13" i="42"/>
  <c r="F12" i="42"/>
  <c r="E12" i="42"/>
  <c r="F11" i="42"/>
  <c r="E11" i="42"/>
  <c r="F10" i="42"/>
  <c r="E10" i="42"/>
  <c r="D14" i="33"/>
  <c r="E15" i="33"/>
  <c r="E14" i="33"/>
  <c r="D13" i="33"/>
  <c r="E13" i="33"/>
  <c r="H33" i="33"/>
  <c r="H34" i="33" s="1"/>
  <c r="H32" i="33"/>
  <c r="F33" i="33"/>
  <c r="F32" i="33"/>
  <c r="F34" i="33" s="1"/>
  <c r="H26" i="33"/>
  <c r="H25" i="33"/>
  <c r="F26" i="33"/>
  <c r="F25" i="33"/>
  <c r="F27" i="33" s="1"/>
  <c r="E34" i="33"/>
  <c r="H27" i="33"/>
  <c r="E27" i="33"/>
  <c r="H48" i="36"/>
  <c r="H40" i="36"/>
  <c r="H41" i="36"/>
  <c r="H42" i="36"/>
  <c r="H43" i="36"/>
  <c r="H44" i="36"/>
  <c r="H45" i="36"/>
  <c r="H46" i="36"/>
  <c r="H39" i="36"/>
  <c r="H47" i="36" s="1"/>
  <c r="H35" i="36" s="1"/>
  <c r="H36" i="36" s="1"/>
  <c r="H37" i="36" s="1"/>
  <c r="F40" i="36"/>
  <c r="F41" i="36"/>
  <c r="F42" i="36"/>
  <c r="F43" i="36"/>
  <c r="F44" i="36"/>
  <c r="F45" i="36"/>
  <c r="F46" i="36"/>
  <c r="F47" i="36" s="1"/>
  <c r="F39" i="36"/>
  <c r="E47" i="36"/>
  <c r="H34" i="36"/>
  <c r="H26" i="36"/>
  <c r="H27" i="36"/>
  <c r="H28" i="36"/>
  <c r="H29" i="36"/>
  <c r="H30" i="36"/>
  <c r="H31" i="36"/>
  <c r="H32" i="36"/>
  <c r="H33" i="36"/>
  <c r="H25" i="36"/>
  <c r="F34" i="36"/>
  <c r="F26" i="36"/>
  <c r="F27" i="36"/>
  <c r="F28" i="36"/>
  <c r="F29" i="36"/>
  <c r="F30" i="36"/>
  <c r="F31" i="36"/>
  <c r="F32" i="36"/>
  <c r="F33" i="36"/>
  <c r="F25" i="36"/>
  <c r="E34" i="36"/>
  <c r="K15" i="36"/>
  <c r="K14" i="36"/>
  <c r="F10" i="36"/>
  <c r="E10" i="36"/>
  <c r="D10" i="36"/>
  <c r="E15" i="36"/>
  <c r="E14" i="36"/>
  <c r="E12" i="36"/>
  <c r="E11" i="36"/>
  <c r="F36" i="39" l="1"/>
  <c r="H36" i="39"/>
  <c r="H28" i="39"/>
  <c r="H28" i="33"/>
  <c r="H35" i="33"/>
  <c r="H29" i="33"/>
  <c r="F15" i="44"/>
  <c r="E15" i="44"/>
  <c r="F15" i="39"/>
  <c r="E15" i="39"/>
  <c r="F15" i="33"/>
  <c r="F15" i="36"/>
  <c r="H29" i="39" l="1"/>
  <c r="H30" i="39" s="1"/>
  <c r="H31" i="39" s="1"/>
  <c r="H37" i="39"/>
  <c r="G14" i="44"/>
  <c r="F14" i="44"/>
  <c r="H14" i="44" s="1"/>
  <c r="L14" i="44" s="1"/>
  <c r="H15" i="44"/>
  <c r="L15" i="44" s="1"/>
  <c r="G15" i="44"/>
  <c r="H13" i="44"/>
  <c r="L13" i="44" s="1"/>
  <c r="G13" i="44"/>
  <c r="H12" i="44"/>
  <c r="L12" i="44" s="1"/>
  <c r="G12" i="44"/>
  <c r="H11" i="44"/>
  <c r="L11" i="44" s="1"/>
  <c r="G11" i="44"/>
  <c r="H10" i="44"/>
  <c r="L10" i="44" s="1"/>
  <c r="G10" i="44"/>
  <c r="K10" i="44" s="1"/>
  <c r="M10" i="44" s="1"/>
  <c r="K15" i="44" l="1"/>
  <c r="K14" i="44"/>
  <c r="K13" i="44"/>
  <c r="K11" i="44"/>
  <c r="M11" i="44" s="1"/>
  <c r="M12" i="44" s="1"/>
  <c r="K12" i="44"/>
  <c r="M13" i="44" l="1"/>
  <c r="M14" i="44" s="1"/>
  <c r="O11" i="44"/>
  <c r="O12" i="44" s="1"/>
  <c r="O13" i="44" l="1"/>
  <c r="O14" i="44" s="1"/>
  <c r="M15" i="44"/>
  <c r="O15" i="44" l="1"/>
  <c r="O16" i="44" s="1"/>
  <c r="D14" i="39"/>
  <c r="C14" i="39"/>
  <c r="C14" i="42"/>
  <c r="C14" i="33"/>
  <c r="D13" i="39"/>
  <c r="C13" i="39"/>
  <c r="C13" i="42"/>
  <c r="C13" i="33"/>
  <c r="E13" i="36"/>
  <c r="F13" i="43"/>
  <c r="E13" i="43"/>
  <c r="F13" i="39"/>
  <c r="E13" i="39"/>
  <c r="F13" i="33"/>
  <c r="F13" i="36"/>
  <c r="D12" i="39" l="1"/>
  <c r="C12" i="39"/>
  <c r="C12" i="42"/>
  <c r="D12" i="33"/>
  <c r="C12" i="33"/>
  <c r="E12" i="43"/>
  <c r="F12" i="43"/>
  <c r="F12" i="39"/>
  <c r="E12" i="39"/>
  <c r="F12" i="33"/>
  <c r="E12" i="33"/>
  <c r="F12" i="36"/>
  <c r="C11" i="43" l="1"/>
  <c r="D11" i="39"/>
  <c r="C11" i="39"/>
  <c r="C11" i="42"/>
  <c r="D11" i="33"/>
  <c r="C11" i="33"/>
  <c r="D11" i="36"/>
  <c r="C11" i="36"/>
  <c r="E11" i="33" l="1"/>
  <c r="E11" i="39"/>
  <c r="F11" i="39"/>
  <c r="F11" i="33"/>
  <c r="F11" i="36"/>
  <c r="D10" i="42" l="1"/>
  <c r="D10" i="39"/>
  <c r="D10" i="43"/>
  <c r="C10" i="43"/>
  <c r="C10" i="39"/>
  <c r="C10" i="42"/>
  <c r="D10" i="33"/>
  <c r="C10" i="33"/>
  <c r="C10" i="36"/>
  <c r="F10" i="43"/>
  <c r="E10" i="43"/>
  <c r="E10" i="39"/>
  <c r="F10" i="39"/>
  <c r="E10" i="33"/>
  <c r="F10" i="33"/>
  <c r="G12" i="43" l="1"/>
  <c r="H12" i="43"/>
  <c r="L12" i="43" s="1"/>
  <c r="H15" i="43"/>
  <c r="L15" i="43" s="1"/>
  <c r="G15" i="43"/>
  <c r="H14" i="43"/>
  <c r="L14" i="43" s="1"/>
  <c r="G14" i="43"/>
  <c r="H13" i="43"/>
  <c r="L13" i="43" s="1"/>
  <c r="G13" i="43"/>
  <c r="H11" i="43"/>
  <c r="L11" i="43" s="1"/>
  <c r="G11" i="43"/>
  <c r="H10" i="43"/>
  <c r="L10" i="43" s="1"/>
  <c r="G10" i="43"/>
  <c r="G12" i="42"/>
  <c r="H12" i="42"/>
  <c r="K15" i="43" l="1"/>
  <c r="K14" i="43"/>
  <c r="K13" i="43"/>
  <c r="K12" i="43"/>
  <c r="K11" i="43"/>
  <c r="K10" i="43"/>
  <c r="M10" i="43" s="1"/>
  <c r="M11" i="43" l="1"/>
  <c r="M12" i="43" s="1"/>
  <c r="O11" i="43" l="1"/>
  <c r="O12" i="43" s="1"/>
  <c r="M13" i="43"/>
  <c r="M14" i="43" l="1"/>
  <c r="M15" i="43" l="1"/>
  <c r="O13" i="43"/>
  <c r="O14" i="43" s="1"/>
  <c r="L12" i="42"/>
  <c r="G11" i="42"/>
  <c r="H15" i="42"/>
  <c r="L15" i="42" s="1"/>
  <c r="G15" i="42"/>
  <c r="H14" i="42"/>
  <c r="L14" i="42" s="1"/>
  <c r="G14" i="42"/>
  <c r="H13" i="42"/>
  <c r="L13" i="42" s="1"/>
  <c r="G13" i="42"/>
  <c r="H11" i="42"/>
  <c r="L11" i="42" s="1"/>
  <c r="H10" i="42"/>
  <c r="L10" i="42" s="1"/>
  <c r="G10" i="42"/>
  <c r="O15" i="43" l="1"/>
  <c r="O16" i="43" s="1"/>
  <c r="K15" i="42"/>
  <c r="K14" i="42"/>
  <c r="K13" i="42"/>
  <c r="K11" i="42"/>
  <c r="K10" i="42"/>
  <c r="M10" i="42" s="1"/>
  <c r="K12" i="42"/>
  <c r="M11" i="42" l="1"/>
  <c r="M12" i="42" l="1"/>
  <c r="O11" i="42" l="1"/>
  <c r="O12" i="42" s="1"/>
  <c r="M13" i="42"/>
  <c r="M14" i="42" l="1"/>
  <c r="O13" i="42" l="1"/>
  <c r="O14" i="42" s="1"/>
  <c r="M15" i="42"/>
  <c r="O15" i="42" l="1"/>
  <c r="O16" i="42" s="1"/>
  <c r="H13" i="39"/>
  <c r="L13" i="39" s="1"/>
  <c r="G13" i="39"/>
  <c r="H12" i="39"/>
  <c r="L12" i="39" s="1"/>
  <c r="G12" i="39"/>
  <c r="H11" i="39"/>
  <c r="L11" i="39" s="1"/>
  <c r="G11" i="39"/>
  <c r="H10" i="39"/>
  <c r="L10" i="39" s="1"/>
  <c r="G10" i="39"/>
  <c r="K12" i="39" l="1"/>
  <c r="K10" i="39"/>
  <c r="K11" i="39"/>
  <c r="K13" i="39"/>
  <c r="M10" i="39" l="1"/>
  <c r="M11" i="39" l="1"/>
  <c r="M12" i="39" l="1"/>
  <c r="M13" i="39" l="1"/>
  <c r="G15" i="39" l="1"/>
  <c r="H15" i="39"/>
  <c r="L15" i="39" s="1"/>
  <c r="H14" i="39"/>
  <c r="L14" i="39" s="1"/>
  <c r="G14" i="39"/>
  <c r="K15" i="39" l="1"/>
  <c r="K14" i="39"/>
  <c r="M14" i="39" l="1"/>
  <c r="G14" i="33"/>
  <c r="G13" i="33"/>
  <c r="G15" i="33"/>
  <c r="K15" i="33" s="1"/>
  <c r="H30" i="33" s="1"/>
  <c r="G11" i="33"/>
  <c r="H11" i="33"/>
  <c r="L11" i="33" s="1"/>
  <c r="G12" i="33"/>
  <c r="H12" i="33"/>
  <c r="L12" i="33" s="1"/>
  <c r="H13" i="33"/>
  <c r="L13" i="33" s="1"/>
  <c r="H14" i="33"/>
  <c r="L14" i="33" s="1"/>
  <c r="H15" i="33"/>
  <c r="L15" i="33" s="1"/>
  <c r="H10" i="33"/>
  <c r="L10" i="33" s="1"/>
  <c r="G10" i="33"/>
  <c r="G11" i="36"/>
  <c r="H11" i="36"/>
  <c r="L11" i="36" s="1"/>
  <c r="G12" i="36"/>
  <c r="H12" i="36"/>
  <c r="L12" i="36" s="1"/>
  <c r="G13" i="36"/>
  <c r="H13" i="36"/>
  <c r="L13" i="36" s="1"/>
  <c r="G14" i="36"/>
  <c r="H14" i="36"/>
  <c r="L14" i="36" s="1"/>
  <c r="G15" i="36"/>
  <c r="H15" i="36"/>
  <c r="L15" i="36" s="1"/>
  <c r="H10" i="36"/>
  <c r="L10" i="36" s="1"/>
  <c r="G10" i="36"/>
  <c r="K14" i="33" l="1"/>
  <c r="M15" i="39"/>
  <c r="K10" i="33"/>
  <c r="M10" i="33" s="1"/>
  <c r="K13" i="33"/>
  <c r="K12" i="33"/>
  <c r="K11" i="33"/>
  <c r="K12" i="36"/>
  <c r="K10" i="36"/>
  <c r="M10" i="36" s="1"/>
  <c r="K13" i="36"/>
  <c r="K11" i="36"/>
  <c r="M11" i="33" l="1"/>
  <c r="M11" i="36"/>
  <c r="M12" i="33" l="1"/>
  <c r="M12" i="36"/>
  <c r="M13" i="33" l="1"/>
  <c r="M13" i="36"/>
  <c r="M14" i="33" l="1"/>
  <c r="M14" i="36"/>
  <c r="M15" i="33" l="1"/>
  <c r="M15" i="36"/>
  <c r="O11" i="39"/>
  <c r="O12" i="39" s="1"/>
  <c r="O13" i="39" l="1"/>
  <c r="O14" i="39" s="1"/>
  <c r="O15" i="39" l="1"/>
  <c r="O16" i="39" s="1"/>
</calcChain>
</file>

<file path=xl/sharedStrings.xml><?xml version="1.0" encoding="utf-8"?>
<sst xmlns="http://schemas.openxmlformats.org/spreadsheetml/2006/main" count="175" uniqueCount="46">
  <si>
    <t>Month</t>
  </si>
  <si>
    <t>Plant Balance</t>
  </si>
  <si>
    <t>Book Depreciation</t>
  </si>
  <si>
    <t>Accumulated Deferred Taxes</t>
  </si>
  <si>
    <t>Deferred Taxes on Retirements</t>
  </si>
  <si>
    <t>Kentucky Utilities Company</t>
  </si>
  <si>
    <t>Deferred Tax Calculations</t>
  </si>
  <si>
    <t>Environmental Compliance Plans, by Approved Project</t>
  </si>
  <si>
    <t>Beg Balance</t>
  </si>
  <si>
    <t>2009 - Plan</t>
  </si>
  <si>
    <t xml:space="preserve"> </t>
  </si>
  <si>
    <t>Project 33 - Beneficial Reuse</t>
  </si>
  <si>
    <t>Project 32 - Trimble County CCP Storage (Landfill - Phase I)</t>
  </si>
  <si>
    <t>2016 - Plan</t>
  </si>
  <si>
    <t>Project 41 - Trimble County New Process Water Systems</t>
  </si>
  <si>
    <t>Fed Tax Depreciation</t>
  </si>
  <si>
    <t>State Tax Depreciation</t>
  </si>
  <si>
    <t>Fed Temporary Difference</t>
  </si>
  <si>
    <t>State Temporary Difference</t>
  </si>
  <si>
    <t>Fed Tax Rate</t>
  </si>
  <si>
    <t>State Tax Rate</t>
  </si>
  <si>
    <t>Fed Deferred Tax</t>
  </si>
  <si>
    <t>State Deferred Tax</t>
  </si>
  <si>
    <t>is computed separately for Federal and State purposes.  Specifically, for Federal taxes, certain assets received 50% bonus</t>
  </si>
  <si>
    <t>is shown below:</t>
  </si>
  <si>
    <t>Federal Basis</t>
  </si>
  <si>
    <t>Book Depr.</t>
  </si>
  <si>
    <t>Federal Tax Depr</t>
  </si>
  <si>
    <t>Fed. Difference</t>
  </si>
  <si>
    <t>Fed Def Tax</t>
  </si>
  <si>
    <t>State Basis</t>
  </si>
  <si>
    <t>State Tax Depr</t>
  </si>
  <si>
    <t>St. Difference</t>
  </si>
  <si>
    <t>St Def Tax</t>
  </si>
  <si>
    <t>Subtotal</t>
  </si>
  <si>
    <t>State Offset</t>
  </si>
  <si>
    <t xml:space="preserve">Due to Bonus Depreciation for tax purposes taken on certain components of Project 32, the deferred tax calculation for this project </t>
  </si>
  <si>
    <t xml:space="preserve">Due to Bonus Depreciation for tax purposes taken on certain components of Project 33, the deferred tax calculation for this project </t>
  </si>
  <si>
    <t xml:space="preserve">Due to Bonus Depreciation for tax purposes taken on certain components of Project 41, the deferred tax calculation for this project </t>
  </si>
  <si>
    <t>Project 40 - Ghent New Process Water System</t>
  </si>
  <si>
    <t>Project 42 - Brown New Process Water Systems</t>
  </si>
  <si>
    <t>2020 - Plan</t>
  </si>
  <si>
    <t>Project 43 - Ghent ELG Water Treatment System, Diffuser, and BATW Recirculation System</t>
  </si>
  <si>
    <t>depreciation, which reduces the Federal tax basis to 50% of the plant balance.  A sample calculation of deferred taxes for Feb 2022</t>
  </si>
  <si>
    <t>Excess fed deferred tax amortization</t>
  </si>
  <si>
    <t>The federal deferred tax column includes an amount for amortization of excess deferred tax amounts.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</si>
</sst>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[$-409]mmm\-yy;@"/>
    <numFmt numFmtId="166" formatCode="0.0000%"/>
  </numFmts>
  <fonts count="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u val="singleAccounting"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70">
    <xf numFmtId="0" fontId="0" fillId="0" borderId="0" xfId="0"/>
    <xf numFmtId="165" fontId="2" fillId="0" borderId="0" xfId="0" applyNumberFormat="1" applyFont="1" applyFill="1" applyAlignment="1"/>
    <xf numFmtId="0" fontId="2" fillId="0" borderId="0" xfId="0" applyFont="1" applyFill="1" applyAlignment="1"/>
    <xf numFmtId="165" fontId="0" fillId="0" borderId="0" xfId="0" applyNumberFormat="1"/>
    <xf numFmtId="165" fontId="2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41" fontId="0" fillId="0" borderId="0" xfId="0" applyNumberFormat="1"/>
    <xf numFmtId="166" fontId="0" fillId="0" borderId="0" xfId="0" applyNumberFormat="1"/>
    <xf numFmtId="165" fontId="3" fillId="0" borderId="0" xfId="0" quotePrefix="1" applyNumberFormat="1" applyFont="1" applyFill="1" applyBorder="1" applyAlignment="1">
      <alignment horizontal="left"/>
    </xf>
    <xf numFmtId="164" fontId="1" fillId="0" borderId="0" xfId="1" applyNumberFormat="1"/>
    <xf numFmtId="165" fontId="2" fillId="0" borderId="0" xfId="0" quotePrefix="1" applyNumberFormat="1" applyFont="1" applyFill="1" applyAlignment="1">
      <alignment horizontal="left"/>
    </xf>
    <xf numFmtId="0" fontId="2" fillId="0" borderId="0" xfId="0" quotePrefix="1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0" fillId="0" borderId="0" xfId="0" applyAlignment="1"/>
    <xf numFmtId="164" fontId="4" fillId="0" borderId="0" xfId="1" applyNumberFormat="1" applyFont="1"/>
    <xf numFmtId="165" fontId="4" fillId="0" borderId="0" xfId="0" applyNumberFormat="1" applyFont="1" applyAlignment="1">
      <alignment horizontal="left"/>
    </xf>
    <xf numFmtId="43" fontId="0" fillId="0" borderId="0" xfId="1" applyFont="1"/>
    <xf numFmtId="164" fontId="0" fillId="0" borderId="0" xfId="0" applyNumberFormat="1"/>
    <xf numFmtId="0" fontId="4" fillId="0" borderId="0" xfId="0" applyFont="1"/>
    <xf numFmtId="43" fontId="4" fillId="0" borderId="0" xfId="1" applyFont="1"/>
    <xf numFmtId="41" fontId="4" fillId="0" borderId="0" xfId="0" applyNumberFormat="1" applyFont="1"/>
    <xf numFmtId="164" fontId="0" fillId="0" borderId="0" xfId="1" applyNumberFormat="1" applyFont="1"/>
    <xf numFmtId="41" fontId="0" fillId="0" borderId="0" xfId="0" applyNumberFormat="1" applyFill="1"/>
    <xf numFmtId="164" fontId="1" fillId="0" borderId="0" xfId="1" applyNumberFormat="1" applyFont="1"/>
    <xf numFmtId="41" fontId="1" fillId="0" borderId="0" xfId="0" quotePrefix="1" applyNumberFormat="1" applyFont="1" applyFill="1" applyAlignment="1">
      <alignment horizontal="left"/>
    </xf>
    <xf numFmtId="164" fontId="1" fillId="0" borderId="0" xfId="3" applyNumberFormat="1" applyFont="1" applyFill="1"/>
    <xf numFmtId="43" fontId="1" fillId="0" borderId="0" xfId="3" applyFont="1" applyFill="1"/>
    <xf numFmtId="164" fontId="1" fillId="0" borderId="0" xfId="3" quotePrefix="1" applyNumberFormat="1" applyFont="1" applyFill="1" applyAlignment="1">
      <alignment horizontal="left"/>
    </xf>
    <xf numFmtId="166" fontId="0" fillId="0" borderId="0" xfId="0" applyNumberFormat="1" applyFill="1"/>
    <xf numFmtId="41" fontId="8" fillId="0" borderId="0" xfId="0" applyNumberFormat="1" applyFont="1"/>
    <xf numFmtId="0" fontId="1" fillId="0" borderId="0" xfId="0" applyFont="1"/>
    <xf numFmtId="165" fontId="1" fillId="0" borderId="0" xfId="8" applyNumberFormat="1" applyFont="1" applyAlignment="1">
      <alignment horizontal="left"/>
    </xf>
    <xf numFmtId="0" fontId="0" fillId="0" borderId="0" xfId="0"/>
    <xf numFmtId="41" fontId="0" fillId="0" borderId="0" xfId="0" applyNumberFormat="1"/>
    <xf numFmtId="166" fontId="0" fillId="0" borderId="0" xfId="0" applyNumberFormat="1"/>
    <xf numFmtId="164" fontId="1" fillId="0" borderId="0" xfId="1" applyNumberFormat="1"/>
    <xf numFmtId="0" fontId="1" fillId="0" borderId="0" xfId="0" applyFont="1"/>
    <xf numFmtId="41" fontId="1" fillId="0" borderId="0" xfId="0" applyNumberFormat="1" applyFont="1"/>
    <xf numFmtId="164" fontId="1" fillId="0" borderId="0" xfId="10" applyNumberFormat="1" applyFont="1" applyFill="1"/>
    <xf numFmtId="43" fontId="1" fillId="0" borderId="0" xfId="10" applyFont="1" applyFill="1"/>
    <xf numFmtId="164" fontId="1" fillId="0" borderId="0" xfId="10" quotePrefix="1" applyNumberFormat="1" applyFont="1" applyFill="1" applyAlignment="1">
      <alignment horizontal="left"/>
    </xf>
    <xf numFmtId="41" fontId="8" fillId="0" borderId="0" xfId="0" applyNumberFormat="1" applyFont="1"/>
    <xf numFmtId="41" fontId="1" fillId="0" borderId="0" xfId="0" quotePrefix="1" applyNumberFormat="1" applyFont="1" applyAlignment="1">
      <alignment horizontal="left"/>
    </xf>
    <xf numFmtId="166" fontId="1" fillId="0" borderId="0" xfId="0" applyNumberFormat="1" applyFont="1"/>
    <xf numFmtId="164" fontId="0" fillId="0" borderId="0" xfId="1" applyNumberFormat="1" applyFont="1" applyFill="1" applyBorder="1"/>
    <xf numFmtId="0" fontId="1" fillId="0" borderId="0" xfId="15"/>
    <xf numFmtId="41" fontId="1" fillId="0" borderId="0" xfId="15" applyNumberFormat="1"/>
    <xf numFmtId="166" fontId="1" fillId="0" borderId="0" xfId="15" applyNumberFormat="1"/>
    <xf numFmtId="0" fontId="1" fillId="0" borderId="0" xfId="15" applyFont="1"/>
    <xf numFmtId="164" fontId="1" fillId="0" borderId="0" xfId="10" applyNumberFormat="1" applyFont="1" applyFill="1"/>
    <xf numFmtId="43" fontId="1" fillId="0" borderId="0" xfId="10" applyFont="1" applyFill="1"/>
    <xf numFmtId="164" fontId="1" fillId="0" borderId="0" xfId="10" quotePrefix="1" applyNumberFormat="1" applyFont="1" applyFill="1" applyAlignment="1">
      <alignment horizontal="left"/>
    </xf>
    <xf numFmtId="41" fontId="8" fillId="0" borderId="0" xfId="15" applyNumberFormat="1" applyFont="1"/>
    <xf numFmtId="41" fontId="1" fillId="0" borderId="0" xfId="15" quotePrefix="1" applyNumberFormat="1" applyFont="1" applyAlignment="1">
      <alignment horizontal="left"/>
    </xf>
    <xf numFmtId="41" fontId="1" fillId="0" borderId="0" xfId="15" applyNumberFormat="1" applyFont="1"/>
    <xf numFmtId="41" fontId="1" fillId="0" borderId="0" xfId="15" applyNumberFormat="1"/>
    <xf numFmtId="0" fontId="1" fillId="0" borderId="0" xfId="15" applyFont="1"/>
    <xf numFmtId="41" fontId="1" fillId="0" borderId="0" xfId="15" quotePrefix="1" applyNumberFormat="1" applyFont="1" applyAlignment="1">
      <alignment horizontal="left"/>
    </xf>
    <xf numFmtId="0" fontId="1" fillId="0" borderId="0" xfId="15"/>
    <xf numFmtId="41" fontId="1" fillId="0" borderId="0" xfId="15" applyNumberFormat="1"/>
    <xf numFmtId="166" fontId="1" fillId="0" borderId="0" xfId="15" applyNumberFormat="1"/>
    <xf numFmtId="164" fontId="1" fillId="0" borderId="0" xfId="15" applyNumberFormat="1"/>
    <xf numFmtId="0" fontId="1" fillId="0" borderId="0" xfId="15" applyFont="1"/>
    <xf numFmtId="41" fontId="1" fillId="0" borderId="0" xfId="15" applyNumberFormat="1" applyFont="1"/>
    <xf numFmtId="164" fontId="1" fillId="0" borderId="0" xfId="10" applyNumberFormat="1" applyFont="1" applyFill="1"/>
    <xf numFmtId="43" fontId="1" fillId="0" borderId="0" xfId="10" applyFont="1" applyFill="1"/>
    <xf numFmtId="164" fontId="1" fillId="0" borderId="0" xfId="10" quotePrefix="1" applyNumberFormat="1" applyFont="1" applyFill="1" applyAlignment="1">
      <alignment horizontal="left"/>
    </xf>
    <xf numFmtId="41" fontId="8" fillId="0" borderId="0" xfId="15" applyNumberFormat="1" applyFont="1"/>
    <xf numFmtId="41" fontId="1" fillId="0" borderId="0" xfId="15" quotePrefix="1" applyNumberFormat="1" applyFont="1" applyAlignment="1">
      <alignment horizontal="left"/>
    </xf>
  </cellXfs>
  <cellStyles count="16">
    <cellStyle name="Comma" xfId="1" builtinId="3"/>
    <cellStyle name="Comma 2" xfId="2" xr:uid="{00000000-0005-0000-0000-000001000000}"/>
    <cellStyle name="Comma 2 2" xfId="3" xr:uid="{00000000-0005-0000-0000-000002000000}"/>
    <cellStyle name="Comma 2 2 2" xfId="10" xr:uid="{DCA0671C-2098-41A2-8E2E-2539BFAFB463}"/>
    <cellStyle name="Comma 2 3" xfId="9" xr:uid="{D5584ED4-EDC4-4CB7-983D-3182E468A90F}"/>
    <cellStyle name="Comma 3" xfId="4" xr:uid="{00000000-0005-0000-0000-000003000000}"/>
    <cellStyle name="Comma 3 2" xfId="5" xr:uid="{00000000-0005-0000-0000-000004000000}"/>
    <cellStyle name="Comma 3 2 2" xfId="12" xr:uid="{6F4C6466-C8EC-4207-963C-44734A031DF6}"/>
    <cellStyle name="Comma 3 3" xfId="11" xr:uid="{5FE95EE3-121B-487B-91B5-6E92AE53C7A1}"/>
    <cellStyle name="Comma 4" xfId="6" xr:uid="{00000000-0005-0000-0000-000005000000}"/>
    <cellStyle name="Comma 4 2" xfId="13" xr:uid="{3E1B9B33-9D45-4DDC-B6DB-31663A095133}"/>
    <cellStyle name="Comma 5" xfId="7" xr:uid="{00000000-0005-0000-0000-000006000000}"/>
    <cellStyle name="Comma 5 2" xfId="14" xr:uid="{8C4537EB-81B8-4234-95BD-6E7C3A1E7E3C}"/>
    <cellStyle name="Normal" xfId="0" builtinId="0"/>
    <cellStyle name="Normal 2" xfId="8" xr:uid="{00000000-0005-0000-0000-000008000000}"/>
    <cellStyle name="Normal 2 2" xfId="15" xr:uid="{14CA31F9-DF67-4D6F-9F68-6D957EE3491B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P48"/>
  <sheetViews>
    <sheetView tabSelected="1" zoomScaleNormal="100" workbookViewId="0"/>
  </sheetViews>
  <sheetFormatPr defaultRowHeight="12.75" x14ac:dyDescent="0.2"/>
  <cols>
    <col min="1" max="1" width="11.28515625" style="3" customWidth="1"/>
    <col min="2" max="2" width="1.7109375" customWidth="1"/>
    <col min="3" max="3" width="14" customWidth="1"/>
    <col min="4" max="4" width="14.28515625" bestFit="1" customWidth="1"/>
    <col min="5" max="5" width="17.140625" customWidth="1"/>
    <col min="6" max="6" width="15.28515625" customWidth="1"/>
    <col min="7" max="8" width="14.28515625" customWidth="1"/>
    <col min="9" max="12" width="12.7109375" customWidth="1"/>
    <col min="13" max="13" width="16.5703125" bestFit="1" customWidth="1"/>
    <col min="14" max="14" width="12.7109375" customWidth="1"/>
    <col min="15" max="15" width="11.28515625" bestFit="1" customWidth="1"/>
  </cols>
  <sheetData>
    <row r="1" spans="1:16" x14ac:dyDescent="0.2">
      <c r="A1" s="12" t="s">
        <v>5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6" x14ac:dyDescent="0.2">
      <c r="A2" s="12" t="s">
        <v>6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1:16" x14ac:dyDescent="0.2">
      <c r="A3" s="13" t="s">
        <v>7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</row>
    <row r="4" spans="1:16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 t="s">
        <v>10</v>
      </c>
      <c r="O4" s="14"/>
    </row>
    <row r="5" spans="1:16" x14ac:dyDescent="0.2">
      <c r="A5" s="9" t="s">
        <v>9</v>
      </c>
    </row>
    <row r="6" spans="1:16" x14ac:dyDescent="0.2">
      <c r="A6" s="11" t="s">
        <v>12</v>
      </c>
    </row>
    <row r="8" spans="1:16" s="6" customFormat="1" ht="38.25" x14ac:dyDescent="0.2">
      <c r="A8" s="4" t="s">
        <v>0</v>
      </c>
      <c r="B8" s="5"/>
      <c r="C8" s="5" t="s">
        <v>1</v>
      </c>
      <c r="D8" s="5" t="s">
        <v>2</v>
      </c>
      <c r="E8" s="5" t="s">
        <v>15</v>
      </c>
      <c r="F8" s="5" t="s">
        <v>16</v>
      </c>
      <c r="G8" s="5" t="s">
        <v>17</v>
      </c>
      <c r="H8" s="5" t="s">
        <v>18</v>
      </c>
      <c r="I8" s="5" t="s">
        <v>19</v>
      </c>
      <c r="J8" s="5" t="s">
        <v>20</v>
      </c>
      <c r="K8" s="5" t="s">
        <v>21</v>
      </c>
      <c r="L8" s="5" t="s">
        <v>22</v>
      </c>
      <c r="M8" s="5" t="s">
        <v>3</v>
      </c>
      <c r="N8" s="5" t="s">
        <v>4</v>
      </c>
    </row>
    <row r="9" spans="1:16" x14ac:dyDescent="0.2">
      <c r="A9" s="3" t="s">
        <v>8</v>
      </c>
      <c r="M9" s="10">
        <v>8097903</v>
      </c>
    </row>
    <row r="10" spans="1:16" x14ac:dyDescent="0.2">
      <c r="A10" s="32">
        <v>44448</v>
      </c>
      <c r="C10" s="7">
        <f>96531240</f>
        <v>96531240</v>
      </c>
      <c r="D10" s="15">
        <f>184718</f>
        <v>184718</v>
      </c>
      <c r="E10" s="10">
        <f>354189.43+3.88</f>
        <v>354193.31</v>
      </c>
      <c r="F10" s="10">
        <f>531377.02+3.88</f>
        <v>531380.9</v>
      </c>
      <c r="G10" s="7">
        <f t="shared" ref="G10:G15" si="0">E10-D10</f>
        <v>169475.31</v>
      </c>
      <c r="H10" s="7">
        <f t="shared" ref="H10:H15" si="1">F10-D10</f>
        <v>346662.9</v>
      </c>
      <c r="I10" s="8">
        <v>0.21</v>
      </c>
      <c r="J10" s="8">
        <v>0.05</v>
      </c>
      <c r="K10" s="7">
        <f t="shared" ref="K10:K13" si="2">G10*I10-L10*I10</f>
        <v>31949.854650000001</v>
      </c>
      <c r="L10" s="7">
        <f t="shared" ref="L10:L15" si="3">H10*J10</f>
        <v>17333.145</v>
      </c>
      <c r="M10" s="7">
        <f t="shared" ref="M10:M15" si="4">M9+K10+L10</f>
        <v>8147185.9996499997</v>
      </c>
      <c r="N10" s="7">
        <v>0</v>
      </c>
      <c r="O10" s="17"/>
      <c r="P10" s="18"/>
    </row>
    <row r="11" spans="1:16" x14ac:dyDescent="0.2">
      <c r="A11" s="32">
        <v>44470</v>
      </c>
      <c r="C11" s="7">
        <f>96531240</f>
        <v>96531240</v>
      </c>
      <c r="D11" s="15">
        <f>184718</f>
        <v>184718</v>
      </c>
      <c r="E11" s="36">
        <f>354189.43</f>
        <v>354189.43</v>
      </c>
      <c r="F11" s="10">
        <f>531377.02</f>
        <v>531377.02</v>
      </c>
      <c r="G11" s="7">
        <f t="shared" si="0"/>
        <v>169471.43</v>
      </c>
      <c r="H11" s="7">
        <f t="shared" si="1"/>
        <v>346659.02</v>
      </c>
      <c r="I11" s="8">
        <v>0.21</v>
      </c>
      <c r="J11" s="8">
        <v>0.05</v>
      </c>
      <c r="K11" s="7">
        <f t="shared" si="2"/>
        <v>31949.080589999998</v>
      </c>
      <c r="L11" s="7">
        <f t="shared" si="3"/>
        <v>17332.951000000001</v>
      </c>
      <c r="M11" s="23">
        <f t="shared" si="4"/>
        <v>8196468.0312400004</v>
      </c>
      <c r="N11" s="7">
        <v>0</v>
      </c>
      <c r="O11" s="17"/>
      <c r="P11" s="18"/>
    </row>
    <row r="12" spans="1:16" x14ac:dyDescent="0.2">
      <c r="A12" s="32">
        <v>44501</v>
      </c>
      <c r="C12" s="7">
        <v>96533408</v>
      </c>
      <c r="D12" s="15">
        <v>184718</v>
      </c>
      <c r="E12" s="36">
        <f>354189.43</f>
        <v>354189.43</v>
      </c>
      <c r="F12" s="10">
        <f>531377.02</f>
        <v>531377.02</v>
      </c>
      <c r="G12" s="7">
        <f t="shared" si="0"/>
        <v>169471.43</v>
      </c>
      <c r="H12" s="7">
        <f t="shared" si="1"/>
        <v>346659.02</v>
      </c>
      <c r="I12" s="8">
        <v>0.21</v>
      </c>
      <c r="J12" s="8">
        <v>0.05</v>
      </c>
      <c r="K12" s="7">
        <f t="shared" si="2"/>
        <v>31949.080589999998</v>
      </c>
      <c r="L12" s="7">
        <f t="shared" si="3"/>
        <v>17332.951000000001</v>
      </c>
      <c r="M12" s="7">
        <f t="shared" si="4"/>
        <v>8245750.0628300011</v>
      </c>
      <c r="N12" s="7">
        <v>0</v>
      </c>
      <c r="O12" s="22"/>
      <c r="P12" s="18"/>
    </row>
    <row r="13" spans="1:16" x14ac:dyDescent="0.2">
      <c r="A13" s="32">
        <v>44531</v>
      </c>
      <c r="C13" s="7">
        <v>96533408</v>
      </c>
      <c r="D13" s="15">
        <v>184718</v>
      </c>
      <c r="E13" s="10">
        <f>354189.43</f>
        <v>354189.43</v>
      </c>
      <c r="F13" s="10">
        <f>531377.02</f>
        <v>531377.02</v>
      </c>
      <c r="G13" s="7">
        <f t="shared" si="0"/>
        <v>169471.43</v>
      </c>
      <c r="H13" s="7">
        <f t="shared" si="1"/>
        <v>346659.02</v>
      </c>
      <c r="I13" s="8">
        <v>0.21</v>
      </c>
      <c r="J13" s="8">
        <v>0.05</v>
      </c>
      <c r="K13" s="7">
        <f t="shared" si="2"/>
        <v>31949.080589999998</v>
      </c>
      <c r="L13" s="7">
        <f t="shared" si="3"/>
        <v>17332.951000000001</v>
      </c>
      <c r="M13" s="7">
        <f t="shared" si="4"/>
        <v>8295032.0944200018</v>
      </c>
      <c r="N13" s="7">
        <v>0</v>
      </c>
      <c r="O13" s="22"/>
      <c r="P13" s="18"/>
    </row>
    <row r="14" spans="1:16" x14ac:dyDescent="0.2">
      <c r="A14" s="32">
        <v>44562</v>
      </c>
      <c r="C14" s="7">
        <v>96533408</v>
      </c>
      <c r="D14" s="15">
        <v>184718</v>
      </c>
      <c r="E14" s="10">
        <f>327638.79</f>
        <v>327638.78999999998</v>
      </c>
      <c r="F14" s="10">
        <v>491551.44</v>
      </c>
      <c r="G14" s="7">
        <f t="shared" si="0"/>
        <v>142920.78999999998</v>
      </c>
      <c r="H14" s="7">
        <f t="shared" si="1"/>
        <v>306833.44</v>
      </c>
      <c r="I14" s="8">
        <v>0.21</v>
      </c>
      <c r="J14" s="8">
        <v>0.05</v>
      </c>
      <c r="K14" s="7">
        <f>G14*I14-L14*I14-25.4</f>
        <v>26766.214779999991</v>
      </c>
      <c r="L14" s="7">
        <f t="shared" si="3"/>
        <v>15341.672</v>
      </c>
      <c r="M14" s="7">
        <f t="shared" si="4"/>
        <v>8337139.9812000021</v>
      </c>
      <c r="N14" s="7">
        <v>0</v>
      </c>
      <c r="O14" s="7"/>
      <c r="P14" s="18"/>
    </row>
    <row r="15" spans="1:16" x14ac:dyDescent="0.2">
      <c r="A15" s="32">
        <v>44593</v>
      </c>
      <c r="C15" s="7">
        <v>96533408</v>
      </c>
      <c r="D15" s="15">
        <v>184718</v>
      </c>
      <c r="E15" s="15">
        <f>327638.79</f>
        <v>327638.78999999998</v>
      </c>
      <c r="F15" s="15">
        <f>491551.44</f>
        <v>491551.44</v>
      </c>
      <c r="G15" s="7">
        <f t="shared" si="0"/>
        <v>142920.78999999998</v>
      </c>
      <c r="H15" s="7">
        <f t="shared" si="1"/>
        <v>306833.44</v>
      </c>
      <c r="I15" s="8">
        <v>0.21</v>
      </c>
      <c r="J15" s="8">
        <v>0.05</v>
      </c>
      <c r="K15" s="7">
        <f>G15*I15-L15*I15-25.4</f>
        <v>26766.214779999991</v>
      </c>
      <c r="L15" s="7">
        <f t="shared" si="3"/>
        <v>15341.672</v>
      </c>
      <c r="M15" s="7">
        <f t="shared" si="4"/>
        <v>8379247.8679800024</v>
      </c>
      <c r="N15" s="7">
        <v>0</v>
      </c>
      <c r="P15" s="18"/>
    </row>
    <row r="16" spans="1:16" x14ac:dyDescent="0.2">
      <c r="A16" s="16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 x14ac:dyDescent="0.2">
      <c r="A17" s="16"/>
      <c r="C17" s="55" t="s">
        <v>45</v>
      </c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</row>
    <row r="18" spans="1:14" x14ac:dyDescent="0.2">
      <c r="A18" s="16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</row>
    <row r="19" spans="1:14" x14ac:dyDescent="0.2">
      <c r="C19" s="43" t="s">
        <v>36</v>
      </c>
      <c r="D19" s="33"/>
      <c r="E19" s="33"/>
      <c r="F19" s="33"/>
      <c r="G19" s="33"/>
      <c r="H19" s="33"/>
      <c r="I19" s="33"/>
      <c r="J19" s="33"/>
    </row>
    <row r="20" spans="1:14" x14ac:dyDescent="0.2">
      <c r="C20" s="43" t="s">
        <v>23</v>
      </c>
      <c r="D20" s="33"/>
      <c r="E20" s="33"/>
      <c r="F20" s="33"/>
      <c r="G20" s="33"/>
      <c r="H20" s="33"/>
      <c r="I20" s="33"/>
      <c r="J20" s="33"/>
    </row>
    <row r="21" spans="1:14" x14ac:dyDescent="0.2">
      <c r="C21" s="43" t="s">
        <v>43</v>
      </c>
      <c r="D21" s="33"/>
      <c r="E21" s="33"/>
      <c r="F21" s="33"/>
      <c r="G21" s="33"/>
      <c r="H21" s="33"/>
      <c r="I21" s="33"/>
      <c r="J21" s="33"/>
    </row>
    <row r="22" spans="1:14" x14ac:dyDescent="0.2">
      <c r="C22" s="34" t="s">
        <v>24</v>
      </c>
      <c r="D22" s="33"/>
      <c r="E22" s="33"/>
      <c r="F22" s="33"/>
      <c r="G22" s="33"/>
      <c r="H22" s="33"/>
      <c r="I22" s="33"/>
      <c r="J22" s="33"/>
    </row>
    <row r="24" spans="1:14" x14ac:dyDescent="0.2">
      <c r="C24" s="34" t="s">
        <v>25</v>
      </c>
      <c r="D24" s="41" t="s">
        <v>26</v>
      </c>
      <c r="E24" s="40" t="s">
        <v>27</v>
      </c>
      <c r="F24" s="34" t="s">
        <v>28</v>
      </c>
      <c r="G24" s="35" t="s">
        <v>19</v>
      </c>
      <c r="H24" s="34" t="s">
        <v>29</v>
      </c>
      <c r="I24" s="33"/>
      <c r="J24" s="33"/>
    </row>
    <row r="25" spans="1:14" x14ac:dyDescent="0.2">
      <c r="C25" s="34">
        <v>1880068.145</v>
      </c>
      <c r="D25" s="34">
        <v>184718</v>
      </c>
      <c r="E25" s="34">
        <v>7084.72</v>
      </c>
      <c r="F25" s="34">
        <f>-D25+E25</f>
        <v>-177633.28</v>
      </c>
      <c r="G25" s="35">
        <v>0.21</v>
      </c>
      <c r="H25" s="34">
        <f>F25*G25</f>
        <v>-37302.988799999999</v>
      </c>
      <c r="I25" s="33"/>
      <c r="J25" s="33"/>
    </row>
    <row r="26" spans="1:14" x14ac:dyDescent="0.2">
      <c r="C26" s="34">
        <v>184335</v>
      </c>
      <c r="D26" s="34"/>
      <c r="E26" s="34">
        <v>877.59</v>
      </c>
      <c r="F26" s="34">
        <f t="shared" ref="F26:F33" si="5">-D26+E26</f>
        <v>877.59</v>
      </c>
      <c r="G26" s="35">
        <v>0.21</v>
      </c>
      <c r="H26" s="34">
        <f t="shared" ref="H26:H33" si="6">F26*G26</f>
        <v>184.29390000000001</v>
      </c>
      <c r="I26" s="33"/>
      <c r="J26" s="33"/>
    </row>
    <row r="27" spans="1:14" x14ac:dyDescent="0.2">
      <c r="C27" s="34">
        <v>36765919</v>
      </c>
      <c r="D27" s="34"/>
      <c r="E27" s="34">
        <v>189252.57</v>
      </c>
      <c r="F27" s="34">
        <f t="shared" si="5"/>
        <v>189252.57</v>
      </c>
      <c r="G27" s="35">
        <v>0.21</v>
      </c>
      <c r="H27" s="34">
        <f t="shared" si="6"/>
        <v>39743.039700000001</v>
      </c>
      <c r="I27" s="33"/>
      <c r="J27" s="33"/>
    </row>
    <row r="28" spans="1:14" x14ac:dyDescent="0.2">
      <c r="C28" s="34">
        <v>570444</v>
      </c>
      <c r="D28" s="34"/>
      <c r="E28" s="34"/>
      <c r="F28" s="34">
        <f t="shared" si="5"/>
        <v>0</v>
      </c>
      <c r="G28" s="35">
        <v>0.21</v>
      </c>
      <c r="H28" s="34">
        <f t="shared" si="6"/>
        <v>0</v>
      </c>
      <c r="I28" s="33"/>
      <c r="J28" s="33"/>
    </row>
    <row r="29" spans="1:14" x14ac:dyDescent="0.2">
      <c r="C29" s="34">
        <v>209122</v>
      </c>
      <c r="D29" s="34"/>
      <c r="E29" s="34">
        <v>1076.45</v>
      </c>
      <c r="F29" s="34">
        <f t="shared" si="5"/>
        <v>1076.45</v>
      </c>
      <c r="G29" s="35">
        <v>0.21</v>
      </c>
      <c r="H29" s="34">
        <f t="shared" si="6"/>
        <v>226.05449999999999</v>
      </c>
      <c r="I29" s="33"/>
      <c r="J29" s="33"/>
    </row>
    <row r="30" spans="1:14" x14ac:dyDescent="0.2">
      <c r="C30" s="34">
        <v>5510178</v>
      </c>
      <c r="D30" s="34"/>
      <c r="E30" s="34"/>
      <c r="F30" s="34">
        <f t="shared" si="5"/>
        <v>0</v>
      </c>
      <c r="G30" s="35">
        <v>0.21</v>
      </c>
      <c r="H30" s="34">
        <f t="shared" si="6"/>
        <v>0</v>
      </c>
      <c r="I30" s="33"/>
      <c r="J30" s="33"/>
    </row>
    <row r="31" spans="1:14" x14ac:dyDescent="0.2">
      <c r="C31" s="34">
        <v>20738213</v>
      </c>
      <c r="D31" s="34"/>
      <c r="E31" s="38">
        <v>115390.87</v>
      </c>
      <c r="F31" s="34">
        <f t="shared" si="5"/>
        <v>115390.87</v>
      </c>
      <c r="G31" s="35">
        <v>0.21</v>
      </c>
      <c r="H31" s="34">
        <f t="shared" si="6"/>
        <v>24232.082699999999</v>
      </c>
      <c r="I31" s="33"/>
      <c r="J31" s="33"/>
    </row>
    <row r="32" spans="1:14" x14ac:dyDescent="0.2">
      <c r="C32" s="34">
        <v>1400</v>
      </c>
      <c r="D32" s="34"/>
      <c r="E32" s="38">
        <v>7.79</v>
      </c>
      <c r="F32" s="34">
        <f t="shared" si="5"/>
        <v>7.79</v>
      </c>
      <c r="G32" s="35">
        <v>0.21</v>
      </c>
      <c r="H32" s="34">
        <f t="shared" si="6"/>
        <v>1.6358999999999999</v>
      </c>
      <c r="I32" s="33"/>
      <c r="J32" s="33"/>
    </row>
    <row r="33" spans="3:9" ht="15" x14ac:dyDescent="0.35">
      <c r="C33" s="34">
        <v>2506896</v>
      </c>
      <c r="D33" s="34"/>
      <c r="E33" s="42">
        <v>13948.79</v>
      </c>
      <c r="F33" s="42">
        <f t="shared" si="5"/>
        <v>13948.79</v>
      </c>
      <c r="G33" s="35">
        <v>0.21</v>
      </c>
      <c r="H33" s="42">
        <f t="shared" si="6"/>
        <v>2929.2458999999999</v>
      </c>
    </row>
    <row r="34" spans="3:9" x14ac:dyDescent="0.2">
      <c r="C34" s="34"/>
      <c r="D34" s="34"/>
      <c r="E34" s="34">
        <f>SUM(E25:E33)</f>
        <v>327638.77999999997</v>
      </c>
      <c r="F34" s="34">
        <f>SUM(F25:F33)</f>
        <v>142920.78</v>
      </c>
      <c r="G34" s="44" t="s">
        <v>34</v>
      </c>
      <c r="H34" s="34">
        <f>SUM(H25:H33)</f>
        <v>30013.363799999999</v>
      </c>
    </row>
    <row r="35" spans="3:9" ht="15" x14ac:dyDescent="0.35">
      <c r="C35" s="33"/>
      <c r="D35" s="33"/>
      <c r="E35" s="33"/>
      <c r="F35" s="33"/>
      <c r="G35" s="37" t="s">
        <v>35</v>
      </c>
      <c r="H35" s="42">
        <f>-H47*0.21</f>
        <v>-3221.7511200000004</v>
      </c>
    </row>
    <row r="36" spans="3:9" x14ac:dyDescent="0.2">
      <c r="C36" s="33"/>
      <c r="D36" s="33"/>
      <c r="E36" s="33"/>
      <c r="F36" s="33"/>
      <c r="G36" s="33"/>
      <c r="H36" s="34">
        <f>H34+H35</f>
        <v>26791.612679999998</v>
      </c>
    </row>
    <row r="37" spans="3:9" x14ac:dyDescent="0.2">
      <c r="C37" s="33"/>
      <c r="D37" s="33"/>
      <c r="E37" s="33"/>
      <c r="F37" s="33"/>
      <c r="G37" s="33"/>
      <c r="H37" s="34">
        <f>H36-K15</f>
        <v>25.397900000007212</v>
      </c>
      <c r="I37" s="57" t="s">
        <v>44</v>
      </c>
    </row>
    <row r="38" spans="3:9" x14ac:dyDescent="0.2">
      <c r="C38" s="34" t="s">
        <v>30</v>
      </c>
      <c r="D38" s="39" t="s">
        <v>26</v>
      </c>
      <c r="E38" s="40" t="s">
        <v>31</v>
      </c>
      <c r="F38" s="34" t="s">
        <v>32</v>
      </c>
      <c r="G38" s="35" t="s">
        <v>20</v>
      </c>
      <c r="H38" s="34" t="s">
        <v>33</v>
      </c>
    </row>
    <row r="39" spans="3:9" x14ac:dyDescent="0.2">
      <c r="C39" s="34">
        <v>3760136.29</v>
      </c>
      <c r="D39" s="34">
        <v>184718</v>
      </c>
      <c r="E39" s="34">
        <v>14169.45</v>
      </c>
      <c r="F39" s="34">
        <f>-D39+E39</f>
        <v>-170548.55</v>
      </c>
      <c r="G39" s="35">
        <v>0.05</v>
      </c>
      <c r="H39" s="34">
        <f>F39*G39</f>
        <v>-8527.4274999999998</v>
      </c>
    </row>
    <row r="40" spans="3:9" x14ac:dyDescent="0.2">
      <c r="C40" s="34">
        <v>184335</v>
      </c>
      <c r="D40" s="34"/>
      <c r="E40" s="34">
        <v>877.59</v>
      </c>
      <c r="F40" s="34">
        <f t="shared" ref="F40:F46" si="7">-D40+E40</f>
        <v>877.59</v>
      </c>
      <c r="G40" s="35">
        <v>0.05</v>
      </c>
      <c r="H40" s="34">
        <f t="shared" ref="H40:H46" si="8">F40*G40</f>
        <v>43.879500000000007</v>
      </c>
    </row>
    <row r="41" spans="3:9" x14ac:dyDescent="0.2">
      <c r="C41" s="45">
        <v>61276531.409999996</v>
      </c>
      <c r="D41" s="34"/>
      <c r="E41" s="34">
        <v>315420.95</v>
      </c>
      <c r="F41" s="34">
        <f t="shared" si="7"/>
        <v>315420.95</v>
      </c>
      <c r="G41" s="35">
        <v>0.05</v>
      </c>
      <c r="H41" s="34">
        <f t="shared" si="8"/>
        <v>15771.047500000001</v>
      </c>
    </row>
    <row r="42" spans="3:9" x14ac:dyDescent="0.2">
      <c r="C42" s="45">
        <v>570444</v>
      </c>
      <c r="D42" s="34"/>
      <c r="E42" s="34"/>
      <c r="F42" s="34">
        <f t="shared" si="7"/>
        <v>0</v>
      </c>
      <c r="G42" s="35">
        <v>0.05</v>
      </c>
      <c r="H42" s="34">
        <f t="shared" si="8"/>
        <v>0</v>
      </c>
    </row>
    <row r="43" spans="3:9" x14ac:dyDescent="0.2">
      <c r="C43" s="34">
        <v>209122</v>
      </c>
      <c r="D43" s="34"/>
      <c r="E43" s="34">
        <v>1076.45</v>
      </c>
      <c r="F43" s="34">
        <f t="shared" si="7"/>
        <v>1076.45</v>
      </c>
      <c r="G43" s="35">
        <v>0.05</v>
      </c>
      <c r="H43" s="34">
        <f t="shared" si="8"/>
        <v>53.822500000000005</v>
      </c>
    </row>
    <row r="44" spans="3:9" x14ac:dyDescent="0.2">
      <c r="C44" s="34">
        <v>26248391</v>
      </c>
      <c r="D44" s="34"/>
      <c r="E44" s="38">
        <v>146050.42000000001</v>
      </c>
      <c r="F44" s="34">
        <f t="shared" si="7"/>
        <v>146050.42000000001</v>
      </c>
      <c r="G44" s="35">
        <v>0.05</v>
      </c>
      <c r="H44" s="34">
        <f t="shared" si="8"/>
        <v>7302.5210000000006</v>
      </c>
    </row>
    <row r="45" spans="3:9" x14ac:dyDescent="0.2">
      <c r="C45" s="34">
        <v>1400</v>
      </c>
      <c r="D45" s="34"/>
      <c r="E45" s="38">
        <v>7.79</v>
      </c>
      <c r="F45" s="34">
        <f t="shared" si="7"/>
        <v>7.79</v>
      </c>
      <c r="G45" s="35">
        <v>0.05</v>
      </c>
      <c r="H45" s="34">
        <f t="shared" si="8"/>
        <v>0.38950000000000001</v>
      </c>
    </row>
    <row r="46" spans="3:9" ht="15" x14ac:dyDescent="0.35">
      <c r="C46" s="34">
        <v>2506896</v>
      </c>
      <c r="D46" s="34"/>
      <c r="E46" s="42">
        <v>13948.79</v>
      </c>
      <c r="F46" s="42">
        <f t="shared" si="7"/>
        <v>13948.79</v>
      </c>
      <c r="G46" s="35">
        <v>0.05</v>
      </c>
      <c r="H46" s="42">
        <f t="shared" si="8"/>
        <v>697.43950000000007</v>
      </c>
    </row>
    <row r="47" spans="3:9" x14ac:dyDescent="0.2">
      <c r="C47" s="34"/>
      <c r="D47" s="34"/>
      <c r="E47" s="34">
        <f>SUM(E39:E46)</f>
        <v>491551.43999999994</v>
      </c>
      <c r="F47" s="34">
        <f>SUM(F39:F46)</f>
        <v>306833.44</v>
      </c>
      <c r="G47" s="44"/>
      <c r="H47" s="34">
        <f>SUM(H39:H46)</f>
        <v>15341.672000000002</v>
      </c>
    </row>
    <row r="48" spans="3:9" x14ac:dyDescent="0.2">
      <c r="C48" s="33"/>
      <c r="D48" s="33"/>
      <c r="E48" s="33"/>
      <c r="F48" s="33"/>
      <c r="G48" s="33"/>
      <c r="H48" s="34">
        <f>H47-L15</f>
        <v>0</v>
      </c>
    </row>
  </sheetData>
  <pageMargins left="0.7" right="0.7" top="1.15625" bottom="0.75" header="0.3" footer="0.3"/>
  <pageSetup scale="50" orientation="portrait" r:id="rId1"/>
  <headerFooter>
    <oddHeader>&amp;R&amp;"Times New Roman,Bold"&amp;12Attachment to Response to Question 3
Page 1 of 6
Clements</oddHeader>
    <oddFooter>&amp;L_x000D_&amp;1#&amp;"Calibri"&amp;14&amp;K000000 Business Use</oddFooter>
  </headerFooter>
  <colBreaks count="1" manualBreakCount="1">
    <brk id="1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12"/>
  <dimension ref="A1:P35"/>
  <sheetViews>
    <sheetView zoomScaleNormal="100" workbookViewId="0"/>
  </sheetViews>
  <sheetFormatPr defaultRowHeight="12.75" x14ac:dyDescent="0.2"/>
  <cols>
    <col min="1" max="1" width="11.28515625" style="3" customWidth="1"/>
    <col min="2" max="2" width="1.7109375" customWidth="1"/>
    <col min="3" max="3" width="14.7109375" customWidth="1"/>
    <col min="4" max="4" width="14.28515625" bestFit="1" customWidth="1"/>
    <col min="5" max="5" width="16.7109375" customWidth="1"/>
    <col min="6" max="6" width="15" customWidth="1"/>
    <col min="7" max="8" width="14.28515625" customWidth="1"/>
    <col min="9" max="12" width="12.7109375" customWidth="1"/>
    <col min="13" max="13" width="16.5703125" bestFit="1" customWidth="1"/>
    <col min="14" max="14" width="12.7109375" customWidth="1"/>
    <col min="15" max="15" width="11.28515625" bestFit="1" customWidth="1"/>
  </cols>
  <sheetData>
    <row r="1" spans="1:16" x14ac:dyDescent="0.2">
      <c r="A1" s="12" t="s">
        <v>5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6" x14ac:dyDescent="0.2">
      <c r="A2" s="12" t="s">
        <v>6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1:16" x14ac:dyDescent="0.2">
      <c r="A3" s="13" t="s">
        <v>7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</row>
    <row r="4" spans="1:16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14"/>
    </row>
    <row r="5" spans="1:16" x14ac:dyDescent="0.2">
      <c r="A5" s="9" t="s">
        <v>9</v>
      </c>
    </row>
    <row r="6" spans="1:16" x14ac:dyDescent="0.2">
      <c r="A6" s="11" t="s">
        <v>11</v>
      </c>
    </row>
    <row r="8" spans="1:16" s="6" customFormat="1" ht="38.25" x14ac:dyDescent="0.2">
      <c r="A8" s="4" t="s">
        <v>0</v>
      </c>
      <c r="B8" s="5"/>
      <c r="C8" s="5" t="s">
        <v>1</v>
      </c>
      <c r="D8" s="5" t="s">
        <v>2</v>
      </c>
      <c r="E8" s="5" t="s">
        <v>15</v>
      </c>
      <c r="F8" s="5" t="s">
        <v>16</v>
      </c>
      <c r="G8" s="5" t="s">
        <v>17</v>
      </c>
      <c r="H8" s="5" t="s">
        <v>18</v>
      </c>
      <c r="I8" s="5" t="s">
        <v>19</v>
      </c>
      <c r="J8" s="5" t="s">
        <v>20</v>
      </c>
      <c r="K8" s="5" t="s">
        <v>21</v>
      </c>
      <c r="L8" s="5" t="s">
        <v>22</v>
      </c>
      <c r="M8" s="5" t="s">
        <v>3</v>
      </c>
      <c r="N8" s="5" t="s">
        <v>4</v>
      </c>
    </row>
    <row r="9" spans="1:16" x14ac:dyDescent="0.2">
      <c r="A9" s="3" t="s">
        <v>8</v>
      </c>
      <c r="M9" s="10">
        <v>892613</v>
      </c>
    </row>
    <row r="10" spans="1:16" x14ac:dyDescent="0.2">
      <c r="A10" s="32">
        <v>44448</v>
      </c>
      <c r="C10" s="7">
        <f>4193823</f>
        <v>4193823</v>
      </c>
      <c r="D10" s="15">
        <f>7836</f>
        <v>7836</v>
      </c>
      <c r="E10" s="10">
        <f>7780.04</f>
        <v>7780.04</v>
      </c>
      <c r="F10" s="10">
        <f>15560.08</f>
        <v>15560.08</v>
      </c>
      <c r="G10" s="7">
        <f t="shared" ref="G10:G15" si="0">E10-D10</f>
        <v>-55.960000000000036</v>
      </c>
      <c r="H10" s="7">
        <f t="shared" ref="H10:H15" si="1">F10-D10</f>
        <v>7724.08</v>
      </c>
      <c r="I10" s="8">
        <v>0.21</v>
      </c>
      <c r="J10" s="8">
        <v>0.05</v>
      </c>
      <c r="K10" s="7">
        <f t="shared" ref="K10:K13" si="2">G10*I10-L10*I10</f>
        <v>-92.854440000000011</v>
      </c>
      <c r="L10" s="7">
        <f t="shared" ref="L10:L15" si="3">H10*J10</f>
        <v>386.20400000000001</v>
      </c>
      <c r="M10" s="7">
        <f t="shared" ref="M10:M15" si="4">M9+K10+L10</f>
        <v>892906.34956</v>
      </c>
      <c r="N10" s="7">
        <v>0</v>
      </c>
      <c r="O10" s="19"/>
      <c r="P10" s="18"/>
    </row>
    <row r="11" spans="1:16" x14ac:dyDescent="0.2">
      <c r="A11" s="32">
        <v>44470</v>
      </c>
      <c r="C11" s="7">
        <f>4193823</f>
        <v>4193823</v>
      </c>
      <c r="D11" s="15">
        <f>7836</f>
        <v>7836</v>
      </c>
      <c r="E11" s="10">
        <f>7780.04</f>
        <v>7780.04</v>
      </c>
      <c r="F11" s="10">
        <f>15560.08</f>
        <v>15560.08</v>
      </c>
      <c r="G11" s="7">
        <f t="shared" si="0"/>
        <v>-55.960000000000036</v>
      </c>
      <c r="H11" s="7">
        <f t="shared" si="1"/>
        <v>7724.08</v>
      </c>
      <c r="I11" s="8">
        <v>0.21</v>
      </c>
      <c r="J11" s="8">
        <v>0.05</v>
      </c>
      <c r="K11" s="7">
        <f t="shared" si="2"/>
        <v>-92.854440000000011</v>
      </c>
      <c r="L11" s="7">
        <f t="shared" si="3"/>
        <v>386.20400000000001</v>
      </c>
      <c r="M11" s="7">
        <f t="shared" si="4"/>
        <v>893199.69912</v>
      </c>
      <c r="N11" s="7">
        <v>0</v>
      </c>
      <c r="O11" s="20"/>
      <c r="P11" s="18"/>
    </row>
    <row r="12" spans="1:16" x14ac:dyDescent="0.2">
      <c r="A12" s="32">
        <v>44501</v>
      </c>
      <c r="C12" s="7">
        <f>4193823</f>
        <v>4193823</v>
      </c>
      <c r="D12" s="15">
        <f>7836</f>
        <v>7836</v>
      </c>
      <c r="E12" s="10">
        <f>7780.04</f>
        <v>7780.04</v>
      </c>
      <c r="F12" s="10">
        <f>15560.08</f>
        <v>15560.08</v>
      </c>
      <c r="G12" s="7">
        <f t="shared" si="0"/>
        <v>-55.960000000000036</v>
      </c>
      <c r="H12" s="7">
        <f t="shared" si="1"/>
        <v>7724.08</v>
      </c>
      <c r="I12" s="8">
        <v>0.21</v>
      </c>
      <c r="J12" s="8">
        <v>0.05</v>
      </c>
      <c r="K12" s="7">
        <f t="shared" si="2"/>
        <v>-92.854440000000011</v>
      </c>
      <c r="L12" s="7">
        <f t="shared" si="3"/>
        <v>386.20400000000001</v>
      </c>
      <c r="M12" s="7">
        <f t="shared" si="4"/>
        <v>893493.04868000001</v>
      </c>
      <c r="N12" s="7">
        <v>0</v>
      </c>
      <c r="O12" s="17"/>
      <c r="P12" s="18"/>
    </row>
    <row r="13" spans="1:16" x14ac:dyDescent="0.2">
      <c r="A13" s="32">
        <v>44531</v>
      </c>
      <c r="C13" s="7">
        <f>4193823</f>
        <v>4193823</v>
      </c>
      <c r="D13" s="15">
        <f>7835.5</f>
        <v>7835.5</v>
      </c>
      <c r="E13" s="10">
        <f>7780.04</f>
        <v>7780.04</v>
      </c>
      <c r="F13" s="10">
        <f>15560.08</f>
        <v>15560.08</v>
      </c>
      <c r="G13" s="7">
        <f t="shared" si="0"/>
        <v>-55.460000000000036</v>
      </c>
      <c r="H13" s="7">
        <f t="shared" si="1"/>
        <v>7724.58</v>
      </c>
      <c r="I13" s="8">
        <v>0.21</v>
      </c>
      <c r="J13" s="8">
        <v>0.05</v>
      </c>
      <c r="K13" s="7">
        <f t="shared" si="2"/>
        <v>-92.754690000000011</v>
      </c>
      <c r="L13" s="7">
        <f t="shared" si="3"/>
        <v>386.22900000000004</v>
      </c>
      <c r="M13" s="7">
        <f t="shared" si="4"/>
        <v>893786.52299000008</v>
      </c>
      <c r="N13" s="7">
        <v>0</v>
      </c>
      <c r="O13" s="21"/>
      <c r="P13" s="18"/>
    </row>
    <row r="14" spans="1:16" x14ac:dyDescent="0.2">
      <c r="A14" s="32">
        <v>44562</v>
      </c>
      <c r="C14" s="7">
        <f>4193823</f>
        <v>4193823</v>
      </c>
      <c r="D14" s="15">
        <f>7835.5</f>
        <v>7835.5</v>
      </c>
      <c r="E14" s="10">
        <f>7794.88</f>
        <v>7794.88</v>
      </c>
      <c r="F14" s="10">
        <v>15589.75</v>
      </c>
      <c r="G14" s="7">
        <f t="shared" si="0"/>
        <v>-40.619999999999891</v>
      </c>
      <c r="H14" s="7">
        <f t="shared" si="1"/>
        <v>7754.25</v>
      </c>
      <c r="I14" s="8">
        <v>0.21</v>
      </c>
      <c r="J14" s="8">
        <v>0.05</v>
      </c>
      <c r="K14" s="7">
        <f>G14*I14-L14*I14-5.68</f>
        <v>-95.629824999999983</v>
      </c>
      <c r="L14" s="7">
        <f t="shared" si="3"/>
        <v>387.71250000000003</v>
      </c>
      <c r="M14" s="7">
        <f t="shared" si="4"/>
        <v>894078.60566500016</v>
      </c>
      <c r="N14" s="7">
        <v>0</v>
      </c>
      <c r="O14" s="21"/>
      <c r="P14" s="18"/>
    </row>
    <row r="15" spans="1:16" x14ac:dyDescent="0.2">
      <c r="A15" s="32">
        <v>44593</v>
      </c>
      <c r="C15" s="7">
        <v>4193823</v>
      </c>
      <c r="D15" s="15">
        <v>7836</v>
      </c>
      <c r="E15" s="15">
        <f>7794.88</f>
        <v>7794.88</v>
      </c>
      <c r="F15" s="15">
        <f>15589.75</f>
        <v>15589.75</v>
      </c>
      <c r="G15" s="7">
        <f t="shared" si="0"/>
        <v>-41.119999999999891</v>
      </c>
      <c r="H15" s="7">
        <f t="shared" si="1"/>
        <v>7753.75</v>
      </c>
      <c r="I15" s="8">
        <v>0.21</v>
      </c>
      <c r="J15" s="8">
        <v>0.05</v>
      </c>
      <c r="K15" s="7">
        <f>G15*I15-L15*I15-5.68</f>
        <v>-95.729574999999983</v>
      </c>
      <c r="L15" s="7">
        <f t="shared" si="3"/>
        <v>387.6875</v>
      </c>
      <c r="M15" s="7">
        <f t="shared" si="4"/>
        <v>894370.56359000015</v>
      </c>
      <c r="N15" s="7">
        <v>0</v>
      </c>
      <c r="P15" s="18"/>
    </row>
    <row r="16" spans="1:16" x14ac:dyDescent="0.2">
      <c r="A16" s="16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 x14ac:dyDescent="0.2">
      <c r="A17" s="16"/>
      <c r="C17" s="64" t="s">
        <v>45</v>
      </c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</row>
    <row r="18" spans="1:14" x14ac:dyDescent="0.2">
      <c r="A18" s="16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</row>
    <row r="19" spans="1:14" x14ac:dyDescent="0.2">
      <c r="C19" s="54" t="s">
        <v>37</v>
      </c>
      <c r="D19" s="46"/>
      <c r="E19" s="46"/>
      <c r="F19" s="46"/>
      <c r="G19" s="46"/>
      <c r="H19" s="46"/>
      <c r="I19" s="46"/>
      <c r="J19" s="46"/>
    </row>
    <row r="20" spans="1:14" x14ac:dyDescent="0.2">
      <c r="C20" s="54" t="s">
        <v>23</v>
      </c>
      <c r="D20" s="46"/>
      <c r="E20" s="46"/>
      <c r="F20" s="46"/>
      <c r="G20" s="46"/>
      <c r="H20" s="46"/>
      <c r="I20" s="46"/>
      <c r="J20" s="46"/>
    </row>
    <row r="21" spans="1:14" x14ac:dyDescent="0.2">
      <c r="C21" s="58" t="s">
        <v>43</v>
      </c>
      <c r="D21" s="46"/>
      <c r="E21" s="46"/>
      <c r="F21" s="46"/>
      <c r="G21" s="46"/>
      <c r="H21" s="46"/>
      <c r="I21" s="46"/>
      <c r="J21" s="46"/>
    </row>
    <row r="22" spans="1:14" x14ac:dyDescent="0.2">
      <c r="C22" s="47" t="s">
        <v>24</v>
      </c>
      <c r="D22" s="46"/>
      <c r="E22" s="46"/>
      <c r="F22" s="46"/>
      <c r="G22" s="46"/>
      <c r="H22" s="46"/>
      <c r="I22" s="46"/>
      <c r="J22" s="46"/>
    </row>
    <row r="24" spans="1:14" x14ac:dyDescent="0.2">
      <c r="C24" s="47" t="s">
        <v>25</v>
      </c>
      <c r="D24" s="52" t="s">
        <v>26</v>
      </c>
      <c r="E24" s="51" t="s">
        <v>27</v>
      </c>
      <c r="F24" s="47" t="s">
        <v>28</v>
      </c>
      <c r="G24" s="48" t="s">
        <v>19</v>
      </c>
      <c r="H24" s="47" t="s">
        <v>29</v>
      </c>
      <c r="I24" s="46"/>
      <c r="J24" s="46"/>
    </row>
    <row r="25" spans="1:14" x14ac:dyDescent="0.2">
      <c r="C25" s="47">
        <v>2139710</v>
      </c>
      <c r="D25" s="47">
        <v>7836</v>
      </c>
      <c r="E25" s="47">
        <v>7956.16</v>
      </c>
      <c r="F25" s="47">
        <f>-D25+E25</f>
        <v>120.15999999999985</v>
      </c>
      <c r="G25" s="48">
        <v>0.21</v>
      </c>
      <c r="H25" s="47">
        <f>F25*G25</f>
        <v>25.233599999999967</v>
      </c>
      <c r="I25" s="46"/>
      <c r="J25" s="46"/>
    </row>
    <row r="26" spans="1:14" ht="15" x14ac:dyDescent="0.35">
      <c r="C26" s="47">
        <v>-42798.530000000028</v>
      </c>
      <c r="D26" s="47"/>
      <c r="E26" s="53">
        <v>-161.28</v>
      </c>
      <c r="F26" s="53">
        <f>E26</f>
        <v>-161.28</v>
      </c>
      <c r="G26" s="48">
        <v>0.21</v>
      </c>
      <c r="H26" s="53">
        <f>F26*G26</f>
        <v>-33.8688</v>
      </c>
      <c r="I26" s="46"/>
      <c r="J26" s="46"/>
    </row>
    <row r="27" spans="1:14" x14ac:dyDescent="0.2">
      <c r="C27" s="46"/>
      <c r="D27" s="46"/>
      <c r="E27" s="47">
        <f>SUM(E25:E26)</f>
        <v>7794.88</v>
      </c>
      <c r="F27" s="56">
        <f>SUM(F25:F26)</f>
        <v>-41.120000000000147</v>
      </c>
      <c r="G27" s="49" t="s">
        <v>34</v>
      </c>
      <c r="H27" s="56">
        <f>SUM(H25:H26)</f>
        <v>-8.6352000000000331</v>
      </c>
      <c r="I27" s="46"/>
      <c r="J27" s="46"/>
    </row>
    <row r="28" spans="1:14" ht="15" x14ac:dyDescent="0.35">
      <c r="C28" s="46"/>
      <c r="D28" s="46"/>
      <c r="E28" s="46"/>
      <c r="F28" s="46"/>
      <c r="G28" s="49" t="s">
        <v>35</v>
      </c>
      <c r="H28" s="53">
        <f>-H34*0.21</f>
        <v>-81.414374999999993</v>
      </c>
      <c r="I28" s="46"/>
      <c r="J28" s="46"/>
    </row>
    <row r="29" spans="1:14" x14ac:dyDescent="0.2">
      <c r="C29" s="46"/>
      <c r="D29" s="46"/>
      <c r="E29" s="46"/>
      <c r="F29" s="46"/>
      <c r="G29" s="46"/>
      <c r="H29" s="47">
        <f>H27+H28</f>
        <v>-90.049575000000033</v>
      </c>
      <c r="I29" s="46"/>
      <c r="J29" s="46"/>
    </row>
    <row r="30" spans="1:14" x14ac:dyDescent="0.2">
      <c r="C30" s="46"/>
      <c r="D30" s="46"/>
      <c r="E30" s="46"/>
      <c r="F30" s="46"/>
      <c r="G30" s="46"/>
      <c r="H30" s="47">
        <f>H29-K15</f>
        <v>5.67999999999995</v>
      </c>
      <c r="I30" s="63" t="s">
        <v>44</v>
      </c>
      <c r="J30" s="46"/>
    </row>
    <row r="31" spans="1:14" x14ac:dyDescent="0.2">
      <c r="C31" s="47" t="s">
        <v>30</v>
      </c>
      <c r="D31" s="50" t="s">
        <v>26</v>
      </c>
      <c r="E31" s="51" t="s">
        <v>31</v>
      </c>
      <c r="F31" s="47" t="s">
        <v>32</v>
      </c>
      <c r="G31" s="48" t="s">
        <v>20</v>
      </c>
      <c r="H31" s="47" t="s">
        <v>33</v>
      </c>
      <c r="I31" s="46"/>
      <c r="J31" s="46"/>
    </row>
    <row r="32" spans="1:14" x14ac:dyDescent="0.2">
      <c r="C32" s="47">
        <v>4279420</v>
      </c>
      <c r="D32" s="47">
        <v>7836</v>
      </c>
      <c r="E32" s="47">
        <v>15912.31</v>
      </c>
      <c r="F32" s="47">
        <f>-D32+E32</f>
        <v>8076.3099999999995</v>
      </c>
      <c r="G32" s="48">
        <v>0.05</v>
      </c>
      <c r="H32" s="47">
        <f>F32*G32</f>
        <v>403.81549999999999</v>
      </c>
      <c r="I32" s="46"/>
      <c r="J32" s="46"/>
    </row>
    <row r="33" spans="3:8" ht="15" x14ac:dyDescent="0.35">
      <c r="C33" s="47">
        <v>-85597.060000000056</v>
      </c>
      <c r="D33" s="47"/>
      <c r="E33" s="53">
        <v>-322.56</v>
      </c>
      <c r="F33" s="53">
        <f>E33</f>
        <v>-322.56</v>
      </c>
      <c r="G33" s="48">
        <v>0.05</v>
      </c>
      <c r="H33" s="53">
        <f>F33*G33</f>
        <v>-16.128</v>
      </c>
    </row>
    <row r="34" spans="3:8" x14ac:dyDescent="0.2">
      <c r="C34" s="46"/>
      <c r="D34" s="46"/>
      <c r="E34" s="47">
        <f>SUM(E32:E33)</f>
        <v>15589.75</v>
      </c>
      <c r="F34" s="56">
        <f>SUM(F32:F33)</f>
        <v>7753.7499999999991</v>
      </c>
      <c r="G34" s="46"/>
      <c r="H34" s="56">
        <f>SUM(H32:H33)</f>
        <v>387.6875</v>
      </c>
    </row>
    <row r="35" spans="3:8" x14ac:dyDescent="0.2">
      <c r="C35" s="46"/>
      <c r="D35" s="46"/>
      <c r="E35" s="46"/>
      <c r="F35" s="46"/>
      <c r="G35" s="46"/>
      <c r="H35" s="47">
        <f>H34-L15</f>
        <v>0</v>
      </c>
    </row>
  </sheetData>
  <pageMargins left="0.7" right="0.7" top="1.15625" bottom="0.75" header="0.3" footer="0.3"/>
  <pageSetup scale="50" orientation="portrait" r:id="rId1"/>
  <headerFooter>
    <oddHeader>&amp;R&amp;"Times New Roman,Bold"&amp;12Attachment to Response to Question 3
Page 2 of 6
Clements</oddHeader>
    <oddFooter>&amp;L_x000D_&amp;1#&amp;"Calibri"&amp;14&amp;K000000 Business Use</oddFooter>
  </headerFooter>
  <colBreaks count="1" manualBreakCount="1">
    <brk id="14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D2374E-388D-4C97-8725-60B636E9F3ED}">
  <dimension ref="A1:Q33"/>
  <sheetViews>
    <sheetView zoomScaleNormal="100" workbookViewId="0"/>
  </sheetViews>
  <sheetFormatPr defaultRowHeight="12.75" x14ac:dyDescent="0.2"/>
  <cols>
    <col min="1" max="1" width="11.28515625" style="3" customWidth="1"/>
    <col min="2" max="2" width="1.7109375" customWidth="1"/>
    <col min="3" max="3" width="14.28515625" customWidth="1"/>
    <col min="4" max="4" width="14.28515625" bestFit="1" customWidth="1"/>
    <col min="5" max="5" width="16.42578125" customWidth="1"/>
    <col min="6" max="6" width="15.5703125" customWidth="1"/>
    <col min="7" max="8" width="14.28515625" customWidth="1"/>
    <col min="9" max="12" width="12.7109375" customWidth="1"/>
    <col min="13" max="13" width="16.5703125" bestFit="1" customWidth="1"/>
    <col min="14" max="14" width="12.7109375" customWidth="1"/>
    <col min="15" max="15" width="11.28515625" hidden="1" customWidth="1"/>
    <col min="16" max="16" width="14.5703125" bestFit="1" customWidth="1"/>
  </cols>
  <sheetData>
    <row r="1" spans="1:17" x14ac:dyDescent="0.2">
      <c r="A1" s="12" t="s">
        <v>5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7" x14ac:dyDescent="0.2">
      <c r="A2" s="12" t="s">
        <v>6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1:17" x14ac:dyDescent="0.2">
      <c r="A3" s="13" t="s">
        <v>7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</row>
    <row r="4" spans="1:17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14"/>
    </row>
    <row r="5" spans="1:17" x14ac:dyDescent="0.2">
      <c r="A5" s="9" t="s">
        <v>13</v>
      </c>
    </row>
    <row r="6" spans="1:17" x14ac:dyDescent="0.2">
      <c r="A6" s="11" t="s">
        <v>39</v>
      </c>
    </row>
    <row r="7" spans="1:17" x14ac:dyDescent="0.2">
      <c r="Q7" t="s">
        <v>10</v>
      </c>
    </row>
    <row r="8" spans="1:17" s="6" customFormat="1" ht="38.25" x14ac:dyDescent="0.2">
      <c r="A8" s="4" t="s">
        <v>0</v>
      </c>
      <c r="B8" s="5"/>
      <c r="C8" s="5" t="s">
        <v>1</v>
      </c>
      <c r="D8" s="5" t="s">
        <v>2</v>
      </c>
      <c r="E8" s="5" t="s">
        <v>15</v>
      </c>
      <c r="F8" s="5" t="s">
        <v>16</v>
      </c>
      <c r="G8" s="5" t="s">
        <v>17</v>
      </c>
      <c r="H8" s="5" t="s">
        <v>18</v>
      </c>
      <c r="I8" s="5" t="s">
        <v>19</v>
      </c>
      <c r="J8" s="5" t="s">
        <v>20</v>
      </c>
      <c r="K8" s="5" t="s">
        <v>21</v>
      </c>
      <c r="L8" s="5" t="s">
        <v>22</v>
      </c>
      <c r="M8" s="5" t="s">
        <v>3</v>
      </c>
      <c r="N8" s="5" t="s">
        <v>4</v>
      </c>
    </row>
    <row r="9" spans="1:17" x14ac:dyDescent="0.2">
      <c r="A9" s="3" t="s">
        <v>8</v>
      </c>
      <c r="M9" s="10">
        <v>2042950</v>
      </c>
    </row>
    <row r="10" spans="1:17" x14ac:dyDescent="0.2">
      <c r="A10" s="32">
        <v>44448</v>
      </c>
      <c r="C10" s="7">
        <f>164834892</f>
        <v>164834892</v>
      </c>
      <c r="D10" s="15">
        <f>696220</f>
        <v>696220</v>
      </c>
      <c r="E10" s="10">
        <f>1251559.04-5082.53</f>
        <v>1246476.51</v>
      </c>
      <c r="F10" s="10">
        <f>1251559.04-5082.53</f>
        <v>1246476.51</v>
      </c>
      <c r="G10" s="7">
        <f>E10-D10</f>
        <v>550256.51</v>
      </c>
      <c r="H10" s="7">
        <f>F10-D10</f>
        <v>550256.51</v>
      </c>
      <c r="I10" s="8">
        <v>0.21</v>
      </c>
      <c r="J10" s="8">
        <v>0.05</v>
      </c>
      <c r="K10" s="7">
        <f>G10*I10-L10*I10</f>
        <v>109776.17374500001</v>
      </c>
      <c r="L10" s="7">
        <f>H10*J10</f>
        <v>27512.825500000003</v>
      </c>
      <c r="M10" s="7">
        <f t="shared" ref="M10:M15" si="0">M9+K10+L10</f>
        <v>2180238.9992449996</v>
      </c>
      <c r="N10" s="7">
        <v>0</v>
      </c>
      <c r="P10" s="17"/>
    </row>
    <row r="11" spans="1:17" x14ac:dyDescent="0.2">
      <c r="A11" s="32">
        <v>44470</v>
      </c>
      <c r="C11" s="7">
        <f>164834892</f>
        <v>164834892</v>
      </c>
      <c r="D11" s="15">
        <v>703811</v>
      </c>
      <c r="E11" s="10">
        <f>1251559.04+2508.48</f>
        <v>1254067.52</v>
      </c>
      <c r="F11" s="10">
        <f>1251559.04+2508.48</f>
        <v>1254067.52</v>
      </c>
      <c r="G11" s="7">
        <f t="shared" ref="G11:G13" si="1">E11-D11</f>
        <v>550256.52</v>
      </c>
      <c r="H11" s="7">
        <f t="shared" ref="H11:H13" si="2">F11-D11</f>
        <v>550256.52</v>
      </c>
      <c r="I11" s="8">
        <v>0.21</v>
      </c>
      <c r="J11" s="8">
        <v>0.05</v>
      </c>
      <c r="K11" s="7">
        <f t="shared" ref="K11:K13" si="3">G11*I11-L11*I11</f>
        <v>109776.17574000001</v>
      </c>
      <c r="L11" s="7">
        <f t="shared" ref="L11:L13" si="4">H11*J11</f>
        <v>27512.826000000001</v>
      </c>
      <c r="M11" s="7">
        <f t="shared" si="0"/>
        <v>2317528.0009849994</v>
      </c>
      <c r="N11" s="7">
        <v>0</v>
      </c>
      <c r="O11" s="7">
        <f>1598189-M12</f>
        <v>-856628.00022999896</v>
      </c>
      <c r="P11" s="17"/>
    </row>
    <row r="12" spans="1:17" x14ac:dyDescent="0.2">
      <c r="A12" s="32">
        <v>44501</v>
      </c>
      <c r="C12" s="7">
        <f>164834892</f>
        <v>164834892</v>
      </c>
      <c r="D12" s="15">
        <v>703811</v>
      </c>
      <c r="E12" s="10">
        <f>1251559.04+2508.47</f>
        <v>1254067.51</v>
      </c>
      <c r="F12" s="10">
        <f>1251559.04+2508.47</f>
        <v>1254067.51</v>
      </c>
      <c r="G12" s="7">
        <f t="shared" ref="G12" si="5">E12-D12</f>
        <v>550256.51</v>
      </c>
      <c r="H12" s="7">
        <f t="shared" ref="H12" si="6">F12-D12</f>
        <v>550256.51</v>
      </c>
      <c r="I12" s="8">
        <v>0.21</v>
      </c>
      <c r="J12" s="8">
        <v>0.05</v>
      </c>
      <c r="K12" s="7">
        <f t="shared" si="3"/>
        <v>109776.17374500001</v>
      </c>
      <c r="L12" s="7">
        <f t="shared" si="4"/>
        <v>27512.825500000003</v>
      </c>
      <c r="M12" s="7">
        <f t="shared" si="0"/>
        <v>2454817.000229999</v>
      </c>
      <c r="N12" s="7">
        <v>0</v>
      </c>
      <c r="O12" s="17">
        <f>+O11/0.389</f>
        <v>-2202128.5352956271</v>
      </c>
    </row>
    <row r="13" spans="1:17" x14ac:dyDescent="0.2">
      <c r="A13" s="32">
        <v>44531</v>
      </c>
      <c r="C13" s="7">
        <f>164834892</f>
        <v>164834892</v>
      </c>
      <c r="D13" s="15">
        <v>703811</v>
      </c>
      <c r="E13" s="10">
        <f>1251559.04+2512.48</f>
        <v>1254071.52</v>
      </c>
      <c r="F13" s="10">
        <f>1251559.04+2512.48</f>
        <v>1254071.52</v>
      </c>
      <c r="G13" s="7">
        <f t="shared" si="1"/>
        <v>550260.52</v>
      </c>
      <c r="H13" s="7">
        <f t="shared" si="2"/>
        <v>550260.52</v>
      </c>
      <c r="I13" s="8">
        <v>0.21</v>
      </c>
      <c r="J13" s="8">
        <v>0.05</v>
      </c>
      <c r="K13" s="7">
        <f t="shared" si="3"/>
        <v>109776.97374</v>
      </c>
      <c r="L13" s="7">
        <f t="shared" si="4"/>
        <v>27513.026000000002</v>
      </c>
      <c r="M13" s="7">
        <f t="shared" si="0"/>
        <v>2592106.9999699988</v>
      </c>
      <c r="N13" s="7">
        <v>0</v>
      </c>
      <c r="O13" s="7">
        <f>1923738-M14</f>
        <v>-789815.00120999897</v>
      </c>
    </row>
    <row r="14" spans="1:17" x14ac:dyDescent="0.2">
      <c r="A14" s="32">
        <v>44562</v>
      </c>
      <c r="C14" s="7">
        <f>164834892</f>
        <v>164834892</v>
      </c>
      <c r="D14" s="15">
        <v>703811</v>
      </c>
      <c r="E14" s="10">
        <f>1190570.56-2.04</f>
        <v>1190568.52</v>
      </c>
      <c r="F14" s="10">
        <f>1190570.56-2.04</f>
        <v>1190568.52</v>
      </c>
      <c r="G14" s="7">
        <f>E14-D14</f>
        <v>486757.52</v>
      </c>
      <c r="H14" s="7">
        <f>F14-D14</f>
        <v>486757.52</v>
      </c>
      <c r="I14" s="8">
        <v>0.21</v>
      </c>
      <c r="J14" s="8">
        <v>0.05</v>
      </c>
      <c r="K14" s="7">
        <f>G14*I14-L14*I14</f>
        <v>97108.125240000008</v>
      </c>
      <c r="L14" s="7">
        <f>H14*J14</f>
        <v>24337.876000000004</v>
      </c>
      <c r="M14" s="7">
        <f t="shared" si="0"/>
        <v>2713553.001209999</v>
      </c>
      <c r="N14" s="7">
        <v>0</v>
      </c>
      <c r="O14" s="17">
        <f>+O13/0.389</f>
        <v>-2030372.7537532107</v>
      </c>
      <c r="Q14" s="7"/>
    </row>
    <row r="15" spans="1:17" x14ac:dyDescent="0.2">
      <c r="A15" s="32">
        <v>44593</v>
      </c>
      <c r="C15" s="7">
        <v>164834892</v>
      </c>
      <c r="D15" s="15">
        <v>703811</v>
      </c>
      <c r="E15" s="24">
        <f>1190570.56-2.05</f>
        <v>1190568.51</v>
      </c>
      <c r="F15" s="15">
        <f>1190570.56-2.05</f>
        <v>1190568.51</v>
      </c>
      <c r="G15" s="7">
        <f>E15-D15</f>
        <v>486757.51</v>
      </c>
      <c r="H15" s="7">
        <f>F15-D15</f>
        <v>486757.51</v>
      </c>
      <c r="I15" s="8">
        <v>0.21</v>
      </c>
      <c r="J15" s="8">
        <v>0.05</v>
      </c>
      <c r="K15" s="7">
        <f>G15*I15-L15*I15</f>
        <v>97108.123244999995</v>
      </c>
      <c r="L15" s="7">
        <f>H15*J15</f>
        <v>24337.875500000002</v>
      </c>
      <c r="M15" s="7">
        <f t="shared" si="0"/>
        <v>2834998.999954999</v>
      </c>
      <c r="N15" s="7">
        <v>0</v>
      </c>
      <c r="O15" s="7">
        <f>+M15-2105354</f>
        <v>729644.99995499896</v>
      </c>
      <c r="Q15" s="7"/>
    </row>
    <row r="16" spans="1:17" x14ac:dyDescent="0.2">
      <c r="A16" s="16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18">
        <f>+O15/0.389</f>
        <v>1875694.0872879149</v>
      </c>
    </row>
    <row r="17" spans="1:14" x14ac:dyDescent="0.2">
      <c r="A17" s="16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</row>
    <row r="18" spans="1:14" x14ac:dyDescent="0.2">
      <c r="A18" s="16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</row>
    <row r="19" spans="1:14" x14ac:dyDescent="0.2">
      <c r="C19" s="25"/>
    </row>
    <row r="20" spans="1:14" x14ac:dyDescent="0.2">
      <c r="C20" s="25"/>
    </row>
    <row r="21" spans="1:14" x14ac:dyDescent="0.2">
      <c r="C21" s="25"/>
    </row>
    <row r="22" spans="1:14" x14ac:dyDescent="0.2">
      <c r="C22" s="23"/>
    </row>
    <row r="24" spans="1:14" x14ac:dyDescent="0.2">
      <c r="C24" s="23"/>
      <c r="D24" s="28"/>
      <c r="E24" s="27"/>
      <c r="F24" s="23"/>
      <c r="G24" s="29"/>
      <c r="H24" s="23"/>
    </row>
    <row r="25" spans="1:14" x14ac:dyDescent="0.2">
      <c r="C25" s="7"/>
      <c r="D25" s="7"/>
      <c r="E25" s="7"/>
      <c r="F25" s="7"/>
      <c r="G25" s="8"/>
      <c r="H25" s="7"/>
    </row>
    <row r="26" spans="1:14" ht="15" x14ac:dyDescent="0.35">
      <c r="C26" s="7"/>
      <c r="D26" s="7"/>
      <c r="E26" s="30"/>
      <c r="F26" s="30"/>
      <c r="G26" s="8"/>
      <c r="H26" s="30"/>
    </row>
    <row r="27" spans="1:14" x14ac:dyDescent="0.2">
      <c r="E27" s="7"/>
      <c r="F27" s="7"/>
      <c r="G27" s="31"/>
      <c r="H27" s="7"/>
    </row>
    <row r="28" spans="1:14" ht="15" x14ac:dyDescent="0.35">
      <c r="G28" s="31"/>
      <c r="H28" s="30"/>
    </row>
    <row r="29" spans="1:14" x14ac:dyDescent="0.2">
      <c r="H29" s="7"/>
    </row>
    <row r="30" spans="1:14" x14ac:dyDescent="0.2">
      <c r="H30" s="7"/>
    </row>
    <row r="31" spans="1:14" x14ac:dyDescent="0.2">
      <c r="C31" s="23"/>
      <c r="D31" s="26"/>
      <c r="E31" s="27"/>
      <c r="F31" s="23"/>
      <c r="G31" s="29"/>
      <c r="H31" s="23"/>
    </row>
    <row r="32" spans="1:14" x14ac:dyDescent="0.2">
      <c r="C32" s="7"/>
      <c r="D32" s="7"/>
      <c r="E32" s="7"/>
      <c r="F32" s="7"/>
      <c r="G32" s="8"/>
      <c r="H32" s="7"/>
    </row>
    <row r="33" spans="8:8" x14ac:dyDescent="0.2">
      <c r="H33" s="7"/>
    </row>
  </sheetData>
  <pageMargins left="0.7" right="0.7" top="1.15625" bottom="0.75" header="0.3" footer="0.3"/>
  <pageSetup scale="50" orientation="portrait" r:id="rId1"/>
  <headerFooter>
    <oddHeader>&amp;R&amp;"Times New Roman,Bold"&amp;12Attachment to Response to Question 3
Page 3 of 6
Clements</oddHeader>
    <oddFooter>&amp;L_x000D_&amp;1#&amp;"Calibri"&amp;14&amp;K000000 Business Use</oddFooter>
  </headerFooter>
  <colBreaks count="1" manualBreakCount="1">
    <brk id="15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Q37"/>
  <sheetViews>
    <sheetView zoomScaleNormal="100" workbookViewId="0"/>
  </sheetViews>
  <sheetFormatPr defaultRowHeight="12.75" x14ac:dyDescent="0.2"/>
  <cols>
    <col min="1" max="1" width="11.28515625" style="3" customWidth="1"/>
    <col min="2" max="2" width="1.7109375" customWidth="1"/>
    <col min="3" max="3" width="14.28515625" customWidth="1"/>
    <col min="4" max="4" width="14.28515625" bestFit="1" customWidth="1"/>
    <col min="5" max="5" width="16.42578125" customWidth="1"/>
    <col min="6" max="6" width="15.5703125" customWidth="1"/>
    <col min="7" max="8" width="14.28515625" customWidth="1"/>
    <col min="9" max="12" width="12.7109375" customWidth="1"/>
    <col min="13" max="13" width="16.5703125" bestFit="1" customWidth="1"/>
    <col min="14" max="14" width="12.7109375" customWidth="1"/>
    <col min="15" max="15" width="11.28515625" hidden="1" customWidth="1"/>
    <col min="16" max="16" width="14.5703125" bestFit="1" customWidth="1"/>
  </cols>
  <sheetData>
    <row r="1" spans="1:17" x14ac:dyDescent="0.2">
      <c r="A1" s="12" t="s">
        <v>5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7" x14ac:dyDescent="0.2">
      <c r="A2" s="12" t="s">
        <v>6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1:17" x14ac:dyDescent="0.2">
      <c r="A3" s="13" t="s">
        <v>7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</row>
    <row r="4" spans="1:17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14"/>
    </row>
    <row r="5" spans="1:17" x14ac:dyDescent="0.2">
      <c r="A5" s="9" t="s">
        <v>13</v>
      </c>
    </row>
    <row r="6" spans="1:17" x14ac:dyDescent="0.2">
      <c r="A6" s="11" t="s">
        <v>14</v>
      </c>
    </row>
    <row r="8" spans="1:17" s="6" customFormat="1" ht="38.25" x14ac:dyDescent="0.2">
      <c r="A8" s="4" t="s">
        <v>0</v>
      </c>
      <c r="B8" s="5"/>
      <c r="C8" s="5" t="s">
        <v>1</v>
      </c>
      <c r="D8" s="5" t="s">
        <v>2</v>
      </c>
      <c r="E8" s="5" t="s">
        <v>15</v>
      </c>
      <c r="F8" s="5" t="s">
        <v>16</v>
      </c>
      <c r="G8" s="5" t="s">
        <v>17</v>
      </c>
      <c r="H8" s="5" t="s">
        <v>18</v>
      </c>
      <c r="I8" s="5" t="s">
        <v>19</v>
      </c>
      <c r="J8" s="5" t="s">
        <v>20</v>
      </c>
      <c r="K8" s="5" t="s">
        <v>21</v>
      </c>
      <c r="L8" s="5" t="s">
        <v>22</v>
      </c>
      <c r="M8" s="5" t="s">
        <v>3</v>
      </c>
      <c r="N8" s="5" t="s">
        <v>4</v>
      </c>
    </row>
    <row r="9" spans="1:17" x14ac:dyDescent="0.2">
      <c r="A9" s="3" t="s">
        <v>8</v>
      </c>
      <c r="M9" s="10">
        <v>3850286</v>
      </c>
    </row>
    <row r="10" spans="1:17" x14ac:dyDescent="0.2">
      <c r="A10" s="32">
        <v>44448</v>
      </c>
      <c r="C10" s="7">
        <f>41905553</f>
        <v>41905553</v>
      </c>
      <c r="D10" s="15">
        <f>81716</f>
        <v>81716</v>
      </c>
      <c r="E10" s="10">
        <f>150375.86</f>
        <v>150375.85999999999</v>
      </c>
      <c r="F10" s="10">
        <f>233374.38</f>
        <v>233374.38</v>
      </c>
      <c r="G10" s="7">
        <f>E10-D10</f>
        <v>68659.859999999986</v>
      </c>
      <c r="H10" s="7">
        <f>F10-D10</f>
        <v>151658.38</v>
      </c>
      <c r="I10" s="8">
        <v>0.21</v>
      </c>
      <c r="J10" s="8">
        <v>0.05</v>
      </c>
      <c r="K10" s="7">
        <f>G10*I10-L10*I10</f>
        <v>12826.157609999997</v>
      </c>
      <c r="L10" s="7">
        <f>H10*J10</f>
        <v>7582.9190000000008</v>
      </c>
      <c r="M10" s="7">
        <f t="shared" ref="M10:M15" si="0">M9+K10+L10</f>
        <v>3870695.0766100003</v>
      </c>
      <c r="N10" s="7">
        <v>0</v>
      </c>
      <c r="P10" s="17"/>
    </row>
    <row r="11" spans="1:17" x14ac:dyDescent="0.2">
      <c r="A11" s="32">
        <v>44470</v>
      </c>
      <c r="C11" s="7">
        <f>41905553</f>
        <v>41905553</v>
      </c>
      <c r="D11" s="15">
        <f>81716</f>
        <v>81716</v>
      </c>
      <c r="E11" s="10">
        <f>150375.86</f>
        <v>150375.85999999999</v>
      </c>
      <c r="F11" s="10">
        <f>233374.38</f>
        <v>233374.38</v>
      </c>
      <c r="G11" s="7">
        <f t="shared" ref="G11:G13" si="1">E11-D11</f>
        <v>68659.859999999986</v>
      </c>
      <c r="H11" s="7">
        <f t="shared" ref="H11:H13" si="2">F11-D11</f>
        <v>151658.38</v>
      </c>
      <c r="I11" s="8">
        <v>0.21</v>
      </c>
      <c r="J11" s="8">
        <v>0.05</v>
      </c>
      <c r="K11" s="7">
        <f t="shared" ref="K11:K13" si="3">G11*I11-L11*I11</f>
        <v>12826.157609999997</v>
      </c>
      <c r="L11" s="7">
        <f t="shared" ref="L11:L13" si="4">H11*J11</f>
        <v>7582.9190000000008</v>
      </c>
      <c r="M11" s="7">
        <f t="shared" si="0"/>
        <v>3891104.1532200007</v>
      </c>
      <c r="N11" s="7">
        <v>0</v>
      </c>
      <c r="O11" s="7">
        <f>1598189-M12</f>
        <v>-2313324.229830001</v>
      </c>
      <c r="P11" s="17"/>
    </row>
    <row r="12" spans="1:17" x14ac:dyDescent="0.2">
      <c r="A12" s="32">
        <v>44501</v>
      </c>
      <c r="C12" s="7">
        <f>41905553</f>
        <v>41905553</v>
      </c>
      <c r="D12" s="15">
        <f>81716</f>
        <v>81716</v>
      </c>
      <c r="E12" s="10">
        <f>150375.86</f>
        <v>150375.85999999999</v>
      </c>
      <c r="F12" s="10">
        <f>233374.38</f>
        <v>233374.38</v>
      </c>
      <c r="G12" s="7">
        <f t="shared" si="1"/>
        <v>68659.859999999986</v>
      </c>
      <c r="H12" s="7">
        <f t="shared" si="2"/>
        <v>151658.38</v>
      </c>
      <c r="I12" s="8">
        <v>0.21</v>
      </c>
      <c r="J12" s="8">
        <v>0.05</v>
      </c>
      <c r="K12" s="7">
        <f t="shared" si="3"/>
        <v>12826.157609999997</v>
      </c>
      <c r="L12" s="7">
        <f t="shared" si="4"/>
        <v>7582.9190000000008</v>
      </c>
      <c r="M12" s="7">
        <f t="shared" si="0"/>
        <v>3911513.229830001</v>
      </c>
      <c r="N12" s="7">
        <v>0</v>
      </c>
      <c r="O12" s="17">
        <f>+O11/0.389</f>
        <v>-5946848.9198714681</v>
      </c>
    </row>
    <row r="13" spans="1:17" x14ac:dyDescent="0.2">
      <c r="A13" s="32">
        <v>44531</v>
      </c>
      <c r="C13" s="7">
        <f>41905553</f>
        <v>41905553</v>
      </c>
      <c r="D13" s="15">
        <f>81716</f>
        <v>81716</v>
      </c>
      <c r="E13" s="10">
        <f>150375.86</f>
        <v>150375.85999999999</v>
      </c>
      <c r="F13" s="10">
        <f>233374.38</f>
        <v>233374.38</v>
      </c>
      <c r="G13" s="7">
        <f t="shared" si="1"/>
        <v>68659.859999999986</v>
      </c>
      <c r="H13" s="7">
        <f t="shared" si="2"/>
        <v>151658.38</v>
      </c>
      <c r="I13" s="8">
        <v>0.21</v>
      </c>
      <c r="J13" s="8">
        <v>0.05</v>
      </c>
      <c r="K13" s="7">
        <f t="shared" si="3"/>
        <v>12826.157609999997</v>
      </c>
      <c r="L13" s="7">
        <f t="shared" si="4"/>
        <v>7582.9190000000008</v>
      </c>
      <c r="M13" s="7">
        <f t="shared" si="0"/>
        <v>3931922.3064400014</v>
      </c>
      <c r="N13" s="7">
        <v>0</v>
      </c>
      <c r="O13" s="7">
        <f>1923738-M14</f>
        <v>-2025538.0030050012</v>
      </c>
    </row>
    <row r="14" spans="1:17" x14ac:dyDescent="0.2">
      <c r="A14" s="32">
        <v>44562</v>
      </c>
      <c r="C14" s="7">
        <f>41905553</f>
        <v>41905553</v>
      </c>
      <c r="D14" s="15">
        <f>81716</f>
        <v>81716</v>
      </c>
      <c r="E14" s="10">
        <v>139113.82999999999</v>
      </c>
      <c r="F14" s="10">
        <v>215897.07</v>
      </c>
      <c r="G14" s="7">
        <f>E14-D14</f>
        <v>57397.829999999987</v>
      </c>
      <c r="H14" s="7">
        <f>F14-D14</f>
        <v>134181.07</v>
      </c>
      <c r="I14" s="8">
        <v>0.21</v>
      </c>
      <c r="J14" s="8">
        <v>0.05</v>
      </c>
      <c r="K14" s="7">
        <f>G14*I14-L14*I14</f>
        <v>10644.643064999998</v>
      </c>
      <c r="L14" s="7">
        <f>H14*J14</f>
        <v>6709.0535000000009</v>
      </c>
      <c r="M14" s="7">
        <f t="shared" si="0"/>
        <v>3949276.0030050012</v>
      </c>
      <c r="N14" s="7">
        <v>0</v>
      </c>
      <c r="O14" s="17">
        <f>+O13/0.389</f>
        <v>-5207038.5681362497</v>
      </c>
      <c r="Q14" s="7"/>
    </row>
    <row r="15" spans="1:17" x14ac:dyDescent="0.2">
      <c r="A15" s="32">
        <v>44593</v>
      </c>
      <c r="C15" s="7">
        <v>41905553</v>
      </c>
      <c r="D15" s="15">
        <v>81716</v>
      </c>
      <c r="E15" s="24">
        <f>139113.83</f>
        <v>139113.82999999999</v>
      </c>
      <c r="F15" s="15">
        <f>215897.07</f>
        <v>215897.07</v>
      </c>
      <c r="G15" s="7">
        <f>E15-D15</f>
        <v>57397.829999999987</v>
      </c>
      <c r="H15" s="7">
        <f>F15-D15</f>
        <v>134181.07</v>
      </c>
      <c r="I15" s="8">
        <v>0.21</v>
      </c>
      <c r="J15" s="8">
        <v>0.05</v>
      </c>
      <c r="K15" s="7">
        <f>G15*I15-L15*I15</f>
        <v>10644.643064999998</v>
      </c>
      <c r="L15" s="7">
        <f>H15*J15</f>
        <v>6709.0535000000009</v>
      </c>
      <c r="M15" s="7">
        <f t="shared" si="0"/>
        <v>3966629.6995700011</v>
      </c>
      <c r="N15" s="7">
        <v>0</v>
      </c>
      <c r="O15" s="7">
        <f>+M15-2105354</f>
        <v>1861275.6995700011</v>
      </c>
      <c r="Q15" s="7"/>
    </row>
    <row r="16" spans="1:17" x14ac:dyDescent="0.2">
      <c r="A16" s="16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18">
        <f>+O15/0.389</f>
        <v>4784770.4359125989</v>
      </c>
    </row>
    <row r="17" spans="1:14" x14ac:dyDescent="0.2">
      <c r="A17" s="16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</row>
    <row r="18" spans="1:14" x14ac:dyDescent="0.2">
      <c r="A18" s="16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</row>
    <row r="19" spans="1:14" x14ac:dyDescent="0.2">
      <c r="C19" s="69" t="s">
        <v>38</v>
      </c>
      <c r="D19" s="59"/>
      <c r="E19" s="59"/>
      <c r="F19" s="59"/>
      <c r="G19" s="59"/>
      <c r="H19" s="59"/>
      <c r="I19" s="59"/>
      <c r="J19" s="59"/>
    </row>
    <row r="20" spans="1:14" x14ac:dyDescent="0.2">
      <c r="C20" s="69" t="s">
        <v>23</v>
      </c>
      <c r="D20" s="59"/>
      <c r="E20" s="59"/>
      <c r="F20" s="59"/>
      <c r="G20" s="59"/>
      <c r="H20" s="59"/>
      <c r="I20" s="59"/>
      <c r="J20" s="59"/>
    </row>
    <row r="21" spans="1:14" x14ac:dyDescent="0.2">
      <c r="C21" s="58" t="s">
        <v>43</v>
      </c>
      <c r="D21" s="59"/>
      <c r="E21" s="59"/>
      <c r="F21" s="59"/>
      <c r="G21" s="59"/>
      <c r="H21" s="59"/>
      <c r="I21" s="59"/>
      <c r="J21" s="59"/>
    </row>
    <row r="22" spans="1:14" x14ac:dyDescent="0.2">
      <c r="C22" s="60" t="s">
        <v>24</v>
      </c>
      <c r="D22" s="59"/>
      <c r="E22" s="59"/>
      <c r="F22" s="59"/>
      <c r="G22" s="59"/>
      <c r="H22" s="59"/>
      <c r="I22" s="59"/>
      <c r="J22" s="59"/>
    </row>
    <row r="24" spans="1:14" x14ac:dyDescent="0.2">
      <c r="C24" s="60" t="s">
        <v>25</v>
      </c>
      <c r="D24" s="67" t="s">
        <v>26</v>
      </c>
      <c r="E24" s="66" t="s">
        <v>27</v>
      </c>
      <c r="F24" s="60" t="s">
        <v>28</v>
      </c>
      <c r="G24" s="61" t="s">
        <v>19</v>
      </c>
      <c r="H24" s="60" t="s">
        <v>29</v>
      </c>
      <c r="I24" s="59"/>
      <c r="J24" s="59"/>
    </row>
    <row r="25" spans="1:14" x14ac:dyDescent="0.2">
      <c r="C25" s="60">
        <v>175037.2</v>
      </c>
      <c r="D25" s="60">
        <v>81716</v>
      </c>
      <c r="E25" s="60">
        <v>770.89</v>
      </c>
      <c r="F25" s="60">
        <f>-D25+E25</f>
        <v>-80945.11</v>
      </c>
      <c r="G25" s="61">
        <v>0.21</v>
      </c>
      <c r="H25" s="60">
        <f>F25*G25</f>
        <v>-16998.473099999999</v>
      </c>
      <c r="I25" s="59"/>
      <c r="J25" s="59"/>
    </row>
    <row r="26" spans="1:14" x14ac:dyDescent="0.2">
      <c r="C26" s="60">
        <v>25712341</v>
      </c>
      <c r="D26" s="60"/>
      <c r="E26" s="64">
        <v>132354.28</v>
      </c>
      <c r="F26" s="64">
        <f>E26</f>
        <v>132354.28</v>
      </c>
      <c r="G26" s="61">
        <v>0.21</v>
      </c>
      <c r="H26" s="64">
        <f>F26*G26</f>
        <v>27794.398799999999</v>
      </c>
      <c r="I26" s="59"/>
      <c r="J26" s="59"/>
    </row>
    <row r="27" spans="1:14" ht="15" x14ac:dyDescent="0.35">
      <c r="C27" s="62">
        <v>1076291.1100000001</v>
      </c>
      <c r="D27" s="60"/>
      <c r="E27" s="68">
        <v>5988.66</v>
      </c>
      <c r="F27" s="68">
        <f>E27</f>
        <v>5988.66</v>
      </c>
      <c r="G27" s="61">
        <v>0.21</v>
      </c>
      <c r="H27" s="68">
        <f>F27*G27</f>
        <v>1257.6186</v>
      </c>
      <c r="I27" s="59"/>
      <c r="J27" s="59"/>
    </row>
    <row r="28" spans="1:14" x14ac:dyDescent="0.2">
      <c r="C28" s="59"/>
      <c r="D28" s="59"/>
      <c r="E28" s="60">
        <f>SUM(E25:E27)</f>
        <v>139113.83000000002</v>
      </c>
      <c r="F28" s="60">
        <f>SUM(F25:F27)</f>
        <v>57397.83</v>
      </c>
      <c r="G28" s="63" t="s">
        <v>34</v>
      </c>
      <c r="H28" s="60">
        <f>SUM(H25:H27)</f>
        <v>12053.5443</v>
      </c>
      <c r="I28" s="59"/>
      <c r="J28" s="59"/>
    </row>
    <row r="29" spans="1:14" ht="15" x14ac:dyDescent="0.35">
      <c r="C29" s="59"/>
      <c r="D29" s="59"/>
      <c r="E29" s="59"/>
      <c r="F29" s="59"/>
      <c r="G29" s="63" t="s">
        <v>35</v>
      </c>
      <c r="H29" s="68">
        <f>-H36*0.21</f>
        <v>-1408.9012349999998</v>
      </c>
      <c r="I29" s="59"/>
      <c r="J29" s="59"/>
    </row>
    <row r="30" spans="1:14" x14ac:dyDescent="0.2">
      <c r="C30" s="59"/>
      <c r="D30" s="59"/>
      <c r="E30" s="59"/>
      <c r="F30" s="59"/>
      <c r="G30" s="59"/>
      <c r="H30" s="60">
        <f>H28+H29</f>
        <v>10644.643065</v>
      </c>
      <c r="I30" s="59"/>
      <c r="J30" s="59"/>
    </row>
    <row r="31" spans="1:14" x14ac:dyDescent="0.2">
      <c r="C31" s="59"/>
      <c r="D31" s="59"/>
      <c r="E31" s="59"/>
      <c r="F31" s="59"/>
      <c r="G31" s="59"/>
      <c r="H31" s="60">
        <f>H30-K15</f>
        <v>0</v>
      </c>
      <c r="I31" s="59"/>
      <c r="J31" s="59"/>
    </row>
    <row r="32" spans="1:14" x14ac:dyDescent="0.2">
      <c r="C32" s="60" t="s">
        <v>30</v>
      </c>
      <c r="D32" s="65" t="s">
        <v>26</v>
      </c>
      <c r="E32" s="66" t="s">
        <v>31</v>
      </c>
      <c r="F32" s="60" t="s">
        <v>32</v>
      </c>
      <c r="G32" s="61" t="s">
        <v>20</v>
      </c>
      <c r="H32" s="60" t="s">
        <v>33</v>
      </c>
      <c r="I32" s="59"/>
      <c r="J32" s="59"/>
    </row>
    <row r="33" spans="3:8" x14ac:dyDescent="0.2">
      <c r="C33" s="60">
        <v>350074.4</v>
      </c>
      <c r="D33" s="60">
        <v>81716</v>
      </c>
      <c r="E33" s="60">
        <v>1541.79</v>
      </c>
      <c r="F33" s="60">
        <f>-D33+E33</f>
        <v>-80174.210000000006</v>
      </c>
      <c r="G33" s="61">
        <v>0.05</v>
      </c>
      <c r="H33" s="60">
        <f>F33*G33</f>
        <v>-4008.7105000000006</v>
      </c>
    </row>
    <row r="34" spans="3:8" x14ac:dyDescent="0.2">
      <c r="C34" s="60">
        <v>40479188</v>
      </c>
      <c r="D34" s="60"/>
      <c r="E34" s="64">
        <v>208366.62</v>
      </c>
      <c r="F34" s="64">
        <f>E34</f>
        <v>208366.62</v>
      </c>
      <c r="G34" s="61">
        <v>0.05</v>
      </c>
      <c r="H34" s="64">
        <f>F34*G34</f>
        <v>10418.331</v>
      </c>
    </row>
    <row r="35" spans="3:8" ht="15" x14ac:dyDescent="0.35">
      <c r="C35" s="60">
        <v>1076291.1100000001</v>
      </c>
      <c r="D35" s="60"/>
      <c r="E35" s="68">
        <v>5988.66</v>
      </c>
      <c r="F35" s="68">
        <f>E35</f>
        <v>5988.66</v>
      </c>
      <c r="G35" s="61">
        <v>0.05</v>
      </c>
      <c r="H35" s="68">
        <f>F35*G35</f>
        <v>299.43299999999999</v>
      </c>
    </row>
    <row r="36" spans="3:8" x14ac:dyDescent="0.2">
      <c r="C36" s="59"/>
      <c r="D36" s="59"/>
      <c r="E36" s="60">
        <f>SUM(E33:E35)</f>
        <v>215897.07</v>
      </c>
      <c r="F36" s="60">
        <f>SUM(F33:F35)</f>
        <v>134181.06999999998</v>
      </c>
      <c r="G36" s="59"/>
      <c r="H36" s="60">
        <f>SUM(H33:H35)</f>
        <v>6709.0534999999991</v>
      </c>
    </row>
    <row r="37" spans="3:8" x14ac:dyDescent="0.2">
      <c r="C37" s="59"/>
      <c r="D37" s="59"/>
      <c r="E37" s="59"/>
      <c r="F37" s="59"/>
      <c r="G37" s="59"/>
      <c r="H37" s="60">
        <f>H36-L15</f>
        <v>0</v>
      </c>
    </row>
  </sheetData>
  <pageMargins left="0.7" right="0.7" top="1.15625" bottom="0.75" header="0.3" footer="0.3"/>
  <pageSetup scale="50" orientation="portrait" r:id="rId1"/>
  <headerFooter>
    <oddHeader>&amp;R&amp;"Times New Roman,Bold"&amp;12Attachment to Response to Question 3
Page 4 of 6
Clements</oddHeader>
    <oddFooter>&amp;L_x000D_&amp;1#&amp;"Calibri"&amp;14&amp;K000000 Business Use</oddFooter>
  </headerFooter>
  <colBreaks count="1" manualBreakCount="1">
    <brk id="15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40932C-395C-4F36-A16E-83860B4C88FD}">
  <dimension ref="A1:Q33"/>
  <sheetViews>
    <sheetView zoomScaleNormal="100" workbookViewId="0"/>
  </sheetViews>
  <sheetFormatPr defaultRowHeight="12.75" x14ac:dyDescent="0.2"/>
  <cols>
    <col min="1" max="1" width="11.28515625" style="3" customWidth="1"/>
    <col min="2" max="2" width="1.7109375" customWidth="1"/>
    <col min="3" max="3" width="14.28515625" customWidth="1"/>
    <col min="4" max="4" width="14.28515625" bestFit="1" customWidth="1"/>
    <col min="5" max="5" width="16.42578125" customWidth="1"/>
    <col min="6" max="6" width="15.5703125" customWidth="1"/>
    <col min="7" max="8" width="14.28515625" customWidth="1"/>
    <col min="9" max="12" width="12.7109375" customWidth="1"/>
    <col min="13" max="13" width="16.5703125" bestFit="1" customWidth="1"/>
    <col min="14" max="14" width="12.7109375" customWidth="1"/>
    <col min="15" max="15" width="11.28515625" hidden="1" customWidth="1"/>
    <col min="16" max="16" width="14.5703125" bestFit="1" customWidth="1"/>
  </cols>
  <sheetData>
    <row r="1" spans="1:17" x14ac:dyDescent="0.2">
      <c r="A1" s="12" t="s">
        <v>5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7" x14ac:dyDescent="0.2">
      <c r="A2" s="12" t="s">
        <v>6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1:17" x14ac:dyDescent="0.2">
      <c r="A3" s="13" t="s">
        <v>7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</row>
    <row r="4" spans="1:17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14"/>
    </row>
    <row r="5" spans="1:17" x14ac:dyDescent="0.2">
      <c r="A5" s="9" t="s">
        <v>13</v>
      </c>
    </row>
    <row r="6" spans="1:17" x14ac:dyDescent="0.2">
      <c r="A6" s="11" t="s">
        <v>40</v>
      </c>
    </row>
    <row r="8" spans="1:17" s="6" customFormat="1" ht="38.25" x14ac:dyDescent="0.2">
      <c r="A8" s="4" t="s">
        <v>0</v>
      </c>
      <c r="B8" s="5"/>
      <c r="C8" s="5" t="s">
        <v>1</v>
      </c>
      <c r="D8" s="5" t="s">
        <v>2</v>
      </c>
      <c r="E8" s="5" t="s">
        <v>15</v>
      </c>
      <c r="F8" s="5" t="s">
        <v>16</v>
      </c>
      <c r="G8" s="5" t="s">
        <v>17</v>
      </c>
      <c r="H8" s="5" t="s">
        <v>18</v>
      </c>
      <c r="I8" s="5" t="s">
        <v>19</v>
      </c>
      <c r="J8" s="5" t="s">
        <v>20</v>
      </c>
      <c r="K8" s="5" t="s">
        <v>21</v>
      </c>
      <c r="L8" s="5" t="s">
        <v>22</v>
      </c>
      <c r="M8" s="5" t="s">
        <v>3</v>
      </c>
      <c r="N8" s="5" t="s">
        <v>4</v>
      </c>
    </row>
    <row r="9" spans="1:17" x14ac:dyDescent="0.2">
      <c r="A9" s="3" t="s">
        <v>8</v>
      </c>
      <c r="M9" s="10">
        <v>731346</v>
      </c>
    </row>
    <row r="10" spans="1:17" x14ac:dyDescent="0.2">
      <c r="A10" s="32">
        <v>44448</v>
      </c>
      <c r="C10" s="7">
        <f>25358416</f>
        <v>25358416</v>
      </c>
      <c r="D10" s="15">
        <f>108159</f>
        <v>108159</v>
      </c>
      <c r="E10" s="10">
        <f>310255.57</f>
        <v>310255.57</v>
      </c>
      <c r="F10" s="10">
        <f>310255.57</f>
        <v>310255.57</v>
      </c>
      <c r="G10" s="7">
        <f>E10-D10</f>
        <v>202096.57</v>
      </c>
      <c r="H10" s="7">
        <f>F10-D10</f>
        <v>202096.57</v>
      </c>
      <c r="I10" s="8">
        <v>0.21</v>
      </c>
      <c r="J10" s="8">
        <v>0.05</v>
      </c>
      <c r="K10" s="7">
        <f>G10*I10-L10*I10</f>
        <v>40318.265715000001</v>
      </c>
      <c r="L10" s="7">
        <f>H10*J10</f>
        <v>10104.828500000001</v>
      </c>
      <c r="M10" s="7">
        <f t="shared" ref="M10:M15" si="0">M9+K10+L10</f>
        <v>781769.09421499993</v>
      </c>
      <c r="N10" s="7">
        <v>0</v>
      </c>
      <c r="P10" s="17"/>
    </row>
    <row r="11" spans="1:17" x14ac:dyDescent="0.2">
      <c r="A11" s="32">
        <v>44470</v>
      </c>
      <c r="C11" s="7">
        <f>25358416</f>
        <v>25358416</v>
      </c>
      <c r="D11" s="15">
        <f>108158.5</f>
        <v>108158.5</v>
      </c>
      <c r="E11" s="10">
        <f>310255.57+0.75</f>
        <v>310256.32</v>
      </c>
      <c r="F11" s="10">
        <f>310255.57+0.75</f>
        <v>310256.32</v>
      </c>
      <c r="G11" s="7">
        <f t="shared" ref="G11:G13" si="1">E11-D11</f>
        <v>202097.82</v>
      </c>
      <c r="H11" s="7">
        <f t="shared" ref="H11:H13" si="2">F11-D11</f>
        <v>202097.82</v>
      </c>
      <c r="I11" s="8">
        <v>0.21</v>
      </c>
      <c r="J11" s="8">
        <v>0.05</v>
      </c>
      <c r="K11" s="7">
        <f t="shared" ref="K11:K13" si="3">G11*I11-L11*I11</f>
        <v>40318.515090000001</v>
      </c>
      <c r="L11" s="7">
        <f t="shared" ref="L11:L13" si="4">H11*J11</f>
        <v>10104.891000000001</v>
      </c>
      <c r="M11" s="7">
        <f t="shared" si="0"/>
        <v>832192.50030499988</v>
      </c>
      <c r="N11" s="7">
        <v>0</v>
      </c>
      <c r="O11" s="7">
        <f>1598189-M12</f>
        <v>715573.40548000019</v>
      </c>
      <c r="P11" s="17"/>
    </row>
    <row r="12" spans="1:17" x14ac:dyDescent="0.2">
      <c r="A12" s="32">
        <v>44501</v>
      </c>
      <c r="C12" s="7">
        <v>25672032</v>
      </c>
      <c r="D12" s="15">
        <v>108159</v>
      </c>
      <c r="E12" s="10">
        <f>310255.57</f>
        <v>310255.57</v>
      </c>
      <c r="F12" s="10">
        <f>310255.57</f>
        <v>310255.57</v>
      </c>
      <c r="G12" s="7">
        <f t="shared" si="1"/>
        <v>202096.57</v>
      </c>
      <c r="H12" s="7">
        <f t="shared" si="2"/>
        <v>202096.57</v>
      </c>
      <c r="I12" s="8">
        <v>0.21</v>
      </c>
      <c r="J12" s="8">
        <v>0.05</v>
      </c>
      <c r="K12" s="7">
        <f t="shared" si="3"/>
        <v>40318.265715000001</v>
      </c>
      <c r="L12" s="7">
        <f t="shared" si="4"/>
        <v>10104.828500000001</v>
      </c>
      <c r="M12" s="7">
        <f t="shared" si="0"/>
        <v>882615.59451999981</v>
      </c>
      <c r="N12" s="7">
        <v>0</v>
      </c>
      <c r="O12" s="17">
        <f>+O11/0.389</f>
        <v>1839520.3225706946</v>
      </c>
    </row>
    <row r="13" spans="1:17" x14ac:dyDescent="0.2">
      <c r="A13" s="32">
        <v>44531</v>
      </c>
      <c r="C13" s="7">
        <v>25672032</v>
      </c>
      <c r="D13" s="15">
        <v>108159</v>
      </c>
      <c r="E13" s="10">
        <f>310255.57</f>
        <v>310255.57</v>
      </c>
      <c r="F13" s="10">
        <f>310255.57</f>
        <v>310255.57</v>
      </c>
      <c r="G13" s="7">
        <f t="shared" si="1"/>
        <v>202096.57</v>
      </c>
      <c r="H13" s="7">
        <f t="shared" si="2"/>
        <v>202096.57</v>
      </c>
      <c r="I13" s="8">
        <v>0.21</v>
      </c>
      <c r="J13" s="8">
        <v>0.05</v>
      </c>
      <c r="K13" s="7">
        <f t="shared" si="3"/>
        <v>40318.265715000001</v>
      </c>
      <c r="L13" s="7">
        <f t="shared" si="4"/>
        <v>10104.828500000001</v>
      </c>
      <c r="M13" s="7">
        <f t="shared" si="0"/>
        <v>933038.68873499974</v>
      </c>
      <c r="N13" s="7">
        <v>0</v>
      </c>
      <c r="O13" s="7">
        <f>1923738-M14</f>
        <v>941403.47801000031</v>
      </c>
    </row>
    <row r="14" spans="1:17" x14ac:dyDescent="0.2">
      <c r="A14" s="32">
        <v>44562</v>
      </c>
      <c r="C14" s="7">
        <v>25672032</v>
      </c>
      <c r="D14" s="15">
        <v>108159</v>
      </c>
      <c r="E14" s="10">
        <v>305737.49</v>
      </c>
      <c r="F14" s="10">
        <v>305737.49</v>
      </c>
      <c r="G14" s="7">
        <f>E14-D14</f>
        <v>197578.49</v>
      </c>
      <c r="H14" s="7">
        <f>F14-D14</f>
        <v>197578.49</v>
      </c>
      <c r="I14" s="8">
        <v>0.21</v>
      </c>
      <c r="J14" s="8">
        <v>0.05</v>
      </c>
      <c r="K14" s="7">
        <f>G14*I14-L14*I14</f>
        <v>39416.908754999997</v>
      </c>
      <c r="L14" s="7">
        <f>H14*J14</f>
        <v>9878.924500000001</v>
      </c>
      <c r="M14" s="7">
        <f t="shared" si="0"/>
        <v>982334.52198999969</v>
      </c>
      <c r="N14" s="7">
        <v>0</v>
      </c>
      <c r="O14" s="17">
        <f>+O13/0.389</f>
        <v>2420060.3547814917</v>
      </c>
      <c r="Q14" s="7"/>
    </row>
    <row r="15" spans="1:17" x14ac:dyDescent="0.2">
      <c r="A15" s="32">
        <v>44593</v>
      </c>
      <c r="C15" s="7">
        <v>25672032</v>
      </c>
      <c r="D15" s="15">
        <v>108158.5</v>
      </c>
      <c r="E15" s="24">
        <f>305737.49+0.1</f>
        <v>305737.58999999997</v>
      </c>
      <c r="F15" s="15">
        <f>305737.49+0.1</f>
        <v>305737.58999999997</v>
      </c>
      <c r="G15" s="7">
        <f>E15-D15</f>
        <v>197579.08999999997</v>
      </c>
      <c r="H15" s="7">
        <f>F15-D15</f>
        <v>197579.08999999997</v>
      </c>
      <c r="I15" s="8">
        <v>0.21</v>
      </c>
      <c r="J15" s="8">
        <v>0.05</v>
      </c>
      <c r="K15" s="7">
        <f>G15*I15-L15*I15</f>
        <v>39417.028454999992</v>
      </c>
      <c r="L15" s="7">
        <f>H15*J15</f>
        <v>9878.9544999999998</v>
      </c>
      <c r="M15" s="7">
        <f t="shared" si="0"/>
        <v>1031630.5049449997</v>
      </c>
      <c r="N15" s="7">
        <v>0</v>
      </c>
      <c r="O15" s="7">
        <f>+M15-2105354</f>
        <v>-1073723.4950550003</v>
      </c>
      <c r="Q15" s="7"/>
    </row>
    <row r="16" spans="1:17" x14ac:dyDescent="0.2">
      <c r="A16" s="16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18">
        <f>+O15/0.389</f>
        <v>-2760214.6402442167</v>
      </c>
    </row>
    <row r="17" spans="1:14" x14ac:dyDescent="0.2">
      <c r="A17" s="16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</row>
    <row r="18" spans="1:14" x14ac:dyDescent="0.2">
      <c r="A18" s="16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</row>
    <row r="19" spans="1:14" x14ac:dyDescent="0.2">
      <c r="C19" s="25"/>
    </row>
    <row r="20" spans="1:14" x14ac:dyDescent="0.2">
      <c r="C20" s="25"/>
    </row>
    <row r="21" spans="1:14" x14ac:dyDescent="0.2">
      <c r="C21" s="25"/>
    </row>
    <row r="22" spans="1:14" x14ac:dyDescent="0.2">
      <c r="C22" s="23"/>
    </row>
    <row r="24" spans="1:14" x14ac:dyDescent="0.2">
      <c r="C24" s="23"/>
      <c r="D24" s="28"/>
      <c r="E24" s="27"/>
      <c r="F24" s="23"/>
      <c r="G24" s="29"/>
      <c r="H24" s="23"/>
    </row>
    <row r="25" spans="1:14" x14ac:dyDescent="0.2">
      <c r="C25" s="7"/>
      <c r="D25" s="7"/>
      <c r="E25" s="7"/>
      <c r="F25" s="7"/>
      <c r="G25" s="8"/>
      <c r="H25" s="7"/>
    </row>
    <row r="26" spans="1:14" ht="15" x14ac:dyDescent="0.35">
      <c r="C26" s="7"/>
      <c r="D26" s="7"/>
      <c r="E26" s="30"/>
      <c r="F26" s="30"/>
      <c r="G26" s="8"/>
      <c r="H26" s="30"/>
    </row>
    <row r="27" spans="1:14" x14ac:dyDescent="0.2">
      <c r="E27" s="7"/>
      <c r="F27" s="7"/>
      <c r="G27" s="31"/>
      <c r="H27" s="7"/>
    </row>
    <row r="28" spans="1:14" ht="15" x14ac:dyDescent="0.35">
      <c r="G28" s="31"/>
      <c r="H28" s="30"/>
    </row>
    <row r="29" spans="1:14" x14ac:dyDescent="0.2">
      <c r="H29" s="7"/>
    </row>
    <row r="30" spans="1:14" x14ac:dyDescent="0.2">
      <c r="H30" s="7"/>
    </row>
    <row r="31" spans="1:14" x14ac:dyDescent="0.2">
      <c r="C31" s="23"/>
      <c r="D31" s="26"/>
      <c r="E31" s="27"/>
      <c r="F31" s="23"/>
      <c r="G31" s="29"/>
      <c r="H31" s="23"/>
    </row>
    <row r="32" spans="1:14" x14ac:dyDescent="0.2">
      <c r="C32" s="7"/>
      <c r="D32" s="7"/>
      <c r="E32" s="7"/>
      <c r="F32" s="7"/>
      <c r="G32" s="8"/>
      <c r="H32" s="7"/>
    </row>
    <row r="33" spans="8:8" x14ac:dyDescent="0.2">
      <c r="H33" s="7"/>
    </row>
  </sheetData>
  <pageMargins left="0.7" right="0.7" top="1.15625" bottom="0.75" header="0.3" footer="0.3"/>
  <pageSetup scale="50" orientation="portrait" r:id="rId1"/>
  <headerFooter>
    <oddHeader>&amp;R&amp;"Times New Roman,Bold"&amp;12Attachment to Response to Question 3
Page 5 of 6
Clements</oddHeader>
    <oddFooter>&amp;L_x000D_&amp;1#&amp;"Calibri"&amp;14&amp;K000000 Business Use</oddFooter>
  </headerFooter>
  <colBreaks count="1" manualBreakCount="1">
    <brk id="15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BD7D00-CE48-486C-9FC0-A5562F2CCCE0}">
  <dimension ref="A1:Q33"/>
  <sheetViews>
    <sheetView zoomScaleNormal="100" workbookViewId="0"/>
  </sheetViews>
  <sheetFormatPr defaultRowHeight="12.75" x14ac:dyDescent="0.2"/>
  <cols>
    <col min="1" max="1" width="11.28515625" style="3" customWidth="1"/>
    <col min="2" max="2" width="1.7109375" customWidth="1"/>
    <col min="3" max="3" width="14.28515625" customWidth="1"/>
    <col min="4" max="4" width="14.28515625" bestFit="1" customWidth="1"/>
    <col min="5" max="5" width="16.42578125" customWidth="1"/>
    <col min="6" max="6" width="15.5703125" customWidth="1"/>
    <col min="7" max="8" width="14.28515625" customWidth="1"/>
    <col min="9" max="12" width="12.7109375" customWidth="1"/>
    <col min="13" max="13" width="16.5703125" bestFit="1" customWidth="1"/>
    <col min="14" max="14" width="12.7109375" customWidth="1"/>
    <col min="15" max="15" width="11.28515625" hidden="1" customWidth="1"/>
    <col min="16" max="16" width="14.5703125" bestFit="1" customWidth="1"/>
  </cols>
  <sheetData>
    <row r="1" spans="1:17" x14ac:dyDescent="0.2">
      <c r="A1" s="12" t="s">
        <v>5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7" x14ac:dyDescent="0.2">
      <c r="A2" s="12" t="s">
        <v>6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1:17" x14ac:dyDescent="0.2">
      <c r="A3" s="13" t="s">
        <v>7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</row>
    <row r="4" spans="1:17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14"/>
    </row>
    <row r="5" spans="1:17" x14ac:dyDescent="0.2">
      <c r="A5" s="9" t="s">
        <v>41</v>
      </c>
    </row>
    <row r="6" spans="1:17" x14ac:dyDescent="0.2">
      <c r="A6" s="11" t="s">
        <v>42</v>
      </c>
    </row>
    <row r="8" spans="1:17" s="6" customFormat="1" ht="38.25" x14ac:dyDescent="0.2">
      <c r="A8" s="4" t="s">
        <v>0</v>
      </c>
      <c r="B8" s="5"/>
      <c r="C8" s="5" t="s">
        <v>1</v>
      </c>
      <c r="D8" s="5" t="s">
        <v>2</v>
      </c>
      <c r="E8" s="5" t="s">
        <v>15</v>
      </c>
      <c r="F8" s="5" t="s">
        <v>16</v>
      </c>
      <c r="G8" s="5" t="s">
        <v>17</v>
      </c>
      <c r="H8" s="5" t="s">
        <v>18</v>
      </c>
      <c r="I8" s="5" t="s">
        <v>19</v>
      </c>
      <c r="J8" s="5" t="s">
        <v>20</v>
      </c>
      <c r="K8" s="5" t="s">
        <v>21</v>
      </c>
      <c r="L8" s="5" t="s">
        <v>22</v>
      </c>
      <c r="M8" s="5" t="s">
        <v>3</v>
      </c>
      <c r="N8" s="5" t="s">
        <v>4</v>
      </c>
    </row>
    <row r="9" spans="1:17" x14ac:dyDescent="0.2">
      <c r="A9" s="3" t="s">
        <v>8</v>
      </c>
      <c r="M9" s="10">
        <v>0</v>
      </c>
    </row>
    <row r="10" spans="1:17" x14ac:dyDescent="0.2">
      <c r="A10" s="32">
        <v>44448</v>
      </c>
      <c r="C10" s="7" t="s">
        <v>10</v>
      </c>
      <c r="D10" s="15"/>
      <c r="E10" s="10"/>
      <c r="F10" s="10"/>
      <c r="G10" s="7">
        <f>E10-D10</f>
        <v>0</v>
      </c>
      <c r="H10" s="7">
        <f>F10-D10</f>
        <v>0</v>
      </c>
      <c r="I10" s="8">
        <v>0.21</v>
      </c>
      <c r="J10" s="8">
        <v>0.05</v>
      </c>
      <c r="K10" s="7">
        <f>G10*I10-L10*I10</f>
        <v>0</v>
      </c>
      <c r="L10" s="7">
        <f>H10*J10</f>
        <v>0</v>
      </c>
      <c r="M10" s="7">
        <f t="shared" ref="M10:M15" si="0">M9+K10+L10</f>
        <v>0</v>
      </c>
      <c r="N10" s="7">
        <v>0</v>
      </c>
      <c r="P10" s="17"/>
    </row>
    <row r="11" spans="1:17" x14ac:dyDescent="0.2">
      <c r="A11" s="32">
        <v>44470</v>
      </c>
      <c r="C11" s="7"/>
      <c r="D11" s="15"/>
      <c r="E11" s="10"/>
      <c r="F11" s="10"/>
      <c r="G11" s="7">
        <f t="shared" ref="G11:G13" si="1">E11-D11</f>
        <v>0</v>
      </c>
      <c r="H11" s="7">
        <f t="shared" ref="H11:H13" si="2">F11-D11</f>
        <v>0</v>
      </c>
      <c r="I11" s="8">
        <v>0.21</v>
      </c>
      <c r="J11" s="8">
        <v>0.05</v>
      </c>
      <c r="K11" s="7">
        <f t="shared" ref="K11:K13" si="3">G11*I11-L11*I11</f>
        <v>0</v>
      </c>
      <c r="L11" s="7">
        <f t="shared" ref="L11:L13" si="4">H11*J11</f>
        <v>0</v>
      </c>
      <c r="M11" s="7">
        <f t="shared" si="0"/>
        <v>0</v>
      </c>
      <c r="N11" s="7">
        <v>0</v>
      </c>
      <c r="O11" s="7">
        <f>1598189-M12</f>
        <v>1598189</v>
      </c>
      <c r="P11" s="17"/>
    </row>
    <row r="12" spans="1:17" x14ac:dyDescent="0.2">
      <c r="A12" s="32">
        <v>44501</v>
      </c>
      <c r="C12" s="7"/>
      <c r="D12" s="15"/>
      <c r="E12" s="10"/>
      <c r="F12" s="10"/>
      <c r="G12" s="7">
        <f t="shared" si="1"/>
        <v>0</v>
      </c>
      <c r="H12" s="7">
        <f t="shared" si="2"/>
        <v>0</v>
      </c>
      <c r="I12" s="8">
        <v>0.21</v>
      </c>
      <c r="J12" s="8">
        <v>0.05</v>
      </c>
      <c r="K12" s="7">
        <f t="shared" si="3"/>
        <v>0</v>
      </c>
      <c r="L12" s="7">
        <f t="shared" si="4"/>
        <v>0</v>
      </c>
      <c r="M12" s="7">
        <f t="shared" si="0"/>
        <v>0</v>
      </c>
      <c r="N12" s="7">
        <v>0</v>
      </c>
      <c r="O12" s="17">
        <f>+O11/0.389</f>
        <v>4108455.0128534702</v>
      </c>
    </row>
    <row r="13" spans="1:17" x14ac:dyDescent="0.2">
      <c r="A13" s="32">
        <v>44531</v>
      </c>
      <c r="C13" s="34">
        <v>7269910</v>
      </c>
      <c r="D13" s="15">
        <v>15570</v>
      </c>
      <c r="E13" s="10">
        <v>231728.37</v>
      </c>
      <c r="F13" s="10">
        <v>231728.37</v>
      </c>
      <c r="G13" s="7">
        <f t="shared" si="1"/>
        <v>216158.37</v>
      </c>
      <c r="H13" s="7">
        <f t="shared" si="2"/>
        <v>216158.37</v>
      </c>
      <c r="I13" s="8">
        <v>0.21</v>
      </c>
      <c r="J13" s="8">
        <v>0.05</v>
      </c>
      <c r="K13" s="7">
        <f t="shared" si="3"/>
        <v>43123.594814999997</v>
      </c>
      <c r="L13" s="7">
        <f t="shared" si="4"/>
        <v>10807.9185</v>
      </c>
      <c r="M13" s="7">
        <f t="shared" si="0"/>
        <v>53931.513314999997</v>
      </c>
      <c r="N13" s="7">
        <v>0</v>
      </c>
      <c r="O13" s="7">
        <f>1923738-M14</f>
        <v>1863766.051765</v>
      </c>
    </row>
    <row r="14" spans="1:17" x14ac:dyDescent="0.2">
      <c r="A14" s="32">
        <v>44562</v>
      </c>
      <c r="C14" s="7">
        <v>7269910</v>
      </c>
      <c r="D14" s="15">
        <v>31139</v>
      </c>
      <c r="E14" s="10">
        <f>55349.16</f>
        <v>55349.16</v>
      </c>
      <c r="F14" s="10">
        <f>55349.16</f>
        <v>55349.16</v>
      </c>
      <c r="G14" s="7">
        <f>E14-D14</f>
        <v>24210.160000000003</v>
      </c>
      <c r="H14" s="7">
        <f>F14-D14</f>
        <v>24210.160000000003</v>
      </c>
      <c r="I14" s="8">
        <v>0.21</v>
      </c>
      <c r="J14" s="8">
        <v>0.05</v>
      </c>
      <c r="K14" s="7">
        <f>G14*I14-L14*I14</f>
        <v>4829.9269199999999</v>
      </c>
      <c r="L14" s="7">
        <f>H14*J14</f>
        <v>1210.5080000000003</v>
      </c>
      <c r="M14" s="7">
        <f t="shared" si="0"/>
        <v>59971.948234999996</v>
      </c>
      <c r="N14" s="7">
        <v>0</v>
      </c>
      <c r="O14" s="17">
        <f>+O13/0.389</f>
        <v>4791172.3695758348</v>
      </c>
      <c r="Q14" s="7"/>
    </row>
    <row r="15" spans="1:17" x14ac:dyDescent="0.2">
      <c r="A15" s="32">
        <v>44593</v>
      </c>
      <c r="C15" s="7">
        <v>7269910</v>
      </c>
      <c r="D15" s="15">
        <v>31139</v>
      </c>
      <c r="E15" s="24">
        <f>55349.16</f>
        <v>55349.16</v>
      </c>
      <c r="F15" s="15">
        <f>55349.16</f>
        <v>55349.16</v>
      </c>
      <c r="G15" s="7">
        <f>E15-D15</f>
        <v>24210.160000000003</v>
      </c>
      <c r="H15" s="7">
        <f>F15-D15</f>
        <v>24210.160000000003</v>
      </c>
      <c r="I15" s="8">
        <v>0.21</v>
      </c>
      <c r="J15" s="8">
        <v>0.05</v>
      </c>
      <c r="K15" s="7">
        <f>G15*I15-L15*I15</f>
        <v>4829.9269199999999</v>
      </c>
      <c r="L15" s="7">
        <f>H15*J15</f>
        <v>1210.5080000000003</v>
      </c>
      <c r="M15" s="7">
        <f t="shared" si="0"/>
        <v>66012.383154999989</v>
      </c>
      <c r="N15" s="7">
        <v>0</v>
      </c>
      <c r="O15" s="7">
        <f>+M15-2105354</f>
        <v>-2039341.6168450001</v>
      </c>
      <c r="Q15" s="7"/>
    </row>
    <row r="16" spans="1:17" x14ac:dyDescent="0.2">
      <c r="A16" s="16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18">
        <f>+O15/0.389</f>
        <v>-5242523.436619537</v>
      </c>
    </row>
    <row r="17" spans="1:14" x14ac:dyDescent="0.2">
      <c r="A17" s="16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</row>
    <row r="18" spans="1:14" x14ac:dyDescent="0.2">
      <c r="A18" s="16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</row>
    <row r="19" spans="1:14" x14ac:dyDescent="0.2">
      <c r="C19" s="25"/>
    </row>
    <row r="20" spans="1:14" x14ac:dyDescent="0.2">
      <c r="C20" s="25"/>
    </row>
    <row r="21" spans="1:14" x14ac:dyDescent="0.2">
      <c r="C21" s="25"/>
    </row>
    <row r="22" spans="1:14" x14ac:dyDescent="0.2">
      <c r="C22" s="23"/>
    </row>
    <row r="24" spans="1:14" x14ac:dyDescent="0.2">
      <c r="C24" s="23"/>
      <c r="D24" s="28"/>
      <c r="E24" s="27"/>
      <c r="F24" s="23"/>
      <c r="G24" s="29"/>
      <c r="H24" s="23"/>
    </row>
    <row r="25" spans="1:14" x14ac:dyDescent="0.2">
      <c r="C25" s="7"/>
      <c r="D25" s="7"/>
      <c r="E25" s="7"/>
      <c r="F25" s="7"/>
      <c r="G25" s="8"/>
      <c r="H25" s="7"/>
    </row>
    <row r="26" spans="1:14" ht="15" x14ac:dyDescent="0.35">
      <c r="C26" s="7"/>
      <c r="D26" s="7"/>
      <c r="E26" s="30"/>
      <c r="F26" s="30"/>
      <c r="G26" s="8"/>
      <c r="H26" s="30"/>
    </row>
    <row r="27" spans="1:14" x14ac:dyDescent="0.2">
      <c r="E27" s="7"/>
      <c r="F27" s="7"/>
      <c r="G27" s="31"/>
      <c r="H27" s="7"/>
    </row>
    <row r="28" spans="1:14" ht="15" x14ac:dyDescent="0.35">
      <c r="G28" s="31"/>
      <c r="H28" s="30"/>
    </row>
    <row r="29" spans="1:14" x14ac:dyDescent="0.2">
      <c r="H29" s="7"/>
    </row>
    <row r="30" spans="1:14" x14ac:dyDescent="0.2">
      <c r="H30" s="7"/>
    </row>
    <row r="31" spans="1:14" x14ac:dyDescent="0.2">
      <c r="C31" s="23"/>
      <c r="D31" s="26"/>
      <c r="E31" s="27"/>
      <c r="F31" s="23"/>
      <c r="G31" s="29"/>
      <c r="H31" s="23"/>
    </row>
    <row r="32" spans="1:14" x14ac:dyDescent="0.2">
      <c r="C32" s="7"/>
      <c r="D32" s="7"/>
      <c r="E32" s="7"/>
      <c r="F32" s="7"/>
      <c r="G32" s="8"/>
      <c r="H32" s="7"/>
    </row>
    <row r="33" spans="8:8" x14ac:dyDescent="0.2">
      <c r="H33" s="7"/>
    </row>
  </sheetData>
  <pageMargins left="0.7" right="0.7" top="1.15625" bottom="0.75" header="0.3" footer="0.3"/>
  <pageSetup scale="50" orientation="portrait" r:id="rId1"/>
  <headerFooter>
    <oddHeader>&amp;R&amp;"Times New Roman,Bold"&amp;12Attachment to Response to Question 3
Page 6 of 6
Clements</oddHeader>
    <oddFooter>&amp;L_x000D_&amp;1#&amp;"Calibri"&amp;14&amp;K000000 Business Use</oddFooter>
  </headerFooter>
  <colBreaks count="1" manualBreakCount="1">
    <brk id="14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Witness_x0020_Testimony xmlns="65bfb563-8fe2-4d34-a09f-38a217d8feea" xsi:nil="true"/>
    <Year xmlns="65bfb563-8fe2-4d34-a09f-38a217d8feea">2024</Year>
    <Filing_x0020_Case_x0020__x0023_ xmlns="65bfb563-8fe2-4d34-a09f-38a217d8feea" xsi:nil="true"/>
    <Construction_x0020_Monitoring_x0020_Description xmlns="65bfb563-8fe2-4d34-a09f-38a217d8feea" xsi:nil="true"/>
    <Review_x0020_Case_x0020_Doc_x0020_Types xmlns="65bfb563-8fe2-4d34-a09f-38a217d8feea">01.2 – 1st Data Request Attachments</Review_x0020_Case_x0020_Doc_x0020_Types>
    <Status xmlns="65bfb563-8fe2-4d34-a09f-38a217d8feea"/>
    <Filing_x0020_Witness xmlns="65bfb563-8fe2-4d34-a09f-38a217d8feea" xsi:nil="true"/>
    <Filings xmlns="65bfb563-8fe2-4d34-a09f-38a217d8feea" xsi:nil="true"/>
    <IconOverlay xmlns="http://schemas.microsoft.com/sharepoint/v4" xsi:nil="true"/>
    <Document_x0020_Type xmlns="65bfb563-8fe2-4d34-a09f-38a217d8feea">
      <Value>ECR</Value>
    </Document_x0020_Type>
    <Filing_x0020_Type xmlns="65bfb563-8fe2-4d34-a09f-38a217d8feea">
      <Value>Review Cases (ECR/FAC/OST)</Value>
    </Filing_x0020_Type>
    <Construction_x0020_Monitoring xmlns="65bfb563-8fe2-4d34-a09f-38a217d8feea" xsi:nil="true"/>
    <Case_x0020__x0023_ xmlns="65bfb563-8fe2-4d34-a09f-38a217d8feea">2023-00376</Case_x0020__x0023_>
    <Review_x0020_Case_x0020_Expense_x0020_Period xmlns="65bfb563-8fe2-4d34-a09f-38a217d8feea">Mar-Feb (ECR)</Review_x0020_Case_x0020_Expense_x0020_Period>
    <Filing_x0020_Doc_x0020_Types xmlns="65bfb563-8fe2-4d34-a09f-38a217d8feea" xsi:nil="true"/>
    <Company xmlns="65bfb563-8fe2-4d34-a09f-38a217d8feea">
      <Value>KU</Value>
    </Company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10F20E04BCF41BE361D2F61EE6FFA" ma:contentTypeVersion="32" ma:contentTypeDescription="Create a new document." ma:contentTypeScope="" ma:versionID="9202b90fee17b6f8c867726da0d4e789">
  <xsd:schema xmlns:xsd="http://www.w3.org/2001/XMLSchema" xmlns:xs="http://www.w3.org/2001/XMLSchema" xmlns:p="http://schemas.microsoft.com/office/2006/metadata/properties" xmlns:ns1="http://schemas.microsoft.com/sharepoint/v3" xmlns:ns2="65bfb563-8fe2-4d34-a09f-38a217d8feea" xmlns:ns3="http://schemas.microsoft.com/sharepoint/v4" targetNamespace="http://schemas.microsoft.com/office/2006/metadata/properties" ma:root="true" ma:fieldsID="f66fd574be8513941aebec9a583d385e" ns1:_="" ns2:_="" ns3:_="">
    <xsd:import namespace="http://schemas.microsoft.com/sharepoint/v3"/>
    <xsd:import namespace="65bfb563-8fe2-4d34-a09f-38a217d8feea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Company" minOccurs="0"/>
                <xsd:element ref="ns2:Year"/>
                <xsd:element ref="ns2:Document_x0020_Type" minOccurs="0"/>
                <xsd:element ref="ns2:Filing_x0020_Type" minOccurs="0"/>
                <xsd:element ref="ns2:Filings" minOccurs="0"/>
                <xsd:element ref="ns2:Filing_x0020_Doc_x0020_Types" minOccurs="0"/>
                <xsd:element ref="ns2:Filing_x0020_Case_x0020__x0023_" minOccurs="0"/>
                <xsd:element ref="ns2:Filing_x0020_Witness" minOccurs="0"/>
                <xsd:element ref="ns2:Review_x0020_Case_x0020_Expense_x0020_Period" minOccurs="0"/>
                <xsd:element ref="ns2:Review_x0020_Case_x0020_Doc_x0020_Types" minOccurs="0"/>
                <xsd:element ref="ns2:Case_x0020__x0023_" minOccurs="0"/>
                <xsd:element ref="ns2:Witness_x0020_Testimony" minOccurs="0"/>
                <xsd:element ref="ns2:Construction_x0020_Monitoring_x0020_Description" minOccurs="0"/>
                <xsd:element ref="ns2:Construction_x0020_Monitoring" minOccurs="0"/>
                <xsd:element ref="ns2:Status" minOccurs="0"/>
                <xsd:element ref="ns3:IconOverlay" minOccurs="0"/>
                <xsd:element ref="ns1:_vti_ItemDeclaredRecord" minOccurs="0"/>
                <xsd:element ref="ns1:_vti_ItemHoldRecord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vti_ItemDeclaredRecord" ma:index="31" nillable="true" ma:displayName="Declared Record" ma:hidden="true" ma:internalName="_vti_ItemDeclaredRecord" ma:readOnly="true">
      <xsd:simpleType>
        <xsd:restriction base="dms:DateTime"/>
      </xsd:simpleType>
    </xsd:element>
    <xsd:element name="_vti_ItemHoldRecordStatus" ma:index="32" nillable="true" ma:displayName="Hold and Record Status" ma:decimals="0" ma:description="" ma:hidden="true" ma:indexed="true" ma:internalName="_vti_ItemHoldRecordStatu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5bfb563-8fe2-4d34-a09f-38a217d8feea" elementFormDefault="qualified">
    <xsd:import namespace="http://schemas.microsoft.com/office/2006/documentManagement/types"/>
    <xsd:import namespace="http://schemas.microsoft.com/office/infopath/2007/PartnerControls"/>
    <xsd:element name="Company" ma:index="2" nillable="true" ma:displayName="Company" ma:internalName="Company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KU"/>
                    <xsd:enumeration value="LGE"/>
                    <xsd:enumeration value="ODP"/>
                  </xsd:restriction>
                </xsd:simpleType>
              </xsd:element>
            </xsd:sequence>
          </xsd:extension>
        </xsd:complexContent>
      </xsd:complexType>
    </xsd:element>
    <xsd:element name="Year" ma:index="3" ma:displayName="Year" ma:format="Dropdown" ma:internalName="Year">
      <xsd:simpleType>
        <xsd:restriction base="dms:Choice">
          <xsd:enumeration value="2026"/>
          <xsd:enumeration value="2025"/>
          <xsd:enumeration value="2024"/>
          <xsd:enumeration value="2023"/>
          <xsd:enumeration value="2022"/>
          <xsd:enumeration value="2021"/>
          <xsd:enumeration value="2020"/>
          <xsd:enumeration value="2019"/>
          <xsd:enumeration value="2018"/>
          <xsd:enumeration value="2017"/>
          <xsd:enumeration value="2016"/>
          <xsd:enumeration value="2015"/>
        </xsd:restriction>
      </xsd:simpleType>
    </xsd:element>
    <xsd:element name="Document_x0020_Type" ma:index="4" nillable="true" ma:displayName="Document Type" ma:internalName="Document_x0020_Type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DSM"/>
                    <xsd:enumeration value="ECR"/>
                    <xsd:enumeration value="FAC / OST"/>
                    <xsd:enumeration value="GLT"/>
                    <xsd:enumeration value="GSC"/>
                    <xsd:enumeration value="HEA"/>
                    <xsd:enumeration value="LFF"/>
                    <xsd:enumeration value="WNA"/>
                  </xsd:restriction>
                </xsd:simpleType>
              </xsd:element>
            </xsd:sequence>
          </xsd:extension>
        </xsd:complexContent>
      </xsd:complexType>
    </xsd:element>
    <xsd:element name="Filing_x0020_Type" ma:index="5" nillable="true" ma:displayName="Filing Type" ma:internalName="Filing_x0020_Type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Monthly Filings (ECR/LFF)"/>
                    <xsd:enumeration value="Form A Filings (FAC/OST)"/>
                    <xsd:enumeration value="Form B Filings (FAC/OST)"/>
                    <xsd:enumeration value="Fixed NAS FAC/OSS Factor (NFOF)"/>
                    <xsd:enumeration value="Fuel Supply Contracts (FAC)"/>
                    <xsd:enumeration value="Avoided Energy Cost (LQF)"/>
                    <xsd:enumeration value="Municipal WPS Reports (FAC)"/>
                    <xsd:enumeration value="Quarterly Filings (GSC)"/>
                    <xsd:enumeration value="Annual Filing (DSM)"/>
                    <xsd:enumeration value="Annual Filing (GLT/LFF/WNA)"/>
                    <xsd:enumeration value="Forecasted Annual Filing (GLT)"/>
                    <xsd:enumeration value="True-up Annual Filing (GLT)"/>
                    <xsd:enumeration value="Review Cases (ECR/FAC/OST)"/>
                    <xsd:enumeration value="Construction Monitoring (ECR)"/>
                    <xsd:enumeration value="Approved Project Detail (ECR/GLT)"/>
                  </xsd:restriction>
                </xsd:simpleType>
              </xsd:element>
            </xsd:sequence>
          </xsd:extension>
        </xsd:complexContent>
      </xsd:complexType>
    </xsd:element>
    <xsd:element name="Filings" ma:index="6" nillable="true" ma:displayName="Filing Expense Period" ma:format="Dropdown" ma:internalName="Filings">
      <xsd:simpleType>
        <xsd:restriction base="dms:Choice">
          <xsd:enumeration value="01-Jan"/>
          <xsd:enumeration value="02-Feb"/>
          <xsd:enumeration value="03-Mar"/>
          <xsd:enumeration value="04-Apr"/>
          <xsd:enumeration value="05-May"/>
          <xsd:enumeration value="06-Jun"/>
          <xsd:enumeration value="07-Jul"/>
          <xsd:enumeration value="08-Aug"/>
          <xsd:enumeration value="09-Sep"/>
          <xsd:enumeration value="10-Oct"/>
          <xsd:enumeration value="11-Nov"/>
          <xsd:enumeration value="12-Dec"/>
          <xsd:enumeration value="Nov-Jan (GSC)"/>
          <xsd:enumeration value="Feb-Apr (GSC)"/>
          <xsd:enumeration value="May-Jul (GSC)"/>
          <xsd:enumeration value="Aug-Oct (GSC)"/>
          <xsd:enumeration value="Apr-May (LFF)"/>
          <xsd:enumeration value="Jan-Dec (GLT/WNA)"/>
          <xsd:enumeration value="N/A"/>
        </xsd:restriction>
      </xsd:simpleType>
    </xsd:element>
    <xsd:element name="Filing_x0020_Doc_x0020_Types" ma:index="7" nillable="true" ma:displayName="Filing Doc Types" ma:format="Dropdown" ma:internalName="Filing_x0020_Doc_x0020_Types">
      <xsd:simpleType>
        <xsd:restriction base="dms:Choice">
          <xsd:enumeration value="00 – Orders/Requests for Information"/>
          <xsd:enumeration value="01.1 – 1st Data Request Responses/Testimony"/>
          <xsd:enumeration value="01.2 – 1st Data Request Attachments"/>
          <xsd:enumeration value="01.3 – 1st Data Request Confidentiality Petition"/>
          <xsd:enumeration value="01.4 – 1st Data Request/Testimony - As Filed"/>
          <xsd:enumeration value="02.1 – 2nd Data Request Responses/Testimony"/>
          <xsd:enumeration value="02.2 – 2nd Data Request Attachments"/>
          <xsd:enumeration value="02.3 – 2nd Data Request Confidentiality Petition"/>
          <xsd:enumeration value="02.4 – 2nd Data Request/Testimony - As Filed"/>
          <xsd:enumeration value="03.1 – 3rd Data Request Responses/Testimony"/>
          <xsd:enumeration value="03.2 – 3rd Data Request Attachments"/>
          <xsd:enumeration value="03.3 – 3rd Data Request Confidentiality Petition"/>
          <xsd:enumeration value="03.4 – 3rd Data Request/Testimony - As Filed"/>
          <xsd:enumeration value="04.1 – Post Hearing Data Request Responses/Testimony"/>
          <xsd:enumeration value="04.2 – Post Hearing Data Request Attachments"/>
          <xsd:enumeration value="04.3 – Post Hearing Data Request Confidentiality Petition"/>
          <xsd:enumeration value="04.4 – Post Hearing Data Request/Testimony - As Filed"/>
          <xsd:enumeration value="05 – Technical Conference or Hearings"/>
          <xsd:enumeration value="06 – Briefs"/>
          <xsd:enumeration value="07 – Support"/>
          <xsd:enumeration value="08 – Tariffs"/>
          <xsd:enumeration value="09 – Proof of Publication/Certificate of Notice"/>
          <xsd:enumeration value="10 – eFiled/Filed Documents"/>
          <xsd:enumeration value="10.1 – Application"/>
          <xsd:enumeration value="10.2 – Application - As Filed"/>
          <xsd:enumeration value="11 – Talking Points (Internal Use Only)"/>
          <xsd:enumeration value="12 – Data Request Assignments"/>
          <xsd:enumeration value="13 – Review Checklists"/>
        </xsd:restriction>
      </xsd:simpleType>
    </xsd:element>
    <xsd:element name="Filing_x0020_Case_x0020__x0023_" ma:index="8" nillable="true" ma:displayName="Filing Case #" ma:internalName="Filing_x0020_Case_x0020__x0023_">
      <xsd:simpleType>
        <xsd:restriction base="dms:Text">
          <xsd:maxLength value="255"/>
        </xsd:restriction>
      </xsd:simpleType>
    </xsd:element>
    <xsd:element name="Filing_x0020_Witness" ma:index="9" nillable="true" ma:displayName="Filing Witness" ma:format="Dropdown" ma:internalName="Filing_x0020_Witness">
      <xsd:simpleType>
        <xsd:restriction base="dms:Choice">
          <xsd:enumeration value="Billiter, Delbert"/>
          <xsd:enumeration value="Drake, Michael"/>
          <xsd:enumeration value="Fackler, Andrea"/>
          <xsd:enumeration value="Garrett, Chris"/>
          <xsd:enumeration value="Rahn, Derek"/>
          <xsd:enumeration value="Rieth, Tom"/>
          <xsd:enumeration value="Schram, Chuck"/>
          <xsd:enumeration value="Wilson, Stuart"/>
        </xsd:restriction>
      </xsd:simpleType>
    </xsd:element>
    <xsd:element name="Review_x0020_Case_x0020_Expense_x0020_Period" ma:index="10" nillable="true" ma:displayName="Review Case Expense Period" ma:format="Dropdown" ma:internalName="Review_x0020_Case_x0020_Expense_x0020_Period">
      <xsd:simpleType>
        <xsd:restriction base="dms:Choice">
          <xsd:enumeration value="Mar-Aug (ECR)"/>
          <xsd:enumeration value="Sep-Feb (ECR)"/>
          <xsd:enumeration value="Mar-Feb (ECR)"/>
          <xsd:enumeration value="May-Oct (ECR)"/>
          <xsd:enumeration value="May-Oct (FAC)"/>
          <xsd:enumeration value="Nov-Apr (FAC)"/>
          <xsd:enumeration value="Nov-Oct (FAC)"/>
        </xsd:restriction>
      </xsd:simpleType>
    </xsd:element>
    <xsd:element name="Review_x0020_Case_x0020_Doc_x0020_Types" ma:index="11" nillable="true" ma:displayName="Review Case Doc Types" ma:format="Dropdown" ma:internalName="Review_x0020_Case_x0020_Doc_x0020_Types">
      <xsd:simpleType>
        <xsd:restriction base="dms:Choice">
          <xsd:enumeration value="00.1 – Orders"/>
          <xsd:enumeration value="00.2 – Requests for Information"/>
          <xsd:enumeration value="00.4 – Other Communications/eFilings"/>
          <xsd:enumeration value="01.1 – 1st Data Request Responses/Testimony"/>
          <xsd:enumeration value="01.2 – 1st Data Request Attachments"/>
          <xsd:enumeration value="01.3 – 1st Data Request Confidentiality Petition"/>
          <xsd:enumeration value="01.4 – 1st Data Request/Testimony - As Filed"/>
          <xsd:enumeration value="01.5 – 1st Data Request/Testimony Support"/>
          <xsd:enumeration value="02.1 – 2nd Data Request Responses/Testimony"/>
          <xsd:enumeration value="02.2 – 2nd Data Request Attachments"/>
          <xsd:enumeration value="02.3 – 2nd Data Request Confidentiality Petition"/>
          <xsd:enumeration value="02.4 – 2nd Data Request/Testimony - As Filed"/>
          <xsd:enumeration value="03.1 – 3rd Data Request Responses/Testimony"/>
          <xsd:enumeration value="03.2 – 3rd Data Request Attachments"/>
          <xsd:enumeration value="03.3 – 3rd Data Request Confidentiality Petition"/>
          <xsd:enumeration value="03.4 – 3rd Data Request/Testimony - As Filed"/>
          <xsd:enumeration value="04.1 – Post Hearing Data Request Responses/Testimony/Briefs"/>
          <xsd:enumeration value="04.2 – Post Hearing Data Request Attachments"/>
          <xsd:enumeration value="04.3 – Post Hearing Data Request Confidentiality Petition"/>
          <xsd:enumeration value="04.4 – Post Hearing Data Request/Testimony - As Filed"/>
          <xsd:enumeration value="05 – Technical Conference or Hearings"/>
          <xsd:enumeration value="06 - Witness E-book"/>
          <xsd:enumeration value="10 – Application"/>
          <xsd:enumeration value="10.1 – Application - As Filed"/>
          <xsd:enumeration value="11 - Talking Points (Internal Use Only)"/>
        </xsd:restriction>
      </xsd:simpleType>
    </xsd:element>
    <xsd:element name="Case_x0020__x0023_" ma:index="12" nillable="true" ma:displayName="Review Case #" ma:internalName="Case_x0020__x0023_">
      <xsd:simpleType>
        <xsd:restriction base="dms:Text">
          <xsd:maxLength value="255"/>
        </xsd:restriction>
      </xsd:simpleType>
    </xsd:element>
    <xsd:element name="Witness_x0020_Testimony" ma:index="13" nillable="true" ma:displayName="Review Case Witness" ma:format="Dropdown" ma:internalName="Witness_x0020_Testimony">
      <xsd:simpleType>
        <xsd:restriction base="dms:Choice">
          <xsd:enumeration value="Billiter, Delbert"/>
          <xsd:enumeration value="Drake, Michael"/>
          <xsd:enumeration value="Fackler, Andrea"/>
          <xsd:enumeration value="Garrett, Christopher"/>
          <xsd:enumeration value="Neal, Susan"/>
          <xsd:enumeration value="Williams, Scott"/>
          <xsd:enumeration value="Multiple"/>
          <xsd:enumeration value="N/A"/>
          <xsd:enumeration value="Rahn, Derek"/>
          <xsd:enumeration value="Schram, Chuck"/>
          <xsd:enumeration value="Wilson, Stuart"/>
        </xsd:restriction>
      </xsd:simpleType>
    </xsd:element>
    <xsd:element name="Construction_x0020_Monitoring_x0020_Description" ma:index="14" nillable="true" ma:displayName="Construction Monitoring Description" ma:format="Dropdown" ma:internalName="Construction_x0020_Monitoring_x0020_Description">
      <xsd:simpleType>
        <xsd:restriction base="dms:Choice">
          <xsd:enumeration value="2011 ECR Plan"/>
          <xsd:enumeration value="2016 ECR Plan"/>
          <xsd:enumeration value="TC Landfill"/>
          <xsd:enumeration value="2020 ECR Plan"/>
        </xsd:restriction>
      </xsd:simpleType>
    </xsd:element>
    <xsd:element name="Construction_x0020_Monitoring" ma:index="15" nillable="true" ma:displayName="Construction Monitoring Period" ma:format="Dropdown" ma:internalName="Construction_x0020_Monitoring">
      <xsd:simpleType>
        <xsd:restriction base="dms:Choice">
          <xsd:enumeration value="Q1"/>
          <xsd:enumeration value="Q2"/>
          <xsd:enumeration value="Q3"/>
          <xsd:enumeration value="Q4"/>
        </xsd:restriction>
      </xsd:simpleType>
    </xsd:element>
    <xsd:element name="Status" ma:index="23" nillable="true" ma:displayName="Status (Internal Use Only)" ma:internalName="Status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Final"/>
                    <xsd:enumeration value="Filed"/>
                  </xsd:restriction>
                </xsd:simple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30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8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BA0C90F-D300-43AF-A765-0EDBCDC566B3}">
  <ds:schemaRefs>
    <ds:schemaRef ds:uri="http://schemas.microsoft.com/office/2006/metadata/properties"/>
    <ds:schemaRef ds:uri="http://schemas.microsoft.com/office/infopath/2007/PartnerControls"/>
    <ds:schemaRef ds:uri="65bfb563-8fe2-4d34-a09f-38a217d8feea"/>
    <ds:schemaRef ds:uri="http://schemas.microsoft.com/sharepoint/v4"/>
  </ds:schemaRefs>
</ds:datastoreItem>
</file>

<file path=customXml/itemProps2.xml><?xml version="1.0" encoding="utf-8"?>
<ds:datastoreItem xmlns:ds="http://schemas.openxmlformats.org/officeDocument/2006/customXml" ds:itemID="{BE40F3FD-6390-46BE-88F9-20E12EC1E51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5611CE9-8DD7-41E8-BDD6-D8C85565D02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5bfb563-8fe2-4d34-a09f-38a217d8feea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Project 32</vt:lpstr>
      <vt:lpstr>Project 33</vt:lpstr>
      <vt:lpstr>Project 40</vt:lpstr>
      <vt:lpstr>Project 41</vt:lpstr>
      <vt:lpstr>Project 42</vt:lpstr>
      <vt:lpstr>Project 43</vt:lpstr>
      <vt:lpstr>'Project 32'!Print_Area</vt:lpstr>
      <vt:lpstr>'Project 33'!Print_Area</vt:lpstr>
      <vt:lpstr>'Project 40'!Print_Area</vt:lpstr>
      <vt:lpstr>'Project 41'!Print_Area</vt:lpstr>
      <vt:lpstr>'Project 42'!Print_Area</vt:lpstr>
      <vt:lpstr>'Project 43'!Print_Area</vt:lpstr>
    </vt:vector>
  </TitlesOfParts>
  <Company>LG&amp;E Energy Corp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Nathan Frederic Hall</dc:creator>
  <cp:lastModifiedBy>Fackler, Andrea</cp:lastModifiedBy>
  <cp:lastPrinted>2014-03-27T13:23:01Z</cp:lastPrinted>
  <dcterms:created xsi:type="dcterms:W3CDTF">2006-05-12T17:38:13Z</dcterms:created>
  <dcterms:modified xsi:type="dcterms:W3CDTF">2024-02-14T19:54:08Z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0c8e74a-db15-49f1-980d-3d74f2e3ff07_Enabled">
    <vt:lpwstr>true</vt:lpwstr>
  </property>
  <property fmtid="{D5CDD505-2E9C-101B-9397-08002B2CF9AE}" pid="3" name="MSIP_Label_e0c8e74a-db15-49f1-980d-3d74f2e3ff07_SetDate">
    <vt:lpwstr>2024-01-25T14:52:15Z</vt:lpwstr>
  </property>
  <property fmtid="{D5CDD505-2E9C-101B-9397-08002B2CF9AE}" pid="4" name="MSIP_Label_e0c8e74a-db15-49f1-980d-3d74f2e3ff07_Method">
    <vt:lpwstr>Privileged</vt:lpwstr>
  </property>
  <property fmtid="{D5CDD505-2E9C-101B-9397-08002B2CF9AE}" pid="5" name="MSIP_Label_e0c8e74a-db15-49f1-980d-3d74f2e3ff07_Name">
    <vt:lpwstr>376d9127-3fad-41bb7-827b-657efc89d923</vt:lpwstr>
  </property>
  <property fmtid="{D5CDD505-2E9C-101B-9397-08002B2CF9AE}" pid="6" name="MSIP_Label_e0c8e74a-db15-49f1-980d-3d74f2e3ff07_SiteId">
    <vt:lpwstr>25b79aa0-07c6-4d65-9c80-df92aacdc157</vt:lpwstr>
  </property>
  <property fmtid="{D5CDD505-2E9C-101B-9397-08002B2CF9AE}" pid="7" name="MSIP_Label_e0c8e74a-db15-49f1-980d-3d74f2e3ff07_ActionId">
    <vt:lpwstr>cef61525-7a1d-44af-9d94-57fbe5bddc01</vt:lpwstr>
  </property>
  <property fmtid="{D5CDD505-2E9C-101B-9397-08002B2CF9AE}" pid="8" name="MSIP_Label_e0c8e74a-db15-49f1-980d-3d74f2e3ff07_ContentBits">
    <vt:lpwstr>2</vt:lpwstr>
  </property>
  <property fmtid="{D5CDD505-2E9C-101B-9397-08002B2CF9AE}" pid="9" name="ContentTypeId">
    <vt:lpwstr>0x010100FF510F20E04BCF41BE361D2F61EE6FFA</vt:lpwstr>
  </property>
  <property fmtid="{D5CDD505-2E9C-101B-9397-08002B2CF9AE}" pid="10" name="MSIP_Label_d662fcd2-3ff9-4261-9b26-9dd5808d0bb4_Enabled">
    <vt:lpwstr>true</vt:lpwstr>
  </property>
  <property fmtid="{D5CDD505-2E9C-101B-9397-08002B2CF9AE}" pid="11" name="MSIP_Label_d662fcd2-3ff9-4261-9b26-9dd5808d0bb4_SetDate">
    <vt:lpwstr>2024-02-14T19:54:01Z</vt:lpwstr>
  </property>
  <property fmtid="{D5CDD505-2E9C-101B-9397-08002B2CF9AE}" pid="12" name="MSIP_Label_d662fcd2-3ff9-4261-9b26-9dd5808d0bb4_Method">
    <vt:lpwstr>Privileged</vt:lpwstr>
  </property>
  <property fmtid="{D5CDD505-2E9C-101B-9397-08002B2CF9AE}" pid="13" name="MSIP_Label_d662fcd2-3ff9-4261-9b26-9dd5808d0bb4_Name">
    <vt:lpwstr>d662fcd2-3ff9-4261-9b26-9dd5808d0bb4</vt:lpwstr>
  </property>
  <property fmtid="{D5CDD505-2E9C-101B-9397-08002B2CF9AE}" pid="14" name="MSIP_Label_d662fcd2-3ff9-4261-9b26-9dd5808d0bb4_SiteId">
    <vt:lpwstr>5ee3b0ba-a559-45ee-a69e-6d3e963a3e72</vt:lpwstr>
  </property>
  <property fmtid="{D5CDD505-2E9C-101B-9397-08002B2CF9AE}" pid="15" name="MSIP_Label_d662fcd2-3ff9-4261-9b26-9dd5808d0bb4_ActionId">
    <vt:lpwstr>873cd70b-086b-421e-84c0-dc711720ecf5</vt:lpwstr>
  </property>
  <property fmtid="{D5CDD505-2E9C-101B-9397-08002B2CF9AE}" pid="16" name="MSIP_Label_d662fcd2-3ff9-4261-9b26-9dd5808d0bb4_ContentBits">
    <vt:lpwstr>0</vt:lpwstr>
  </property>
</Properties>
</file>