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2\rates\CN2023\CNs-00375-00376 - L K ECR 2-year review (Sep19-Aug23)\3 - Data Requests and Testimony\KU\0 - efiled 02-14-2024\"/>
    </mc:Choice>
  </mc:AlternateContent>
  <xr:revisionPtr revIDLastSave="0" documentId="13_ncr:1_{AEF5F1AB-92BE-41FA-825A-5E2031FE848E}" xr6:coauthVersionLast="47" xr6:coauthVersionMax="47" xr10:uidLastSave="{00000000-0000-0000-0000-000000000000}"/>
  <bookViews>
    <workbookView xWindow="-120" yWindow="-120" windowWidth="29040" windowHeight="17025" tabRatio="770" xr2:uid="{00000000-000D-0000-FFFF-FFFF00000000}"/>
  </bookViews>
  <sheets>
    <sheet name="Project 28" sheetId="32" r:id="rId1"/>
    <sheet name="Project 29" sheetId="31" r:id="rId2"/>
    <sheet name="Project 29_2011 Plan" sheetId="38" r:id="rId3"/>
    <sheet name="Project 30" sheetId="35" r:id="rId4"/>
    <sheet name="Project 31" sheetId="28" r:id="rId5"/>
    <sheet name="Project 32" sheetId="36" r:id="rId6"/>
    <sheet name="Project 33" sheetId="33" r:id="rId7"/>
    <sheet name="Project 34" sheetId="37" r:id="rId8"/>
    <sheet name="Project 35" sheetId="29" r:id="rId9"/>
    <sheet name="Project 37" sheetId="40" r:id="rId10"/>
    <sheet name="Project 38" sheetId="41" r:id="rId11"/>
    <sheet name="Project 40" sheetId="42" r:id="rId12"/>
    <sheet name="Project 41" sheetId="39" r:id="rId13"/>
    <sheet name="Project 42" sheetId="43" r:id="rId14"/>
  </sheets>
  <externalReferences>
    <externalReference r:id="rId15"/>
  </externalReferences>
  <definedNames>
    <definedName name="_xlnm.Print_Area" localSheetId="0">'Project 28'!$A$1:$N$61</definedName>
    <definedName name="_xlnm.Print_Area" localSheetId="1">'Project 29'!$A$1:$N$43</definedName>
    <definedName name="_xlnm.Print_Area" localSheetId="2">'Project 29_2011 Plan'!$A$1:$N$62</definedName>
    <definedName name="_xlnm.Print_Area" localSheetId="3">'Project 30'!$A$1:$N$100</definedName>
    <definedName name="_xlnm.Print_Area" localSheetId="4">'Project 31'!$A$1:$N$15</definedName>
    <definedName name="_xlnm.Print_Area" localSheetId="5">'Project 32'!$A$1:$N$48</definedName>
    <definedName name="_xlnm.Print_Area" localSheetId="6">'Project 33'!$A$1:$N$35</definedName>
    <definedName name="_xlnm.Print_Area" localSheetId="7">'Project 34'!$A$1:$N$43</definedName>
    <definedName name="_xlnm.Print_Area" localSheetId="8">'Project 35'!$A$1:$O$88</definedName>
    <definedName name="_xlnm.Print_Area" localSheetId="9">'Project 37'!$A$1:$N$35</definedName>
    <definedName name="_xlnm.Print_Area" localSheetId="10">'Project 38'!$A$1:$N$41</definedName>
    <definedName name="_xlnm.Print_Area" localSheetId="11">'Project 40'!$A$1:$O$15</definedName>
    <definedName name="_xlnm.Print_Area" localSheetId="12">'Project 41'!$A$1:$O$37</definedName>
    <definedName name="_xlnm.Print_Area" localSheetId="13">'Project 42'!$A$1:$N$15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6" i="29" l="1"/>
  <c r="F86" i="29" s="1"/>
  <c r="H86" i="29" s="1"/>
  <c r="E85" i="29"/>
  <c r="F85" i="29" s="1"/>
  <c r="H85" i="29" s="1"/>
  <c r="F84" i="29"/>
  <c r="H84" i="29" s="1"/>
  <c r="E83" i="29"/>
  <c r="F83" i="29" s="1"/>
  <c r="H83" i="29" s="1"/>
  <c r="F82" i="29"/>
  <c r="H82" i="29" s="1"/>
  <c r="F81" i="29"/>
  <c r="H81" i="29" s="1"/>
  <c r="H80" i="29"/>
  <c r="F80" i="29"/>
  <c r="F79" i="29"/>
  <c r="H79" i="29" s="1"/>
  <c r="E79" i="29"/>
  <c r="E78" i="29"/>
  <c r="F78" i="29" s="1"/>
  <c r="H78" i="29" s="1"/>
  <c r="H77" i="29"/>
  <c r="F77" i="29"/>
  <c r="F76" i="29"/>
  <c r="H76" i="29" s="1"/>
  <c r="F75" i="29"/>
  <c r="H75" i="29" s="1"/>
  <c r="F74" i="29"/>
  <c r="H74" i="29" s="1"/>
  <c r="H73" i="29"/>
  <c r="F73" i="29"/>
  <c r="F72" i="29"/>
  <c r="H72" i="29" s="1"/>
  <c r="F71" i="29"/>
  <c r="H71" i="29" s="1"/>
  <c r="F70" i="29"/>
  <c r="H70" i="29" s="1"/>
  <c r="H69" i="29"/>
  <c r="F69" i="29"/>
  <c r="F68" i="29"/>
  <c r="H68" i="29" s="1"/>
  <c r="F67" i="29"/>
  <c r="H67" i="29" s="1"/>
  <c r="F66" i="29"/>
  <c r="H66" i="29" s="1"/>
  <c r="H65" i="29"/>
  <c r="F65" i="29"/>
  <c r="F64" i="29"/>
  <c r="H64" i="29" s="1"/>
  <c r="F63" i="29"/>
  <c r="H63" i="29" s="1"/>
  <c r="F62" i="29"/>
  <c r="H62" i="29" s="1"/>
  <c r="H61" i="29"/>
  <c r="F61" i="29"/>
  <c r="F60" i="29"/>
  <c r="H60" i="29" s="1"/>
  <c r="F59" i="29"/>
  <c r="H59" i="29" s="1"/>
  <c r="D59" i="29"/>
  <c r="E53" i="29"/>
  <c r="F53" i="29" s="1"/>
  <c r="H53" i="29" s="1"/>
  <c r="C53" i="29"/>
  <c r="E52" i="29"/>
  <c r="F52" i="29" s="1"/>
  <c r="H52" i="29" s="1"/>
  <c r="C52" i="29"/>
  <c r="C85" i="29" s="1"/>
  <c r="H51" i="29"/>
  <c r="F51" i="29"/>
  <c r="H50" i="29"/>
  <c r="F50" i="29"/>
  <c r="E50" i="29"/>
  <c r="F49" i="29"/>
  <c r="H49" i="29" s="1"/>
  <c r="F48" i="29"/>
  <c r="H48" i="29" s="1"/>
  <c r="F47" i="29"/>
  <c r="H47" i="29" s="1"/>
  <c r="E46" i="29"/>
  <c r="F46" i="29" s="1"/>
  <c r="H46" i="29" s="1"/>
  <c r="E45" i="29"/>
  <c r="E54" i="29" s="1"/>
  <c r="F44" i="29"/>
  <c r="H44" i="29" s="1"/>
  <c r="H43" i="29"/>
  <c r="F43" i="29"/>
  <c r="F42" i="29"/>
  <c r="H42" i="29" s="1"/>
  <c r="F41" i="29"/>
  <c r="H41" i="29" s="1"/>
  <c r="F40" i="29"/>
  <c r="H40" i="29" s="1"/>
  <c r="H39" i="29"/>
  <c r="F39" i="29"/>
  <c r="F38" i="29"/>
  <c r="H38" i="29" s="1"/>
  <c r="F37" i="29"/>
  <c r="H37" i="29" s="1"/>
  <c r="F36" i="29"/>
  <c r="H36" i="29" s="1"/>
  <c r="H35" i="29"/>
  <c r="F35" i="29"/>
  <c r="F34" i="29"/>
  <c r="H34" i="29" s="1"/>
  <c r="F33" i="29"/>
  <c r="H33" i="29" s="1"/>
  <c r="F32" i="29"/>
  <c r="H32" i="29" s="1"/>
  <c r="H31" i="29"/>
  <c r="F31" i="29"/>
  <c r="F30" i="29"/>
  <c r="H30" i="29" s="1"/>
  <c r="F29" i="29"/>
  <c r="H29" i="29" s="1"/>
  <c r="F28" i="29"/>
  <c r="H28" i="29" s="1"/>
  <c r="H27" i="29"/>
  <c r="F27" i="29"/>
  <c r="F26" i="29"/>
  <c r="H26" i="29" s="1"/>
  <c r="F25" i="29"/>
  <c r="H25" i="29" s="1"/>
  <c r="H15" i="29"/>
  <c r="L15" i="29" s="1"/>
  <c r="G15" i="29"/>
  <c r="L14" i="29"/>
  <c r="H14" i="29"/>
  <c r="G14" i="29"/>
  <c r="K14" i="29" s="1"/>
  <c r="N13" i="29"/>
  <c r="G13" i="29"/>
  <c r="F13" i="29"/>
  <c r="H13" i="29" s="1"/>
  <c r="L13" i="29" s="1"/>
  <c r="K13" i="29" s="1"/>
  <c r="E13" i="29"/>
  <c r="N12" i="29"/>
  <c r="L12" i="29"/>
  <c r="H12" i="29"/>
  <c r="F12" i="29"/>
  <c r="E12" i="29"/>
  <c r="G12" i="29" s="1"/>
  <c r="K12" i="29" s="1"/>
  <c r="N11" i="29"/>
  <c r="F11" i="29"/>
  <c r="H11" i="29" s="1"/>
  <c r="L11" i="29" s="1"/>
  <c r="E11" i="29"/>
  <c r="G11" i="29" s="1"/>
  <c r="N10" i="29"/>
  <c r="F10" i="29"/>
  <c r="H10" i="29" s="1"/>
  <c r="L10" i="29" s="1"/>
  <c r="E10" i="29"/>
  <c r="G10" i="29" s="1"/>
  <c r="C97" i="35"/>
  <c r="H96" i="35"/>
  <c r="F96" i="35"/>
  <c r="C96" i="35"/>
  <c r="H95" i="35"/>
  <c r="F95" i="35"/>
  <c r="F94" i="35"/>
  <c r="H94" i="35" s="1"/>
  <c r="F93" i="35"/>
  <c r="H93" i="35" s="1"/>
  <c r="F92" i="35"/>
  <c r="H92" i="35" s="1"/>
  <c r="H91" i="35"/>
  <c r="F91" i="35"/>
  <c r="F90" i="35"/>
  <c r="H90" i="35" s="1"/>
  <c r="F89" i="35"/>
  <c r="H89" i="35" s="1"/>
  <c r="F88" i="35"/>
  <c r="H88" i="35" s="1"/>
  <c r="H87" i="35"/>
  <c r="F87" i="35"/>
  <c r="F86" i="35"/>
  <c r="H86" i="35" s="1"/>
  <c r="F85" i="35"/>
  <c r="H85" i="35" s="1"/>
  <c r="F84" i="35"/>
  <c r="H84" i="35" s="1"/>
  <c r="H83" i="35"/>
  <c r="F83" i="35"/>
  <c r="F82" i="35"/>
  <c r="H82" i="35" s="1"/>
  <c r="F81" i="35"/>
  <c r="H81" i="35" s="1"/>
  <c r="F80" i="35"/>
  <c r="H80" i="35" s="1"/>
  <c r="H79" i="35"/>
  <c r="F79" i="35"/>
  <c r="F78" i="35"/>
  <c r="H78" i="35" s="1"/>
  <c r="F77" i="35"/>
  <c r="H77" i="35" s="1"/>
  <c r="F76" i="35"/>
  <c r="H76" i="35" s="1"/>
  <c r="H75" i="35"/>
  <c r="F75" i="35"/>
  <c r="F74" i="35"/>
  <c r="H74" i="35" s="1"/>
  <c r="F73" i="35"/>
  <c r="H73" i="35" s="1"/>
  <c r="F72" i="35"/>
  <c r="H72" i="35" s="1"/>
  <c r="H71" i="35"/>
  <c r="F71" i="35"/>
  <c r="F70" i="35"/>
  <c r="H70" i="35" s="1"/>
  <c r="F69" i="35"/>
  <c r="H69" i="35" s="1"/>
  <c r="F68" i="35"/>
  <c r="H68" i="35" s="1"/>
  <c r="H67" i="35"/>
  <c r="F67" i="35"/>
  <c r="F66" i="35"/>
  <c r="H66" i="35" s="1"/>
  <c r="F65" i="35"/>
  <c r="D65" i="35"/>
  <c r="E59" i="35"/>
  <c r="F59" i="35" s="1"/>
  <c r="H59" i="35" s="1"/>
  <c r="C59" i="35"/>
  <c r="C98" i="35" s="1"/>
  <c r="E58" i="35"/>
  <c r="F58" i="35" s="1"/>
  <c r="H58" i="35" s="1"/>
  <c r="F57" i="35"/>
  <c r="H57" i="35" s="1"/>
  <c r="F56" i="35"/>
  <c r="H56" i="35" s="1"/>
  <c r="H55" i="35"/>
  <c r="F55" i="35"/>
  <c r="F54" i="35"/>
  <c r="H54" i="35" s="1"/>
  <c r="F53" i="35"/>
  <c r="H53" i="35" s="1"/>
  <c r="F52" i="35"/>
  <c r="H52" i="35" s="1"/>
  <c r="H51" i="35"/>
  <c r="F51" i="35"/>
  <c r="F50" i="35"/>
  <c r="H50" i="35" s="1"/>
  <c r="F49" i="35"/>
  <c r="H49" i="35" s="1"/>
  <c r="F48" i="35"/>
  <c r="H48" i="35" s="1"/>
  <c r="H47" i="35"/>
  <c r="F47" i="35"/>
  <c r="F46" i="35"/>
  <c r="H46" i="35" s="1"/>
  <c r="F45" i="35"/>
  <c r="H45" i="35" s="1"/>
  <c r="F44" i="35"/>
  <c r="H44" i="35" s="1"/>
  <c r="H43" i="35"/>
  <c r="F43" i="35"/>
  <c r="F42" i="35"/>
  <c r="H42" i="35" s="1"/>
  <c r="F41" i="35"/>
  <c r="H41" i="35" s="1"/>
  <c r="F40" i="35"/>
  <c r="H40" i="35" s="1"/>
  <c r="H39" i="35"/>
  <c r="F39" i="35"/>
  <c r="F38" i="35"/>
  <c r="H38" i="35" s="1"/>
  <c r="F37" i="35"/>
  <c r="H37" i="35" s="1"/>
  <c r="F36" i="35"/>
  <c r="H36" i="35" s="1"/>
  <c r="H35" i="35"/>
  <c r="F35" i="35"/>
  <c r="F34" i="35"/>
  <c r="H34" i="35" s="1"/>
  <c r="F33" i="35"/>
  <c r="H33" i="35" s="1"/>
  <c r="F32" i="35"/>
  <c r="H32" i="35" s="1"/>
  <c r="H31" i="35"/>
  <c r="F31" i="35"/>
  <c r="F30" i="35"/>
  <c r="H30" i="35" s="1"/>
  <c r="F29" i="35"/>
  <c r="H29" i="35" s="1"/>
  <c r="F28" i="35"/>
  <c r="H28" i="35" s="1"/>
  <c r="H27" i="35"/>
  <c r="F27" i="35"/>
  <c r="F26" i="35"/>
  <c r="H26" i="35" s="1"/>
  <c r="F25" i="35"/>
  <c r="F60" i="35" s="1"/>
  <c r="H15" i="35"/>
  <c r="L15" i="35" s="1"/>
  <c r="K15" i="35" s="1"/>
  <c r="G15" i="35"/>
  <c r="H14" i="35"/>
  <c r="L14" i="35" s="1"/>
  <c r="G14" i="35"/>
  <c r="N13" i="35"/>
  <c r="F13" i="35"/>
  <c r="H13" i="35" s="1"/>
  <c r="L13" i="35" s="1"/>
  <c r="E13" i="35"/>
  <c r="G13" i="35" s="1"/>
  <c r="K13" i="35" s="1"/>
  <c r="N12" i="35"/>
  <c r="F12" i="35"/>
  <c r="H12" i="35" s="1"/>
  <c r="L12" i="35" s="1"/>
  <c r="E12" i="35"/>
  <c r="G12" i="35" s="1"/>
  <c r="K12" i="35" s="1"/>
  <c r="N11" i="35"/>
  <c r="F11" i="35"/>
  <c r="H11" i="35" s="1"/>
  <c r="L11" i="35" s="1"/>
  <c r="E11" i="35"/>
  <c r="G11" i="35" s="1"/>
  <c r="K11" i="35" s="1"/>
  <c r="N10" i="35"/>
  <c r="F10" i="35"/>
  <c r="H10" i="35" s="1"/>
  <c r="L10" i="35" s="1"/>
  <c r="E10" i="35"/>
  <c r="G10" i="35" s="1"/>
  <c r="K10" i="35" s="1"/>
  <c r="M10" i="35" s="1"/>
  <c r="M11" i="35" s="1"/>
  <c r="M12" i="35" s="1"/>
  <c r="M13" i="35" s="1"/>
  <c r="N13" i="37"/>
  <c r="N12" i="37"/>
  <c r="N11" i="37"/>
  <c r="N10" i="37"/>
  <c r="N13" i="31"/>
  <c r="N12" i="31"/>
  <c r="N11" i="31"/>
  <c r="N10" i="31"/>
  <c r="N13" i="32"/>
  <c r="N12" i="32"/>
  <c r="N11" i="32"/>
  <c r="N10" i="32"/>
  <c r="E15" i="43"/>
  <c r="E15" i="39"/>
  <c r="E14" i="39"/>
  <c r="E27" i="39"/>
  <c r="C35" i="39"/>
  <c r="F34" i="39"/>
  <c r="H34" i="39" s="1"/>
  <c r="D33" i="39"/>
  <c r="F33" i="39" s="1"/>
  <c r="E28" i="39"/>
  <c r="F26" i="39"/>
  <c r="H26" i="39" s="1"/>
  <c r="F25" i="39"/>
  <c r="H25" i="39" s="1"/>
  <c r="F15" i="42"/>
  <c r="E15" i="42"/>
  <c r="F14" i="42"/>
  <c r="E14" i="42"/>
  <c r="F13" i="42"/>
  <c r="E13" i="42"/>
  <c r="F12" i="42"/>
  <c r="E12" i="42"/>
  <c r="F11" i="42"/>
  <c r="E11" i="42"/>
  <c r="F10" i="42"/>
  <c r="E10" i="42"/>
  <c r="H41" i="41"/>
  <c r="H33" i="41"/>
  <c r="E39" i="41"/>
  <c r="E40" i="41" s="1"/>
  <c r="H38" i="41"/>
  <c r="F38" i="41"/>
  <c r="F37" i="41"/>
  <c r="H37" i="41" s="1"/>
  <c r="H36" i="41"/>
  <c r="F36" i="41"/>
  <c r="D35" i="41"/>
  <c r="F35" i="41" s="1"/>
  <c r="E30" i="41"/>
  <c r="F29" i="41"/>
  <c r="H29" i="41" s="1"/>
  <c r="E29" i="41"/>
  <c r="F28" i="41"/>
  <c r="H28" i="41" s="1"/>
  <c r="H27" i="41"/>
  <c r="F27" i="41"/>
  <c r="F26" i="41"/>
  <c r="H26" i="41" s="1"/>
  <c r="H25" i="41"/>
  <c r="F25" i="41"/>
  <c r="F30" i="41" s="1"/>
  <c r="H35" i="40"/>
  <c r="H30" i="40"/>
  <c r="E34" i="40"/>
  <c r="F33" i="40"/>
  <c r="H33" i="40" s="1"/>
  <c r="F32" i="40"/>
  <c r="F34" i="40" s="1"/>
  <c r="D32" i="40"/>
  <c r="E27" i="40"/>
  <c r="H26" i="40"/>
  <c r="F26" i="40"/>
  <c r="F25" i="40"/>
  <c r="H25" i="40" s="1"/>
  <c r="H27" i="40" s="1"/>
  <c r="E41" i="37"/>
  <c r="F41" i="37" s="1"/>
  <c r="H41" i="37" s="1"/>
  <c r="E30" i="37"/>
  <c r="L13" i="37"/>
  <c r="F13" i="37"/>
  <c r="E13" i="37"/>
  <c r="L12" i="37"/>
  <c r="E12" i="37"/>
  <c r="F12" i="37"/>
  <c r="L11" i="37"/>
  <c r="K11" i="37"/>
  <c r="L10" i="37"/>
  <c r="K10" i="37"/>
  <c r="F11" i="37"/>
  <c r="E11" i="37"/>
  <c r="F10" i="37"/>
  <c r="E10" i="37"/>
  <c r="C41" i="37"/>
  <c r="H40" i="37"/>
  <c r="F40" i="37"/>
  <c r="F39" i="37"/>
  <c r="H39" i="37" s="1"/>
  <c r="E38" i="37"/>
  <c r="F37" i="37"/>
  <c r="H37" i="37" s="1"/>
  <c r="D36" i="37"/>
  <c r="F36" i="37" s="1"/>
  <c r="F30" i="37"/>
  <c r="H30" i="37" s="1"/>
  <c r="C30" i="37"/>
  <c r="F29" i="37"/>
  <c r="H29" i="37" s="1"/>
  <c r="F28" i="37"/>
  <c r="H28" i="37" s="1"/>
  <c r="E27" i="37"/>
  <c r="E31" i="37" s="1"/>
  <c r="E14" i="37" s="1"/>
  <c r="H26" i="37"/>
  <c r="F26" i="37"/>
  <c r="F25" i="37"/>
  <c r="H25" i="37" s="1"/>
  <c r="E34" i="33"/>
  <c r="F33" i="33"/>
  <c r="H33" i="33" s="1"/>
  <c r="D32" i="33"/>
  <c r="F32" i="33" s="1"/>
  <c r="E27" i="33"/>
  <c r="F26" i="33"/>
  <c r="H26" i="33" s="1"/>
  <c r="F25" i="33"/>
  <c r="H25" i="33" s="1"/>
  <c r="H27" i="33" s="1"/>
  <c r="K11" i="29" l="1"/>
  <c r="K15" i="29"/>
  <c r="H54" i="29"/>
  <c r="H87" i="29"/>
  <c r="K10" i="29"/>
  <c r="M10" i="29" s="1"/>
  <c r="M11" i="29" s="1"/>
  <c r="M12" i="29" s="1"/>
  <c r="F54" i="29"/>
  <c r="E87" i="29"/>
  <c r="F87" i="29"/>
  <c r="F45" i="29"/>
  <c r="H45" i="29" s="1"/>
  <c r="K14" i="35"/>
  <c r="E98" i="35"/>
  <c r="F98" i="35" s="1"/>
  <c r="H98" i="35" s="1"/>
  <c r="H25" i="35"/>
  <c r="H60" i="35" s="1"/>
  <c r="E60" i="35"/>
  <c r="H65" i="35"/>
  <c r="E97" i="35"/>
  <c r="H33" i="39"/>
  <c r="E35" i="39"/>
  <c r="F27" i="39"/>
  <c r="H27" i="39" s="1"/>
  <c r="H28" i="39" s="1"/>
  <c r="H30" i="41"/>
  <c r="F40" i="41"/>
  <c r="H35" i="41"/>
  <c r="F39" i="41"/>
  <c r="H39" i="41" s="1"/>
  <c r="H32" i="40"/>
  <c r="H34" i="40" s="1"/>
  <c r="F27" i="40"/>
  <c r="E42" i="37"/>
  <c r="F14" i="37" s="1"/>
  <c r="H36" i="37"/>
  <c r="F38" i="37"/>
  <c r="H38" i="37" s="1"/>
  <c r="F27" i="37"/>
  <c r="F27" i="33"/>
  <c r="F34" i="33"/>
  <c r="H32" i="33"/>
  <c r="H34" i="33" s="1"/>
  <c r="M13" i="29" l="1"/>
  <c r="H88" i="29"/>
  <c r="H55" i="29"/>
  <c r="H56" i="29"/>
  <c r="H57" i="29" s="1"/>
  <c r="F97" i="35"/>
  <c r="E99" i="35"/>
  <c r="F28" i="39"/>
  <c r="E36" i="39"/>
  <c r="F35" i="39"/>
  <c r="H40" i="41"/>
  <c r="H28" i="40"/>
  <c r="H29" i="40" s="1"/>
  <c r="H27" i="37"/>
  <c r="H31" i="37" s="1"/>
  <c r="F31" i="37"/>
  <c r="F42" i="37"/>
  <c r="H42" i="37"/>
  <c r="H35" i="33"/>
  <c r="H28" i="33"/>
  <c r="H29" i="33" s="1"/>
  <c r="H30" i="33" s="1"/>
  <c r="H97" i="35" l="1"/>
  <c r="H99" i="35" s="1"/>
  <c r="F99" i="35"/>
  <c r="H35" i="39"/>
  <c r="H36" i="39" s="1"/>
  <c r="F36" i="39"/>
  <c r="H31" i="41"/>
  <c r="H32" i="41" s="1"/>
  <c r="H32" i="37"/>
  <c r="H33" i="37"/>
  <c r="H100" i="35" l="1"/>
  <c r="H61" i="35"/>
  <c r="H62" i="35" s="1"/>
  <c r="H63" i="35" s="1"/>
  <c r="H29" i="39"/>
  <c r="H30" i="39" s="1"/>
  <c r="E47" i="36" l="1"/>
  <c r="F46" i="36"/>
  <c r="H46" i="36" s="1"/>
  <c r="C46" i="36"/>
  <c r="F45" i="36"/>
  <c r="H45" i="36" s="1"/>
  <c r="C45" i="36"/>
  <c r="H44" i="36"/>
  <c r="F44" i="36"/>
  <c r="C44" i="36"/>
  <c r="H43" i="36"/>
  <c r="F43" i="36"/>
  <c r="C43" i="36"/>
  <c r="H42" i="36"/>
  <c r="F42" i="36"/>
  <c r="C42" i="36"/>
  <c r="F41" i="36"/>
  <c r="H41" i="36" s="1"/>
  <c r="C41" i="36"/>
  <c r="F40" i="36"/>
  <c r="H40" i="36" s="1"/>
  <c r="D39" i="36"/>
  <c r="F39" i="36" s="1"/>
  <c r="E34" i="36"/>
  <c r="F33" i="36"/>
  <c r="H33" i="36" s="1"/>
  <c r="F32" i="36"/>
  <c r="H32" i="36" s="1"/>
  <c r="F31" i="36"/>
  <c r="H31" i="36" s="1"/>
  <c r="F30" i="36"/>
  <c r="H30" i="36" s="1"/>
  <c r="F29" i="36"/>
  <c r="H29" i="36" s="1"/>
  <c r="F28" i="36"/>
  <c r="H28" i="36" s="1"/>
  <c r="F27" i="36"/>
  <c r="H27" i="36" s="1"/>
  <c r="F26" i="36"/>
  <c r="H26" i="36" s="1"/>
  <c r="F25" i="36"/>
  <c r="H25" i="36" s="1"/>
  <c r="H62" i="38"/>
  <c r="H46" i="38"/>
  <c r="E60" i="38"/>
  <c r="F60" i="38" s="1"/>
  <c r="H60" i="38" s="1"/>
  <c r="H59" i="38"/>
  <c r="F59" i="38"/>
  <c r="F58" i="38"/>
  <c r="H58" i="38" s="1"/>
  <c r="H57" i="38"/>
  <c r="F57" i="38"/>
  <c r="F56" i="38"/>
  <c r="H56" i="38" s="1"/>
  <c r="E55" i="38"/>
  <c r="F55" i="38" s="1"/>
  <c r="H55" i="38" s="1"/>
  <c r="F54" i="38"/>
  <c r="H54" i="38" s="1"/>
  <c r="E54" i="38"/>
  <c r="E53" i="38"/>
  <c r="E61" i="38" s="1"/>
  <c r="F52" i="38"/>
  <c r="H52" i="38" s="1"/>
  <c r="F51" i="38"/>
  <c r="H51" i="38" s="1"/>
  <c r="F50" i="38"/>
  <c r="H50" i="38" s="1"/>
  <c r="C50" i="38"/>
  <c r="H49" i="38"/>
  <c r="F49" i="38"/>
  <c r="D48" i="38"/>
  <c r="F48" i="38" s="1"/>
  <c r="F42" i="38"/>
  <c r="H42" i="38" s="1"/>
  <c r="E42" i="38"/>
  <c r="F41" i="38"/>
  <c r="H41" i="38" s="1"/>
  <c r="H40" i="38"/>
  <c r="F40" i="38"/>
  <c r="F39" i="38"/>
  <c r="H39" i="38" s="1"/>
  <c r="H38" i="38"/>
  <c r="F38" i="38"/>
  <c r="F37" i="38"/>
  <c r="H37" i="38" s="1"/>
  <c r="H36" i="38"/>
  <c r="F36" i="38"/>
  <c r="E35" i="38"/>
  <c r="F35" i="38" s="1"/>
  <c r="H35" i="38" s="1"/>
  <c r="F34" i="38"/>
  <c r="H34" i="38" s="1"/>
  <c r="F33" i="38"/>
  <c r="H33" i="38" s="1"/>
  <c r="E33" i="38"/>
  <c r="F32" i="38"/>
  <c r="H32" i="38" s="1"/>
  <c r="E31" i="38"/>
  <c r="E43" i="38" s="1"/>
  <c r="F30" i="38"/>
  <c r="H30" i="38" s="1"/>
  <c r="F29" i="38"/>
  <c r="H29" i="38" s="1"/>
  <c r="F28" i="38"/>
  <c r="H28" i="38" s="1"/>
  <c r="F27" i="38"/>
  <c r="H27" i="38" s="1"/>
  <c r="C27" i="38"/>
  <c r="H26" i="38"/>
  <c r="F26" i="38"/>
  <c r="F25" i="38"/>
  <c r="K13" i="38"/>
  <c r="K12" i="38"/>
  <c r="K11" i="38"/>
  <c r="K10" i="38"/>
  <c r="F13" i="38"/>
  <c r="E13" i="38"/>
  <c r="F12" i="38"/>
  <c r="E12" i="38"/>
  <c r="F11" i="38"/>
  <c r="E11" i="38"/>
  <c r="F10" i="38"/>
  <c r="E10" i="38"/>
  <c r="L13" i="31"/>
  <c r="K13" i="31"/>
  <c r="L12" i="31"/>
  <c r="K12" i="31"/>
  <c r="L11" i="31"/>
  <c r="K11" i="31"/>
  <c r="L10" i="31"/>
  <c r="K10" i="31"/>
  <c r="E42" i="31"/>
  <c r="F41" i="31"/>
  <c r="H41" i="31" s="1"/>
  <c r="C41" i="31"/>
  <c r="H40" i="31"/>
  <c r="F40" i="31"/>
  <c r="C40" i="31"/>
  <c r="F39" i="31"/>
  <c r="H39" i="31" s="1"/>
  <c r="F38" i="31"/>
  <c r="H38" i="31" s="1"/>
  <c r="F37" i="31"/>
  <c r="H37" i="31" s="1"/>
  <c r="D36" i="31"/>
  <c r="F36" i="31" s="1"/>
  <c r="F31" i="31"/>
  <c r="E31" i="31"/>
  <c r="F30" i="31"/>
  <c r="H30" i="31" s="1"/>
  <c r="F29" i="31"/>
  <c r="H29" i="31" s="1"/>
  <c r="F28" i="31"/>
  <c r="H28" i="31" s="1"/>
  <c r="C28" i="31"/>
  <c r="F27" i="31"/>
  <c r="H27" i="31" s="1"/>
  <c r="C27" i="31"/>
  <c r="F26" i="31"/>
  <c r="H26" i="31" s="1"/>
  <c r="F25" i="31"/>
  <c r="H25" i="31" s="1"/>
  <c r="E13" i="31"/>
  <c r="E12" i="31"/>
  <c r="E11" i="31"/>
  <c r="E10" i="31"/>
  <c r="H61" i="32"/>
  <c r="H43" i="32"/>
  <c r="F58" i="32"/>
  <c r="H58" i="32" s="1"/>
  <c r="E59" i="32"/>
  <c r="L12" i="32"/>
  <c r="K12" i="32"/>
  <c r="L11" i="32"/>
  <c r="K11" i="32"/>
  <c r="K10" i="32"/>
  <c r="L10" i="32"/>
  <c r="F59" i="32"/>
  <c r="H59" i="32" s="1"/>
  <c r="C59" i="32"/>
  <c r="C58" i="32"/>
  <c r="H57" i="32"/>
  <c r="F57" i="32"/>
  <c r="H56" i="32"/>
  <c r="F56" i="32"/>
  <c r="F55" i="32"/>
  <c r="H55" i="32" s="1"/>
  <c r="H54" i="32"/>
  <c r="F54" i="32"/>
  <c r="F53" i="32"/>
  <c r="H53" i="32" s="1"/>
  <c r="H52" i="32"/>
  <c r="F52" i="32"/>
  <c r="F51" i="32"/>
  <c r="H51" i="32" s="1"/>
  <c r="E51" i="32"/>
  <c r="E60" i="32" s="1"/>
  <c r="F50" i="32"/>
  <c r="H50" i="32" s="1"/>
  <c r="H49" i="32"/>
  <c r="F49" i="32"/>
  <c r="F48" i="32"/>
  <c r="H48" i="32" s="1"/>
  <c r="H47" i="32"/>
  <c r="F47" i="32"/>
  <c r="F46" i="32"/>
  <c r="H46" i="32" s="1"/>
  <c r="D45" i="32"/>
  <c r="F45" i="32" s="1"/>
  <c r="E40" i="32"/>
  <c r="E39" i="32"/>
  <c r="F39" i="32" s="1"/>
  <c r="H39" i="32" s="1"/>
  <c r="H38" i="32"/>
  <c r="F38" i="32"/>
  <c r="F37" i="32"/>
  <c r="H37" i="32" s="1"/>
  <c r="H36" i="32"/>
  <c r="F36" i="32"/>
  <c r="F35" i="32"/>
  <c r="H35" i="32" s="1"/>
  <c r="H34" i="32"/>
  <c r="F34" i="32"/>
  <c r="F33" i="32"/>
  <c r="H33" i="32" s="1"/>
  <c r="H32" i="32"/>
  <c r="F32" i="32"/>
  <c r="F31" i="32"/>
  <c r="H31" i="32" s="1"/>
  <c r="H30" i="32"/>
  <c r="F30" i="32"/>
  <c r="F29" i="32"/>
  <c r="H29" i="32" s="1"/>
  <c r="H28" i="32"/>
  <c r="F28" i="32"/>
  <c r="F27" i="32"/>
  <c r="F40" i="32" s="1"/>
  <c r="C27" i="32"/>
  <c r="H26" i="32"/>
  <c r="F26" i="32"/>
  <c r="C26" i="32"/>
  <c r="F25" i="32"/>
  <c r="H25" i="32" s="1"/>
  <c r="C25" i="32"/>
  <c r="F47" i="36" l="1"/>
  <c r="H39" i="36"/>
  <c r="H47" i="36" s="1"/>
  <c r="H34" i="36"/>
  <c r="F34" i="36"/>
  <c r="H48" i="38"/>
  <c r="F53" i="38"/>
  <c r="H53" i="38" s="1"/>
  <c r="F31" i="38"/>
  <c r="H31" i="38" s="1"/>
  <c r="H25" i="38"/>
  <c r="H43" i="38" s="1"/>
  <c r="H36" i="31"/>
  <c r="H42" i="31" s="1"/>
  <c r="F42" i="31"/>
  <c r="H31" i="31"/>
  <c r="H40" i="32"/>
  <c r="F60" i="32"/>
  <c r="H45" i="32"/>
  <c r="H60" i="32" s="1"/>
  <c r="H27" i="32"/>
  <c r="H48" i="36" l="1"/>
  <c r="H35" i="36"/>
  <c r="H36" i="36" s="1"/>
  <c r="H37" i="36" s="1"/>
  <c r="F61" i="38"/>
  <c r="H61" i="38"/>
  <c r="F43" i="38"/>
  <c r="H43" i="31"/>
  <c r="H32" i="31"/>
  <c r="H33" i="31" s="1"/>
  <c r="H34" i="31" s="1"/>
  <c r="H41" i="32"/>
  <c r="H42" i="32" s="1"/>
  <c r="H44" i="38" l="1"/>
  <c r="H45" i="38" s="1"/>
  <c r="E13" i="32" l="1"/>
  <c r="E12" i="32"/>
  <c r="E11" i="32"/>
  <c r="E10" i="32"/>
  <c r="F15" i="43" l="1"/>
  <c r="F15" i="39"/>
  <c r="F15" i="33"/>
  <c r="E15" i="33"/>
  <c r="F15" i="36"/>
  <c r="E15" i="36"/>
  <c r="F14" i="43" l="1"/>
  <c r="F14" i="39"/>
  <c r="F14" i="33"/>
  <c r="F14" i="36"/>
  <c r="E14" i="43"/>
  <c r="E14" i="33"/>
  <c r="E14" i="36"/>
  <c r="F13" i="43" l="1"/>
  <c r="E13" i="43"/>
  <c r="F13" i="39"/>
  <c r="E13" i="39"/>
  <c r="F13" i="41"/>
  <c r="E13" i="41"/>
  <c r="E13" i="40"/>
  <c r="F13" i="40"/>
  <c r="F13" i="33"/>
  <c r="E13" i="33"/>
  <c r="F13" i="36"/>
  <c r="E13" i="36"/>
  <c r="F13" i="28"/>
  <c r="E13" i="28"/>
  <c r="F13" i="31"/>
  <c r="F13" i="32"/>
  <c r="E12" i="40" l="1"/>
  <c r="F12" i="43"/>
  <c r="E12" i="43"/>
  <c r="F12" i="39"/>
  <c r="E12" i="39"/>
  <c r="F12" i="41"/>
  <c r="E12" i="41"/>
  <c r="F12" i="40"/>
  <c r="F12" i="33"/>
  <c r="E12" i="33"/>
  <c r="F12" i="36"/>
  <c r="E12" i="36"/>
  <c r="F12" i="28"/>
  <c r="E12" i="28"/>
  <c r="F12" i="31" l="1"/>
  <c r="F12" i="32"/>
  <c r="E11" i="41" l="1"/>
  <c r="F11" i="43"/>
  <c r="E11" i="43"/>
  <c r="F11" i="39"/>
  <c r="E11" i="39"/>
  <c r="F11" i="41"/>
  <c r="F11" i="40"/>
  <c r="E11" i="40"/>
  <c r="F11" i="33"/>
  <c r="E11" i="33"/>
  <c r="F11" i="36"/>
  <c r="E11" i="36"/>
  <c r="F11" i="28"/>
  <c r="E11" i="28"/>
  <c r="F11" i="31"/>
  <c r="F11" i="32"/>
  <c r="E10" i="41" l="1"/>
  <c r="F10" i="43" l="1"/>
  <c r="E10" i="43"/>
  <c r="E10" i="39"/>
  <c r="F10" i="39"/>
  <c r="F10" i="41"/>
  <c r="F10" i="40"/>
  <c r="E10" i="40"/>
  <c r="E10" i="33"/>
  <c r="F10" i="33"/>
  <c r="F10" i="36"/>
  <c r="E10" i="36"/>
  <c r="F10" i="28"/>
  <c r="E10" i="28"/>
  <c r="F10" i="31"/>
  <c r="F10" i="32"/>
  <c r="G12" i="43" l="1"/>
  <c r="H12" i="43"/>
  <c r="L12" i="43" s="1"/>
  <c r="H15" i="43"/>
  <c r="L15" i="43" s="1"/>
  <c r="G15" i="43"/>
  <c r="H14" i="43"/>
  <c r="L14" i="43" s="1"/>
  <c r="G14" i="43"/>
  <c r="H13" i="43"/>
  <c r="L13" i="43" s="1"/>
  <c r="G13" i="43"/>
  <c r="H11" i="43"/>
  <c r="L11" i="43" s="1"/>
  <c r="G11" i="43"/>
  <c r="H10" i="43"/>
  <c r="L10" i="43" s="1"/>
  <c r="G10" i="43"/>
  <c r="G12" i="42"/>
  <c r="H12" i="42"/>
  <c r="K15" i="43" l="1"/>
  <c r="K14" i="43"/>
  <c r="K13" i="43"/>
  <c r="K12" i="43"/>
  <c r="K11" i="43"/>
  <c r="K10" i="43"/>
  <c r="M10" i="43" s="1"/>
  <c r="M11" i="43" l="1"/>
  <c r="M12" i="43" s="1"/>
  <c r="M13" i="43" l="1"/>
  <c r="M14" i="43" l="1"/>
  <c r="M15" i="43" s="1"/>
  <c r="L12" i="42" l="1"/>
  <c r="G11" i="42"/>
  <c r="H15" i="42"/>
  <c r="L15" i="42" s="1"/>
  <c r="G15" i="42"/>
  <c r="H14" i="42"/>
  <c r="L14" i="42" s="1"/>
  <c r="G14" i="42"/>
  <c r="H13" i="42"/>
  <c r="L13" i="42" s="1"/>
  <c r="G13" i="42"/>
  <c r="H11" i="42"/>
  <c r="L11" i="42" s="1"/>
  <c r="H10" i="42"/>
  <c r="L10" i="42" s="1"/>
  <c r="G10" i="42"/>
  <c r="K15" i="42" l="1"/>
  <c r="K14" i="42"/>
  <c r="K13" i="42"/>
  <c r="K11" i="42"/>
  <c r="K10" i="42"/>
  <c r="M10" i="42" s="1"/>
  <c r="K12" i="42"/>
  <c r="M11" i="42" l="1"/>
  <c r="M12" i="42" l="1"/>
  <c r="M13" i="42" l="1"/>
  <c r="M14" i="42" l="1"/>
  <c r="M15" i="42" l="1"/>
  <c r="G14" i="41" l="1"/>
  <c r="H15" i="41"/>
  <c r="L15" i="41" s="1"/>
  <c r="G15" i="41"/>
  <c r="H14" i="41"/>
  <c r="L14" i="41" s="1"/>
  <c r="H13" i="41"/>
  <c r="L13" i="41" s="1"/>
  <c r="G13" i="41"/>
  <c r="H12" i="41"/>
  <c r="L12" i="41" s="1"/>
  <c r="G12" i="41"/>
  <c r="H11" i="41"/>
  <c r="L11" i="41" s="1"/>
  <c r="G11" i="41"/>
  <c r="H10" i="41"/>
  <c r="L10" i="41" s="1"/>
  <c r="G10" i="41"/>
  <c r="K13" i="41" l="1"/>
  <c r="K11" i="41"/>
  <c r="K14" i="41"/>
  <c r="K10" i="41"/>
  <c r="M10" i="41" s="1"/>
  <c r="K12" i="41"/>
  <c r="K15" i="41"/>
  <c r="M11" i="41" l="1"/>
  <c r="M12" i="41" l="1"/>
  <c r="M13" i="41" l="1"/>
  <c r="H13" i="39"/>
  <c r="L13" i="39" s="1"/>
  <c r="G13" i="39"/>
  <c r="H12" i="39"/>
  <c r="L12" i="39" s="1"/>
  <c r="G12" i="39"/>
  <c r="H11" i="39"/>
  <c r="L11" i="39" s="1"/>
  <c r="G11" i="39"/>
  <c r="H10" i="39"/>
  <c r="L10" i="39" s="1"/>
  <c r="G10" i="39"/>
  <c r="K12" i="39" l="1"/>
  <c r="K10" i="39"/>
  <c r="K11" i="39"/>
  <c r="K13" i="39"/>
  <c r="H15" i="40" l="1"/>
  <c r="L15" i="40" s="1"/>
  <c r="G15" i="40"/>
  <c r="H14" i="40"/>
  <c r="L14" i="40" s="1"/>
  <c r="G14" i="40"/>
  <c r="H13" i="40"/>
  <c r="L13" i="40" s="1"/>
  <c r="G13" i="40"/>
  <c r="H12" i="40"/>
  <c r="L12" i="40" s="1"/>
  <c r="G12" i="40"/>
  <c r="H11" i="40"/>
  <c r="L11" i="40" s="1"/>
  <c r="G11" i="40"/>
  <c r="H10" i="40"/>
  <c r="L10" i="40" s="1"/>
  <c r="G10" i="40"/>
  <c r="K13" i="40" l="1"/>
  <c r="K15" i="40"/>
  <c r="K14" i="40"/>
  <c r="K12" i="40"/>
  <c r="K10" i="40"/>
  <c r="M10" i="40" s="1"/>
  <c r="K11" i="40"/>
  <c r="M10" i="39"/>
  <c r="M11" i="39" l="1"/>
  <c r="M11" i="40"/>
  <c r="M12" i="39" l="1"/>
  <c r="M12" i="40"/>
  <c r="M13" i="39" l="1"/>
  <c r="M13" i="40"/>
  <c r="G15" i="39" l="1"/>
  <c r="H15" i="39"/>
  <c r="L15" i="39" s="1"/>
  <c r="H37" i="39" s="1"/>
  <c r="H14" i="39"/>
  <c r="L14" i="39" s="1"/>
  <c r="G14" i="39"/>
  <c r="K15" i="39" l="1"/>
  <c r="H31" i="39" s="1"/>
  <c r="K14" i="39"/>
  <c r="M14" i="39" l="1"/>
  <c r="G12" i="37"/>
  <c r="K12" i="37" s="1"/>
  <c r="H13" i="37"/>
  <c r="H15" i="37"/>
  <c r="L15" i="37" s="1"/>
  <c r="G11" i="37"/>
  <c r="H11" i="37"/>
  <c r="H12" i="37"/>
  <c r="G13" i="37"/>
  <c r="G14" i="37"/>
  <c r="H14" i="37"/>
  <c r="L14" i="37" s="1"/>
  <c r="G15" i="37"/>
  <c r="H10" i="37"/>
  <c r="G10" i="37"/>
  <c r="G14" i="33"/>
  <c r="G13" i="33"/>
  <c r="G15" i="33"/>
  <c r="G11" i="33"/>
  <c r="H11" i="33"/>
  <c r="L11" i="33" s="1"/>
  <c r="G12" i="33"/>
  <c r="H12" i="33"/>
  <c r="L12" i="33" s="1"/>
  <c r="H13" i="33"/>
  <c r="L13" i="33" s="1"/>
  <c r="H14" i="33"/>
  <c r="L14" i="33" s="1"/>
  <c r="H15" i="33"/>
  <c r="L15" i="33" s="1"/>
  <c r="H10" i="33"/>
  <c r="L10" i="33" s="1"/>
  <c r="G10" i="33"/>
  <c r="G11" i="36"/>
  <c r="H11" i="36"/>
  <c r="L11" i="36" s="1"/>
  <c r="G12" i="36"/>
  <c r="H12" i="36"/>
  <c r="L12" i="36" s="1"/>
  <c r="G13" i="36"/>
  <c r="H13" i="36"/>
  <c r="L13" i="36" s="1"/>
  <c r="G14" i="36"/>
  <c r="H14" i="36"/>
  <c r="L14" i="36" s="1"/>
  <c r="G15" i="36"/>
  <c r="H15" i="36"/>
  <c r="L15" i="36" s="1"/>
  <c r="H10" i="36"/>
  <c r="L10" i="36" s="1"/>
  <c r="G10" i="36"/>
  <c r="G13" i="28"/>
  <c r="G12" i="28"/>
  <c r="G14" i="28"/>
  <c r="G15" i="28"/>
  <c r="G10" i="28"/>
  <c r="G11" i="28"/>
  <c r="H11" i="28"/>
  <c r="L11" i="28" s="1"/>
  <c r="H12" i="28"/>
  <c r="L12" i="28" s="1"/>
  <c r="H13" i="28"/>
  <c r="L13" i="28" s="1"/>
  <c r="H14" i="28"/>
  <c r="L14" i="28" s="1"/>
  <c r="H15" i="28"/>
  <c r="L15" i="28" s="1"/>
  <c r="H10" i="28"/>
  <c r="L10" i="28" s="1"/>
  <c r="H43" i="37" l="1"/>
  <c r="K13" i="37"/>
  <c r="H34" i="37" s="1"/>
  <c r="M15" i="39"/>
  <c r="K14" i="37"/>
  <c r="K11" i="28"/>
  <c r="M10" i="37"/>
  <c r="K15" i="37"/>
  <c r="K10" i="33"/>
  <c r="M10" i="33" s="1"/>
  <c r="K13" i="33"/>
  <c r="K12" i="33"/>
  <c r="K11" i="33"/>
  <c r="K14" i="36"/>
  <c r="K12" i="36"/>
  <c r="K10" i="36"/>
  <c r="M10" i="36" s="1"/>
  <c r="K15" i="36"/>
  <c r="K10" i="28"/>
  <c r="K13" i="36"/>
  <c r="K11" i="36"/>
  <c r="K15" i="33"/>
  <c r="K14" i="33"/>
  <c r="K15" i="28"/>
  <c r="K14" i="28"/>
  <c r="K13" i="28"/>
  <c r="K12" i="28"/>
  <c r="G11" i="38"/>
  <c r="H11" i="38"/>
  <c r="L11" i="38" s="1"/>
  <c r="G12" i="38"/>
  <c r="H12" i="38"/>
  <c r="L12" i="38" s="1"/>
  <c r="G13" i="38"/>
  <c r="H13" i="38"/>
  <c r="L13" i="38" s="1"/>
  <c r="G14" i="38"/>
  <c r="H14" i="38"/>
  <c r="L14" i="38" s="1"/>
  <c r="G15" i="38"/>
  <c r="H15" i="38"/>
  <c r="L15" i="38" s="1"/>
  <c r="H10" i="38"/>
  <c r="L10" i="38" s="1"/>
  <c r="G10" i="38"/>
  <c r="G14" i="31"/>
  <c r="H11" i="31"/>
  <c r="H13" i="31"/>
  <c r="H15" i="31"/>
  <c r="G11" i="31"/>
  <c r="G12" i="31"/>
  <c r="H12" i="31"/>
  <c r="G13" i="31"/>
  <c r="H14" i="31"/>
  <c r="L14" i="31" s="1"/>
  <c r="G15" i="31"/>
  <c r="H10" i="31"/>
  <c r="G10" i="31"/>
  <c r="K14" i="38" l="1"/>
  <c r="M11" i="37"/>
  <c r="M11" i="33"/>
  <c r="L15" i="31"/>
  <c r="M11" i="36"/>
  <c r="M10" i="28"/>
  <c r="K15" i="38"/>
  <c r="M10" i="38"/>
  <c r="K14" i="31"/>
  <c r="M12" i="37" l="1"/>
  <c r="M12" i="33"/>
  <c r="M12" i="36"/>
  <c r="M11" i="28"/>
  <c r="K15" i="31"/>
  <c r="M11" i="38"/>
  <c r="Q10" i="38"/>
  <c r="Q11" i="38" s="1"/>
  <c r="Q12" i="38" s="1"/>
  <c r="Q13" i="38" s="1"/>
  <c r="Q14" i="38" s="1"/>
  <c r="Q15" i="38" s="1"/>
  <c r="M10" i="31"/>
  <c r="M13" i="33" l="1"/>
  <c r="M14" i="33" s="1"/>
  <c r="M15" i="33" s="1"/>
  <c r="M13" i="37"/>
  <c r="M13" i="36"/>
  <c r="M12" i="28"/>
  <c r="M12" i="38"/>
  <c r="M11" i="31"/>
  <c r="G11" i="32"/>
  <c r="H11" i="32"/>
  <c r="G12" i="32"/>
  <c r="H12" i="32"/>
  <c r="G13" i="32"/>
  <c r="K13" i="32" s="1"/>
  <c r="H13" i="32"/>
  <c r="L13" i="32" s="1"/>
  <c r="G14" i="32"/>
  <c r="G15" i="32"/>
  <c r="H14" i="32"/>
  <c r="L14" i="32" s="1"/>
  <c r="H15" i="32"/>
  <c r="M13" i="28" l="1"/>
  <c r="M14" i="36"/>
  <c r="M15" i="36" s="1"/>
  <c r="M13" i="38"/>
  <c r="M12" i="31"/>
  <c r="L15" i="32"/>
  <c r="K14" i="32"/>
  <c r="M13" i="31" l="1"/>
  <c r="K15" i="32"/>
  <c r="H10" i="32"/>
  <c r="G10" i="32"/>
  <c r="Q10" i="32" l="1"/>
  <c r="Q11" i="32" s="1"/>
  <c r="Q12" i="32" s="1"/>
  <c r="Q13" i="32" s="1"/>
  <c r="Q14" i="32" s="1"/>
  <c r="Q15" i="32" s="1"/>
  <c r="M10" i="32"/>
  <c r="M11" i="32" l="1"/>
  <c r="M12" i="32" l="1"/>
  <c r="M13" i="32" l="1"/>
  <c r="Q16" i="38" l="1"/>
</calcChain>
</file>

<file path=xl/sharedStrings.xml><?xml version="1.0" encoding="utf-8"?>
<sst xmlns="http://schemas.openxmlformats.org/spreadsheetml/2006/main" count="488" uniqueCount="68">
  <si>
    <t>Month</t>
  </si>
  <si>
    <t>Plant Balance</t>
  </si>
  <si>
    <t>Book Depreciation</t>
  </si>
  <si>
    <t>Accumulated Deferred Taxes</t>
  </si>
  <si>
    <t>Deferred Taxes on Retirements</t>
  </si>
  <si>
    <t>Kentucky Utilities Company</t>
  </si>
  <si>
    <t>Deferred Tax Calculations</t>
  </si>
  <si>
    <t>Environmental Compliance Plans, by Approved Project</t>
  </si>
  <si>
    <t>Beg Balance</t>
  </si>
  <si>
    <t>Project 31 - Trimble County Ash Treatment Basin (BAP/GSP)</t>
  </si>
  <si>
    <t>2009 - Plan</t>
  </si>
  <si>
    <t xml:space="preserve"> </t>
  </si>
  <si>
    <t>2011 - Plan</t>
  </si>
  <si>
    <t>Project 35 - Ghent Station Air Compliance</t>
  </si>
  <si>
    <t>Project 29 - ATB Expansion at E.W. Brown Station (Phase II)</t>
  </si>
  <si>
    <t>Project 28 - Brown 3 SCR</t>
  </si>
  <si>
    <t>Project 33 - Beneficial Reuse</t>
  </si>
  <si>
    <t>Project 30 - Ghent CCP Storage (Landfill-Phase I)</t>
  </si>
  <si>
    <t>Project 32 - Trimble County CCP Storage (Landfill - Phase I)</t>
  </si>
  <si>
    <t>Project 34 - E.W. Brown Station Air Compliance</t>
  </si>
  <si>
    <t>Project 29 - Brown Landfill (Phase I)</t>
  </si>
  <si>
    <t>2016 - Plan</t>
  </si>
  <si>
    <t>Project 41 -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</si>
  <si>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</si>
  <si>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</si>
  <si>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</si>
  <si>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</si>
  <si>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</si>
  <si>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</si>
  <si>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</si>
  <si>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</si>
  <si>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>is computed separately for Federal and State purposes.  Specifically, for Federal taxes, certain assets received 50% bonus</t>
  </si>
  <si>
    <t>is shown below:</t>
  </si>
  <si>
    <t xml:space="preserve">Due to Bonus Depreciation for tax purposes taken on certain components of Project 28, the deferred tax calculation for this project </t>
  </si>
  <si>
    <t>Federal Basis</t>
  </si>
  <si>
    <t>Book Depr.</t>
  </si>
  <si>
    <t>Federal Tax Depr</t>
  </si>
  <si>
    <t>Fed. Difference</t>
  </si>
  <si>
    <t>Fed Def Tax</t>
  </si>
  <si>
    <t>State Basis</t>
  </si>
  <si>
    <t>State Tax Depr</t>
  </si>
  <si>
    <t>St. Difference</t>
  </si>
  <si>
    <t>St Def Tax</t>
  </si>
  <si>
    <t>Subtotal</t>
  </si>
  <si>
    <t>State Offset</t>
  </si>
  <si>
    <t xml:space="preserve">Due to Bonus Depreciation for tax purposes taken on certain components of Project 29 of the 2009 Plan, the deferred tax calculation for this project </t>
  </si>
  <si>
    <t xml:space="preserve">Due to Bonus Depreciation for tax purposes taken on certain components of Project 29 of the 2011 Plan, the deferred tax calculation for this project </t>
  </si>
  <si>
    <t xml:space="preserve">Due to Bonus Depreciation for tax purposes taken on certain components of Project 30, the deferred tax calculation for this project </t>
  </si>
  <si>
    <t xml:space="preserve">Due to Bonus Depreciation for tax purposes taken on certain components of Project 32, the deferred tax calculation for this project </t>
  </si>
  <si>
    <t xml:space="preserve">Due to Bonus Depreciation for tax purposes taken on certain components of Project 34, the deferred tax calculation for this project </t>
  </si>
  <si>
    <t xml:space="preserve">Due to Bonus Depreciation for tax purposes taken on certain components of Project 33, the deferred tax calculation for this project </t>
  </si>
  <si>
    <t xml:space="preserve">Due to Bonus Depreciation for tax purposes taken on certain components of Project 35, the deferred tax calculation for this project </t>
  </si>
  <si>
    <t xml:space="preserve">Due to Bonus Depreciation for tax purposes taken on certain components of Project 41, the deferred tax calculation for this project </t>
  </si>
  <si>
    <t>Project 37 - Ghent 2 WFGD Improvments</t>
  </si>
  <si>
    <t>Project 38 - Supplemental Mercury Control</t>
  </si>
  <si>
    <t>The federal deferred tax column includes an amount for amortization of excess deferred tax amounts.</t>
  </si>
  <si>
    <t>Excess deferred tax amortization</t>
  </si>
  <si>
    <t xml:space="preserve">Due to Bonus Depreciation for tax purposes taken on certain components of Project 38, the deferred tax calculation for this project </t>
  </si>
  <si>
    <t>is computed separately for Federal and State purposes.  Specifically, for Federal taxes, certain assets received 40% or 50% bonus</t>
  </si>
  <si>
    <t>Project 40 - Ghent New Process Water System</t>
  </si>
  <si>
    <t>Project 42 - Brown New Process Water Systems</t>
  </si>
  <si>
    <t>The federal and state deferred tax columns include an amount for amortization of excess deferred tax amounts.</t>
  </si>
  <si>
    <t>Excess fed deferred tax amortization</t>
  </si>
  <si>
    <t>Excess state deferred tax amortization</t>
  </si>
  <si>
    <t>depreciation, which reduces the Federal tax basis to 50% of the plant balance.  A sample calculation of deferred taxes for Jun 2021</t>
  </si>
  <si>
    <t>depreciation, which reduces the Federal tax basis to 50% of the plant balance.  A sample calculation of deferred taxes for Aug 2021</t>
  </si>
  <si>
    <t xml:space="preserve">Due to Bonus Depreciation for tax purposes taken on certain components of Project 37, the deferred tax calculation for this project </t>
  </si>
  <si>
    <t>depreciation, which reduces the Federal tax basis to 40% or 50% of the plant balance.  A sample calculation of deferred taxes for Jun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</si>
</sst>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0%"/>
    <numFmt numFmtId="167" formatCode="_(* #,##0.00_);_(* \(#,##0.00\);_(* &quot;-&quot;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165" fontId="2" fillId="0" borderId="0" xfId="0" applyNumberFormat="1" applyFont="1" applyFill="1" applyAlignment="1"/>
    <xf numFmtId="0" fontId="2" fillId="0" borderId="0" xfId="0" applyFont="1" applyFill="1" applyAlignment="1"/>
    <xf numFmtId="165" fontId="0" fillId="0" borderId="0" xfId="0" applyNumberFormat="1"/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1" fontId="0" fillId="0" borderId="0" xfId="0" applyNumberFormat="1"/>
    <xf numFmtId="166" fontId="0" fillId="0" borderId="0" xfId="0" applyNumberFormat="1"/>
    <xf numFmtId="165" fontId="3" fillId="0" borderId="0" xfId="0" quotePrefix="1" applyNumberFormat="1" applyFont="1" applyFill="1" applyBorder="1" applyAlignment="1">
      <alignment horizontal="left"/>
    </xf>
    <xf numFmtId="164" fontId="1" fillId="0" borderId="0" xfId="1" applyNumberFormat="1"/>
    <xf numFmtId="165" fontId="2" fillId="0" borderId="0" xfId="0" quotePrefix="1" applyNumberFormat="1" applyFont="1" applyFill="1" applyAlignment="1">
      <alignment horizontal="left"/>
    </xf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/>
    <xf numFmtId="164" fontId="4" fillId="0" borderId="0" xfId="1" applyNumberFormat="1" applyFont="1"/>
    <xf numFmtId="165" fontId="4" fillId="0" borderId="0" xfId="0" applyNumberFormat="1" applyFont="1" applyAlignment="1">
      <alignment horizontal="left"/>
    </xf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0" fontId="4" fillId="0" borderId="0" xfId="0" applyFont="1"/>
    <xf numFmtId="43" fontId="4" fillId="0" borderId="0" xfId="1" applyFont="1"/>
    <xf numFmtId="41" fontId="4" fillId="0" borderId="0" xfId="0" applyNumberFormat="1" applyFont="1"/>
    <xf numFmtId="164" fontId="0" fillId="0" borderId="0" xfId="1" applyNumberFormat="1" applyFont="1"/>
    <xf numFmtId="41" fontId="0" fillId="0" borderId="0" xfId="0" applyNumberFormat="1" applyFill="1"/>
    <xf numFmtId="164" fontId="1" fillId="0" borderId="0" xfId="1" applyNumberFormat="1" applyFont="1"/>
    <xf numFmtId="41" fontId="1" fillId="0" borderId="0" xfId="0" quotePrefix="1" applyNumberFormat="1" applyFont="1" applyFill="1" applyAlignment="1">
      <alignment horizontal="left"/>
    </xf>
    <xf numFmtId="164" fontId="1" fillId="0" borderId="0" xfId="3" applyNumberFormat="1" applyFont="1" applyFill="1"/>
    <xf numFmtId="43" fontId="1" fillId="0" borderId="0" xfId="3" applyFont="1" applyFill="1"/>
    <xf numFmtId="164" fontId="1" fillId="0" borderId="0" xfId="3" quotePrefix="1" applyNumberFormat="1" applyFont="1" applyFill="1" applyAlignment="1">
      <alignment horizontal="left"/>
    </xf>
    <xf numFmtId="166" fontId="0" fillId="0" borderId="0" xfId="0" applyNumberFormat="1" applyFill="1"/>
    <xf numFmtId="41" fontId="8" fillId="0" borderId="0" xfId="0" applyNumberFormat="1" applyFont="1"/>
    <xf numFmtId="164" fontId="8" fillId="0" borderId="0" xfId="0" applyNumberFormat="1" applyFont="1"/>
    <xf numFmtId="0" fontId="1" fillId="0" borderId="0" xfId="0" applyFont="1"/>
    <xf numFmtId="164" fontId="0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0" xfId="1" applyNumberFormat="1" applyFont="1"/>
    <xf numFmtId="41" fontId="1" fillId="0" borderId="0" xfId="0" applyNumberFormat="1" applyFont="1"/>
    <xf numFmtId="165" fontId="1" fillId="0" borderId="0" xfId="8" applyNumberFormat="1" applyFont="1" applyAlignment="1">
      <alignment horizontal="left"/>
    </xf>
    <xf numFmtId="167" fontId="4" fillId="0" borderId="0" xfId="0" applyNumberFormat="1" applyFont="1"/>
    <xf numFmtId="167" fontId="0" fillId="0" borderId="0" xfId="0" applyNumberFormat="1"/>
    <xf numFmtId="164" fontId="1" fillId="0" borderId="0" xfId="0" applyNumberFormat="1" applyFont="1"/>
    <xf numFmtId="164" fontId="0" fillId="0" borderId="0" xfId="1" applyNumberFormat="1" applyFont="1" applyFill="1" applyBorder="1" applyAlignment="1">
      <alignment horizontal="center"/>
    </xf>
    <xf numFmtId="41" fontId="1" fillId="0" borderId="0" xfId="0" quotePrefix="1" applyNumberFormat="1" applyFont="1" applyAlignment="1">
      <alignment horizontal="left"/>
    </xf>
    <xf numFmtId="37" fontId="0" fillId="0" borderId="0" xfId="0" applyNumberFormat="1"/>
    <xf numFmtId="37" fontId="1" fillId="0" borderId="0" xfId="0" applyNumberFormat="1" applyFont="1"/>
    <xf numFmtId="166" fontId="1" fillId="0" borderId="0" xfId="0" applyNumberFormat="1" applyFont="1"/>
    <xf numFmtId="164" fontId="0" fillId="0" borderId="0" xfId="1" applyNumberFormat="1" applyFont="1" applyFill="1" applyBorder="1"/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0" xfId="0" applyNumberFormat="1" applyFont="1"/>
    <xf numFmtId="0" fontId="2" fillId="0" borderId="0" xfId="0" applyFont="1"/>
    <xf numFmtId="165" fontId="3" fillId="0" borderId="0" xfId="0" quotePrefix="1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165" fontId="1" fillId="0" borderId="0" xfId="0" applyNumberFormat="1" applyFont="1" applyAlignment="1">
      <alignment horizontal="left"/>
    </xf>
  </cellXfs>
  <cellStyles count="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5" xfId="7" xr:uid="{00000000-0005-0000-0000-000006000000}"/>
    <cellStyle name="Normal" xfId="0" builtinId="0"/>
    <cellStyle name="Normal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ECR\2024\6%20month%20reviews%20Sep%202019%20-%20Aug%202023\KU\CN2023-00376%20-%20KU%20ECR%20DR1%20Attach%20to%20Q3%20-%202021.08revised.xlsx" TargetMode="External"/><Relationship Id="rId1" Type="http://schemas.openxmlformats.org/officeDocument/2006/relationships/externalLinkPath" Target="file:///T:\ECR\2024\6%20month%20reviews%20Sep%202019%20-%20Aug%202023\KU\CN2023-00376%20-%20KU%20ECR%20DR1%20Attach%20to%20Q3%20-%202021.08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ject 28"/>
      <sheetName val="Project 29"/>
      <sheetName val="Project 29_2011 Plan"/>
      <sheetName val="Project 30"/>
      <sheetName val="Project 31"/>
      <sheetName val="Project 32"/>
      <sheetName val="Project 33"/>
      <sheetName val="Project 34"/>
      <sheetName val="Project 35"/>
      <sheetName val="Project 37"/>
      <sheetName val="Project 38"/>
      <sheetName val="Project 40"/>
      <sheetName val="Project 41"/>
      <sheetName val="Project 42"/>
    </sheetNames>
    <sheetDataSet>
      <sheetData sheetId="0">
        <row r="10">
          <cell r="N10">
            <v>148483.07</v>
          </cell>
        </row>
        <row r="11">
          <cell r="N11">
            <v>147124.45000000001</v>
          </cell>
        </row>
        <row r="12">
          <cell r="N12">
            <v>145765.84</v>
          </cell>
        </row>
        <row r="13">
          <cell r="N13">
            <v>144407.22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Q61"/>
  <sheetViews>
    <sheetView tabSelected="1" zoomScaleNormal="100" workbookViewId="0"/>
  </sheetViews>
  <sheetFormatPr defaultRowHeight="12.75" x14ac:dyDescent="0.2"/>
  <cols>
    <col min="1" max="1" width="13.140625" style="3" customWidth="1"/>
    <col min="2" max="2" width="1.7109375" customWidth="1"/>
    <col min="3" max="3" width="12.7109375" customWidth="1"/>
    <col min="4" max="4" width="14.28515625" bestFit="1" customWidth="1"/>
    <col min="5" max="5" width="15.28515625" customWidth="1"/>
    <col min="6" max="6" width="14.285156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4.7109375" bestFit="1" customWidth="1"/>
    <col min="17" max="17" width="14" hidden="1" customWidth="1"/>
    <col min="18" max="18" width="14.5703125" bestFit="1" customWidth="1"/>
    <col min="19" max="19" width="15.1406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7" x14ac:dyDescent="0.2">
      <c r="A5" s="9" t="s">
        <v>10</v>
      </c>
    </row>
    <row r="6" spans="1:17" x14ac:dyDescent="0.2">
      <c r="A6" s="11" t="s">
        <v>15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24437831</v>
      </c>
      <c r="N9" s="23" t="s">
        <v>11</v>
      </c>
      <c r="P9" s="17"/>
    </row>
    <row r="10" spans="1:17" x14ac:dyDescent="0.2">
      <c r="A10" s="38">
        <v>44264</v>
      </c>
      <c r="C10" s="7">
        <v>101551050</v>
      </c>
      <c r="D10" s="15">
        <v>439208</v>
      </c>
      <c r="E10" s="10">
        <f>90408.33</f>
        <v>90408.33</v>
      </c>
      <c r="F10" s="10">
        <f>172788.69</f>
        <v>172788.69</v>
      </c>
      <c r="G10" s="15">
        <f t="shared" ref="G10:G15" si="0">E10-D10</f>
        <v>-348799.67</v>
      </c>
      <c r="H10" s="15">
        <f t="shared" ref="H10:H15" si="1">F10-D10</f>
        <v>-266419.31</v>
      </c>
      <c r="I10" s="8">
        <v>0.21</v>
      </c>
      <c r="J10" s="8">
        <v>0.05</v>
      </c>
      <c r="K10" s="15">
        <f>G10*I10+13321*I10-46808</f>
        <v>-117258.52069999999</v>
      </c>
      <c r="L10" s="15">
        <f>H10*J10-2682</f>
        <v>-16002.9655</v>
      </c>
      <c r="M10" s="7">
        <f>M9+K10+L10</f>
        <v>24304569.513799999</v>
      </c>
      <c r="N10" s="7">
        <f>139987.35+8495.72</f>
        <v>148483.07</v>
      </c>
      <c r="O10" s="21"/>
      <c r="P10" s="17"/>
      <c r="Q10" s="19">
        <f>M9+K10+L10</f>
        <v>24304569.513799999</v>
      </c>
    </row>
    <row r="11" spans="1:17" x14ac:dyDescent="0.2">
      <c r="A11" s="38">
        <v>44287</v>
      </c>
      <c r="C11" s="7">
        <v>101551050</v>
      </c>
      <c r="D11" s="15">
        <v>439208.49</v>
      </c>
      <c r="E11" s="10">
        <f>90408.33</f>
        <v>90408.33</v>
      </c>
      <c r="F11" s="10">
        <f>172788.69</f>
        <v>172788.69</v>
      </c>
      <c r="G11" s="15">
        <f t="shared" si="0"/>
        <v>-348800.16</v>
      </c>
      <c r="H11" s="15">
        <f t="shared" si="1"/>
        <v>-266419.8</v>
      </c>
      <c r="I11" s="8">
        <v>0.21</v>
      </c>
      <c r="J11" s="8">
        <v>0.05</v>
      </c>
      <c r="K11" s="15">
        <f>G11*I11+13321*I11-46808</f>
        <v>-117258.62359999999</v>
      </c>
      <c r="L11" s="15">
        <f>H11*J11-2681.4</f>
        <v>-16002.39</v>
      </c>
      <c r="M11" s="7">
        <f t="shared" ref="M11:M13" si="2">M10+K11+L11</f>
        <v>24171308.5002</v>
      </c>
      <c r="N11" s="7">
        <f>138706.03+8418.42</f>
        <v>147124.45000000001</v>
      </c>
      <c r="O11" s="21"/>
      <c r="P11" s="17"/>
      <c r="Q11" s="19">
        <f>Q10+K11+L11</f>
        <v>24171308.5002</v>
      </c>
    </row>
    <row r="12" spans="1:17" x14ac:dyDescent="0.2">
      <c r="A12" s="38">
        <v>44317</v>
      </c>
      <c r="C12" s="7">
        <v>101551050</v>
      </c>
      <c r="D12" s="15">
        <v>439208.49</v>
      </c>
      <c r="E12" s="10">
        <f>90408.33</f>
        <v>90408.33</v>
      </c>
      <c r="F12" s="10">
        <f>172788.69</f>
        <v>172788.69</v>
      </c>
      <c r="G12" s="15">
        <f t="shared" si="0"/>
        <v>-348800.16</v>
      </c>
      <c r="H12" s="15">
        <f t="shared" si="1"/>
        <v>-266419.8</v>
      </c>
      <c r="I12" s="8">
        <v>0.21</v>
      </c>
      <c r="J12" s="8">
        <v>0.05</v>
      </c>
      <c r="K12" s="15">
        <f>G12*I12+13321*I12-46808</f>
        <v>-117258.62359999999</v>
      </c>
      <c r="L12" s="15">
        <f>H12*J12-2681.4</f>
        <v>-16002.39</v>
      </c>
      <c r="M12" s="7">
        <f t="shared" si="2"/>
        <v>24038047.4866</v>
      </c>
      <c r="N12" s="7">
        <f>137424.71+8341.13</f>
        <v>145765.84</v>
      </c>
      <c r="O12" s="17"/>
      <c r="P12" s="17" t="s">
        <v>11</v>
      </c>
      <c r="Q12" s="19">
        <f>Q11+K12+L12</f>
        <v>24038047.4866</v>
      </c>
    </row>
    <row r="13" spans="1:17" x14ac:dyDescent="0.2">
      <c r="A13" s="38">
        <v>44348</v>
      </c>
      <c r="C13" s="7">
        <v>101551050</v>
      </c>
      <c r="D13" s="15">
        <v>439208.49</v>
      </c>
      <c r="E13" s="10">
        <f>90408.33</f>
        <v>90408.33</v>
      </c>
      <c r="F13" s="10">
        <f>172788.69</f>
        <v>172788.69</v>
      </c>
      <c r="G13" s="15">
        <f t="shared" si="0"/>
        <v>-348800.16</v>
      </c>
      <c r="H13" s="15">
        <f t="shared" si="1"/>
        <v>-266419.8</v>
      </c>
      <c r="I13" s="8">
        <v>0.21</v>
      </c>
      <c r="J13" s="8">
        <v>0.05</v>
      </c>
      <c r="K13" s="15">
        <f>G13*I13+13321*I13-46808</f>
        <v>-117258.62359999999</v>
      </c>
      <c r="L13" s="15">
        <f>H13*J13-2681.4</f>
        <v>-16002.39</v>
      </c>
      <c r="M13" s="7">
        <f t="shared" si="2"/>
        <v>23904786.473000001</v>
      </c>
      <c r="N13" s="7">
        <f>136143.38+8263.84</f>
        <v>144407.22</v>
      </c>
      <c r="O13" s="18" t="s">
        <v>11</v>
      </c>
      <c r="P13" s="17" t="s">
        <v>11</v>
      </c>
      <c r="Q13" s="19">
        <f>Q12+K13+L13</f>
        <v>23904786.473000001</v>
      </c>
    </row>
    <row r="14" spans="1:17" x14ac:dyDescent="0.2">
      <c r="A14" s="38">
        <v>44378</v>
      </c>
      <c r="C14" s="7"/>
      <c r="D14" s="15"/>
      <c r="E14" s="10"/>
      <c r="F14" s="10"/>
      <c r="G14" s="15">
        <f t="shared" si="0"/>
        <v>0</v>
      </c>
      <c r="H14" s="15">
        <f t="shared" si="1"/>
        <v>0</v>
      </c>
      <c r="I14" s="8">
        <v>0.21</v>
      </c>
      <c r="J14" s="8">
        <v>0.05</v>
      </c>
      <c r="K14" s="15">
        <f t="shared" ref="K14:K15" si="3">G14*I14-L14*I14</f>
        <v>0</v>
      </c>
      <c r="L14" s="15">
        <f t="shared" ref="L14:L15" si="4">H14*J14</f>
        <v>0</v>
      </c>
      <c r="M14" s="7">
        <v>0</v>
      </c>
      <c r="N14" s="7">
        <v>0</v>
      </c>
      <c r="O14" s="7" t="s">
        <v>11</v>
      </c>
      <c r="P14" s="21"/>
      <c r="Q14" s="19">
        <f>Q13+K14+L14</f>
        <v>23904786.473000001</v>
      </c>
    </row>
    <row r="15" spans="1:17" x14ac:dyDescent="0.2">
      <c r="A15" s="38">
        <v>44409</v>
      </c>
      <c r="C15" s="7"/>
      <c r="D15" s="15"/>
      <c r="E15" s="15"/>
      <c r="F15" s="15"/>
      <c r="G15" s="15">
        <f t="shared" si="0"/>
        <v>0</v>
      </c>
      <c r="H15" s="15">
        <f t="shared" si="1"/>
        <v>0</v>
      </c>
      <c r="I15" s="8">
        <v>0.21</v>
      </c>
      <c r="J15" s="8">
        <v>0.05</v>
      </c>
      <c r="K15" s="15">
        <f t="shared" si="3"/>
        <v>0</v>
      </c>
      <c r="L15" s="15">
        <f t="shared" si="4"/>
        <v>0</v>
      </c>
      <c r="M15" s="7">
        <v>0</v>
      </c>
      <c r="N15" s="7">
        <v>0</v>
      </c>
      <c r="P15" s="17"/>
      <c r="Q15" s="19">
        <f>Q14+K15+L15</f>
        <v>23904786.473000001</v>
      </c>
    </row>
    <row r="16" spans="1:17" x14ac:dyDescent="0.2">
      <c r="A16" s="16"/>
      <c r="C16" s="7"/>
      <c r="D16" s="7"/>
      <c r="E16" s="7" t="s">
        <v>11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">
      <c r="A17" s="16"/>
      <c r="C17" s="7" t="s">
        <v>61</v>
      </c>
      <c r="D17" s="25"/>
      <c r="E17" s="25"/>
      <c r="F17" s="25"/>
      <c r="G17" s="25"/>
      <c r="H17" s="25"/>
      <c r="I17" s="8"/>
      <c r="J17" s="8"/>
      <c r="K17" s="7"/>
      <c r="L17" s="7"/>
      <c r="M17" s="7"/>
      <c r="N17" s="7"/>
      <c r="O17" s="7"/>
      <c r="P17" s="7"/>
    </row>
    <row r="18" spans="1:16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B19" s="27"/>
      <c r="C19" s="43" t="s">
        <v>33</v>
      </c>
      <c r="D19" s="27"/>
      <c r="E19" s="28"/>
      <c r="F19" s="28"/>
      <c r="G19" s="28"/>
    </row>
    <row r="20" spans="1:16" x14ac:dyDescent="0.2">
      <c r="B20" s="27"/>
      <c r="C20" s="43" t="s">
        <v>31</v>
      </c>
      <c r="D20" s="27"/>
      <c r="E20" s="28"/>
      <c r="F20" s="28"/>
      <c r="G20" s="28"/>
    </row>
    <row r="21" spans="1:16" x14ac:dyDescent="0.2">
      <c r="B21" s="27"/>
      <c r="C21" s="43" t="s">
        <v>64</v>
      </c>
      <c r="D21" s="27"/>
      <c r="E21" s="28"/>
      <c r="F21" s="28"/>
      <c r="G21" s="28"/>
    </row>
    <row r="22" spans="1:16" x14ac:dyDescent="0.2">
      <c r="B22" s="27"/>
      <c r="C22" s="7" t="s">
        <v>32</v>
      </c>
      <c r="D22" s="27"/>
      <c r="E22" s="28"/>
      <c r="F22" s="28"/>
      <c r="G22" s="28"/>
    </row>
    <row r="24" spans="1:16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6" x14ac:dyDescent="0.2">
      <c r="C25" s="7">
        <f>18534899</f>
        <v>18534899</v>
      </c>
      <c r="D25" s="7">
        <v>439208</v>
      </c>
      <c r="E25" s="7">
        <v>68903.490000000005</v>
      </c>
      <c r="F25" s="7">
        <f>E25-D25</f>
        <v>-370304.51</v>
      </c>
      <c r="G25" s="8">
        <v>0.21</v>
      </c>
      <c r="H25" s="19">
        <f>F25*G25</f>
        <v>-77763.947100000005</v>
      </c>
    </row>
    <row r="26" spans="1:16" x14ac:dyDescent="0.2">
      <c r="C26" s="7">
        <f>+-176214</f>
        <v>-176214</v>
      </c>
      <c r="E26" s="7">
        <v>-655.22</v>
      </c>
      <c r="F26" s="7">
        <f t="shared" ref="F26:F39" si="5">E26</f>
        <v>-655.22</v>
      </c>
      <c r="G26" s="8">
        <v>0.21</v>
      </c>
      <c r="H26" s="19">
        <f t="shared" ref="H26:H39" si="6">F26*G26</f>
        <v>-137.59620000000001</v>
      </c>
    </row>
    <row r="27" spans="1:16" x14ac:dyDescent="0.2">
      <c r="C27" s="7">
        <f>526898</f>
        <v>526898</v>
      </c>
      <c r="E27" s="7">
        <v>1985.53</v>
      </c>
      <c r="F27" s="7">
        <f t="shared" si="5"/>
        <v>1985.53</v>
      </c>
      <c r="G27" s="8">
        <v>0.21</v>
      </c>
      <c r="H27" s="19">
        <f t="shared" si="6"/>
        <v>416.96129999999999</v>
      </c>
    </row>
    <row r="28" spans="1:16" x14ac:dyDescent="0.2">
      <c r="C28" s="7">
        <v>790348</v>
      </c>
      <c r="E28" s="7">
        <v>0</v>
      </c>
      <c r="F28" s="7">
        <f t="shared" si="5"/>
        <v>0</v>
      </c>
      <c r="G28" s="8">
        <v>0.21</v>
      </c>
      <c r="H28" s="19">
        <f t="shared" si="6"/>
        <v>0</v>
      </c>
    </row>
    <row r="29" spans="1:16" x14ac:dyDescent="0.2">
      <c r="C29" s="7">
        <v>398743</v>
      </c>
      <c r="E29" s="7">
        <v>1624.21</v>
      </c>
      <c r="F29" s="7">
        <f t="shared" si="5"/>
        <v>1624.21</v>
      </c>
      <c r="G29" s="8">
        <v>0.21</v>
      </c>
      <c r="H29" s="19">
        <f t="shared" si="6"/>
        <v>341.08409999999998</v>
      </c>
    </row>
    <row r="30" spans="1:16" x14ac:dyDescent="0.2">
      <c r="C30" s="7">
        <v>1064181</v>
      </c>
      <c r="E30" s="7">
        <v>4334.76</v>
      </c>
      <c r="F30" s="7">
        <f t="shared" si="5"/>
        <v>4334.76</v>
      </c>
      <c r="G30" s="8">
        <v>0.21</v>
      </c>
      <c r="H30" s="19">
        <f t="shared" si="6"/>
        <v>910.29960000000005</v>
      </c>
    </row>
    <row r="31" spans="1:16" x14ac:dyDescent="0.2">
      <c r="C31" s="7">
        <v>81522</v>
      </c>
      <c r="E31" s="7">
        <v>332.07</v>
      </c>
      <c r="F31" s="7">
        <f t="shared" si="5"/>
        <v>332.07</v>
      </c>
      <c r="G31" s="8">
        <v>0.21</v>
      </c>
      <c r="H31" s="19">
        <f t="shared" si="6"/>
        <v>69.734699999999989</v>
      </c>
    </row>
    <row r="32" spans="1:16" x14ac:dyDescent="0.2">
      <c r="C32" s="7">
        <v>43567</v>
      </c>
      <c r="E32" s="7">
        <v>177.46</v>
      </c>
      <c r="F32" s="7">
        <f t="shared" si="5"/>
        <v>177.46</v>
      </c>
      <c r="G32" s="8">
        <v>0.21</v>
      </c>
      <c r="H32" s="19">
        <f t="shared" si="6"/>
        <v>37.266599999999997</v>
      </c>
    </row>
    <row r="33" spans="3:9" x14ac:dyDescent="0.2">
      <c r="C33" s="7">
        <v>80051</v>
      </c>
      <c r="E33" s="7">
        <v>326.07</v>
      </c>
      <c r="F33" s="7">
        <f t="shared" si="5"/>
        <v>326.07</v>
      </c>
      <c r="G33" s="8">
        <v>0.21</v>
      </c>
      <c r="H33" s="19">
        <f t="shared" si="6"/>
        <v>68.474699999999999</v>
      </c>
    </row>
    <row r="34" spans="3:9" x14ac:dyDescent="0.2">
      <c r="C34" s="7">
        <v>415872</v>
      </c>
      <c r="E34" s="37">
        <v>1791.69</v>
      </c>
      <c r="F34" s="37">
        <f t="shared" si="5"/>
        <v>1791.69</v>
      </c>
      <c r="G34" s="8">
        <v>0.21</v>
      </c>
      <c r="H34" s="41">
        <f t="shared" si="6"/>
        <v>376.25490000000002</v>
      </c>
    </row>
    <row r="35" spans="3:9" x14ac:dyDescent="0.2">
      <c r="C35" s="7">
        <v>9056</v>
      </c>
      <c r="E35" s="37">
        <v>39.880000000000003</v>
      </c>
      <c r="F35" s="37">
        <f t="shared" si="5"/>
        <v>39.880000000000003</v>
      </c>
      <c r="G35" s="8">
        <v>0.21</v>
      </c>
      <c r="H35" s="41">
        <f t="shared" si="6"/>
        <v>8.3748000000000005</v>
      </c>
    </row>
    <row r="36" spans="3:9" x14ac:dyDescent="0.2">
      <c r="C36" s="7">
        <v>738067</v>
      </c>
      <c r="E36" s="37">
        <v>3513.82</v>
      </c>
      <c r="F36" s="37">
        <f t="shared" si="5"/>
        <v>3513.82</v>
      </c>
      <c r="G36" s="8">
        <v>0.21</v>
      </c>
      <c r="H36" s="41">
        <f t="shared" si="6"/>
        <v>737.90219999999999</v>
      </c>
    </row>
    <row r="37" spans="3:9" x14ac:dyDescent="0.2">
      <c r="C37" s="7">
        <v>1388</v>
      </c>
      <c r="E37" s="37">
        <v>6.61</v>
      </c>
      <c r="F37" s="37">
        <f t="shared" si="5"/>
        <v>6.61</v>
      </c>
      <c r="G37" s="8">
        <v>0.21</v>
      </c>
      <c r="H37" s="41">
        <f t="shared" si="6"/>
        <v>1.3881000000000001</v>
      </c>
    </row>
    <row r="38" spans="3:9" x14ac:dyDescent="0.2">
      <c r="C38" s="7">
        <v>1349174</v>
      </c>
      <c r="E38" s="37">
        <v>7507.03</v>
      </c>
      <c r="F38" s="37">
        <f t="shared" si="5"/>
        <v>7507.03</v>
      </c>
      <c r="G38" s="8">
        <v>0.21</v>
      </c>
      <c r="H38" s="41">
        <f t="shared" si="6"/>
        <v>1576.4762999999998</v>
      </c>
    </row>
    <row r="39" spans="3:9" ht="15" x14ac:dyDescent="0.35">
      <c r="C39" s="7">
        <v>152806</v>
      </c>
      <c r="E39" s="31">
        <f>477.52+43</f>
        <v>520.52</v>
      </c>
      <c r="F39" s="31">
        <f t="shared" si="5"/>
        <v>520.52</v>
      </c>
      <c r="G39" s="8">
        <v>0.21</v>
      </c>
      <c r="H39" s="41">
        <f t="shared" si="6"/>
        <v>109.30919999999999</v>
      </c>
    </row>
    <row r="40" spans="3:9" x14ac:dyDescent="0.2">
      <c r="E40" s="7">
        <f>SUM(E25:E39)</f>
        <v>90407.920000000042</v>
      </c>
      <c r="F40" s="7">
        <f>SUM(F25:F39)</f>
        <v>-348800.07999999984</v>
      </c>
      <c r="G40" s="33" t="s">
        <v>43</v>
      </c>
      <c r="H40" s="7">
        <f>SUM(H25:H39)</f>
        <v>-73248.016800000012</v>
      </c>
    </row>
    <row r="41" spans="3:9" ht="15" x14ac:dyDescent="0.35">
      <c r="E41" s="7"/>
      <c r="F41" s="7"/>
      <c r="G41" s="33" t="s">
        <v>44</v>
      </c>
      <c r="H41" s="32">
        <f>-H60*0.21</f>
        <v>2797.4070600000009</v>
      </c>
    </row>
    <row r="42" spans="3:9" x14ac:dyDescent="0.2">
      <c r="H42" s="19">
        <f>H40+H41</f>
        <v>-70450.609740000014</v>
      </c>
    </row>
    <row r="43" spans="3:9" x14ac:dyDescent="0.2">
      <c r="H43" s="19">
        <f>H42-K13</f>
        <v>46808.013859999977</v>
      </c>
      <c r="I43" t="s">
        <v>62</v>
      </c>
    </row>
    <row r="44" spans="3:9" x14ac:dyDescent="0.2">
      <c r="C44" s="7" t="s">
        <v>39</v>
      </c>
      <c r="D44" s="27" t="s">
        <v>35</v>
      </c>
      <c r="E44" s="28" t="s">
        <v>40</v>
      </c>
      <c r="F44" s="7" t="s">
        <v>41</v>
      </c>
      <c r="G44" s="8" t="s">
        <v>28</v>
      </c>
      <c r="H44" s="7" t="s">
        <v>42</v>
      </c>
    </row>
    <row r="45" spans="3:9" x14ac:dyDescent="0.2">
      <c r="C45" s="7">
        <v>37069798</v>
      </c>
      <c r="D45" s="7">
        <f>D25</f>
        <v>439208</v>
      </c>
      <c r="E45" s="7">
        <v>137806.97</v>
      </c>
      <c r="F45" s="7">
        <f>E45-D45</f>
        <v>-301401.03000000003</v>
      </c>
      <c r="G45" s="8">
        <v>0.05</v>
      </c>
      <c r="H45" s="19">
        <f>F45*G45</f>
        <v>-15070.051500000001</v>
      </c>
    </row>
    <row r="46" spans="3:9" x14ac:dyDescent="0.2">
      <c r="C46" s="7">
        <v>55076054</v>
      </c>
      <c r="E46" s="7">
        <v>0</v>
      </c>
      <c r="F46" s="7">
        <f>E46</f>
        <v>0</v>
      </c>
      <c r="G46" s="8">
        <v>0.05</v>
      </c>
      <c r="H46" s="19">
        <f t="shared" ref="H46:H59" si="7">F46*G46</f>
        <v>0</v>
      </c>
    </row>
    <row r="47" spans="3:9" x14ac:dyDescent="0.2">
      <c r="C47" s="7">
        <v>-352428</v>
      </c>
      <c r="E47" s="7">
        <v>-1310.45</v>
      </c>
      <c r="F47" s="7">
        <f t="shared" ref="F47:F59" si="8">E47</f>
        <v>-1310.45</v>
      </c>
      <c r="G47" s="8">
        <v>0.05</v>
      </c>
      <c r="H47" s="19">
        <f t="shared" si="7"/>
        <v>-65.522500000000008</v>
      </c>
    </row>
    <row r="48" spans="3:9" x14ac:dyDescent="0.2">
      <c r="C48" s="7">
        <v>1053797</v>
      </c>
      <c r="E48" s="7">
        <v>3971.06</v>
      </c>
      <c r="F48" s="7">
        <f t="shared" si="8"/>
        <v>3971.06</v>
      </c>
      <c r="G48" s="8">
        <v>0.05</v>
      </c>
      <c r="H48" s="19">
        <f t="shared" si="7"/>
        <v>198.553</v>
      </c>
    </row>
    <row r="49" spans="3:9" x14ac:dyDescent="0.2">
      <c r="C49" s="7">
        <v>1580696</v>
      </c>
      <c r="E49" s="7">
        <v>0</v>
      </c>
      <c r="F49" s="7">
        <f t="shared" si="8"/>
        <v>0</v>
      </c>
      <c r="G49" s="8">
        <v>0.05</v>
      </c>
      <c r="H49" s="19">
        <f t="shared" si="7"/>
        <v>0</v>
      </c>
    </row>
    <row r="50" spans="3:9" x14ac:dyDescent="0.2">
      <c r="C50" s="7">
        <v>797485</v>
      </c>
      <c r="E50" s="7">
        <v>3248.42</v>
      </c>
      <c r="F50" s="7">
        <f t="shared" si="8"/>
        <v>3248.42</v>
      </c>
      <c r="G50" s="8">
        <v>0.05</v>
      </c>
      <c r="H50" s="19">
        <f t="shared" si="7"/>
        <v>162.42100000000002</v>
      </c>
    </row>
    <row r="51" spans="3:9" x14ac:dyDescent="0.2">
      <c r="C51" s="7">
        <v>2291406</v>
      </c>
      <c r="E51" s="7">
        <f>8669.53+664.13</f>
        <v>9333.66</v>
      </c>
      <c r="F51" s="7">
        <f t="shared" si="8"/>
        <v>9333.66</v>
      </c>
      <c r="G51" s="8">
        <v>0.05</v>
      </c>
      <c r="H51" s="19">
        <f t="shared" si="7"/>
        <v>466.68299999999999</v>
      </c>
    </row>
    <row r="52" spans="3:9" x14ac:dyDescent="0.2">
      <c r="C52" s="7">
        <v>87134</v>
      </c>
      <c r="E52" s="7">
        <v>354.92</v>
      </c>
      <c r="F52" s="7">
        <f t="shared" si="8"/>
        <v>354.92</v>
      </c>
      <c r="G52" s="8">
        <v>0.05</v>
      </c>
      <c r="H52" s="19">
        <f t="shared" si="7"/>
        <v>17.746000000000002</v>
      </c>
    </row>
    <row r="53" spans="3:9" x14ac:dyDescent="0.2">
      <c r="C53" s="7">
        <v>160101</v>
      </c>
      <c r="E53" s="7">
        <v>652.15</v>
      </c>
      <c r="F53" s="7">
        <f t="shared" si="8"/>
        <v>652.15</v>
      </c>
      <c r="G53" s="8">
        <v>0.05</v>
      </c>
      <c r="H53" s="19">
        <f t="shared" si="7"/>
        <v>32.607500000000002</v>
      </c>
    </row>
    <row r="54" spans="3:9" x14ac:dyDescent="0.2">
      <c r="C54" s="7">
        <v>813634</v>
      </c>
      <c r="E54" s="7">
        <v>3583.38</v>
      </c>
      <c r="F54" s="7">
        <f t="shared" si="8"/>
        <v>3583.38</v>
      </c>
      <c r="G54" s="8">
        <v>0.05</v>
      </c>
      <c r="H54" s="19">
        <f t="shared" si="7"/>
        <v>179.16900000000001</v>
      </c>
    </row>
    <row r="55" spans="3:9" x14ac:dyDescent="0.2">
      <c r="C55" s="7">
        <v>18111</v>
      </c>
      <c r="E55" s="37">
        <v>79.77</v>
      </c>
      <c r="F55" s="37">
        <f t="shared" si="8"/>
        <v>79.77</v>
      </c>
      <c r="G55" s="8">
        <v>0.05</v>
      </c>
      <c r="H55" s="41">
        <f t="shared" si="7"/>
        <v>3.9885000000000002</v>
      </c>
    </row>
    <row r="56" spans="3:9" x14ac:dyDescent="0.2">
      <c r="C56" s="7">
        <v>1476135</v>
      </c>
      <c r="E56" s="37">
        <v>7027.63</v>
      </c>
      <c r="F56" s="37">
        <f t="shared" si="8"/>
        <v>7027.63</v>
      </c>
      <c r="G56" s="8">
        <v>0.05</v>
      </c>
      <c r="H56" s="41">
        <f t="shared" si="7"/>
        <v>351.38150000000002</v>
      </c>
    </row>
    <row r="57" spans="3:9" x14ac:dyDescent="0.2">
      <c r="C57" s="7">
        <v>2777</v>
      </c>
      <c r="E57" s="37">
        <v>13.22</v>
      </c>
      <c r="F57" s="37">
        <f t="shared" si="8"/>
        <v>13.22</v>
      </c>
      <c r="G57" s="8">
        <v>0.05</v>
      </c>
      <c r="H57" s="41">
        <f t="shared" si="7"/>
        <v>0.66100000000000003</v>
      </c>
    </row>
    <row r="58" spans="3:9" x14ac:dyDescent="0.2">
      <c r="C58" s="7">
        <f>C38</f>
        <v>1349174</v>
      </c>
      <c r="E58" s="37">
        <v>7507.03</v>
      </c>
      <c r="F58" s="37">
        <f>E58-0.5</f>
        <v>7506.53</v>
      </c>
      <c r="G58" s="8">
        <v>0.05</v>
      </c>
      <c r="H58" s="41">
        <f t="shared" si="7"/>
        <v>375.32650000000001</v>
      </c>
    </row>
    <row r="59" spans="3:9" ht="15" x14ac:dyDescent="0.35">
      <c r="C59" s="7">
        <f>C39</f>
        <v>152806</v>
      </c>
      <c r="E59" s="31">
        <f>477.52+43.5</f>
        <v>521.02</v>
      </c>
      <c r="F59" s="31">
        <f t="shared" si="8"/>
        <v>521.02</v>
      </c>
      <c r="G59" s="8">
        <v>0.05</v>
      </c>
      <c r="H59" s="41">
        <f t="shared" si="7"/>
        <v>26.051000000000002</v>
      </c>
    </row>
    <row r="60" spans="3:9" x14ac:dyDescent="0.2">
      <c r="E60" s="7">
        <f>SUM(E45:E59)</f>
        <v>172788.78</v>
      </c>
      <c r="F60" s="7">
        <f>SUM(F45:F59)</f>
        <v>-266419.72000000003</v>
      </c>
      <c r="H60" s="7">
        <f>SUM(H45:H59)</f>
        <v>-13320.986000000004</v>
      </c>
    </row>
    <row r="61" spans="3:9" x14ac:dyDescent="0.2">
      <c r="E61" s="7"/>
      <c r="F61" s="7"/>
      <c r="H61" s="7">
        <f>H60-L13</f>
        <v>2681.403999999995</v>
      </c>
      <c r="I61" t="s">
        <v>63</v>
      </c>
    </row>
  </sheetData>
  <pageMargins left="0.7" right="0.7" top="1.15625" bottom="0.75" header="0.3" footer="0.3"/>
  <pageSetup scale="51" orientation="portrait" r:id="rId1"/>
  <headerFooter>
    <oddHeader>&amp;R&amp;"Times New Roman,Bold"&amp;12Attachment to Response to Question 3
Page 1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5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9.8554687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21</v>
      </c>
    </row>
    <row r="6" spans="1:16" x14ac:dyDescent="0.2">
      <c r="A6" s="11" t="s">
        <v>53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595287</v>
      </c>
    </row>
    <row r="10" spans="1:16" x14ac:dyDescent="0.2">
      <c r="A10" s="38">
        <v>44264</v>
      </c>
      <c r="C10" s="7">
        <v>3077193</v>
      </c>
      <c r="D10" s="15">
        <v>3052</v>
      </c>
      <c r="E10" s="10">
        <f>7325</f>
        <v>7325</v>
      </c>
      <c r="F10" s="10">
        <f>14650</f>
        <v>14650</v>
      </c>
      <c r="G10" s="7">
        <f t="shared" ref="G10:G15" si="0">E10-D10</f>
        <v>4273</v>
      </c>
      <c r="H10" s="7">
        <f t="shared" ref="H10:H15" si="1">F10-D10</f>
        <v>11598</v>
      </c>
      <c r="I10" s="8">
        <v>0.21</v>
      </c>
      <c r="J10" s="8">
        <v>0.05</v>
      </c>
      <c r="K10" s="7">
        <f t="shared" ref="K10:K15" si="2">G10*I10-L10*I10</f>
        <v>775.55099999999993</v>
      </c>
      <c r="L10" s="7">
        <f t="shared" ref="L10:L15" si="3">H10*J10</f>
        <v>579.9</v>
      </c>
      <c r="M10" s="7">
        <f t="shared" ref="M10:M13" si="4">M9+K10+L10</f>
        <v>596642.451</v>
      </c>
      <c r="N10" s="7">
        <v>0</v>
      </c>
      <c r="O10" s="17"/>
      <c r="P10" s="19"/>
    </row>
    <row r="11" spans="1:16" x14ac:dyDescent="0.2">
      <c r="A11" s="38">
        <v>44287</v>
      </c>
      <c r="C11" s="7">
        <v>3077193</v>
      </c>
      <c r="D11" s="15">
        <v>3052</v>
      </c>
      <c r="E11" s="10">
        <f>7325</f>
        <v>7325</v>
      </c>
      <c r="F11" s="10">
        <f>14650</f>
        <v>14650</v>
      </c>
      <c r="G11" s="7">
        <f t="shared" si="0"/>
        <v>4273</v>
      </c>
      <c r="H11" s="7">
        <f t="shared" si="1"/>
        <v>11598</v>
      </c>
      <c r="I11" s="8">
        <v>0.21</v>
      </c>
      <c r="J11" s="8">
        <v>0.05</v>
      </c>
      <c r="K11" s="7">
        <f t="shared" si="2"/>
        <v>775.55099999999993</v>
      </c>
      <c r="L11" s="7">
        <f t="shared" si="3"/>
        <v>579.9</v>
      </c>
      <c r="M11" s="24">
        <f t="shared" si="4"/>
        <v>597997.902</v>
      </c>
      <c r="N11" s="7">
        <v>0</v>
      </c>
      <c r="O11" s="17"/>
      <c r="P11" s="19"/>
    </row>
    <row r="12" spans="1:16" x14ac:dyDescent="0.2">
      <c r="A12" s="38">
        <v>44317</v>
      </c>
      <c r="C12" s="7">
        <v>3077193</v>
      </c>
      <c r="D12" s="15">
        <v>3052</v>
      </c>
      <c r="E12" s="10">
        <f>7325+2</f>
        <v>7327</v>
      </c>
      <c r="F12" s="10">
        <f>14650</f>
        <v>14650</v>
      </c>
      <c r="G12" s="7">
        <f t="shared" si="0"/>
        <v>4275</v>
      </c>
      <c r="H12" s="7">
        <f t="shared" si="1"/>
        <v>11598</v>
      </c>
      <c r="I12" s="8">
        <v>0.21</v>
      </c>
      <c r="J12" s="8">
        <v>0.05</v>
      </c>
      <c r="K12" s="7">
        <f t="shared" si="2"/>
        <v>775.971</v>
      </c>
      <c r="L12" s="7">
        <f t="shared" si="3"/>
        <v>579.9</v>
      </c>
      <c r="M12" s="7">
        <f t="shared" si="4"/>
        <v>599353.77300000004</v>
      </c>
      <c r="N12" s="7">
        <v>0</v>
      </c>
      <c r="O12" s="23"/>
      <c r="P12" s="19"/>
    </row>
    <row r="13" spans="1:16" x14ac:dyDescent="0.2">
      <c r="A13" s="38">
        <v>44348</v>
      </c>
      <c r="C13" s="7">
        <v>3077193</v>
      </c>
      <c r="D13" s="15">
        <v>3052</v>
      </c>
      <c r="E13" s="10">
        <f>7325</f>
        <v>7325</v>
      </c>
      <c r="F13" s="10">
        <f>14650</f>
        <v>14650</v>
      </c>
      <c r="G13" s="7">
        <f t="shared" si="0"/>
        <v>4273</v>
      </c>
      <c r="H13" s="7">
        <f t="shared" si="1"/>
        <v>11598</v>
      </c>
      <c r="I13" s="8">
        <v>0.21</v>
      </c>
      <c r="J13" s="8">
        <v>0.05</v>
      </c>
      <c r="K13" s="7">
        <f t="shared" si="2"/>
        <v>775.55099999999993</v>
      </c>
      <c r="L13" s="7">
        <f t="shared" si="3"/>
        <v>579.9</v>
      </c>
      <c r="M13" s="7">
        <f t="shared" si="4"/>
        <v>600709.22400000005</v>
      </c>
      <c r="N13" s="7">
        <v>0</v>
      </c>
      <c r="O13" s="23"/>
      <c r="P13" s="19"/>
    </row>
    <row r="14" spans="1:16" x14ac:dyDescent="0.2">
      <c r="A14" s="38">
        <v>44378</v>
      </c>
      <c r="C14" s="7"/>
      <c r="D14" s="15"/>
      <c r="E14" s="10"/>
      <c r="F14" s="10"/>
      <c r="G14" s="7">
        <f t="shared" si="0"/>
        <v>0</v>
      </c>
      <c r="H14" s="7">
        <f t="shared" si="1"/>
        <v>0</v>
      </c>
      <c r="I14" s="8">
        <v>0.21</v>
      </c>
      <c r="J14" s="8">
        <v>0.05</v>
      </c>
      <c r="K14" s="7">
        <f t="shared" si="2"/>
        <v>0</v>
      </c>
      <c r="L14" s="7">
        <f t="shared" si="3"/>
        <v>0</v>
      </c>
      <c r="M14" s="7">
        <v>0</v>
      </c>
      <c r="N14" s="7">
        <v>0</v>
      </c>
      <c r="O14" s="7"/>
      <c r="P14" s="19"/>
    </row>
    <row r="15" spans="1:16" x14ac:dyDescent="0.2">
      <c r="A15" s="38">
        <v>44409</v>
      </c>
      <c r="C15" s="7"/>
      <c r="D15" s="15"/>
      <c r="E15" s="15"/>
      <c r="F15" s="15"/>
      <c r="G15" s="7">
        <f t="shared" si="0"/>
        <v>0</v>
      </c>
      <c r="H15" s="7">
        <f t="shared" si="1"/>
        <v>0</v>
      </c>
      <c r="I15" s="8">
        <v>0.21</v>
      </c>
      <c r="J15" s="8">
        <v>0.05</v>
      </c>
      <c r="K15" s="7">
        <f t="shared" si="2"/>
        <v>0</v>
      </c>
      <c r="L15" s="7">
        <f t="shared" si="3"/>
        <v>0</v>
      </c>
      <c r="M15" s="7">
        <v>0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66</v>
      </c>
    </row>
    <row r="20" spans="1:14" x14ac:dyDescent="0.2">
      <c r="C20" s="43" t="s">
        <v>31</v>
      </c>
    </row>
    <row r="21" spans="1:14" x14ac:dyDescent="0.2">
      <c r="C21" s="43" t="s">
        <v>64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7">
        <v>1386019</v>
      </c>
      <c r="D25" s="7">
        <v>3052</v>
      </c>
      <c r="E25" s="7">
        <v>6598.6</v>
      </c>
      <c r="F25" s="7">
        <f>E25-D25</f>
        <v>3546.6000000000004</v>
      </c>
      <c r="G25" s="8">
        <v>0.21</v>
      </c>
      <c r="H25" s="7">
        <f>F25*G25</f>
        <v>744.78600000000006</v>
      </c>
    </row>
    <row r="26" spans="1:14" ht="15" x14ac:dyDescent="0.35">
      <c r="C26" s="7">
        <v>152578</v>
      </c>
      <c r="D26" s="7"/>
      <c r="E26" s="31">
        <v>726.4</v>
      </c>
      <c r="F26" s="31">
        <f>E26-D26</f>
        <v>726.4</v>
      </c>
      <c r="G26" s="8">
        <v>0.21</v>
      </c>
      <c r="H26" s="31">
        <f>F26*G26</f>
        <v>152.54399999999998</v>
      </c>
    </row>
    <row r="27" spans="1:14" x14ac:dyDescent="0.2">
      <c r="E27" s="7">
        <f>SUM(E25:E26)</f>
        <v>7325</v>
      </c>
      <c r="F27" s="7">
        <f>SUM(F25:F26)</f>
        <v>4273</v>
      </c>
      <c r="G27" s="33" t="s">
        <v>43</v>
      </c>
      <c r="H27" s="7">
        <f>SUM(H25:H26)</f>
        <v>897.33</v>
      </c>
    </row>
    <row r="28" spans="1:14" ht="15" x14ac:dyDescent="0.35">
      <c r="G28" s="33" t="s">
        <v>44</v>
      </c>
      <c r="H28" s="31">
        <f>-H34*0.21</f>
        <v>-121.77910499999999</v>
      </c>
    </row>
    <row r="29" spans="1:14" x14ac:dyDescent="0.2">
      <c r="H29" s="7">
        <f>H27+H28</f>
        <v>775.55089500000008</v>
      </c>
    </row>
    <row r="30" spans="1:14" x14ac:dyDescent="0.2">
      <c r="H30" s="7">
        <f>H29-K13</f>
        <v>-1.0499999984858732E-4</v>
      </c>
    </row>
    <row r="31" spans="1:14" x14ac:dyDescent="0.2">
      <c r="C31" s="7" t="s">
        <v>39</v>
      </c>
      <c r="D31" s="27" t="s">
        <v>35</v>
      </c>
      <c r="E31" s="28" t="s">
        <v>40</v>
      </c>
      <c r="F31" s="7" t="s">
        <v>41</v>
      </c>
      <c r="G31" s="8" t="s">
        <v>28</v>
      </c>
      <c r="H31" s="7" t="s">
        <v>42</v>
      </c>
    </row>
    <row r="32" spans="1:14" x14ac:dyDescent="0.2">
      <c r="C32" s="7">
        <v>2772037</v>
      </c>
      <c r="D32" s="7">
        <f>D25</f>
        <v>3052</v>
      </c>
      <c r="E32" s="7">
        <v>13197.21</v>
      </c>
      <c r="F32" s="7">
        <f>E32-D32</f>
        <v>10145.209999999999</v>
      </c>
      <c r="G32" s="8">
        <v>0.05</v>
      </c>
      <c r="H32" s="7">
        <f>F32*G32</f>
        <v>507.26049999999998</v>
      </c>
    </row>
    <row r="33" spans="3:8" ht="15" x14ac:dyDescent="0.35">
      <c r="C33" s="7">
        <v>305156</v>
      </c>
      <c r="E33" s="31">
        <v>1452.8</v>
      </c>
      <c r="F33" s="31">
        <f>E33-D33</f>
        <v>1452.8</v>
      </c>
      <c r="G33" s="8">
        <v>0.05</v>
      </c>
      <c r="H33" s="31">
        <f>F33*G33</f>
        <v>72.64</v>
      </c>
    </row>
    <row r="34" spans="3:8" x14ac:dyDescent="0.2">
      <c r="E34" s="7">
        <f>SUM(E32:E33)</f>
        <v>14650.009999999998</v>
      </c>
      <c r="F34" s="7">
        <f>SUM(F32:F33)</f>
        <v>11598.009999999998</v>
      </c>
      <c r="H34" s="7">
        <f>SUM(H32:H33)</f>
        <v>579.90049999999997</v>
      </c>
    </row>
    <row r="35" spans="3:8" x14ac:dyDescent="0.2">
      <c r="H35" s="7">
        <f>H34-L13</f>
        <v>4.9999999998817657E-4</v>
      </c>
    </row>
  </sheetData>
  <pageMargins left="0.7" right="0.7" top="1.15625" bottom="0.75" header="0.3" footer="0.3"/>
  <pageSetup scale="52" orientation="portrait" r:id="rId1"/>
  <headerFooter>
    <oddHeader>&amp;R&amp;"Times New Roman,Bold"&amp;12Attachment to Response to Question 3
Page 10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2.8554687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21</v>
      </c>
    </row>
    <row r="6" spans="1:16" x14ac:dyDescent="0.2">
      <c r="A6" s="11" t="s">
        <v>54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530429</v>
      </c>
    </row>
    <row r="10" spans="1:16" x14ac:dyDescent="0.2">
      <c r="A10" s="38">
        <v>44264</v>
      </c>
      <c r="C10" s="7">
        <v>4236945</v>
      </c>
      <c r="D10" s="15">
        <v>10752</v>
      </c>
      <c r="E10" s="10">
        <f>23522.82+2.64</f>
        <v>23525.46</v>
      </c>
      <c r="F10" s="10">
        <f>42184.25</f>
        <v>42184.25</v>
      </c>
      <c r="G10" s="7">
        <f t="shared" ref="G10:G15" si="0">E10-D10</f>
        <v>12773.46</v>
      </c>
      <c r="H10" s="7">
        <f t="shared" ref="H10:H15" si="1">F10-D10</f>
        <v>31432.25</v>
      </c>
      <c r="I10" s="8">
        <v>0.21</v>
      </c>
      <c r="J10" s="8">
        <v>0.05</v>
      </c>
      <c r="K10" s="7">
        <f t="shared" ref="K10:K15" si="2">G10*I10-L10*I10</f>
        <v>2352.3879749999996</v>
      </c>
      <c r="L10" s="7">
        <f t="shared" ref="L10:L15" si="3">H10*J10</f>
        <v>1571.6125000000002</v>
      </c>
      <c r="M10" s="7">
        <f t="shared" ref="M10:M13" si="4">M9+K10+L10</f>
        <v>534353.00047500001</v>
      </c>
      <c r="N10" s="7">
        <v>0</v>
      </c>
      <c r="O10" s="17"/>
      <c r="P10" s="19"/>
    </row>
    <row r="11" spans="1:16" x14ac:dyDescent="0.2">
      <c r="A11" s="38">
        <v>44287</v>
      </c>
      <c r="C11" s="7">
        <v>4236945</v>
      </c>
      <c r="D11" s="15">
        <v>10752</v>
      </c>
      <c r="E11" s="10">
        <f>23522.82</f>
        <v>23522.82</v>
      </c>
      <c r="F11" s="10">
        <f>42184.25</f>
        <v>42184.25</v>
      </c>
      <c r="G11" s="7">
        <f t="shared" si="0"/>
        <v>12770.82</v>
      </c>
      <c r="H11" s="7">
        <f t="shared" si="1"/>
        <v>31432.25</v>
      </c>
      <c r="I11" s="8">
        <v>0.21</v>
      </c>
      <c r="J11" s="8">
        <v>0.05</v>
      </c>
      <c r="K11" s="7">
        <f t="shared" si="2"/>
        <v>2351.8335749999997</v>
      </c>
      <c r="L11" s="7">
        <f t="shared" si="3"/>
        <v>1571.6125000000002</v>
      </c>
      <c r="M11" s="24">
        <f t="shared" si="4"/>
        <v>538276.44655000011</v>
      </c>
      <c r="N11" s="7">
        <v>0</v>
      </c>
      <c r="O11" s="17"/>
      <c r="P11" s="19"/>
    </row>
    <row r="12" spans="1:16" x14ac:dyDescent="0.2">
      <c r="A12" s="38">
        <v>44317</v>
      </c>
      <c r="C12" s="7">
        <v>4236945</v>
      </c>
      <c r="D12" s="15">
        <v>10752</v>
      </c>
      <c r="E12" s="10">
        <f>23522.82</f>
        <v>23522.82</v>
      </c>
      <c r="F12" s="10">
        <f>42184.25</f>
        <v>42184.25</v>
      </c>
      <c r="G12" s="7">
        <f t="shared" si="0"/>
        <v>12770.82</v>
      </c>
      <c r="H12" s="7">
        <f t="shared" si="1"/>
        <v>31432.25</v>
      </c>
      <c r="I12" s="8">
        <v>0.21</v>
      </c>
      <c r="J12" s="8">
        <v>0.05</v>
      </c>
      <c r="K12" s="7">
        <f t="shared" si="2"/>
        <v>2351.8335749999997</v>
      </c>
      <c r="L12" s="7">
        <f t="shared" si="3"/>
        <v>1571.6125000000002</v>
      </c>
      <c r="M12" s="7">
        <f t="shared" si="4"/>
        <v>542199.89262500021</v>
      </c>
      <c r="N12" s="7">
        <v>0</v>
      </c>
      <c r="O12" s="23"/>
      <c r="P12" s="19"/>
    </row>
    <row r="13" spans="1:16" x14ac:dyDescent="0.2">
      <c r="A13" s="38">
        <v>44348</v>
      </c>
      <c r="C13" s="7">
        <v>4236945</v>
      </c>
      <c r="D13" s="15">
        <v>10752</v>
      </c>
      <c r="E13" s="10">
        <f>23522.82</f>
        <v>23522.82</v>
      </c>
      <c r="F13" s="10">
        <f>42184.25</f>
        <v>42184.25</v>
      </c>
      <c r="G13" s="7">
        <f t="shared" si="0"/>
        <v>12770.82</v>
      </c>
      <c r="H13" s="7">
        <f t="shared" si="1"/>
        <v>31432.25</v>
      </c>
      <c r="I13" s="8">
        <v>0.21</v>
      </c>
      <c r="J13" s="8">
        <v>0.05</v>
      </c>
      <c r="K13" s="7">
        <f t="shared" si="2"/>
        <v>2351.8335749999997</v>
      </c>
      <c r="L13" s="7">
        <f t="shared" si="3"/>
        <v>1571.6125000000002</v>
      </c>
      <c r="M13" s="7">
        <f t="shared" si="4"/>
        <v>546123.33870000031</v>
      </c>
      <c r="N13" s="7">
        <v>0</v>
      </c>
      <c r="O13" s="23"/>
      <c r="P13" s="19"/>
    </row>
    <row r="14" spans="1:16" x14ac:dyDescent="0.2">
      <c r="A14" s="38">
        <v>44378</v>
      </c>
      <c r="C14" s="7"/>
      <c r="D14" s="15"/>
      <c r="E14" s="10"/>
      <c r="F14" s="10"/>
      <c r="G14" s="7">
        <f t="shared" si="0"/>
        <v>0</v>
      </c>
      <c r="H14" s="7">
        <f t="shared" si="1"/>
        <v>0</v>
      </c>
      <c r="I14" s="8">
        <v>0.21</v>
      </c>
      <c r="J14" s="8">
        <v>0.05</v>
      </c>
      <c r="K14" s="7">
        <f t="shared" si="2"/>
        <v>0</v>
      </c>
      <c r="L14" s="7">
        <f t="shared" si="3"/>
        <v>0</v>
      </c>
      <c r="M14" s="7">
        <v>0</v>
      </c>
      <c r="N14" s="7">
        <v>0</v>
      </c>
      <c r="O14" s="7"/>
      <c r="P14" s="19"/>
    </row>
    <row r="15" spans="1:16" x14ac:dyDescent="0.2">
      <c r="A15" s="38">
        <v>44409</v>
      </c>
      <c r="C15" s="7"/>
      <c r="D15" s="15"/>
      <c r="E15" s="15"/>
      <c r="F15" s="15"/>
      <c r="G15" s="7">
        <f t="shared" si="0"/>
        <v>0</v>
      </c>
      <c r="H15" s="7">
        <f t="shared" si="1"/>
        <v>0</v>
      </c>
      <c r="I15" s="8">
        <v>0.21</v>
      </c>
      <c r="J15" s="8">
        <v>0.05</v>
      </c>
      <c r="K15" s="7">
        <f t="shared" si="2"/>
        <v>0</v>
      </c>
      <c r="L15" s="7">
        <f t="shared" si="3"/>
        <v>0</v>
      </c>
      <c r="M15" s="7">
        <v>0</v>
      </c>
      <c r="N15" s="7">
        <v>0</v>
      </c>
      <c r="P15" s="19"/>
    </row>
    <row r="16" spans="1:16" x14ac:dyDescent="0.2">
      <c r="A16" s="38"/>
      <c r="C16" s="7"/>
      <c r="D16" s="15"/>
      <c r="E16" s="15"/>
      <c r="F16" s="15"/>
      <c r="G16" s="7"/>
      <c r="H16" s="7"/>
      <c r="I16" s="8"/>
      <c r="J16" s="8"/>
      <c r="K16" s="7"/>
      <c r="L16" s="7"/>
      <c r="M16" s="7"/>
      <c r="N16" s="7"/>
      <c r="P16" s="19"/>
    </row>
    <row r="17" spans="1:16" x14ac:dyDescent="0.2">
      <c r="A17" s="38"/>
      <c r="C17" s="7"/>
      <c r="D17" s="15"/>
      <c r="E17" s="15"/>
      <c r="F17" s="15"/>
      <c r="G17" s="7"/>
      <c r="H17" s="7"/>
      <c r="I17" s="8"/>
      <c r="J17" s="8"/>
      <c r="K17" s="7"/>
      <c r="L17" s="7"/>
      <c r="M17" s="7"/>
      <c r="N17" s="7"/>
      <c r="P17" s="19"/>
    </row>
    <row r="18" spans="1:16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6" x14ac:dyDescent="0.2">
      <c r="A19" s="16"/>
      <c r="C19" s="43" t="s">
        <v>57</v>
      </c>
      <c r="L19" s="7"/>
      <c r="M19" s="7"/>
      <c r="N19" s="7"/>
    </row>
    <row r="20" spans="1:16" x14ac:dyDescent="0.2">
      <c r="A20" s="16"/>
      <c r="C20" s="43" t="s">
        <v>58</v>
      </c>
      <c r="L20" s="7"/>
      <c r="M20" s="7"/>
      <c r="N20" s="7"/>
    </row>
    <row r="21" spans="1:16" x14ac:dyDescent="0.2">
      <c r="C21" s="43" t="s">
        <v>67</v>
      </c>
    </row>
    <row r="22" spans="1:16" x14ac:dyDescent="0.2">
      <c r="C22" s="7" t="s">
        <v>32</v>
      </c>
    </row>
    <row r="24" spans="1:16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6" x14ac:dyDescent="0.2">
      <c r="C25" s="7">
        <v>724052</v>
      </c>
      <c r="D25" s="7">
        <v>10752</v>
      </c>
      <c r="E25" s="7">
        <v>3727.06</v>
      </c>
      <c r="F25" s="7">
        <f>E25-D25</f>
        <v>-7024.9400000000005</v>
      </c>
      <c r="G25" s="8">
        <v>0.21</v>
      </c>
      <c r="H25" s="7">
        <f>F25*G25</f>
        <v>-1475.2374</v>
      </c>
    </row>
    <row r="26" spans="1:16" x14ac:dyDescent="0.2">
      <c r="C26" s="7">
        <v>314156</v>
      </c>
      <c r="D26" s="7"/>
      <c r="E26" s="7">
        <v>5235.93</v>
      </c>
      <c r="F26" s="7">
        <f>E26</f>
        <v>5235.93</v>
      </c>
      <c r="G26" s="8">
        <v>0.21</v>
      </c>
      <c r="H26" s="7">
        <f t="shared" ref="H26:H28" si="5">F26*G26</f>
        <v>1099.5453</v>
      </c>
    </row>
    <row r="27" spans="1:16" x14ac:dyDescent="0.2">
      <c r="C27" s="7">
        <v>771922</v>
      </c>
      <c r="D27" s="7"/>
      <c r="E27" s="7">
        <v>9189.5499999999993</v>
      </c>
      <c r="F27" s="7">
        <f>E27</f>
        <v>9189.5499999999993</v>
      </c>
      <c r="G27" s="8">
        <v>0.21</v>
      </c>
      <c r="H27" s="7">
        <f t="shared" si="5"/>
        <v>1929.8054999999997</v>
      </c>
    </row>
    <row r="28" spans="1:16" x14ac:dyDescent="0.2">
      <c r="C28" s="7">
        <v>228999</v>
      </c>
      <c r="D28" s="7"/>
      <c r="E28" s="7">
        <v>1178.77</v>
      </c>
      <c r="F28" s="7">
        <f>E28</f>
        <v>1178.77</v>
      </c>
      <c r="G28" s="8">
        <v>0.21</v>
      </c>
      <c r="H28" s="7">
        <f t="shared" si="5"/>
        <v>247.54169999999999</v>
      </c>
    </row>
    <row r="29" spans="1:16" ht="15" x14ac:dyDescent="0.35">
      <c r="C29" s="7">
        <v>343498</v>
      </c>
      <c r="D29" s="37"/>
      <c r="E29" s="31">
        <f>357.93+3833.59</f>
        <v>4191.5200000000004</v>
      </c>
      <c r="F29" s="31">
        <f>E29</f>
        <v>4191.5200000000004</v>
      </c>
      <c r="G29" s="46">
        <v>0.21</v>
      </c>
      <c r="H29" s="31">
        <f>F29*G29</f>
        <v>880.21920000000011</v>
      </c>
    </row>
    <row r="30" spans="1:16" x14ac:dyDescent="0.2">
      <c r="E30" s="19">
        <f>SUM(E25:E29)</f>
        <v>23522.83</v>
      </c>
      <c r="F30" s="19">
        <f>SUM(F25:F29)</f>
        <v>12770.83</v>
      </c>
      <c r="G30" s="33" t="s">
        <v>43</v>
      </c>
      <c r="H30" s="19">
        <f>SUM(H25:H29)</f>
        <v>2681.8742999999999</v>
      </c>
    </row>
    <row r="31" spans="1:16" ht="15" x14ac:dyDescent="0.35">
      <c r="G31" s="33" t="s">
        <v>44</v>
      </c>
      <c r="H31" s="31">
        <f>-H40*0.21</f>
        <v>-330.03862500000002</v>
      </c>
    </row>
    <row r="32" spans="1:16" x14ac:dyDescent="0.2">
      <c r="H32" s="7">
        <f>H30+H31</f>
        <v>2351.8356749999998</v>
      </c>
    </row>
    <row r="33" spans="3:8" x14ac:dyDescent="0.2">
      <c r="H33" s="7">
        <f>H32-K13</f>
        <v>2.1000000001549779E-3</v>
      </c>
    </row>
    <row r="34" spans="3:8" x14ac:dyDescent="0.2">
      <c r="C34" s="7" t="s">
        <v>39</v>
      </c>
      <c r="D34" s="27" t="s">
        <v>35</v>
      </c>
      <c r="E34" s="28" t="s">
        <v>40</v>
      </c>
      <c r="F34" s="7" t="s">
        <v>41</v>
      </c>
      <c r="G34" s="8" t="s">
        <v>28</v>
      </c>
      <c r="H34" s="7" t="s">
        <v>42</v>
      </c>
    </row>
    <row r="35" spans="3:8" x14ac:dyDescent="0.2">
      <c r="C35" s="7">
        <v>1276565</v>
      </c>
      <c r="D35" s="7">
        <f>D25</f>
        <v>10752</v>
      </c>
      <c r="E35" s="7">
        <v>6571.12</v>
      </c>
      <c r="F35" s="7">
        <f>E35-D35</f>
        <v>-4180.88</v>
      </c>
      <c r="G35" s="8">
        <v>0.05</v>
      </c>
      <c r="H35" s="7">
        <f>F35*G35</f>
        <v>-209.04400000000001</v>
      </c>
    </row>
    <row r="36" spans="3:8" x14ac:dyDescent="0.2">
      <c r="C36" s="7">
        <v>628311</v>
      </c>
      <c r="D36" s="7"/>
      <c r="E36" s="7">
        <v>10471.85</v>
      </c>
      <c r="F36" s="7">
        <f>E36</f>
        <v>10471.85</v>
      </c>
      <c r="G36" s="8">
        <v>0.05</v>
      </c>
      <c r="H36" s="7">
        <f t="shared" ref="H36:H39" si="6">F36*G36</f>
        <v>523.59250000000009</v>
      </c>
    </row>
    <row r="37" spans="3:8" x14ac:dyDescent="0.2">
      <c r="C37" s="7">
        <v>1286537</v>
      </c>
      <c r="D37" s="7"/>
      <c r="E37" s="37">
        <v>15315.91</v>
      </c>
      <c r="F37" s="37">
        <f t="shared" ref="F37:F39" si="7">E37</f>
        <v>15315.91</v>
      </c>
      <c r="G37" s="46">
        <v>0.05</v>
      </c>
      <c r="H37" s="7">
        <f t="shared" si="6"/>
        <v>765.79550000000006</v>
      </c>
    </row>
    <row r="38" spans="3:8" x14ac:dyDescent="0.2">
      <c r="C38" s="7">
        <v>418213</v>
      </c>
      <c r="D38" s="7"/>
      <c r="E38" s="37">
        <v>2152.75</v>
      </c>
      <c r="F38" s="37">
        <f t="shared" si="7"/>
        <v>2152.75</v>
      </c>
      <c r="G38" s="46">
        <v>0.05</v>
      </c>
      <c r="H38" s="7">
        <f t="shared" si="6"/>
        <v>107.6375</v>
      </c>
    </row>
    <row r="39" spans="3:8" ht="15" x14ac:dyDescent="0.35">
      <c r="C39" s="7">
        <v>627319</v>
      </c>
      <c r="D39" s="7"/>
      <c r="E39" s="31">
        <f>715.86+6956.76</f>
        <v>7672.62</v>
      </c>
      <c r="F39" s="31">
        <f t="shared" si="7"/>
        <v>7672.62</v>
      </c>
      <c r="G39" s="46">
        <v>0.05</v>
      </c>
      <c r="H39" s="31">
        <f t="shared" si="6"/>
        <v>383.63100000000003</v>
      </c>
    </row>
    <row r="40" spans="3:8" x14ac:dyDescent="0.2">
      <c r="E40" s="7">
        <f>SUM(E35:E39)</f>
        <v>42184.250000000007</v>
      </c>
      <c r="F40" s="7">
        <f>SUM(F35:F39)</f>
        <v>31432.25</v>
      </c>
      <c r="H40" s="7">
        <f>SUM(H35:H39)</f>
        <v>1571.6125000000002</v>
      </c>
    </row>
    <row r="41" spans="3:8" x14ac:dyDescent="0.2">
      <c r="H41" s="7">
        <f>H40-L13</f>
        <v>0</v>
      </c>
    </row>
  </sheetData>
  <pageMargins left="0.7" right="0.7" top="1.15625" bottom="0.75" header="0.3" footer="0.3"/>
  <pageSetup scale="52" orientation="portrait" r:id="rId1"/>
  <headerFooter>
    <oddHeader>&amp;R&amp;"Times New Roman,Bold"&amp;12Attachment to Response to Question 3
Page 11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2374E-388D-4C97-8725-60B636E9F3ED}">
  <dimension ref="A1:Q3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21</v>
      </c>
    </row>
    <row r="6" spans="1:17" x14ac:dyDescent="0.2">
      <c r="A6" s="11" t="s">
        <v>59</v>
      </c>
    </row>
    <row r="7" spans="1:17" x14ac:dyDescent="0.2">
      <c r="Q7" t="s">
        <v>11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1145932</v>
      </c>
    </row>
    <row r="10" spans="1:17" x14ac:dyDescent="0.2">
      <c r="A10" s="38">
        <v>44264</v>
      </c>
      <c r="C10" s="7">
        <v>161290341</v>
      </c>
      <c r="D10" s="15">
        <v>576672</v>
      </c>
      <c r="E10" s="10">
        <f>1216667.37-5506.39</f>
        <v>1211160.9800000002</v>
      </c>
      <c r="F10" s="10">
        <f>1216667.37-5506.39</f>
        <v>1211160.9800000002</v>
      </c>
      <c r="G10" s="7">
        <f>E10-D10</f>
        <v>634488.98000000021</v>
      </c>
      <c r="H10" s="7">
        <f>F10-D10</f>
        <v>634488.98000000021</v>
      </c>
      <c r="I10" s="8">
        <v>0.21</v>
      </c>
      <c r="J10" s="8">
        <v>0.05</v>
      </c>
      <c r="K10" s="7">
        <f>G10*I10-L10*I10</f>
        <v>126580.55151000003</v>
      </c>
      <c r="L10" s="7">
        <f>H10*J10</f>
        <v>31724.449000000011</v>
      </c>
      <c r="M10" s="7">
        <f t="shared" ref="M10:M15" si="0">M9+K10+L10</f>
        <v>1304237.0005100002</v>
      </c>
      <c r="N10" s="7">
        <v>0</v>
      </c>
    </row>
    <row r="11" spans="1:17" x14ac:dyDescent="0.2">
      <c r="A11" s="38">
        <v>44287</v>
      </c>
      <c r="C11" s="7">
        <v>161290341</v>
      </c>
      <c r="D11" s="15">
        <v>582789</v>
      </c>
      <c r="E11" s="10">
        <f>1216667.37+614.61</f>
        <v>1217281.9800000002</v>
      </c>
      <c r="F11" s="10">
        <f>1216667.37+614.61</f>
        <v>1217281.9800000002</v>
      </c>
      <c r="G11" s="7">
        <f t="shared" ref="G11:G13" si="1">E11-D11</f>
        <v>634492.98000000021</v>
      </c>
      <c r="H11" s="7">
        <f t="shared" ref="H11:H13" si="2">F11-D11</f>
        <v>634492.98000000021</v>
      </c>
      <c r="I11" s="8">
        <v>0.21</v>
      </c>
      <c r="J11" s="8">
        <v>0.05</v>
      </c>
      <c r="K11" s="7">
        <f t="shared" ref="K11:K13" si="3">G11*I11-L11*I11</f>
        <v>126581.34951000003</v>
      </c>
      <c r="L11" s="7">
        <f t="shared" ref="L11:L13" si="4">H11*J11</f>
        <v>31724.649000000012</v>
      </c>
      <c r="M11" s="7">
        <f t="shared" si="0"/>
        <v>1462542.9990200002</v>
      </c>
      <c r="N11" s="7">
        <v>0</v>
      </c>
      <c r="O11" s="7"/>
    </row>
    <row r="12" spans="1:17" x14ac:dyDescent="0.2">
      <c r="A12" s="38">
        <v>44317</v>
      </c>
      <c r="C12" s="7">
        <v>161290341</v>
      </c>
      <c r="D12" s="15">
        <v>582789</v>
      </c>
      <c r="E12" s="10">
        <f t="shared" ref="E12:F14" si="5">1216667.37+610.61</f>
        <v>1217277.9800000002</v>
      </c>
      <c r="F12" s="10">
        <f t="shared" si="5"/>
        <v>1217277.9800000002</v>
      </c>
      <c r="G12" s="7">
        <f t="shared" ref="G12" si="6">E12-D12</f>
        <v>634488.98000000021</v>
      </c>
      <c r="H12" s="7">
        <f t="shared" ref="H12" si="7">F12-D12</f>
        <v>634488.98000000021</v>
      </c>
      <c r="I12" s="8">
        <v>0.21</v>
      </c>
      <c r="J12" s="8">
        <v>0.05</v>
      </c>
      <c r="K12" s="7">
        <f t="shared" si="3"/>
        <v>126580.55151000003</v>
      </c>
      <c r="L12" s="7">
        <f t="shared" si="4"/>
        <v>31724.449000000011</v>
      </c>
      <c r="M12" s="7">
        <f t="shared" si="0"/>
        <v>1620847.9995300004</v>
      </c>
      <c r="N12" s="7">
        <v>0</v>
      </c>
      <c r="O12" s="17"/>
    </row>
    <row r="13" spans="1:17" x14ac:dyDescent="0.2">
      <c r="A13" s="38">
        <v>44348</v>
      </c>
      <c r="C13" s="7">
        <v>161290341</v>
      </c>
      <c r="D13" s="15">
        <v>582789</v>
      </c>
      <c r="E13" s="10">
        <f t="shared" si="5"/>
        <v>1217277.9800000002</v>
      </c>
      <c r="F13" s="10">
        <f t="shared" si="5"/>
        <v>1217277.9800000002</v>
      </c>
      <c r="G13" s="7">
        <f t="shared" si="1"/>
        <v>634488.98000000021</v>
      </c>
      <c r="H13" s="7">
        <f t="shared" si="2"/>
        <v>634488.98000000021</v>
      </c>
      <c r="I13" s="8">
        <v>0.21</v>
      </c>
      <c r="J13" s="8">
        <v>0.05</v>
      </c>
      <c r="K13" s="7">
        <f t="shared" si="3"/>
        <v>126580.55151000003</v>
      </c>
      <c r="L13" s="7">
        <f t="shared" si="4"/>
        <v>31724.449000000011</v>
      </c>
      <c r="M13" s="7">
        <f t="shared" si="0"/>
        <v>1779153.0000400005</v>
      </c>
      <c r="N13" s="7">
        <v>0</v>
      </c>
      <c r="O13" s="7"/>
    </row>
    <row r="14" spans="1:17" x14ac:dyDescent="0.2">
      <c r="A14" s="38">
        <v>44378</v>
      </c>
      <c r="C14" s="7">
        <v>161290341</v>
      </c>
      <c r="D14" s="15">
        <v>688629</v>
      </c>
      <c r="E14" s="10">
        <f t="shared" si="5"/>
        <v>1217277.9800000002</v>
      </c>
      <c r="F14" s="10">
        <f t="shared" si="5"/>
        <v>1217277.9800000002</v>
      </c>
      <c r="G14" s="7">
        <f>E14-D14</f>
        <v>528648.98000000021</v>
      </c>
      <c r="H14" s="7">
        <f>F14-D14</f>
        <v>528648.98000000021</v>
      </c>
      <c r="I14" s="8">
        <v>0.21</v>
      </c>
      <c r="J14" s="8">
        <v>0.05</v>
      </c>
      <c r="K14" s="7">
        <f>G14*I14-L14*I14</f>
        <v>105465.47151000003</v>
      </c>
      <c r="L14" s="7">
        <f>H14*J14</f>
        <v>26432.449000000011</v>
      </c>
      <c r="M14" s="7">
        <f t="shared" si="0"/>
        <v>1911050.9205500006</v>
      </c>
      <c r="N14" s="7">
        <v>0</v>
      </c>
      <c r="O14" s="17"/>
      <c r="P14" s="17"/>
      <c r="Q14" s="7"/>
    </row>
    <row r="15" spans="1:17" x14ac:dyDescent="0.2">
      <c r="A15" s="38">
        <v>44409</v>
      </c>
      <c r="C15" s="7">
        <v>161290341</v>
      </c>
      <c r="D15" s="15">
        <v>688628.5</v>
      </c>
      <c r="E15" s="10">
        <f>1216667.37+612.8</f>
        <v>1217280.1700000002</v>
      </c>
      <c r="F15" s="15">
        <f>1216667.37+612.8</f>
        <v>1217280.1700000002</v>
      </c>
      <c r="G15" s="7">
        <f>E15-D15</f>
        <v>528651.67000000016</v>
      </c>
      <c r="H15" s="7">
        <f>F15-D15</f>
        <v>528651.67000000016</v>
      </c>
      <c r="I15" s="8">
        <v>0.21</v>
      </c>
      <c r="J15" s="8">
        <v>0.05</v>
      </c>
      <c r="K15" s="7">
        <f>G15*I15-L15*I15</f>
        <v>105466.00816500002</v>
      </c>
      <c r="L15" s="7">
        <f>H15*J15</f>
        <v>26432.583500000008</v>
      </c>
      <c r="M15" s="7">
        <f t="shared" si="0"/>
        <v>2042949.5122150006</v>
      </c>
      <c r="N15" s="7">
        <v>0</v>
      </c>
      <c r="O15" s="7"/>
      <c r="P15" s="17"/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/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6"/>
    </row>
    <row r="20" spans="1:14" x14ac:dyDescent="0.2">
      <c r="C20" s="26"/>
    </row>
    <row r="21" spans="1:14" x14ac:dyDescent="0.2">
      <c r="C21" s="26"/>
    </row>
    <row r="22" spans="1:14" x14ac:dyDescent="0.2">
      <c r="C22" s="24"/>
    </row>
    <row r="24" spans="1:14" x14ac:dyDescent="0.2">
      <c r="C24" s="24"/>
      <c r="D24" s="29"/>
      <c r="E24" s="28"/>
      <c r="F24" s="24"/>
      <c r="G24" s="30"/>
      <c r="H24" s="24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31"/>
      <c r="F26" s="31"/>
      <c r="G26" s="8"/>
      <c r="H26" s="31"/>
    </row>
    <row r="27" spans="1:14" x14ac:dyDescent="0.2">
      <c r="E27" s="7"/>
      <c r="F27" s="7"/>
      <c r="G27" s="33"/>
      <c r="H27" s="7"/>
    </row>
    <row r="28" spans="1:14" ht="15" x14ac:dyDescent="0.35">
      <c r="G28" s="33"/>
      <c r="H28" s="31"/>
    </row>
    <row r="29" spans="1:14" x14ac:dyDescent="0.2">
      <c r="H29" s="7"/>
    </row>
    <row r="30" spans="1:14" x14ac:dyDescent="0.2">
      <c r="H30" s="7"/>
    </row>
    <row r="31" spans="1:14" x14ac:dyDescent="0.2">
      <c r="C31" s="24"/>
      <c r="D31" s="27"/>
      <c r="E31" s="28"/>
      <c r="F31" s="24"/>
      <c r="G31" s="30"/>
      <c r="H31" s="24"/>
    </row>
    <row r="32" spans="1:14" x14ac:dyDescent="0.2">
      <c r="C32" s="7"/>
      <c r="D32" s="7"/>
      <c r="E32" s="7"/>
      <c r="F32" s="7"/>
      <c r="G32" s="8"/>
      <c r="H32" s="7"/>
    </row>
    <row r="33" spans="8:8" x14ac:dyDescent="0.2">
      <c r="H33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12 of 14
Clements</oddHeader>
    <oddFooter>&amp;L_x000D_&amp;1#&amp;"Calibri"&amp;14&amp;K000000 Business Use</oddFooter>
  </headerFooter>
  <colBreaks count="1" manualBreakCount="1"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7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21</v>
      </c>
    </row>
    <row r="6" spans="1:17" x14ac:dyDescent="0.2">
      <c r="A6" s="11" t="s">
        <v>22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3721906</v>
      </c>
    </row>
    <row r="10" spans="1:17" x14ac:dyDescent="0.2">
      <c r="A10" s="38">
        <v>44264</v>
      </c>
      <c r="C10" s="7">
        <v>41905553</v>
      </c>
      <c r="D10" s="15">
        <v>75779</v>
      </c>
      <c r="E10" s="10">
        <f t="shared" ref="E10:E15" si="0">150375.86</f>
        <v>150375.85999999999</v>
      </c>
      <c r="F10" s="10">
        <f t="shared" ref="F10:F15" si="1">233374.38</f>
        <v>233374.38</v>
      </c>
      <c r="G10" s="7">
        <f>E10-D10</f>
        <v>74596.859999999986</v>
      </c>
      <c r="H10" s="7">
        <f>F10-D10</f>
        <v>157595.38</v>
      </c>
      <c r="I10" s="8">
        <v>0.21</v>
      </c>
      <c r="J10" s="8">
        <v>0.05</v>
      </c>
      <c r="K10" s="7">
        <f>G10*I10-L10*I10</f>
        <v>14010.589109999995</v>
      </c>
      <c r="L10" s="7">
        <f>H10*J10</f>
        <v>7879.7690000000002</v>
      </c>
      <c r="M10" s="7">
        <f t="shared" ref="M10:M15" si="2">M9+K10+L10</f>
        <v>3743796.3581099999</v>
      </c>
      <c r="N10" s="7">
        <v>0</v>
      </c>
      <c r="P10" s="17"/>
    </row>
    <row r="11" spans="1:17" x14ac:dyDescent="0.2">
      <c r="A11" s="38">
        <v>44287</v>
      </c>
      <c r="C11" s="7">
        <v>41905553</v>
      </c>
      <c r="D11" s="15">
        <v>75779</v>
      </c>
      <c r="E11" s="10">
        <f t="shared" si="0"/>
        <v>150375.85999999999</v>
      </c>
      <c r="F11" s="10">
        <f t="shared" si="1"/>
        <v>233374.38</v>
      </c>
      <c r="G11" s="7">
        <f t="shared" ref="G11:G13" si="3">E11-D11</f>
        <v>74596.859999999986</v>
      </c>
      <c r="H11" s="7">
        <f t="shared" ref="H11:H13" si="4">F11-D11</f>
        <v>157595.38</v>
      </c>
      <c r="I11" s="8">
        <v>0.21</v>
      </c>
      <c r="J11" s="8">
        <v>0.05</v>
      </c>
      <c r="K11" s="7">
        <f t="shared" ref="K11:K13" si="5">G11*I11-L11*I11</f>
        <v>14010.589109999995</v>
      </c>
      <c r="L11" s="7">
        <f t="shared" ref="L11:L13" si="6">H11*J11</f>
        <v>7879.7690000000002</v>
      </c>
      <c r="M11" s="7">
        <f t="shared" si="2"/>
        <v>3765686.7162199998</v>
      </c>
      <c r="N11" s="7">
        <v>0</v>
      </c>
      <c r="O11" s="7"/>
      <c r="P11" s="17"/>
    </row>
    <row r="12" spans="1:17" x14ac:dyDescent="0.2">
      <c r="A12" s="38">
        <v>44317</v>
      </c>
      <c r="C12" s="7">
        <v>41905553</v>
      </c>
      <c r="D12" s="15">
        <v>75779</v>
      </c>
      <c r="E12" s="10">
        <f t="shared" si="0"/>
        <v>150375.85999999999</v>
      </c>
      <c r="F12" s="10">
        <f t="shared" si="1"/>
        <v>233374.38</v>
      </c>
      <c r="G12" s="7">
        <f t="shared" si="3"/>
        <v>74596.859999999986</v>
      </c>
      <c r="H12" s="7">
        <f t="shared" si="4"/>
        <v>157595.38</v>
      </c>
      <c r="I12" s="8">
        <v>0.21</v>
      </c>
      <c r="J12" s="8">
        <v>0.05</v>
      </c>
      <c r="K12" s="7">
        <f t="shared" si="5"/>
        <v>14010.589109999995</v>
      </c>
      <c r="L12" s="7">
        <f t="shared" si="6"/>
        <v>7879.7690000000002</v>
      </c>
      <c r="M12" s="7">
        <f t="shared" si="2"/>
        <v>3787577.0743299997</v>
      </c>
      <c r="N12" s="7">
        <v>0</v>
      </c>
      <c r="O12" s="17"/>
    </row>
    <row r="13" spans="1:17" x14ac:dyDescent="0.2">
      <c r="A13" s="38">
        <v>44348</v>
      </c>
      <c r="C13" s="7">
        <v>41905553</v>
      </c>
      <c r="D13" s="15">
        <v>75779</v>
      </c>
      <c r="E13" s="10">
        <f t="shared" si="0"/>
        <v>150375.85999999999</v>
      </c>
      <c r="F13" s="10">
        <f t="shared" si="1"/>
        <v>233374.38</v>
      </c>
      <c r="G13" s="7">
        <f t="shared" si="3"/>
        <v>74596.859999999986</v>
      </c>
      <c r="H13" s="7">
        <f t="shared" si="4"/>
        <v>157595.38</v>
      </c>
      <c r="I13" s="8">
        <v>0.21</v>
      </c>
      <c r="J13" s="8">
        <v>0.05</v>
      </c>
      <c r="K13" s="7">
        <f t="shared" si="5"/>
        <v>14010.589109999995</v>
      </c>
      <c r="L13" s="7">
        <f t="shared" si="6"/>
        <v>7879.7690000000002</v>
      </c>
      <c r="M13" s="7">
        <f t="shared" si="2"/>
        <v>3809467.4324399997</v>
      </c>
      <c r="N13" s="7">
        <v>0</v>
      </c>
      <c r="O13" s="7"/>
    </row>
    <row r="14" spans="1:17" x14ac:dyDescent="0.2">
      <c r="A14" s="38">
        <v>44378</v>
      </c>
      <c r="C14" s="7">
        <v>41905553</v>
      </c>
      <c r="D14" s="15">
        <v>81716.490000000005</v>
      </c>
      <c r="E14" s="10">
        <f t="shared" si="0"/>
        <v>150375.85999999999</v>
      </c>
      <c r="F14" s="10">
        <f t="shared" si="1"/>
        <v>233374.38</v>
      </c>
      <c r="G14" s="7">
        <f>E14-D14</f>
        <v>68659.369999999981</v>
      </c>
      <c r="H14" s="7">
        <f>F14-D14</f>
        <v>151657.89000000001</v>
      </c>
      <c r="I14" s="8">
        <v>0.21</v>
      </c>
      <c r="J14" s="8">
        <v>0.05</v>
      </c>
      <c r="K14" s="7">
        <f>G14*I14-L14*I14</f>
        <v>12826.059854999996</v>
      </c>
      <c r="L14" s="7">
        <f>H14*J14</f>
        <v>7582.8945000000012</v>
      </c>
      <c r="M14" s="7">
        <f t="shared" si="2"/>
        <v>3829876.3867949997</v>
      </c>
      <c r="N14" s="7">
        <v>0</v>
      </c>
      <c r="O14" s="17"/>
      <c r="Q14" s="7"/>
    </row>
    <row r="15" spans="1:17" x14ac:dyDescent="0.2">
      <c r="A15" s="38">
        <v>44409</v>
      </c>
      <c r="C15" s="7">
        <v>41905553</v>
      </c>
      <c r="D15" s="15">
        <v>81715.5</v>
      </c>
      <c r="E15" s="25">
        <f t="shared" si="0"/>
        <v>150375.85999999999</v>
      </c>
      <c r="F15" s="15">
        <f t="shared" si="1"/>
        <v>233374.38</v>
      </c>
      <c r="G15" s="7">
        <f>E15-D15</f>
        <v>68660.359999999986</v>
      </c>
      <c r="H15" s="7">
        <f>F15-D15</f>
        <v>151658.88</v>
      </c>
      <c r="I15" s="8">
        <v>0.21</v>
      </c>
      <c r="J15" s="8">
        <v>0.05</v>
      </c>
      <c r="K15" s="7">
        <f>G15*I15-L15*I15</f>
        <v>12826.257359999996</v>
      </c>
      <c r="L15" s="7">
        <f>H15*J15</f>
        <v>7582.9440000000004</v>
      </c>
      <c r="M15" s="7">
        <f t="shared" si="2"/>
        <v>3850285.588155</v>
      </c>
      <c r="N15" s="7">
        <v>0</v>
      </c>
      <c r="O15" s="7"/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/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52</v>
      </c>
    </row>
    <row r="20" spans="1:14" x14ac:dyDescent="0.2">
      <c r="C20" s="43" t="s">
        <v>31</v>
      </c>
    </row>
    <row r="21" spans="1:14" x14ac:dyDescent="0.2">
      <c r="C21" s="43" t="s">
        <v>65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7">
        <v>175037.2</v>
      </c>
      <c r="D25" s="7">
        <v>81716</v>
      </c>
      <c r="E25" s="7">
        <v>833.32</v>
      </c>
      <c r="F25" s="7">
        <f>E25-D25</f>
        <v>-80882.679999999993</v>
      </c>
      <c r="G25" s="8">
        <v>0.21</v>
      </c>
      <c r="H25" s="7">
        <f>F25*G25</f>
        <v>-16985.362799999999</v>
      </c>
    </row>
    <row r="26" spans="1:14" x14ac:dyDescent="0.2">
      <c r="C26" s="7">
        <v>25712341</v>
      </c>
      <c r="D26" s="7"/>
      <c r="E26" s="37">
        <v>143067.75</v>
      </c>
      <c r="F26" s="37">
        <f>E26</f>
        <v>143067.75</v>
      </c>
      <c r="G26" s="8">
        <v>0.21</v>
      </c>
      <c r="H26" s="37">
        <f>F26*G26</f>
        <v>30044.227499999997</v>
      </c>
    </row>
    <row r="27" spans="1:14" ht="15" x14ac:dyDescent="0.35">
      <c r="C27" s="19">
        <v>1076291.1100000001</v>
      </c>
      <c r="D27" s="7"/>
      <c r="E27" s="31">
        <f>6474.79</f>
        <v>6474.79</v>
      </c>
      <c r="F27" s="31">
        <f>E27</f>
        <v>6474.79</v>
      </c>
      <c r="G27" s="8">
        <v>0.21</v>
      </c>
      <c r="H27" s="31">
        <f>F27*G27</f>
        <v>1359.7058999999999</v>
      </c>
    </row>
    <row r="28" spans="1:14" x14ac:dyDescent="0.2">
      <c r="E28" s="7">
        <f>SUM(E25:E27)</f>
        <v>150375.86000000002</v>
      </c>
      <c r="F28" s="7">
        <f>SUM(F25:F27)</f>
        <v>68659.86</v>
      </c>
      <c r="G28" s="33" t="s">
        <v>43</v>
      </c>
      <c r="H28" s="7">
        <f>SUM(H25:H27)</f>
        <v>14418.570599999999</v>
      </c>
    </row>
    <row r="29" spans="1:14" ht="15" x14ac:dyDescent="0.35">
      <c r="G29" s="33" t="s">
        <v>44</v>
      </c>
      <c r="H29" s="31">
        <f>-H36*0.21</f>
        <v>-1592.4130949999999</v>
      </c>
    </row>
    <row r="30" spans="1:14" x14ac:dyDescent="0.2">
      <c r="H30" s="7">
        <f>H28+H29</f>
        <v>12826.157504999999</v>
      </c>
    </row>
    <row r="31" spans="1:14" x14ac:dyDescent="0.2">
      <c r="H31" s="7">
        <f>H30-K15</f>
        <v>-9.9854999996750848E-2</v>
      </c>
    </row>
    <row r="32" spans="1:14" x14ac:dyDescent="0.2">
      <c r="C32" s="7" t="s">
        <v>39</v>
      </c>
      <c r="D32" s="27" t="s">
        <v>35</v>
      </c>
      <c r="E32" s="28" t="s">
        <v>40</v>
      </c>
      <c r="F32" s="7" t="s">
        <v>41</v>
      </c>
      <c r="G32" s="8" t="s">
        <v>28</v>
      </c>
      <c r="H32" s="7" t="s">
        <v>42</v>
      </c>
    </row>
    <row r="33" spans="3:8" x14ac:dyDescent="0.2">
      <c r="C33" s="7">
        <v>350074.4</v>
      </c>
      <c r="D33" s="7">
        <f>D25</f>
        <v>81716</v>
      </c>
      <c r="E33" s="7">
        <v>1666.65</v>
      </c>
      <c r="F33" s="7">
        <f>E33-D33</f>
        <v>-80049.350000000006</v>
      </c>
      <c r="G33" s="8">
        <v>0.05</v>
      </c>
      <c r="H33" s="7">
        <f>F33*G33</f>
        <v>-4002.4675000000007</v>
      </c>
    </row>
    <row r="34" spans="3:8" x14ac:dyDescent="0.2">
      <c r="C34" s="7">
        <v>40479188</v>
      </c>
      <c r="D34" s="7"/>
      <c r="E34" s="37">
        <v>225232.95</v>
      </c>
      <c r="F34" s="37">
        <f>E34-D34</f>
        <v>225232.95</v>
      </c>
      <c r="G34" s="8">
        <v>0.05</v>
      </c>
      <c r="H34" s="37">
        <f>F34*G34</f>
        <v>11261.647500000001</v>
      </c>
    </row>
    <row r="35" spans="3:8" ht="15" x14ac:dyDescent="0.35">
      <c r="C35" s="7">
        <f>C27</f>
        <v>1076291.1100000001</v>
      </c>
      <c r="D35" s="7"/>
      <c r="E35" s="31">
        <f>E27</f>
        <v>6474.79</v>
      </c>
      <c r="F35" s="31">
        <f>E35-D35</f>
        <v>6474.79</v>
      </c>
      <c r="G35" s="8">
        <v>0.05</v>
      </c>
      <c r="H35" s="31">
        <f>F35*G35</f>
        <v>323.73950000000002</v>
      </c>
    </row>
    <row r="36" spans="3:8" x14ac:dyDescent="0.2">
      <c r="E36" s="7">
        <f>SUM(E33:E35)</f>
        <v>233374.39</v>
      </c>
      <c r="F36" s="7">
        <f>SUM(F33:F35)</f>
        <v>151658.39000000001</v>
      </c>
      <c r="H36" s="7">
        <f>SUM(H33:H35)</f>
        <v>7582.9195</v>
      </c>
    </row>
    <row r="37" spans="3:8" x14ac:dyDescent="0.2">
      <c r="H37" s="7">
        <f>H36-L15</f>
        <v>-2.4500000000443833E-2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13 of 14
Clements</oddHeader>
    <oddFooter>&amp;L_x000D_&amp;1#&amp;"Calibri"&amp;14&amp;K000000 Business Use</oddFooter>
  </headerFooter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932C-395C-4F36-A16E-83860B4C88FD}">
  <dimension ref="A1:Q3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21</v>
      </c>
    </row>
    <row r="6" spans="1:17" x14ac:dyDescent="0.2">
      <c r="A6" s="11" t="s">
        <v>60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428808</v>
      </c>
    </row>
    <row r="10" spans="1:17" x14ac:dyDescent="0.2">
      <c r="A10" s="38">
        <v>44264</v>
      </c>
      <c r="C10" s="7">
        <v>25358416</v>
      </c>
      <c r="D10" s="15">
        <v>108159</v>
      </c>
      <c r="E10" s="10">
        <f t="shared" ref="E10:F13" si="0">310255.57</f>
        <v>310255.57</v>
      </c>
      <c r="F10" s="10">
        <f t="shared" si="0"/>
        <v>310255.57</v>
      </c>
      <c r="G10" s="7">
        <f>E10-D10</f>
        <v>202096.57</v>
      </c>
      <c r="H10" s="7">
        <f>F10-D10</f>
        <v>202096.57</v>
      </c>
      <c r="I10" s="8">
        <v>0.21</v>
      </c>
      <c r="J10" s="8">
        <v>0.05</v>
      </c>
      <c r="K10" s="7">
        <f>G10*I10-L10*I10</f>
        <v>40318.265715000001</v>
      </c>
      <c r="L10" s="7">
        <f>H10*J10</f>
        <v>10104.828500000001</v>
      </c>
      <c r="M10" s="7">
        <f t="shared" ref="M10:M15" si="1">M9+K10+L10</f>
        <v>479231.09421499999</v>
      </c>
      <c r="N10" s="7">
        <v>0</v>
      </c>
      <c r="P10" s="17"/>
    </row>
    <row r="11" spans="1:17" x14ac:dyDescent="0.2">
      <c r="A11" s="38">
        <v>44287</v>
      </c>
      <c r="C11" s="7">
        <v>25358416</v>
      </c>
      <c r="D11" s="15">
        <v>108159</v>
      </c>
      <c r="E11" s="10">
        <f t="shared" si="0"/>
        <v>310255.57</v>
      </c>
      <c r="F11" s="10">
        <f t="shared" si="0"/>
        <v>310255.57</v>
      </c>
      <c r="G11" s="7">
        <f t="shared" ref="G11:G13" si="2">E11-D11</f>
        <v>202096.57</v>
      </c>
      <c r="H11" s="7">
        <f t="shared" ref="H11:H13" si="3">F11-D11</f>
        <v>202096.57</v>
      </c>
      <c r="I11" s="8">
        <v>0.21</v>
      </c>
      <c r="J11" s="8">
        <v>0.05</v>
      </c>
      <c r="K11" s="7">
        <f t="shared" ref="K11:K13" si="4">G11*I11-L11*I11</f>
        <v>40318.265715000001</v>
      </c>
      <c r="L11" s="7">
        <f t="shared" ref="L11:L13" si="5">H11*J11</f>
        <v>10104.828500000001</v>
      </c>
      <c r="M11" s="7">
        <f t="shared" si="1"/>
        <v>529654.18842999998</v>
      </c>
      <c r="N11" s="7">
        <v>0</v>
      </c>
      <c r="O11" s="7"/>
      <c r="P11" s="17"/>
    </row>
    <row r="12" spans="1:17" x14ac:dyDescent="0.2">
      <c r="A12" s="38">
        <v>44317</v>
      </c>
      <c r="C12" s="7">
        <v>25358416</v>
      </c>
      <c r="D12" s="15">
        <v>108159</v>
      </c>
      <c r="E12" s="10">
        <f t="shared" si="0"/>
        <v>310255.57</v>
      </c>
      <c r="F12" s="10">
        <f t="shared" si="0"/>
        <v>310255.57</v>
      </c>
      <c r="G12" s="7">
        <f t="shared" si="2"/>
        <v>202096.57</v>
      </c>
      <c r="H12" s="7">
        <f t="shared" si="3"/>
        <v>202096.57</v>
      </c>
      <c r="I12" s="8">
        <v>0.21</v>
      </c>
      <c r="J12" s="8">
        <v>0.05</v>
      </c>
      <c r="K12" s="7">
        <f t="shared" si="4"/>
        <v>40318.265715000001</v>
      </c>
      <c r="L12" s="7">
        <f t="shared" si="5"/>
        <v>10104.828500000001</v>
      </c>
      <c r="M12" s="7">
        <f t="shared" si="1"/>
        <v>580077.28264499991</v>
      </c>
      <c r="N12" s="7">
        <v>0</v>
      </c>
      <c r="O12" s="17"/>
    </row>
    <row r="13" spans="1:17" x14ac:dyDescent="0.2">
      <c r="A13" s="38">
        <v>44348</v>
      </c>
      <c r="C13" s="7">
        <v>25358416</v>
      </c>
      <c r="D13" s="15">
        <v>108159</v>
      </c>
      <c r="E13" s="10">
        <f t="shared" si="0"/>
        <v>310255.57</v>
      </c>
      <c r="F13" s="10">
        <f t="shared" si="0"/>
        <v>310255.57</v>
      </c>
      <c r="G13" s="7">
        <f t="shared" si="2"/>
        <v>202096.57</v>
      </c>
      <c r="H13" s="7">
        <f t="shared" si="3"/>
        <v>202096.57</v>
      </c>
      <c r="I13" s="8">
        <v>0.21</v>
      </c>
      <c r="J13" s="8">
        <v>0.05</v>
      </c>
      <c r="K13" s="7">
        <f t="shared" si="4"/>
        <v>40318.265715000001</v>
      </c>
      <c r="L13" s="7">
        <f t="shared" si="5"/>
        <v>10104.828500000001</v>
      </c>
      <c r="M13" s="7">
        <f t="shared" si="1"/>
        <v>630500.37685999984</v>
      </c>
      <c r="N13" s="7">
        <v>0</v>
      </c>
      <c r="O13" s="7"/>
    </row>
    <row r="14" spans="1:17" x14ac:dyDescent="0.2">
      <c r="A14" s="38">
        <v>44378</v>
      </c>
      <c r="C14" s="7">
        <v>25358416</v>
      </c>
      <c r="D14" s="15">
        <v>108159</v>
      </c>
      <c r="E14" s="10">
        <f>310255.57</f>
        <v>310255.57</v>
      </c>
      <c r="F14" s="10">
        <f>310255.57</f>
        <v>310255.57</v>
      </c>
      <c r="G14" s="7">
        <f>E14-D14</f>
        <v>202096.57</v>
      </c>
      <c r="H14" s="7">
        <f>F14-D14</f>
        <v>202096.57</v>
      </c>
      <c r="I14" s="8">
        <v>0.21</v>
      </c>
      <c r="J14" s="8">
        <v>0.05</v>
      </c>
      <c r="K14" s="7">
        <f>G14*I14-L14*I14</f>
        <v>40318.265715000001</v>
      </c>
      <c r="L14" s="7">
        <f>H14*J14</f>
        <v>10104.828500000001</v>
      </c>
      <c r="M14" s="7">
        <f t="shared" si="1"/>
        <v>680923.47107499978</v>
      </c>
      <c r="N14" s="7">
        <v>0</v>
      </c>
      <c r="O14" s="17"/>
      <c r="Q14" s="7"/>
    </row>
    <row r="15" spans="1:17" x14ac:dyDescent="0.2">
      <c r="A15" s="38">
        <v>44409</v>
      </c>
      <c r="C15" s="7">
        <v>25358416</v>
      </c>
      <c r="D15" s="15">
        <v>108159.49</v>
      </c>
      <c r="E15" s="25">
        <f>310255.57</f>
        <v>310255.57</v>
      </c>
      <c r="F15" s="15">
        <f>310255.57</f>
        <v>310255.57</v>
      </c>
      <c r="G15" s="7">
        <f>E15-D15</f>
        <v>202096.08000000002</v>
      </c>
      <c r="H15" s="7">
        <f>F15-D15</f>
        <v>202096.08000000002</v>
      </c>
      <c r="I15" s="8">
        <v>0.21</v>
      </c>
      <c r="J15" s="8">
        <v>0.05</v>
      </c>
      <c r="K15" s="7">
        <f>G15*I15-L15*I15</f>
        <v>40318.167959999999</v>
      </c>
      <c r="L15" s="7">
        <f>H15*J15</f>
        <v>10104.804000000002</v>
      </c>
      <c r="M15" s="7">
        <f t="shared" si="1"/>
        <v>731346.44303499977</v>
      </c>
      <c r="N15" s="7">
        <v>0</v>
      </c>
      <c r="O15" s="7"/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/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6"/>
    </row>
    <row r="20" spans="1:14" x14ac:dyDescent="0.2">
      <c r="C20" s="26"/>
    </row>
    <row r="21" spans="1:14" x14ac:dyDescent="0.2">
      <c r="C21" s="26"/>
    </row>
    <row r="22" spans="1:14" x14ac:dyDescent="0.2">
      <c r="C22" s="24"/>
    </row>
    <row r="24" spans="1:14" x14ac:dyDescent="0.2">
      <c r="C24" s="24"/>
      <c r="D24" s="29"/>
      <c r="E24" s="28"/>
      <c r="F24" s="24"/>
      <c r="G24" s="30"/>
      <c r="H24" s="24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31"/>
      <c r="F26" s="31"/>
      <c r="G26" s="8"/>
      <c r="H26" s="31"/>
    </row>
    <row r="27" spans="1:14" x14ac:dyDescent="0.2">
      <c r="E27" s="7"/>
      <c r="F27" s="7"/>
      <c r="G27" s="33"/>
      <c r="H27" s="7"/>
    </row>
    <row r="28" spans="1:14" ht="15" x14ac:dyDescent="0.35">
      <c r="G28" s="33"/>
      <c r="H28" s="31"/>
    </row>
    <row r="29" spans="1:14" x14ac:dyDescent="0.2">
      <c r="H29" s="7"/>
    </row>
    <row r="30" spans="1:14" x14ac:dyDescent="0.2">
      <c r="H30" s="7"/>
    </row>
    <row r="31" spans="1:14" x14ac:dyDescent="0.2">
      <c r="C31" s="24"/>
      <c r="D31" s="27"/>
      <c r="E31" s="28"/>
      <c r="F31" s="24"/>
      <c r="G31" s="30"/>
      <c r="H31" s="24"/>
    </row>
    <row r="32" spans="1:14" x14ac:dyDescent="0.2">
      <c r="C32" s="7"/>
      <c r="D32" s="7"/>
      <c r="E32" s="7"/>
      <c r="F32" s="7"/>
      <c r="G32" s="8"/>
      <c r="H32" s="7"/>
    </row>
    <row r="33" spans="8:8" x14ac:dyDescent="0.2">
      <c r="H33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14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4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42578125" customWidth="1"/>
    <col min="4" max="4" width="14.28515625" bestFit="1" customWidth="1"/>
    <col min="5" max="5" width="16.28515625" customWidth="1"/>
    <col min="6" max="6" width="15.285156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2.7109375" customWidth="1"/>
    <col min="17" max="17" width="10.85546875" bestFit="1" customWidth="1"/>
    <col min="18" max="18" width="10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7" x14ac:dyDescent="0.2">
      <c r="A5" s="9" t="s">
        <v>10</v>
      </c>
    </row>
    <row r="6" spans="1:17" x14ac:dyDescent="0.2">
      <c r="A6" s="11" t="s">
        <v>14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4972381</v>
      </c>
    </row>
    <row r="10" spans="1:17" x14ac:dyDescent="0.2">
      <c r="A10" s="38">
        <v>44264</v>
      </c>
      <c r="C10" s="7">
        <v>19347703</v>
      </c>
      <c r="D10" s="15">
        <v>83600</v>
      </c>
      <c r="E10" s="10">
        <f>14579.06</f>
        <v>14579.06</v>
      </c>
      <c r="F10" s="10">
        <f>29158.12</f>
        <v>29158.12</v>
      </c>
      <c r="G10" s="15">
        <f t="shared" ref="G10:G15" si="0">E10-D10</f>
        <v>-69020.94</v>
      </c>
      <c r="H10" s="15">
        <f t="shared" ref="H10:H15" si="1">F10-D10</f>
        <v>-54441.880000000005</v>
      </c>
      <c r="I10" s="8">
        <v>0.21</v>
      </c>
      <c r="J10" s="8">
        <v>0.05</v>
      </c>
      <c r="K10" s="7">
        <f>(G10*I10+2722*I10)-9215.45</f>
        <v>-23138.2274</v>
      </c>
      <c r="L10" s="7">
        <f>H10*J10-532.72</f>
        <v>-3254.8140000000003</v>
      </c>
      <c r="M10" s="7">
        <f t="shared" ref="M10:M13" si="2">M9+K10+L10</f>
        <v>4945987.9585999995</v>
      </c>
      <c r="N10" s="7">
        <f>11482.29</f>
        <v>11482.29</v>
      </c>
      <c r="O10" s="22"/>
      <c r="P10" s="19"/>
    </row>
    <row r="11" spans="1:17" x14ac:dyDescent="0.2">
      <c r="A11" s="38">
        <v>44287</v>
      </c>
      <c r="C11" s="7">
        <v>19347703</v>
      </c>
      <c r="D11" s="15">
        <v>83600</v>
      </c>
      <c r="E11" s="10">
        <f>14579.06</f>
        <v>14579.06</v>
      </c>
      <c r="F11" s="10">
        <f>29158.12</f>
        <v>29158.12</v>
      </c>
      <c r="G11" s="15">
        <f t="shared" si="0"/>
        <v>-69020.94</v>
      </c>
      <c r="H11" s="15">
        <f t="shared" si="1"/>
        <v>-54441.880000000005</v>
      </c>
      <c r="I11" s="8">
        <v>0.21</v>
      </c>
      <c r="J11" s="8">
        <v>0.05</v>
      </c>
      <c r="K11" s="7">
        <f>(G11*I11+2722*I11)-9215.45</f>
        <v>-23138.2274</v>
      </c>
      <c r="L11" s="7">
        <f>H11*J11-532.72</f>
        <v>-3254.8140000000003</v>
      </c>
      <c r="M11" s="24">
        <f t="shared" si="2"/>
        <v>4919594.9171999991</v>
      </c>
      <c r="N11" s="7">
        <f>11412.02</f>
        <v>11412.02</v>
      </c>
      <c r="O11" s="39"/>
      <c r="P11" s="19"/>
    </row>
    <row r="12" spans="1:17" x14ac:dyDescent="0.2">
      <c r="A12" s="38">
        <v>44317</v>
      </c>
      <c r="C12" s="7">
        <v>19347703</v>
      </c>
      <c r="D12" s="15">
        <v>83600</v>
      </c>
      <c r="E12" s="10">
        <f>14579.06</f>
        <v>14579.06</v>
      </c>
      <c r="F12" s="10">
        <f>29158.12</f>
        <v>29158.12</v>
      </c>
      <c r="G12" s="15">
        <f t="shared" si="0"/>
        <v>-69020.94</v>
      </c>
      <c r="H12" s="15">
        <f t="shared" si="1"/>
        <v>-54441.880000000005</v>
      </c>
      <c r="I12" s="8">
        <v>0.21</v>
      </c>
      <c r="J12" s="8">
        <v>0.05</v>
      </c>
      <c r="K12" s="7">
        <f>(G12*I12+2722*I12)-9215.45</f>
        <v>-23138.2274</v>
      </c>
      <c r="L12" s="7">
        <f>H12*J12-532.72</f>
        <v>-3254.8140000000003</v>
      </c>
      <c r="M12" s="7">
        <f t="shared" si="2"/>
        <v>4893201.8757999986</v>
      </c>
      <c r="N12" s="7">
        <f>11341.75</f>
        <v>11341.75</v>
      </c>
      <c r="P12" s="19"/>
    </row>
    <row r="13" spans="1:17" x14ac:dyDescent="0.2">
      <c r="A13" s="38">
        <v>44348</v>
      </c>
      <c r="C13" s="7">
        <v>19347703</v>
      </c>
      <c r="D13" s="15">
        <v>83600</v>
      </c>
      <c r="E13" s="10">
        <f>14579.06</f>
        <v>14579.06</v>
      </c>
      <c r="F13" s="10">
        <f>29158.12</f>
        <v>29158.12</v>
      </c>
      <c r="G13" s="15">
        <f t="shared" si="0"/>
        <v>-69020.94</v>
      </c>
      <c r="H13" s="15">
        <f t="shared" si="1"/>
        <v>-54441.880000000005</v>
      </c>
      <c r="I13" s="8">
        <v>0.21</v>
      </c>
      <c r="J13" s="8">
        <v>0.05</v>
      </c>
      <c r="K13" s="7">
        <f>(G13*I13+2722*I13)-9215.45</f>
        <v>-23138.2274</v>
      </c>
      <c r="L13" s="7">
        <f>H13*J13-532.72</f>
        <v>-3254.8140000000003</v>
      </c>
      <c r="M13" s="7">
        <f t="shared" si="2"/>
        <v>4866808.8343999982</v>
      </c>
      <c r="N13" s="7">
        <f>11271.48</f>
        <v>11271.48</v>
      </c>
      <c r="O13" s="7"/>
      <c r="P13" s="19"/>
    </row>
    <row r="14" spans="1:17" x14ac:dyDescent="0.2">
      <c r="A14" s="38">
        <v>44378</v>
      </c>
      <c r="C14" s="7"/>
      <c r="D14" s="15"/>
      <c r="E14" s="10"/>
      <c r="F14" s="10"/>
      <c r="G14" s="15">
        <f t="shared" si="0"/>
        <v>0</v>
      </c>
      <c r="H14" s="15">
        <f t="shared" si="1"/>
        <v>0</v>
      </c>
      <c r="I14" s="8">
        <v>0.21</v>
      </c>
      <c r="J14" s="8">
        <v>0.05</v>
      </c>
      <c r="K14" s="7">
        <f t="shared" ref="K14:K15" si="3">G14*I14-L14*I14</f>
        <v>0</v>
      </c>
      <c r="L14" s="7">
        <f t="shared" ref="L14:L15" si="4">H14*J14</f>
        <v>0</v>
      </c>
      <c r="M14" s="7">
        <v>0</v>
      </c>
      <c r="N14" s="7">
        <v>0</v>
      </c>
      <c r="O14" s="22"/>
      <c r="P14" s="19"/>
    </row>
    <row r="15" spans="1:17" x14ac:dyDescent="0.2">
      <c r="A15" s="38">
        <v>44409</v>
      </c>
      <c r="C15" s="7"/>
      <c r="D15" s="15"/>
      <c r="E15" s="15"/>
      <c r="F15" s="15"/>
      <c r="G15" s="15">
        <f t="shared" si="0"/>
        <v>0</v>
      </c>
      <c r="H15" s="15">
        <f t="shared" si="1"/>
        <v>0</v>
      </c>
      <c r="I15" s="8">
        <v>0.21</v>
      </c>
      <c r="J15" s="8">
        <v>0.05</v>
      </c>
      <c r="K15" s="7">
        <f t="shared" si="3"/>
        <v>0</v>
      </c>
      <c r="L15" s="7">
        <f t="shared" si="4"/>
        <v>0</v>
      </c>
      <c r="M15" s="7">
        <v>0</v>
      </c>
      <c r="N15" s="7">
        <v>0</v>
      </c>
      <c r="O15" s="20"/>
      <c r="P15" s="19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">
      <c r="A17" s="16"/>
      <c r="C17" s="37" t="s">
        <v>61</v>
      </c>
      <c r="D17" s="25"/>
      <c r="E17" s="25"/>
      <c r="F17" s="25"/>
      <c r="G17" s="25"/>
      <c r="H17" s="25"/>
      <c r="I17" s="8"/>
      <c r="J17" s="8"/>
      <c r="K17" s="7"/>
      <c r="L17" s="7"/>
      <c r="M17" s="7"/>
      <c r="N17" s="7"/>
      <c r="O17" s="7"/>
      <c r="P17" s="7"/>
    </row>
    <row r="18" spans="1:16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C19" s="43" t="s">
        <v>45</v>
      </c>
    </row>
    <row r="20" spans="1:16" x14ac:dyDescent="0.2">
      <c r="C20" s="43" t="s">
        <v>31</v>
      </c>
    </row>
    <row r="21" spans="1:16" x14ac:dyDescent="0.2">
      <c r="C21" s="43" t="s">
        <v>64</v>
      </c>
    </row>
    <row r="22" spans="1:16" x14ac:dyDescent="0.2">
      <c r="C22" s="7" t="s">
        <v>32</v>
      </c>
    </row>
    <row r="24" spans="1:16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6" x14ac:dyDescent="0.2">
      <c r="C25" s="34">
        <v>3199833</v>
      </c>
      <c r="D25" s="42">
        <v>83600</v>
      </c>
      <c r="E25" s="34">
        <v>11895.38</v>
      </c>
      <c r="F25" s="19">
        <f>E25-D25</f>
        <v>-71704.62</v>
      </c>
      <c r="G25" s="8">
        <v>0.21</v>
      </c>
      <c r="H25" s="19">
        <f>F25*G25</f>
        <v>-15057.970199999998</v>
      </c>
    </row>
    <row r="26" spans="1:16" x14ac:dyDescent="0.2">
      <c r="C26" s="34">
        <v>4799749</v>
      </c>
      <c r="E26" s="34">
        <v>0</v>
      </c>
      <c r="F26" s="19">
        <f>E26</f>
        <v>0</v>
      </c>
      <c r="G26" s="8">
        <v>0.21</v>
      </c>
      <c r="H26" s="19">
        <f t="shared" ref="H26:H30" si="5">F26*G26</f>
        <v>0</v>
      </c>
    </row>
    <row r="27" spans="1:16" x14ac:dyDescent="0.2">
      <c r="C27" s="44">
        <f>623422/2*0.4</f>
        <v>124684.40000000001</v>
      </c>
      <c r="E27" s="34">
        <v>463.62</v>
      </c>
      <c r="F27" s="19">
        <f t="shared" ref="F27:F30" si="6">E27</f>
        <v>463.62</v>
      </c>
      <c r="G27" s="8">
        <v>0.21</v>
      </c>
      <c r="H27" s="19">
        <f t="shared" si="5"/>
        <v>97.360199999999992</v>
      </c>
    </row>
    <row r="28" spans="1:16" x14ac:dyDescent="0.2">
      <c r="C28" s="44">
        <f>623422/2*0.6</f>
        <v>187026.6</v>
      </c>
      <c r="E28" s="34">
        <v>0</v>
      </c>
      <c r="F28" s="19">
        <f t="shared" si="6"/>
        <v>0</v>
      </c>
      <c r="G28" s="8">
        <v>0.21</v>
      </c>
      <c r="H28" s="19">
        <f t="shared" si="5"/>
        <v>0</v>
      </c>
    </row>
    <row r="29" spans="1:16" x14ac:dyDescent="0.2">
      <c r="C29" s="44">
        <v>545023.20400000003</v>
      </c>
      <c r="E29" s="34">
        <v>2220.06</v>
      </c>
      <c r="F29" s="19">
        <f t="shared" si="6"/>
        <v>2220.06</v>
      </c>
      <c r="G29" s="8">
        <v>0.21</v>
      </c>
      <c r="H29" s="19">
        <f t="shared" si="5"/>
        <v>466.21259999999995</v>
      </c>
    </row>
    <row r="30" spans="1:16" ht="15" x14ac:dyDescent="0.35">
      <c r="C30" s="44">
        <v>817534.80599999998</v>
      </c>
      <c r="E30" s="35">
        <v>0</v>
      </c>
      <c r="F30" s="32">
        <f t="shared" si="6"/>
        <v>0</v>
      </c>
      <c r="G30" s="8">
        <v>0.21</v>
      </c>
      <c r="H30" s="32">
        <f t="shared" si="5"/>
        <v>0</v>
      </c>
    </row>
    <row r="31" spans="1:16" x14ac:dyDescent="0.2">
      <c r="E31" s="34">
        <f>SUM(E25:E30)</f>
        <v>14579.06</v>
      </c>
      <c r="F31" s="34">
        <f>SUM(F25:F30)</f>
        <v>-69020.94</v>
      </c>
      <c r="G31" s="33" t="s">
        <v>43</v>
      </c>
      <c r="H31" s="19">
        <f>SUM(H25:H30)</f>
        <v>-14494.397399999998</v>
      </c>
    </row>
    <row r="32" spans="1:16" ht="15" x14ac:dyDescent="0.35">
      <c r="E32" s="19"/>
      <c r="F32" s="19"/>
      <c r="G32" s="33" t="s">
        <v>44</v>
      </c>
      <c r="H32" s="32">
        <f>-H42*0.21</f>
        <v>571.63974000000007</v>
      </c>
    </row>
    <row r="33" spans="3:9" x14ac:dyDescent="0.2">
      <c r="H33" s="19">
        <f>H31+H32</f>
        <v>-13922.757659999997</v>
      </c>
    </row>
    <row r="34" spans="3:9" x14ac:dyDescent="0.2">
      <c r="H34" s="19">
        <f>H33-K13</f>
        <v>9215.4697400000023</v>
      </c>
      <c r="I34" t="s">
        <v>62</v>
      </c>
    </row>
    <row r="35" spans="3:9" x14ac:dyDescent="0.2">
      <c r="C35" s="7" t="s">
        <v>39</v>
      </c>
      <c r="D35" s="27" t="s">
        <v>35</v>
      </c>
      <c r="E35" s="28" t="s">
        <v>40</v>
      </c>
      <c r="F35" s="7" t="s">
        <v>41</v>
      </c>
      <c r="G35" s="8" t="s">
        <v>28</v>
      </c>
      <c r="H35" s="7" t="s">
        <v>42</v>
      </c>
    </row>
    <row r="36" spans="3:9" x14ac:dyDescent="0.2">
      <c r="C36" s="44">
        <v>6399666</v>
      </c>
      <c r="D36" s="19">
        <f>D25</f>
        <v>83600</v>
      </c>
      <c r="E36" s="19">
        <v>23790.76</v>
      </c>
      <c r="F36" s="19">
        <f>E36-D36</f>
        <v>-59809.240000000005</v>
      </c>
      <c r="G36" s="8">
        <v>0.05</v>
      </c>
      <c r="H36" s="19">
        <f>F36*G36</f>
        <v>-2990.4620000000004</v>
      </c>
    </row>
    <row r="37" spans="3:9" x14ac:dyDescent="0.2">
      <c r="C37" s="44">
        <v>9599498</v>
      </c>
      <c r="E37" s="19">
        <v>0</v>
      </c>
      <c r="F37" s="19">
        <f>E37</f>
        <v>0</v>
      </c>
      <c r="G37" s="8">
        <v>0.05</v>
      </c>
      <c r="H37" s="19">
        <f t="shared" ref="H37:H41" si="7">F37*G37</f>
        <v>0</v>
      </c>
    </row>
    <row r="38" spans="3:9" x14ac:dyDescent="0.2">
      <c r="C38" s="44">
        <v>249369</v>
      </c>
      <c r="E38" s="19">
        <v>927.24</v>
      </c>
      <c r="F38" s="19">
        <f t="shared" ref="F38:F41" si="8">E38</f>
        <v>927.24</v>
      </c>
      <c r="G38" s="8">
        <v>0.05</v>
      </c>
      <c r="H38" s="19">
        <f t="shared" si="7"/>
        <v>46.362000000000002</v>
      </c>
    </row>
    <row r="39" spans="3:9" x14ac:dyDescent="0.2">
      <c r="C39" s="44">
        <v>374053</v>
      </c>
      <c r="E39" s="19">
        <v>0</v>
      </c>
      <c r="F39" s="19">
        <f t="shared" si="8"/>
        <v>0</v>
      </c>
      <c r="G39" s="8">
        <v>0.05</v>
      </c>
      <c r="H39" s="19">
        <f t="shared" si="7"/>
        <v>0</v>
      </c>
    </row>
    <row r="40" spans="3:9" x14ac:dyDescent="0.2">
      <c r="C40" s="44">
        <f>(2725460.82-344.8)*0.4</f>
        <v>1090046.4080000001</v>
      </c>
      <c r="E40" s="19">
        <v>4440.12</v>
      </c>
      <c r="F40" s="19">
        <f t="shared" si="8"/>
        <v>4440.12</v>
      </c>
      <c r="G40" s="8">
        <v>0.05</v>
      </c>
      <c r="H40" s="19">
        <f t="shared" si="7"/>
        <v>222.006</v>
      </c>
    </row>
    <row r="41" spans="3:9" ht="15" x14ac:dyDescent="0.35">
      <c r="C41" s="44">
        <f>(2725460.82-344.8)*0.6</f>
        <v>1635069.612</v>
      </c>
      <c r="E41" s="32">
        <v>0</v>
      </c>
      <c r="F41" s="32">
        <f t="shared" si="8"/>
        <v>0</v>
      </c>
      <c r="G41" s="8">
        <v>0.05</v>
      </c>
      <c r="H41" s="32">
        <f t="shared" si="7"/>
        <v>0</v>
      </c>
    </row>
    <row r="42" spans="3:9" x14ac:dyDescent="0.2">
      <c r="E42" s="19">
        <f>SUM(E36:E41)</f>
        <v>29158.12</v>
      </c>
      <c r="F42" s="19">
        <f>SUM(F36:F41)</f>
        <v>-54441.880000000005</v>
      </c>
      <c r="H42" s="19">
        <f>SUM(H36:H41)</f>
        <v>-2722.0940000000005</v>
      </c>
    </row>
    <row r="43" spans="3:9" x14ac:dyDescent="0.2">
      <c r="E43" s="19"/>
      <c r="F43" s="19"/>
      <c r="H43" s="19">
        <f>H42-L13</f>
        <v>532.7199999999998</v>
      </c>
      <c r="I43" t="s">
        <v>63</v>
      </c>
    </row>
  </sheetData>
  <pageMargins left="0.7" right="0.7" top="1.15625" bottom="0.75" header="0.3" footer="0.3"/>
  <pageSetup scale="51" orientation="portrait" r:id="rId1"/>
  <headerFooter>
    <oddHeader xml:space="preserve">&amp;R&amp;"Times New Roman,Bold"&amp;12Attachment to Response to Question 3
Page 2 of 14
Clements
</oddHeader>
    <oddFooter>&amp;L_x000D_&amp;1#&amp;"Calibri"&amp;14&amp;K000000 Business Use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2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3.85546875" customWidth="1"/>
    <col min="4" max="4" width="14.28515625" bestFit="1" customWidth="1"/>
    <col min="5" max="5" width="16.5703125" customWidth="1"/>
    <col min="6" max="6" width="15.425781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2.7109375" customWidth="1"/>
    <col min="17" max="17" width="11.28515625" hidden="1" customWidth="1"/>
    <col min="18" max="18" width="14.5703125" bestFit="1" customWidth="1"/>
    <col min="19" max="19" width="11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7" x14ac:dyDescent="0.2">
      <c r="A5" s="9" t="s">
        <v>12</v>
      </c>
    </row>
    <row r="6" spans="1:17" x14ac:dyDescent="0.2">
      <c r="A6" s="11" t="s">
        <v>20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27604690</v>
      </c>
    </row>
    <row r="10" spans="1:17" x14ac:dyDescent="0.2">
      <c r="A10" s="38">
        <v>44264</v>
      </c>
      <c r="C10" s="7">
        <v>121543607</v>
      </c>
      <c r="D10" s="15">
        <v>502966</v>
      </c>
      <c r="E10" s="10">
        <f>561220.41</f>
        <v>561220.41</v>
      </c>
      <c r="F10" s="10">
        <f>1051983.7</f>
        <v>1051983.7</v>
      </c>
      <c r="G10" s="15">
        <f t="shared" ref="G10:G15" si="0">E10-D10</f>
        <v>58254.410000000033</v>
      </c>
      <c r="H10" s="15">
        <f t="shared" ref="H10:H15" si="1">F10-D10</f>
        <v>549017.69999999995</v>
      </c>
      <c r="I10" s="8">
        <v>0.21</v>
      </c>
      <c r="J10" s="8">
        <v>0.05</v>
      </c>
      <c r="K10" s="7">
        <f>G10*I10-L10*I10-3640.42</f>
        <v>2828.3202500000061</v>
      </c>
      <c r="L10" s="7">
        <f t="shared" ref="L10:L15" si="2">H10*J10</f>
        <v>27450.884999999998</v>
      </c>
      <c r="M10" s="7">
        <f t="shared" ref="M10:M13" si="3">M9+K10+L10</f>
        <v>27634969.205250002</v>
      </c>
      <c r="N10" s="7">
        <v>0</v>
      </c>
      <c r="O10" s="40"/>
      <c r="P10" s="7"/>
      <c r="Q10" s="7">
        <f>K10+L10</f>
        <v>30279.205250000006</v>
      </c>
    </row>
    <row r="11" spans="1:17" x14ac:dyDescent="0.2">
      <c r="A11" s="38">
        <v>44287</v>
      </c>
      <c r="C11" s="7">
        <v>121543607</v>
      </c>
      <c r="D11" s="15">
        <v>502966</v>
      </c>
      <c r="E11" s="10">
        <f>561220.41</f>
        <v>561220.41</v>
      </c>
      <c r="F11" s="10">
        <f>1051983.7</f>
        <v>1051983.7</v>
      </c>
      <c r="G11" s="15">
        <f t="shared" si="0"/>
        <v>58254.410000000033</v>
      </c>
      <c r="H11" s="15">
        <f t="shared" si="1"/>
        <v>549017.69999999995</v>
      </c>
      <c r="I11" s="8">
        <v>0.21</v>
      </c>
      <c r="J11" s="8">
        <v>0.05</v>
      </c>
      <c r="K11" s="7">
        <f>G11*I11-L11*I11-3640.42</f>
        <v>2828.3202500000061</v>
      </c>
      <c r="L11" s="7">
        <f t="shared" si="2"/>
        <v>27450.884999999998</v>
      </c>
      <c r="M11" s="7">
        <f t="shared" si="3"/>
        <v>27665248.410500005</v>
      </c>
      <c r="N11" s="7">
        <v>0</v>
      </c>
      <c r="O11" s="17"/>
      <c r="P11" s="17"/>
      <c r="Q11" s="7">
        <f>Q10+K11+L11</f>
        <v>60558.410500000013</v>
      </c>
    </row>
    <row r="12" spans="1:17" x14ac:dyDescent="0.2">
      <c r="A12" s="38">
        <v>44317</v>
      </c>
      <c r="C12" s="7">
        <v>121543607</v>
      </c>
      <c r="D12" s="15">
        <v>502966</v>
      </c>
      <c r="E12" s="10">
        <f>561220.41</f>
        <v>561220.41</v>
      </c>
      <c r="F12" s="10">
        <f>1051983.7</f>
        <v>1051983.7</v>
      </c>
      <c r="G12" s="15">
        <f t="shared" si="0"/>
        <v>58254.410000000033</v>
      </c>
      <c r="H12" s="15">
        <f t="shared" si="1"/>
        <v>549017.69999999995</v>
      </c>
      <c r="I12" s="8">
        <v>0.21</v>
      </c>
      <c r="J12" s="8">
        <v>0.05</v>
      </c>
      <c r="K12" s="7">
        <f>G12*I12-L12*I12-3640.42</f>
        <v>2828.3202500000061</v>
      </c>
      <c r="L12" s="7">
        <f t="shared" si="2"/>
        <v>27450.884999999998</v>
      </c>
      <c r="M12" s="7">
        <f t="shared" si="3"/>
        <v>27695527.615750007</v>
      </c>
      <c r="N12" s="7">
        <v>0</v>
      </c>
      <c r="O12" s="17"/>
      <c r="Q12" s="7">
        <f>Q11+K12+L12</f>
        <v>90837.615750000012</v>
      </c>
    </row>
    <row r="13" spans="1:17" x14ac:dyDescent="0.2">
      <c r="A13" s="38">
        <v>44348</v>
      </c>
      <c r="C13" s="7">
        <v>121543607</v>
      </c>
      <c r="D13" s="15">
        <v>502966</v>
      </c>
      <c r="E13" s="10">
        <f>561220.41</f>
        <v>561220.41</v>
      </c>
      <c r="F13" s="10">
        <f>1051983.7</f>
        <v>1051983.7</v>
      </c>
      <c r="G13" s="15">
        <f t="shared" si="0"/>
        <v>58254.410000000033</v>
      </c>
      <c r="H13" s="15">
        <f t="shared" si="1"/>
        <v>549017.69999999995</v>
      </c>
      <c r="I13" s="8">
        <v>0.21</v>
      </c>
      <c r="J13" s="8">
        <v>0.05</v>
      </c>
      <c r="K13" s="7">
        <f>G13*I13-L13*I13-3640.42</f>
        <v>2828.3202500000061</v>
      </c>
      <c r="L13" s="7">
        <f t="shared" si="2"/>
        <v>27450.884999999998</v>
      </c>
      <c r="M13" s="7">
        <f t="shared" si="3"/>
        <v>27725806.82100001</v>
      </c>
      <c r="N13" s="7">
        <v>0</v>
      </c>
      <c r="O13" s="17"/>
      <c r="Q13" s="7">
        <f>Q12+K13+L13</f>
        <v>121116.82100000001</v>
      </c>
    </row>
    <row r="14" spans="1:17" x14ac:dyDescent="0.2">
      <c r="A14" s="38">
        <v>44378</v>
      </c>
      <c r="C14" s="7"/>
      <c r="D14" s="15"/>
      <c r="E14" s="10"/>
      <c r="F14" s="10"/>
      <c r="G14" s="15">
        <f t="shared" si="0"/>
        <v>0</v>
      </c>
      <c r="H14" s="15">
        <f t="shared" si="1"/>
        <v>0</v>
      </c>
      <c r="I14" s="8">
        <v>0.21</v>
      </c>
      <c r="J14" s="8">
        <v>0.05</v>
      </c>
      <c r="K14" s="7">
        <f t="shared" ref="K14:K15" si="4">G14*I14-L14*I14</f>
        <v>0</v>
      </c>
      <c r="L14" s="7">
        <f t="shared" si="2"/>
        <v>0</v>
      </c>
      <c r="M14" s="7">
        <v>0</v>
      </c>
      <c r="N14" s="7">
        <v>0</v>
      </c>
      <c r="O14" s="17"/>
      <c r="Q14" s="7">
        <f>Q13+K14+L14</f>
        <v>121116.82100000001</v>
      </c>
    </row>
    <row r="15" spans="1:17" x14ac:dyDescent="0.2">
      <c r="A15" s="38">
        <v>44409</v>
      </c>
      <c r="C15" s="7"/>
      <c r="D15" s="15"/>
      <c r="E15" s="15"/>
      <c r="F15" s="15"/>
      <c r="G15" s="15">
        <f t="shared" si="0"/>
        <v>0</v>
      </c>
      <c r="H15" s="15">
        <f t="shared" si="1"/>
        <v>0</v>
      </c>
      <c r="I15" s="8">
        <v>0.21</v>
      </c>
      <c r="J15" s="8">
        <v>0.05</v>
      </c>
      <c r="K15" s="7">
        <f t="shared" si="4"/>
        <v>0</v>
      </c>
      <c r="L15" s="7">
        <f t="shared" si="2"/>
        <v>0</v>
      </c>
      <c r="M15" s="7">
        <v>0</v>
      </c>
      <c r="N15" s="7">
        <v>0</v>
      </c>
      <c r="O15" s="7"/>
      <c r="Q15" s="7">
        <f>Q14+K15+L15</f>
        <v>121116.82100000001</v>
      </c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9">
        <f>+O15/0.389</f>
        <v>0</v>
      </c>
    </row>
    <row r="17" spans="1:16" x14ac:dyDescent="0.2">
      <c r="A17" s="16"/>
      <c r="C17" s="7" t="s">
        <v>55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C19" s="43" t="s">
        <v>46</v>
      </c>
    </row>
    <row r="20" spans="1:16" x14ac:dyDescent="0.2">
      <c r="C20" s="43" t="s">
        <v>31</v>
      </c>
    </row>
    <row r="21" spans="1:16" x14ac:dyDescent="0.2">
      <c r="C21" s="43" t="s">
        <v>64</v>
      </c>
    </row>
    <row r="22" spans="1:16" x14ac:dyDescent="0.2">
      <c r="C22" s="7" t="s">
        <v>32</v>
      </c>
    </row>
    <row r="24" spans="1:16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6" x14ac:dyDescent="0.2">
      <c r="C25" s="23">
        <v>846667</v>
      </c>
      <c r="D25" s="23">
        <v>502966</v>
      </c>
      <c r="E25" s="23">
        <v>0</v>
      </c>
      <c r="F25" s="19">
        <f>E25-D25</f>
        <v>-502966</v>
      </c>
      <c r="G25" s="8">
        <v>0.21</v>
      </c>
      <c r="H25" s="19">
        <f>F25*G25</f>
        <v>-105622.86</v>
      </c>
    </row>
    <row r="26" spans="1:16" x14ac:dyDescent="0.2">
      <c r="C26" s="44">
        <v>826019.67</v>
      </c>
      <c r="E26" s="23">
        <v>0</v>
      </c>
      <c r="F26" s="19">
        <f>E26</f>
        <v>0</v>
      </c>
      <c r="G26" s="8">
        <v>0.21</v>
      </c>
      <c r="H26" s="19">
        <f t="shared" ref="H26:H42" si="5">F26*G26</f>
        <v>0</v>
      </c>
    </row>
    <row r="27" spans="1:16" x14ac:dyDescent="0.2">
      <c r="C27" s="44">
        <f>21052017.182-(265688.84/2)</f>
        <v>20919172.761999998</v>
      </c>
      <c r="E27" s="23">
        <v>92716.59</v>
      </c>
      <c r="F27" s="19">
        <f t="shared" ref="F27:F42" si="6">E27</f>
        <v>92716.59</v>
      </c>
      <c r="G27" s="8">
        <v>0.21</v>
      </c>
      <c r="H27" s="19">
        <f t="shared" si="5"/>
        <v>19470.483899999999</v>
      </c>
    </row>
    <row r="28" spans="1:16" x14ac:dyDescent="0.2">
      <c r="C28" s="44">
        <v>31578025.772999998</v>
      </c>
      <c r="E28" s="23">
        <v>350866.95</v>
      </c>
      <c r="F28" s="19">
        <f t="shared" si="6"/>
        <v>350866.95</v>
      </c>
      <c r="G28" s="8">
        <v>0.21</v>
      </c>
      <c r="H28" s="19">
        <f t="shared" si="5"/>
        <v>73682.059500000003</v>
      </c>
    </row>
    <row r="29" spans="1:16" x14ac:dyDescent="0.2">
      <c r="C29" s="44">
        <v>94801.065000000002</v>
      </c>
      <c r="E29" s="23">
        <v>0</v>
      </c>
      <c r="F29" s="19">
        <f t="shared" si="6"/>
        <v>0</v>
      </c>
      <c r="G29" s="8">
        <v>0.21</v>
      </c>
      <c r="H29" s="19">
        <f t="shared" si="5"/>
        <v>0</v>
      </c>
    </row>
    <row r="30" spans="1:16" x14ac:dyDescent="0.2">
      <c r="C30" s="44">
        <v>94801.065000000002</v>
      </c>
      <c r="E30" s="25">
        <v>451.33</v>
      </c>
      <c r="F30" s="41">
        <f t="shared" si="6"/>
        <v>451.33</v>
      </c>
      <c r="G30" s="8">
        <v>0.21</v>
      </c>
      <c r="H30" s="41">
        <f t="shared" si="5"/>
        <v>94.779299999999992</v>
      </c>
    </row>
    <row r="31" spans="1:16" x14ac:dyDescent="0.2">
      <c r="C31" s="45">
        <v>2766726</v>
      </c>
      <c r="D31" s="33"/>
      <c r="E31" s="25">
        <f>5268.77+27667.26</f>
        <v>32936.03</v>
      </c>
      <c r="F31" s="41">
        <f t="shared" si="6"/>
        <v>32936.03</v>
      </c>
      <c r="G31" s="8">
        <v>0.21</v>
      </c>
      <c r="H31" s="41">
        <f t="shared" si="5"/>
        <v>6916.5662999999995</v>
      </c>
    </row>
    <row r="32" spans="1:16" x14ac:dyDescent="0.2">
      <c r="C32" s="45">
        <v>-1309904</v>
      </c>
      <c r="D32" s="33"/>
      <c r="E32" s="25"/>
      <c r="F32" s="41">
        <f t="shared" si="6"/>
        <v>0</v>
      </c>
      <c r="G32" s="8">
        <v>0.21</v>
      </c>
      <c r="H32" s="41">
        <f t="shared" si="5"/>
        <v>0</v>
      </c>
    </row>
    <row r="33" spans="3:9" x14ac:dyDescent="0.2">
      <c r="C33" s="45">
        <v>-1309904</v>
      </c>
      <c r="D33" s="33"/>
      <c r="E33" s="25">
        <f>-2494.49-13099.04</f>
        <v>-15593.53</v>
      </c>
      <c r="F33" s="41">
        <f t="shared" si="6"/>
        <v>-15593.53</v>
      </c>
      <c r="G33" s="8">
        <v>0.21</v>
      </c>
      <c r="H33" s="41">
        <f t="shared" si="5"/>
        <v>-3274.6413000000002</v>
      </c>
    </row>
    <row r="34" spans="3:9" x14ac:dyDescent="0.2">
      <c r="C34" s="45">
        <v>5205251</v>
      </c>
      <c r="D34" s="33"/>
      <c r="E34" s="25"/>
      <c r="F34" s="41">
        <f t="shared" si="6"/>
        <v>0</v>
      </c>
      <c r="G34" s="8">
        <v>0.21</v>
      </c>
      <c r="H34" s="41">
        <f t="shared" si="5"/>
        <v>0</v>
      </c>
    </row>
    <row r="35" spans="3:9" x14ac:dyDescent="0.2">
      <c r="C35" s="45">
        <v>7681105</v>
      </c>
      <c r="D35" s="33"/>
      <c r="E35" s="25">
        <f>14627.38+76811.05</f>
        <v>91438.430000000008</v>
      </c>
      <c r="F35" s="41">
        <f t="shared" si="6"/>
        <v>91438.430000000008</v>
      </c>
      <c r="G35" s="8">
        <v>0.21</v>
      </c>
      <c r="H35" s="41">
        <f t="shared" si="5"/>
        <v>19202.070299999999</v>
      </c>
    </row>
    <row r="36" spans="3:9" x14ac:dyDescent="0.2">
      <c r="C36" s="45">
        <v>196791</v>
      </c>
      <c r="D36" s="33"/>
      <c r="E36" s="25"/>
      <c r="F36" s="41">
        <f t="shared" si="6"/>
        <v>0</v>
      </c>
      <c r="G36" s="8">
        <v>0.21</v>
      </c>
      <c r="H36" s="41">
        <f t="shared" si="5"/>
        <v>0</v>
      </c>
    </row>
    <row r="37" spans="3:9" x14ac:dyDescent="0.2">
      <c r="C37" s="45">
        <v>196791</v>
      </c>
      <c r="D37" s="33"/>
      <c r="E37" s="25">
        <v>936.89</v>
      </c>
      <c r="F37" s="41">
        <f t="shared" si="6"/>
        <v>936.89</v>
      </c>
      <c r="G37" s="8">
        <v>0.21</v>
      </c>
      <c r="H37" s="41">
        <f t="shared" si="5"/>
        <v>196.74689999999998</v>
      </c>
    </row>
    <row r="38" spans="3:9" x14ac:dyDescent="0.2">
      <c r="C38" s="45">
        <v>3557</v>
      </c>
      <c r="D38" s="33"/>
      <c r="E38" s="25"/>
      <c r="F38" s="41">
        <f t="shared" si="6"/>
        <v>0</v>
      </c>
      <c r="G38" s="8">
        <v>0.21</v>
      </c>
      <c r="H38" s="41">
        <f t="shared" si="5"/>
        <v>0</v>
      </c>
    </row>
    <row r="39" spans="3:9" x14ac:dyDescent="0.2">
      <c r="C39" s="45">
        <v>5335</v>
      </c>
      <c r="D39" s="33"/>
      <c r="E39" s="25">
        <v>27.46</v>
      </c>
      <c r="F39" s="41">
        <f t="shared" si="6"/>
        <v>27.46</v>
      </c>
      <c r="G39" s="8">
        <v>0.21</v>
      </c>
      <c r="H39" s="41">
        <f t="shared" si="5"/>
        <v>5.7666000000000004</v>
      </c>
    </row>
    <row r="40" spans="3:9" x14ac:dyDescent="0.2">
      <c r="C40" s="45">
        <v>704440</v>
      </c>
      <c r="D40" s="33"/>
      <c r="E40" s="25"/>
      <c r="F40" s="41">
        <f t="shared" si="6"/>
        <v>0</v>
      </c>
      <c r="G40" s="8">
        <v>0.21</v>
      </c>
      <c r="H40" s="41">
        <f t="shared" si="5"/>
        <v>0</v>
      </c>
    </row>
    <row r="41" spans="3:9" x14ac:dyDescent="0.2">
      <c r="C41" s="45">
        <v>-100518</v>
      </c>
      <c r="D41" s="33"/>
      <c r="E41" s="25">
        <v>-598.29999999999995</v>
      </c>
      <c r="F41" s="41">
        <f t="shared" si="6"/>
        <v>-598.29999999999995</v>
      </c>
      <c r="G41" s="8">
        <v>0.21</v>
      </c>
      <c r="H41" s="41">
        <f t="shared" si="5"/>
        <v>-125.64299999999999</v>
      </c>
    </row>
    <row r="42" spans="3:9" ht="15" x14ac:dyDescent="0.35">
      <c r="C42" s="45">
        <v>647252</v>
      </c>
      <c r="D42" s="33"/>
      <c r="E42" s="36">
        <f>1377.69+6660.87</f>
        <v>8038.5599999999995</v>
      </c>
      <c r="F42" s="32">
        <f t="shared" si="6"/>
        <v>8038.5599999999995</v>
      </c>
      <c r="G42" s="8">
        <v>0.21</v>
      </c>
      <c r="H42" s="32">
        <f t="shared" si="5"/>
        <v>1688.0975999999998</v>
      </c>
    </row>
    <row r="43" spans="3:9" x14ac:dyDescent="0.2">
      <c r="E43" s="19">
        <f>SUM(E25:E42)</f>
        <v>561220.41</v>
      </c>
      <c r="F43" s="19">
        <f>SUM(F25:F42)</f>
        <v>58254.409999999982</v>
      </c>
      <c r="G43" s="33" t="s">
        <v>43</v>
      </c>
      <c r="H43" s="19">
        <f>SUM(H25:H42)</f>
        <v>12233.426100000008</v>
      </c>
    </row>
    <row r="44" spans="3:9" ht="15" x14ac:dyDescent="0.35">
      <c r="G44" s="33" t="s">
        <v>44</v>
      </c>
      <c r="H44" s="32">
        <f>-H61*0.21</f>
        <v>-5764.6858499999989</v>
      </c>
    </row>
    <row r="45" spans="3:9" x14ac:dyDescent="0.2">
      <c r="H45" s="19">
        <f>H43+H44</f>
        <v>6468.7402500000089</v>
      </c>
    </row>
    <row r="46" spans="3:9" x14ac:dyDescent="0.2">
      <c r="H46" s="19">
        <f>H45-K13</f>
        <v>3640.4200000000028</v>
      </c>
      <c r="I46" s="33" t="s">
        <v>56</v>
      </c>
    </row>
    <row r="47" spans="3:9" x14ac:dyDescent="0.2">
      <c r="C47" s="7" t="s">
        <v>39</v>
      </c>
      <c r="D47" s="27" t="s">
        <v>35</v>
      </c>
      <c r="E47" s="28" t="s">
        <v>40</v>
      </c>
      <c r="F47" s="7" t="s">
        <v>41</v>
      </c>
      <c r="G47" s="8" t="s">
        <v>28</v>
      </c>
      <c r="H47" s="7" t="s">
        <v>42</v>
      </c>
    </row>
    <row r="48" spans="3:9" x14ac:dyDescent="0.2">
      <c r="C48" s="23">
        <v>846667</v>
      </c>
      <c r="D48" s="19">
        <f>D25</f>
        <v>502966</v>
      </c>
      <c r="E48" s="28">
        <v>0</v>
      </c>
      <c r="F48" s="7">
        <f>E48-D48</f>
        <v>-502966</v>
      </c>
      <c r="G48" s="8">
        <v>0.05</v>
      </c>
      <c r="H48" s="7">
        <f>F48*G48</f>
        <v>-25148.300000000003</v>
      </c>
    </row>
    <row r="49" spans="3:8" x14ac:dyDescent="0.2">
      <c r="C49" s="44">
        <v>826019.67</v>
      </c>
      <c r="D49" s="27"/>
      <c r="E49" s="28">
        <v>0</v>
      </c>
      <c r="F49" s="7">
        <f>E49</f>
        <v>0</v>
      </c>
      <c r="G49" s="8">
        <v>0.05</v>
      </c>
      <c r="H49" s="7">
        <f>F49*G49</f>
        <v>0</v>
      </c>
    </row>
    <row r="50" spans="3:8" x14ac:dyDescent="0.2">
      <c r="C50" s="44">
        <f>42104034.364-265688.84</f>
        <v>41838345.523999996</v>
      </c>
      <c r="E50" s="19">
        <v>185433.18</v>
      </c>
      <c r="F50" s="19">
        <f>E50</f>
        <v>185433.18</v>
      </c>
      <c r="G50" s="8">
        <v>0.05</v>
      </c>
      <c r="H50" s="7">
        <f t="shared" ref="H50:H60" si="7">F50*G50</f>
        <v>9271.6589999999997</v>
      </c>
    </row>
    <row r="51" spans="3:8" x14ac:dyDescent="0.2">
      <c r="C51" s="44">
        <v>63156051.545999996</v>
      </c>
      <c r="E51" s="19">
        <v>701733.91</v>
      </c>
      <c r="F51" s="19">
        <f>E51</f>
        <v>701733.91</v>
      </c>
      <c r="G51" s="8">
        <v>0.05</v>
      </c>
      <c r="H51" s="7">
        <f t="shared" si="7"/>
        <v>35086.695500000002</v>
      </c>
    </row>
    <row r="52" spans="3:8" x14ac:dyDescent="0.2">
      <c r="C52" s="44">
        <v>189602.13</v>
      </c>
      <c r="E52" s="41">
        <v>902.66</v>
      </c>
      <c r="F52" s="41">
        <f>E52</f>
        <v>902.66</v>
      </c>
      <c r="G52" s="8">
        <v>0.05</v>
      </c>
      <c r="H52" s="37">
        <f t="shared" si="7"/>
        <v>45.133000000000003</v>
      </c>
    </row>
    <row r="53" spans="3:8" x14ac:dyDescent="0.2">
      <c r="C53" s="45">
        <v>2766726</v>
      </c>
      <c r="D53" s="33"/>
      <c r="E53" s="41">
        <f>5268.77+27667.26</f>
        <v>32936.03</v>
      </c>
      <c r="F53" s="41">
        <f t="shared" ref="F53:F60" si="8">E53</f>
        <v>32936.03</v>
      </c>
      <c r="G53" s="8">
        <v>0.05</v>
      </c>
      <c r="H53" s="37">
        <f t="shared" si="7"/>
        <v>1646.8015</v>
      </c>
    </row>
    <row r="54" spans="3:8" x14ac:dyDescent="0.2">
      <c r="C54" s="45">
        <v>-2619808</v>
      </c>
      <c r="D54" s="33"/>
      <c r="E54" s="41">
        <f>-4988.99-26198.08</f>
        <v>-31187.07</v>
      </c>
      <c r="F54" s="41">
        <f t="shared" si="8"/>
        <v>-31187.07</v>
      </c>
      <c r="G54" s="8">
        <v>0.05</v>
      </c>
      <c r="H54" s="37">
        <f t="shared" si="7"/>
        <v>-1559.3535000000002</v>
      </c>
    </row>
    <row r="55" spans="3:8" x14ac:dyDescent="0.2">
      <c r="C55" s="45">
        <v>12886356</v>
      </c>
      <c r="D55" s="33"/>
      <c r="E55" s="41">
        <f>24539.92+128863.56</f>
        <v>153403.47999999998</v>
      </c>
      <c r="F55" s="41">
        <f t="shared" si="8"/>
        <v>153403.47999999998</v>
      </c>
      <c r="G55" s="8">
        <v>0.05</v>
      </c>
      <c r="H55" s="37">
        <f t="shared" si="7"/>
        <v>7670.1739999999991</v>
      </c>
    </row>
    <row r="56" spans="3:8" x14ac:dyDescent="0.2">
      <c r="C56" s="45">
        <v>393581</v>
      </c>
      <c r="D56" s="33"/>
      <c r="E56" s="41">
        <v>1873.78</v>
      </c>
      <c r="F56" s="41">
        <f t="shared" si="8"/>
        <v>1873.78</v>
      </c>
      <c r="G56" s="8">
        <v>0.05</v>
      </c>
      <c r="H56" s="37">
        <f t="shared" si="7"/>
        <v>93.689000000000007</v>
      </c>
    </row>
    <row r="57" spans="3:8" x14ac:dyDescent="0.2">
      <c r="C57" s="45">
        <v>8892</v>
      </c>
      <c r="D57" s="33"/>
      <c r="E57" s="41">
        <v>45.77</v>
      </c>
      <c r="F57" s="41">
        <f t="shared" si="8"/>
        <v>45.77</v>
      </c>
      <c r="G57" s="8">
        <v>0.05</v>
      </c>
      <c r="H57" s="37">
        <f t="shared" si="7"/>
        <v>2.2885000000000004</v>
      </c>
    </row>
    <row r="58" spans="3:8" x14ac:dyDescent="0.2">
      <c r="C58" s="45">
        <v>704440</v>
      </c>
      <c r="D58" s="33"/>
      <c r="E58" s="41"/>
      <c r="F58" s="41">
        <f t="shared" si="8"/>
        <v>0</v>
      </c>
      <c r="G58" s="8">
        <v>0.05</v>
      </c>
      <c r="H58" s="37">
        <f t="shared" si="7"/>
        <v>0</v>
      </c>
    </row>
    <row r="59" spans="3:8" x14ac:dyDescent="0.2">
      <c r="C59" s="45">
        <v>-100518</v>
      </c>
      <c r="D59" s="33"/>
      <c r="E59" s="41">
        <v>-1196.5999999999999</v>
      </c>
      <c r="F59" s="41">
        <f t="shared" si="8"/>
        <v>-1196.5999999999999</v>
      </c>
      <c r="G59" s="8">
        <v>0.05</v>
      </c>
      <c r="H59" s="37">
        <f t="shared" si="7"/>
        <v>-59.83</v>
      </c>
    </row>
    <row r="60" spans="3:8" ht="15" x14ac:dyDescent="0.35">
      <c r="C60" s="45">
        <v>647252</v>
      </c>
      <c r="D60" s="33"/>
      <c r="E60" s="32">
        <f>1377.69+6660.87</f>
        <v>8038.5599999999995</v>
      </c>
      <c r="F60" s="32">
        <f t="shared" si="8"/>
        <v>8038.5599999999995</v>
      </c>
      <c r="G60" s="8">
        <v>0.05</v>
      </c>
      <c r="H60" s="31">
        <f t="shared" si="7"/>
        <v>401.928</v>
      </c>
    </row>
    <row r="61" spans="3:8" x14ac:dyDescent="0.2">
      <c r="E61" s="19">
        <f>SUM(E48:E60)</f>
        <v>1051983.7000000002</v>
      </c>
      <c r="F61" s="19">
        <f t="shared" ref="F61:H61" si="9">SUM(F48:F60)</f>
        <v>549017.70000000007</v>
      </c>
      <c r="G61" s="19"/>
      <c r="H61" s="19">
        <f t="shared" si="9"/>
        <v>27450.884999999995</v>
      </c>
    </row>
    <row r="62" spans="3:8" x14ac:dyDescent="0.2">
      <c r="H62" s="7">
        <f>H61-L13</f>
        <v>0</v>
      </c>
    </row>
  </sheetData>
  <pageMargins left="0.7" right="0.7" top="1.15625" bottom="0.75" header="0.3" footer="0.3"/>
  <pageSetup scale="51" orientation="portrait" r:id="rId1"/>
  <headerFooter>
    <oddHeader>&amp;R&amp;"Times New Roman,Bold"&amp;12Attachment to Response to Question 3
Page 3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P100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140625" customWidth="1"/>
    <col min="4" max="4" width="14.28515625" bestFit="1" customWidth="1"/>
    <col min="5" max="5" width="16.425781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3.42578125" bestFit="1" customWidth="1"/>
    <col min="16" max="16" width="11.28515625" bestFit="1" customWidth="1"/>
  </cols>
  <sheetData>
    <row r="1" spans="1:16" x14ac:dyDescent="0.2">
      <c r="A1" s="48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x14ac:dyDescent="0.2">
      <c r="A2" s="48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6" x14ac:dyDescent="0.2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6" x14ac:dyDescent="0.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4"/>
    </row>
    <row r="5" spans="1:16" x14ac:dyDescent="0.2">
      <c r="A5" s="52" t="s">
        <v>10</v>
      </c>
    </row>
    <row r="6" spans="1:16" x14ac:dyDescent="0.2">
      <c r="A6" s="53" t="s">
        <v>17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68417464</v>
      </c>
      <c r="O9" s="7"/>
    </row>
    <row r="10" spans="1:16" x14ac:dyDescent="0.2">
      <c r="A10" s="38">
        <v>44264</v>
      </c>
      <c r="C10" s="7">
        <v>369714761</v>
      </c>
      <c r="D10" s="25">
        <v>1293856</v>
      </c>
      <c r="E10" s="10">
        <f>709311.69+660</f>
        <v>709971.69</v>
      </c>
      <c r="F10" s="10">
        <f>1289922.63+660</f>
        <v>1290582.6299999999</v>
      </c>
      <c r="G10" s="7">
        <f>E10-D10</f>
        <v>-583884.31000000006</v>
      </c>
      <c r="H10" s="7">
        <f>F10-D10</f>
        <v>-3273.3700000001118</v>
      </c>
      <c r="I10" s="8">
        <v>0.21</v>
      </c>
      <c r="J10" s="8">
        <v>0.05</v>
      </c>
      <c r="K10" s="7">
        <f>G10*I10+164*I10-82171.99</f>
        <v>-204753.25510000001</v>
      </c>
      <c r="L10" s="7">
        <f>H10*J10-338.23</f>
        <v>-501.89850000000558</v>
      </c>
      <c r="M10" s="7">
        <f t="shared" ref="M10:M13" si="0">M9+K10+L10</f>
        <v>68212208.846400008</v>
      </c>
      <c r="N10" s="7">
        <f>2250889.97-'[1]Project 28'!N10</f>
        <v>2102406.9000000004</v>
      </c>
      <c r="O10" s="39"/>
      <c r="P10" s="19"/>
    </row>
    <row r="11" spans="1:16" x14ac:dyDescent="0.2">
      <c r="A11" s="38">
        <v>44287</v>
      </c>
      <c r="C11" s="7">
        <v>369714761</v>
      </c>
      <c r="D11" s="25">
        <v>1293928</v>
      </c>
      <c r="E11" s="10">
        <f>709311.69+923</f>
        <v>710234.69</v>
      </c>
      <c r="F11" s="10">
        <f>1289922.63+923</f>
        <v>1290845.6299999999</v>
      </c>
      <c r="G11" s="7">
        <f t="shared" ref="G11:G15" si="1">E11-D11</f>
        <v>-583693.31000000006</v>
      </c>
      <c r="H11" s="7">
        <f t="shared" ref="H11:H15" si="2">F11-D11</f>
        <v>-3082.3700000001118</v>
      </c>
      <c r="I11" s="8">
        <v>0.21</v>
      </c>
      <c r="J11" s="8">
        <v>0.05</v>
      </c>
      <c r="K11" s="7">
        <f>G11*I11+154*I11-82171.99</f>
        <v>-204715.2451</v>
      </c>
      <c r="L11" s="7">
        <f>H11*J11-338.23</f>
        <v>-492.34850000000563</v>
      </c>
      <c r="M11" s="7">
        <f t="shared" si="0"/>
        <v>68007001.252800003</v>
      </c>
      <c r="N11" s="7">
        <f>2235382.89-'[1]Project 28'!N11</f>
        <v>2088258.4400000002</v>
      </c>
      <c r="O11" s="39"/>
      <c r="P11" s="19"/>
    </row>
    <row r="12" spans="1:16" x14ac:dyDescent="0.2">
      <c r="A12" s="38">
        <v>44317</v>
      </c>
      <c r="C12" s="7">
        <v>369714761</v>
      </c>
      <c r="D12" s="25">
        <v>1293928</v>
      </c>
      <c r="E12" s="10">
        <f>709311.69+918</f>
        <v>710229.69</v>
      </c>
      <c r="F12" s="10">
        <f>1289922.63+918</f>
        <v>1290840.6299999999</v>
      </c>
      <c r="G12" s="7">
        <f>E12-D12</f>
        <v>-583698.31000000006</v>
      </c>
      <c r="H12" s="7">
        <f>F12-D12</f>
        <v>-3087.3700000001118</v>
      </c>
      <c r="I12" s="8">
        <v>0.21</v>
      </c>
      <c r="J12" s="8">
        <v>0.05</v>
      </c>
      <c r="K12" s="7">
        <f>G12*I12+154*I12-82171.99</f>
        <v>-204716.29510000002</v>
      </c>
      <c r="L12" s="7">
        <f>H12*J12-338.23</f>
        <v>-492.59850000000563</v>
      </c>
      <c r="M12" s="7">
        <f t="shared" si="0"/>
        <v>67801792.359200001</v>
      </c>
      <c r="N12" s="7">
        <f>2219875.81-'[1]Project 28'!N12</f>
        <v>2074109.97</v>
      </c>
      <c r="O12" s="40"/>
      <c r="P12" s="19"/>
    </row>
    <row r="13" spans="1:16" x14ac:dyDescent="0.2">
      <c r="A13" s="38">
        <v>44348</v>
      </c>
      <c r="C13" s="7">
        <v>369716747</v>
      </c>
      <c r="D13" s="25">
        <v>1293931.5</v>
      </c>
      <c r="E13" s="10">
        <f>709311.69+921</f>
        <v>710232.69</v>
      </c>
      <c r="F13" s="10">
        <f>1289922.63+921</f>
        <v>1290843.6299999999</v>
      </c>
      <c r="G13" s="7">
        <f>E13-D13</f>
        <v>-583698.81000000006</v>
      </c>
      <c r="H13" s="7">
        <f>F13-D13</f>
        <v>-3087.8700000001118</v>
      </c>
      <c r="I13" s="8">
        <v>0.21</v>
      </c>
      <c r="J13" s="8">
        <v>0.05</v>
      </c>
      <c r="K13" s="7">
        <f>G13*I13+155*I13-82171.99</f>
        <v>-204716.19010000001</v>
      </c>
      <c r="L13" s="7">
        <f>H13*J13-338.23</f>
        <v>-492.62350000000561</v>
      </c>
      <c r="M13" s="7">
        <f t="shared" si="0"/>
        <v>67596583.545599997</v>
      </c>
      <c r="N13" s="7">
        <f>2204368.73-'[1]Project 28'!N13</f>
        <v>2059961.51</v>
      </c>
      <c r="O13" s="22"/>
      <c r="P13" s="19"/>
    </row>
    <row r="14" spans="1:16" x14ac:dyDescent="0.2">
      <c r="A14" s="38">
        <v>44378</v>
      </c>
      <c r="C14" s="7"/>
      <c r="D14" s="25"/>
      <c r="E14" s="25"/>
      <c r="F14" s="25"/>
      <c r="G14" s="7">
        <f t="shared" si="1"/>
        <v>0</v>
      </c>
      <c r="H14" s="7">
        <f t="shared" si="2"/>
        <v>0</v>
      </c>
      <c r="I14" s="8">
        <v>0.21</v>
      </c>
      <c r="J14" s="8">
        <v>0.05</v>
      </c>
      <c r="K14" s="7">
        <f t="shared" ref="K14:K15" si="3">G14*I14-L14*I14</f>
        <v>0</v>
      </c>
      <c r="L14" s="7">
        <f t="shared" ref="L14:L15" si="4">H14*J14</f>
        <v>0</v>
      </c>
      <c r="M14" s="7">
        <v>0</v>
      </c>
      <c r="N14" s="7">
        <v>0</v>
      </c>
      <c r="O14" s="22"/>
      <c r="P14" s="19"/>
    </row>
    <row r="15" spans="1:16" x14ac:dyDescent="0.2">
      <c r="A15" s="38">
        <v>44409</v>
      </c>
      <c r="C15" s="7"/>
      <c r="D15" s="25"/>
      <c r="E15" s="25"/>
      <c r="F15" s="25"/>
      <c r="G15" s="7">
        <f t="shared" si="1"/>
        <v>0</v>
      </c>
      <c r="H15" s="7">
        <f t="shared" si="2"/>
        <v>0</v>
      </c>
      <c r="I15" s="8">
        <v>0.21</v>
      </c>
      <c r="J15" s="8">
        <v>0.05</v>
      </c>
      <c r="K15" s="7">
        <f t="shared" si="3"/>
        <v>0</v>
      </c>
      <c r="L15" s="7">
        <f t="shared" si="4"/>
        <v>0</v>
      </c>
      <c r="M15" s="7">
        <v>0</v>
      </c>
      <c r="N15" s="7">
        <v>0</v>
      </c>
      <c r="P15" s="19"/>
    </row>
    <row r="16" spans="1:16" x14ac:dyDescent="0.2">
      <c r="A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54"/>
      <c r="C17" s="37" t="s">
        <v>61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47</v>
      </c>
    </row>
    <row r="20" spans="1:14" x14ac:dyDescent="0.2">
      <c r="C20" s="43" t="s">
        <v>31</v>
      </c>
    </row>
    <row r="21" spans="1:14" x14ac:dyDescent="0.2">
      <c r="C21" s="43" t="s">
        <v>64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25">
        <v>17068.5</v>
      </c>
      <c r="D25" s="25">
        <v>1293932</v>
      </c>
      <c r="E25" s="25"/>
      <c r="F25" s="19">
        <f>E25-D25</f>
        <v>-1293932</v>
      </c>
      <c r="G25" s="8">
        <v>0.21</v>
      </c>
      <c r="H25" s="19">
        <f>F25*G25</f>
        <v>-271725.71999999997</v>
      </c>
    </row>
    <row r="26" spans="1:14" x14ac:dyDescent="0.2">
      <c r="C26" s="25">
        <v>863123.25</v>
      </c>
      <c r="E26" s="18">
        <v>3209.3799512500004</v>
      </c>
      <c r="F26" s="19">
        <f>E26</f>
        <v>3209.3799512500004</v>
      </c>
      <c r="G26" s="8">
        <v>0.21</v>
      </c>
      <c r="H26" s="19">
        <f t="shared" ref="H26:H55" si="5">F26*G26</f>
        <v>673.96978976250011</v>
      </c>
    </row>
    <row r="27" spans="1:14" x14ac:dyDescent="0.2">
      <c r="C27" s="25">
        <v>172624.8</v>
      </c>
      <c r="E27" s="18">
        <v>0</v>
      </c>
      <c r="F27" s="19">
        <f t="shared" ref="F27:F59" si="6">E27</f>
        <v>0</v>
      </c>
      <c r="G27" s="8">
        <v>0.21</v>
      </c>
      <c r="H27" s="19">
        <f t="shared" si="5"/>
        <v>0</v>
      </c>
    </row>
    <row r="28" spans="1:14" x14ac:dyDescent="0.2">
      <c r="C28" s="25">
        <v>115083.20000000001</v>
      </c>
      <c r="E28" s="18">
        <v>427.91769866666669</v>
      </c>
      <c r="F28" s="19">
        <f t="shared" si="6"/>
        <v>427.91769866666669</v>
      </c>
      <c r="G28" s="8">
        <v>0.21</v>
      </c>
      <c r="H28" s="19">
        <f t="shared" si="5"/>
        <v>89.862716720000009</v>
      </c>
    </row>
    <row r="29" spans="1:14" x14ac:dyDescent="0.2">
      <c r="C29" s="25">
        <v>16958769.375</v>
      </c>
      <c r="E29" s="25">
        <v>63906.295928125008</v>
      </c>
      <c r="F29" s="19">
        <f t="shared" si="6"/>
        <v>63906.295928125008</v>
      </c>
      <c r="G29" s="8">
        <v>0.21</v>
      </c>
      <c r="H29" s="19">
        <f t="shared" si="5"/>
        <v>13420.322144906251</v>
      </c>
    </row>
    <row r="30" spans="1:14" x14ac:dyDescent="0.2">
      <c r="C30" s="25">
        <v>3391753.8750000005</v>
      </c>
      <c r="E30" s="25">
        <v>0</v>
      </c>
      <c r="F30" s="19">
        <f t="shared" si="6"/>
        <v>0</v>
      </c>
      <c r="G30" s="8">
        <v>0.21</v>
      </c>
      <c r="H30" s="19">
        <f t="shared" si="5"/>
        <v>0</v>
      </c>
    </row>
    <row r="31" spans="1:14" x14ac:dyDescent="0.2">
      <c r="C31" s="25">
        <v>2261169.2500000005</v>
      </c>
      <c r="E31" s="25">
        <v>8520.8394570833352</v>
      </c>
      <c r="F31" s="19">
        <f t="shared" si="6"/>
        <v>8520.8394570833352</v>
      </c>
      <c r="G31" s="8">
        <v>0.21</v>
      </c>
      <c r="H31" s="19">
        <f t="shared" si="5"/>
        <v>1789.3762859875003</v>
      </c>
    </row>
    <row r="32" spans="1:14" x14ac:dyDescent="0.2">
      <c r="C32" s="25">
        <v>96326943.479999989</v>
      </c>
      <c r="E32" s="25">
        <v>362992.03</v>
      </c>
      <c r="F32" s="19">
        <f t="shared" si="6"/>
        <v>362992.03</v>
      </c>
      <c r="G32" s="8">
        <v>0.21</v>
      </c>
      <c r="H32" s="19">
        <f t="shared" si="5"/>
        <v>76228.326300000001</v>
      </c>
    </row>
    <row r="33" spans="3:8" x14ac:dyDescent="0.2">
      <c r="C33" s="25">
        <v>18955938.995999999</v>
      </c>
      <c r="E33" s="25"/>
      <c r="F33" s="19">
        <f t="shared" si="6"/>
        <v>0</v>
      </c>
      <c r="G33" s="8">
        <v>0.21</v>
      </c>
      <c r="H33" s="19">
        <f t="shared" si="5"/>
        <v>0</v>
      </c>
    </row>
    <row r="34" spans="3:8" x14ac:dyDescent="0.2">
      <c r="C34" s="25">
        <v>12637292.664000001</v>
      </c>
      <c r="E34" s="25">
        <v>47621.53</v>
      </c>
      <c r="F34" s="19">
        <f t="shared" si="6"/>
        <v>47621.53</v>
      </c>
      <c r="G34" s="8">
        <v>0.21</v>
      </c>
      <c r="H34" s="19">
        <f t="shared" si="5"/>
        <v>10000.521299999999</v>
      </c>
    </row>
    <row r="35" spans="3:8" x14ac:dyDescent="0.2">
      <c r="C35" s="25">
        <v>2579539.44</v>
      </c>
      <c r="E35" s="25">
        <v>10507.32</v>
      </c>
      <c r="F35" s="19">
        <f t="shared" si="6"/>
        <v>10507.32</v>
      </c>
      <c r="G35" s="8">
        <v>0.21</v>
      </c>
      <c r="H35" s="19">
        <f t="shared" si="5"/>
        <v>2206.5371999999998</v>
      </c>
    </row>
    <row r="36" spans="3:8" x14ac:dyDescent="0.2">
      <c r="C36" s="25">
        <v>515907.88799999998</v>
      </c>
      <c r="E36" s="25">
        <v>0</v>
      </c>
      <c r="F36" s="19">
        <f t="shared" si="6"/>
        <v>0</v>
      </c>
      <c r="G36" s="8">
        <v>0.21</v>
      </c>
      <c r="H36" s="19">
        <f t="shared" si="5"/>
        <v>0</v>
      </c>
    </row>
    <row r="37" spans="3:8" x14ac:dyDescent="0.2">
      <c r="C37" s="25">
        <v>343938.592</v>
      </c>
      <c r="E37" s="25">
        <v>1400.98</v>
      </c>
      <c r="F37" s="19">
        <f t="shared" si="6"/>
        <v>1400.98</v>
      </c>
      <c r="G37" s="8">
        <v>0.21</v>
      </c>
      <c r="H37" s="19">
        <f t="shared" si="5"/>
        <v>294.20580000000001</v>
      </c>
    </row>
    <row r="38" spans="3:8" x14ac:dyDescent="0.2">
      <c r="C38" s="25">
        <v>3753722.94</v>
      </c>
      <c r="E38" s="25">
        <v>16532.02</v>
      </c>
      <c r="F38" s="19">
        <f t="shared" si="6"/>
        <v>16532.02</v>
      </c>
      <c r="G38" s="8">
        <v>0.21</v>
      </c>
      <c r="H38" s="19">
        <f t="shared" si="5"/>
        <v>3471.7242000000001</v>
      </c>
    </row>
    <row r="39" spans="3:8" x14ac:dyDescent="0.2">
      <c r="C39" s="25">
        <v>750744.58799999999</v>
      </c>
      <c r="E39" s="25">
        <v>6256.2</v>
      </c>
      <c r="F39" s="19">
        <f t="shared" si="6"/>
        <v>6256.2</v>
      </c>
      <c r="G39" s="8">
        <v>0.21</v>
      </c>
      <c r="H39" s="19">
        <f t="shared" si="5"/>
        <v>1313.8019999999999</v>
      </c>
    </row>
    <row r="40" spans="3:8" x14ac:dyDescent="0.2">
      <c r="C40" s="25">
        <v>500496.39199999999</v>
      </c>
      <c r="E40" s="25">
        <v>2204.27</v>
      </c>
      <c r="F40" s="19">
        <f t="shared" si="6"/>
        <v>2204.27</v>
      </c>
      <c r="G40" s="8">
        <v>0.21</v>
      </c>
      <c r="H40" s="19">
        <f t="shared" si="5"/>
        <v>462.89669999999995</v>
      </c>
    </row>
    <row r="41" spans="3:8" x14ac:dyDescent="0.2">
      <c r="C41" s="25">
        <v>-21906.708749999998</v>
      </c>
      <c r="E41" s="25">
        <v>-96.48</v>
      </c>
      <c r="F41" s="19">
        <f t="shared" si="6"/>
        <v>-96.48</v>
      </c>
      <c r="G41" s="8">
        <v>0.21</v>
      </c>
      <c r="H41" s="19">
        <f t="shared" si="5"/>
        <v>-20.2608</v>
      </c>
    </row>
    <row r="42" spans="3:8" x14ac:dyDescent="0.2">
      <c r="C42" s="25">
        <v>-4381.3417499999996</v>
      </c>
      <c r="E42" s="25">
        <v>-54.77</v>
      </c>
      <c r="F42" s="19">
        <f t="shared" si="6"/>
        <v>-54.77</v>
      </c>
      <c r="G42" s="8">
        <v>0.21</v>
      </c>
      <c r="H42" s="19">
        <f t="shared" si="5"/>
        <v>-11.5017</v>
      </c>
    </row>
    <row r="43" spans="3:8" x14ac:dyDescent="0.2">
      <c r="C43" s="25">
        <v>-2920.8945000000003</v>
      </c>
      <c r="E43" s="25">
        <v>-12.86</v>
      </c>
      <c r="F43" s="19">
        <f t="shared" si="6"/>
        <v>-12.86</v>
      </c>
      <c r="G43" s="8">
        <v>0.21</v>
      </c>
      <c r="H43" s="19">
        <f t="shared" si="5"/>
        <v>-2.7005999999999997</v>
      </c>
    </row>
    <row r="44" spans="3:8" x14ac:dyDescent="0.2">
      <c r="C44" s="25">
        <v>29295.040000000001</v>
      </c>
      <c r="E44" s="25">
        <v>129.02000000000001</v>
      </c>
      <c r="F44" s="19">
        <f t="shared" si="6"/>
        <v>129.02000000000001</v>
      </c>
      <c r="G44" s="8">
        <v>0.21</v>
      </c>
      <c r="H44" s="19">
        <f t="shared" si="5"/>
        <v>27.094200000000001</v>
      </c>
    </row>
    <row r="45" spans="3:8" x14ac:dyDescent="0.2">
      <c r="C45" s="25">
        <v>21.04</v>
      </c>
      <c r="E45" s="25"/>
      <c r="F45" s="19">
        <f t="shared" si="6"/>
        <v>0</v>
      </c>
      <c r="G45" s="8">
        <v>0.21</v>
      </c>
      <c r="H45" s="19">
        <f t="shared" si="5"/>
        <v>0</v>
      </c>
    </row>
    <row r="46" spans="3:8" x14ac:dyDescent="0.2">
      <c r="C46" s="25">
        <v>15.78</v>
      </c>
      <c r="E46" s="25">
        <v>0.08</v>
      </c>
      <c r="F46" s="19">
        <f t="shared" si="6"/>
        <v>0.08</v>
      </c>
      <c r="G46" s="8">
        <v>0.21</v>
      </c>
      <c r="H46" s="19">
        <f t="shared" si="5"/>
        <v>1.6799999999999999E-2</v>
      </c>
    </row>
    <row r="47" spans="3:8" x14ac:dyDescent="0.2">
      <c r="C47" s="25">
        <v>3.1559999999999997</v>
      </c>
      <c r="E47" s="25">
        <v>0.05</v>
      </c>
      <c r="F47" s="19">
        <f t="shared" si="6"/>
        <v>0.05</v>
      </c>
      <c r="G47" s="8">
        <v>0.21</v>
      </c>
      <c r="H47" s="19">
        <f t="shared" si="5"/>
        <v>1.0500000000000001E-2</v>
      </c>
    </row>
    <row r="48" spans="3:8" x14ac:dyDescent="0.2">
      <c r="C48" s="25">
        <v>2.1040000000000001</v>
      </c>
      <c r="E48" s="25">
        <v>0.01</v>
      </c>
      <c r="F48" s="41">
        <f t="shared" si="6"/>
        <v>0.01</v>
      </c>
      <c r="G48" s="8">
        <v>0.21</v>
      </c>
      <c r="H48" s="41">
        <f t="shared" si="5"/>
        <v>2.0999999999999999E-3</v>
      </c>
    </row>
    <row r="49" spans="3:9" x14ac:dyDescent="0.2">
      <c r="C49" s="25">
        <v>-14734</v>
      </c>
      <c r="E49" s="25"/>
      <c r="F49" s="41">
        <f t="shared" si="6"/>
        <v>0</v>
      </c>
      <c r="G49" s="8">
        <v>0.21</v>
      </c>
      <c r="H49" s="41">
        <f t="shared" si="5"/>
        <v>0</v>
      </c>
    </row>
    <row r="50" spans="3:9" x14ac:dyDescent="0.2">
      <c r="C50" s="25">
        <v>38967</v>
      </c>
      <c r="E50" s="25">
        <v>92.76</v>
      </c>
      <c r="F50" s="41">
        <f t="shared" si="6"/>
        <v>92.76</v>
      </c>
      <c r="G50" s="8">
        <v>0.21</v>
      </c>
      <c r="H50" s="41">
        <f t="shared" si="5"/>
        <v>19.479600000000001</v>
      </c>
    </row>
    <row r="51" spans="3:9" x14ac:dyDescent="0.2">
      <c r="C51" s="25">
        <v>20762450</v>
      </c>
      <c r="E51" s="25">
        <v>92568.57</v>
      </c>
      <c r="F51" s="41">
        <f t="shared" si="6"/>
        <v>92568.57</v>
      </c>
      <c r="G51" s="8">
        <v>0.21</v>
      </c>
      <c r="H51" s="41">
        <f t="shared" si="5"/>
        <v>19439.399700000002</v>
      </c>
    </row>
    <row r="52" spans="3:9" x14ac:dyDescent="0.2">
      <c r="C52" s="25">
        <v>3989775</v>
      </c>
      <c r="E52" s="25">
        <v>13715.6</v>
      </c>
      <c r="F52" s="41">
        <f t="shared" si="6"/>
        <v>13715.6</v>
      </c>
      <c r="G52" s="8">
        <v>0.21</v>
      </c>
      <c r="H52" s="41">
        <f t="shared" si="5"/>
        <v>2880.2759999999998</v>
      </c>
    </row>
    <row r="53" spans="3:9" x14ac:dyDescent="0.2">
      <c r="C53" s="25">
        <v>1251958</v>
      </c>
      <c r="E53" s="25">
        <v>6966.1</v>
      </c>
      <c r="F53" s="41">
        <f t="shared" si="6"/>
        <v>6966.1</v>
      </c>
      <c r="G53" s="8">
        <v>0.21</v>
      </c>
      <c r="H53" s="41">
        <f t="shared" si="5"/>
        <v>1462.8810000000001</v>
      </c>
    </row>
    <row r="54" spans="3:9" x14ac:dyDescent="0.2">
      <c r="C54" s="25">
        <v>42515</v>
      </c>
      <c r="E54" s="25"/>
      <c r="F54" s="41">
        <f t="shared" si="6"/>
        <v>0</v>
      </c>
      <c r="G54" s="8">
        <v>0.21</v>
      </c>
      <c r="H54" s="41">
        <f t="shared" si="5"/>
        <v>0</v>
      </c>
    </row>
    <row r="55" spans="3:9" x14ac:dyDescent="0.2">
      <c r="C55" s="25">
        <v>-146644</v>
      </c>
      <c r="E55" s="25">
        <v>-1126.49</v>
      </c>
      <c r="F55" s="41">
        <f t="shared" si="6"/>
        <v>-1126.49</v>
      </c>
      <c r="G55" s="8">
        <v>0.21</v>
      </c>
      <c r="H55" s="41">
        <f t="shared" si="5"/>
        <v>-236.56289999999998</v>
      </c>
    </row>
    <row r="56" spans="3:9" x14ac:dyDescent="0.2">
      <c r="C56" s="25">
        <v>2874747</v>
      </c>
      <c r="E56" s="25">
        <v>11510.13</v>
      </c>
      <c r="F56" s="41">
        <f t="shared" si="6"/>
        <v>11510.13</v>
      </c>
      <c r="G56" s="8">
        <v>0.21</v>
      </c>
      <c r="H56" s="41">
        <f>F56*G56-0.1</f>
        <v>2417.0272999999997</v>
      </c>
    </row>
    <row r="57" spans="3:9" x14ac:dyDescent="0.2">
      <c r="C57" s="25">
        <v>6995179.2300000004</v>
      </c>
      <c r="E57" s="25">
        <v>43041.57</v>
      </c>
      <c r="F57" s="41">
        <f t="shared" si="6"/>
        <v>43041.57</v>
      </c>
      <c r="G57" s="8">
        <v>0.21</v>
      </c>
      <c r="H57" s="41">
        <f>F57*G57-0.1</f>
        <v>9038.6296999999995</v>
      </c>
    </row>
    <row r="58" spans="3:9" x14ac:dyDescent="0.2">
      <c r="C58" s="25">
        <v>5529579</v>
      </c>
      <c r="E58" s="25">
        <f>17279.93+2511</f>
        <v>19790.93</v>
      </c>
      <c r="F58" s="41">
        <f t="shared" si="6"/>
        <v>19790.93</v>
      </c>
      <c r="G58" s="8">
        <v>0.21</v>
      </c>
      <c r="H58" s="41">
        <f>F58*G58-0.1</f>
        <v>4155.9952999999996</v>
      </c>
    </row>
    <row r="59" spans="3:9" ht="15" x14ac:dyDescent="0.35">
      <c r="C59" s="25">
        <f>39676+1987</f>
        <v>41663</v>
      </c>
      <c r="E59" s="36">
        <f>123.99+6.21</f>
        <v>130.19999999999999</v>
      </c>
      <c r="F59" s="32">
        <f t="shared" si="6"/>
        <v>130.19999999999999</v>
      </c>
      <c r="G59" s="8">
        <v>0.21</v>
      </c>
      <c r="H59" s="32">
        <f>F59*G59-0.1</f>
        <v>27.241999999999994</v>
      </c>
    </row>
    <row r="60" spans="3:9" x14ac:dyDescent="0.2">
      <c r="E60" s="19">
        <f>SUM(E25:E59)</f>
        <v>710233.20303512516</v>
      </c>
      <c r="F60" s="19">
        <f>SUM(F25:F59)</f>
        <v>-583698.79696487507</v>
      </c>
      <c r="G60" s="33" t="s">
        <v>43</v>
      </c>
      <c r="H60" s="19">
        <f>SUM(H25:H59)</f>
        <v>-122577.14736262374</v>
      </c>
    </row>
    <row r="61" spans="3:9" ht="15" x14ac:dyDescent="0.35">
      <c r="G61" s="33" t="s">
        <v>44</v>
      </c>
      <c r="H61" s="32">
        <f>-H99*0.21</f>
        <v>32.422529999999362</v>
      </c>
    </row>
    <row r="62" spans="3:9" x14ac:dyDescent="0.2">
      <c r="H62" s="19">
        <f>H60+H61</f>
        <v>-122544.72483262375</v>
      </c>
    </row>
    <row r="63" spans="3:9" x14ac:dyDescent="0.2">
      <c r="H63" s="19">
        <f>H62-K13</f>
        <v>82171.465267376261</v>
      </c>
      <c r="I63" s="33" t="s">
        <v>62</v>
      </c>
    </row>
    <row r="64" spans="3:9" x14ac:dyDescent="0.2">
      <c r="C64" s="7" t="s">
        <v>39</v>
      </c>
      <c r="D64" s="27" t="s">
        <v>35</v>
      </c>
      <c r="E64" s="28" t="s">
        <v>40</v>
      </c>
      <c r="F64" s="7" t="s">
        <v>41</v>
      </c>
      <c r="G64" s="8" t="s">
        <v>28</v>
      </c>
      <c r="H64" s="7" t="s">
        <v>42</v>
      </c>
    </row>
    <row r="65" spans="3:8" x14ac:dyDescent="0.2">
      <c r="C65" s="19">
        <v>34138</v>
      </c>
      <c r="D65" s="19">
        <f>D25</f>
        <v>1293932</v>
      </c>
      <c r="E65" s="19"/>
      <c r="F65" s="19">
        <f>E65-D65</f>
        <v>-1293932</v>
      </c>
      <c r="G65" s="8">
        <v>0.05</v>
      </c>
      <c r="H65" s="19">
        <f>F65*G65</f>
        <v>-64696.600000000006</v>
      </c>
    </row>
    <row r="66" spans="3:8" x14ac:dyDescent="0.2">
      <c r="C66" s="19">
        <v>1726246.5</v>
      </c>
      <c r="E66" s="19">
        <v>6418.76</v>
      </c>
      <c r="F66" s="19">
        <f>E66</f>
        <v>6418.76</v>
      </c>
      <c r="G66" s="8">
        <v>0.05</v>
      </c>
      <c r="H66" s="19">
        <f t="shared" ref="H66:H98" si="7">F66*G66</f>
        <v>320.93800000000005</v>
      </c>
    </row>
    <row r="67" spans="3:8" x14ac:dyDescent="0.2">
      <c r="C67" s="19">
        <v>345249.3</v>
      </c>
      <c r="E67" s="19"/>
      <c r="F67" s="19">
        <f t="shared" ref="F67:F98" si="8">E67</f>
        <v>0</v>
      </c>
      <c r="G67" s="8">
        <v>0.05</v>
      </c>
      <c r="H67" s="19">
        <f t="shared" si="7"/>
        <v>0</v>
      </c>
    </row>
    <row r="68" spans="3:8" x14ac:dyDescent="0.2">
      <c r="C68" s="19">
        <v>230166.2</v>
      </c>
      <c r="E68" s="19">
        <v>855.83</v>
      </c>
      <c r="F68" s="19">
        <f t="shared" si="8"/>
        <v>855.83</v>
      </c>
      <c r="G68" s="8">
        <v>0.05</v>
      </c>
      <c r="H68" s="19">
        <f t="shared" si="7"/>
        <v>42.791500000000006</v>
      </c>
    </row>
    <row r="69" spans="3:8" x14ac:dyDescent="0.2">
      <c r="C69" s="19">
        <v>32248976.25</v>
      </c>
      <c r="E69" s="19">
        <v>121524.89</v>
      </c>
      <c r="F69" s="19">
        <f t="shared" si="8"/>
        <v>121524.89</v>
      </c>
      <c r="G69" s="8">
        <v>0.05</v>
      </c>
      <c r="H69" s="19">
        <f t="shared" si="7"/>
        <v>6076.2445000000007</v>
      </c>
    </row>
    <row r="70" spans="3:8" x14ac:dyDescent="0.2">
      <c r="C70" s="19">
        <v>6449795.25</v>
      </c>
      <c r="E70" s="19"/>
      <c r="F70" s="19">
        <f t="shared" si="8"/>
        <v>0</v>
      </c>
      <c r="G70" s="8">
        <v>0.05</v>
      </c>
      <c r="H70" s="19">
        <f t="shared" si="7"/>
        <v>0</v>
      </c>
    </row>
    <row r="71" spans="3:8" x14ac:dyDescent="0.2">
      <c r="C71" s="19">
        <v>4299863.5</v>
      </c>
      <c r="E71" s="19">
        <v>16203.32</v>
      </c>
      <c r="F71" s="19">
        <f t="shared" si="8"/>
        <v>16203.32</v>
      </c>
      <c r="G71" s="8">
        <v>0.05</v>
      </c>
      <c r="H71" s="19">
        <f t="shared" si="7"/>
        <v>810.16600000000005</v>
      </c>
    </row>
    <row r="72" spans="3:8" x14ac:dyDescent="0.2">
      <c r="C72" s="19">
        <v>192267074.83500001</v>
      </c>
      <c r="E72" s="19">
        <v>724526.43</v>
      </c>
      <c r="F72" s="19">
        <f t="shared" si="8"/>
        <v>724526.43</v>
      </c>
      <c r="G72" s="8">
        <v>0.05</v>
      </c>
      <c r="H72" s="19">
        <f t="shared" si="7"/>
        <v>36226.321500000005</v>
      </c>
    </row>
    <row r="73" spans="3:8" x14ac:dyDescent="0.2">
      <c r="C73" s="19">
        <v>38143965.266999997</v>
      </c>
      <c r="E73" s="19"/>
      <c r="F73" s="19">
        <f t="shared" si="8"/>
        <v>0</v>
      </c>
      <c r="G73" s="8">
        <v>0.05</v>
      </c>
      <c r="H73" s="19">
        <f t="shared" si="7"/>
        <v>0</v>
      </c>
    </row>
    <row r="74" spans="3:8" x14ac:dyDescent="0.2">
      <c r="C74" s="19">
        <v>25429310.178000003</v>
      </c>
      <c r="E74" s="19">
        <v>95826.12</v>
      </c>
      <c r="F74" s="19">
        <f t="shared" si="8"/>
        <v>95826.12</v>
      </c>
      <c r="G74" s="8">
        <v>0.05</v>
      </c>
      <c r="H74" s="19">
        <f t="shared" si="7"/>
        <v>4791.3059999999996</v>
      </c>
    </row>
    <row r="75" spans="3:8" x14ac:dyDescent="0.2">
      <c r="C75" s="19">
        <v>5070051.5025000004</v>
      </c>
      <c r="E75" s="19">
        <v>20652.009999999998</v>
      </c>
      <c r="F75" s="19">
        <f t="shared" si="8"/>
        <v>20652.009999999998</v>
      </c>
      <c r="G75" s="8">
        <v>0.05</v>
      </c>
      <c r="H75" s="19">
        <f t="shared" si="7"/>
        <v>1032.6005</v>
      </c>
    </row>
    <row r="76" spans="3:8" x14ac:dyDescent="0.2">
      <c r="C76" s="19">
        <v>1014010.3005</v>
      </c>
      <c r="E76" s="19">
        <v>0</v>
      </c>
      <c r="F76" s="19">
        <f t="shared" si="8"/>
        <v>0</v>
      </c>
      <c r="G76" s="8">
        <v>0.05</v>
      </c>
      <c r="H76" s="19">
        <f t="shared" si="7"/>
        <v>0</v>
      </c>
    </row>
    <row r="77" spans="3:8" x14ac:dyDescent="0.2">
      <c r="C77" s="19">
        <v>676006.86699999997</v>
      </c>
      <c r="E77" s="19">
        <v>2753.6</v>
      </c>
      <c r="F77" s="19">
        <f t="shared" si="8"/>
        <v>2753.6</v>
      </c>
      <c r="G77" s="8">
        <v>0.05</v>
      </c>
      <c r="H77" s="19">
        <f t="shared" si="7"/>
        <v>137.68</v>
      </c>
    </row>
    <row r="78" spans="3:8" x14ac:dyDescent="0.2">
      <c r="C78" s="19">
        <v>7507445.8799999999</v>
      </c>
      <c r="E78" s="19">
        <v>33064.04</v>
      </c>
      <c r="F78" s="19">
        <f t="shared" si="8"/>
        <v>33064.04</v>
      </c>
      <c r="G78" s="8">
        <v>0.05</v>
      </c>
      <c r="H78" s="19">
        <f t="shared" si="7"/>
        <v>1653.2020000000002</v>
      </c>
    </row>
    <row r="79" spans="3:8" x14ac:dyDescent="0.2">
      <c r="C79" s="19">
        <v>1501489.176</v>
      </c>
      <c r="E79" s="19">
        <v>12512.41</v>
      </c>
      <c r="F79" s="19">
        <f t="shared" si="8"/>
        <v>12512.41</v>
      </c>
      <c r="G79" s="8">
        <v>0.05</v>
      </c>
      <c r="H79" s="19">
        <f t="shared" si="7"/>
        <v>625.62049999999999</v>
      </c>
    </row>
    <row r="80" spans="3:8" x14ac:dyDescent="0.2">
      <c r="C80" s="19">
        <v>1000992.784</v>
      </c>
      <c r="E80" s="19">
        <v>4408.54</v>
      </c>
      <c r="F80" s="19">
        <f t="shared" si="8"/>
        <v>4408.54</v>
      </c>
      <c r="G80" s="8">
        <v>0.05</v>
      </c>
      <c r="H80" s="19">
        <f t="shared" si="7"/>
        <v>220.42700000000002</v>
      </c>
    </row>
    <row r="81" spans="3:8" x14ac:dyDescent="0.2">
      <c r="C81" s="19">
        <v>-43813.417499999996</v>
      </c>
      <c r="E81" s="19">
        <v>-192.96</v>
      </c>
      <c r="F81" s="19">
        <f t="shared" si="8"/>
        <v>-192.96</v>
      </c>
      <c r="G81" s="8">
        <v>0.05</v>
      </c>
      <c r="H81" s="19">
        <f t="shared" si="7"/>
        <v>-9.6480000000000015</v>
      </c>
    </row>
    <row r="82" spans="3:8" x14ac:dyDescent="0.2">
      <c r="C82" s="19">
        <v>-8762.6834999999992</v>
      </c>
      <c r="E82" s="19">
        <v>-109.53</v>
      </c>
      <c r="F82" s="19">
        <f t="shared" si="8"/>
        <v>-109.53</v>
      </c>
      <c r="G82" s="8">
        <v>0.05</v>
      </c>
      <c r="H82" s="19">
        <f t="shared" si="7"/>
        <v>-5.4765000000000006</v>
      </c>
    </row>
    <row r="83" spans="3:8" x14ac:dyDescent="0.2">
      <c r="C83" s="19">
        <v>-5841.7890000000007</v>
      </c>
      <c r="E83" s="19">
        <v>-25.73</v>
      </c>
      <c r="F83" s="19">
        <f t="shared" si="8"/>
        <v>-25.73</v>
      </c>
      <c r="G83" s="8">
        <v>0.05</v>
      </c>
      <c r="H83" s="19">
        <f t="shared" si="7"/>
        <v>-1.2865000000000002</v>
      </c>
    </row>
    <row r="84" spans="3:8" x14ac:dyDescent="0.2">
      <c r="C84" s="19">
        <v>58590.080000000002</v>
      </c>
      <c r="E84" s="19">
        <v>258.04000000000002</v>
      </c>
      <c r="F84" s="19">
        <f t="shared" si="8"/>
        <v>258.04000000000002</v>
      </c>
      <c r="G84" s="8">
        <v>0.05</v>
      </c>
      <c r="H84" s="19">
        <f t="shared" si="7"/>
        <v>12.902000000000001</v>
      </c>
    </row>
    <row r="85" spans="3:8" x14ac:dyDescent="0.2">
      <c r="C85" s="19">
        <v>31.56</v>
      </c>
      <c r="E85" s="19">
        <v>0.15</v>
      </c>
      <c r="F85" s="19">
        <f t="shared" si="8"/>
        <v>0.15</v>
      </c>
      <c r="G85" s="8">
        <v>0.05</v>
      </c>
      <c r="H85" s="19">
        <f t="shared" si="7"/>
        <v>7.4999999999999997E-3</v>
      </c>
    </row>
    <row r="86" spans="3:8" x14ac:dyDescent="0.2">
      <c r="C86" s="19">
        <v>6.3119999999999994</v>
      </c>
      <c r="E86" s="19">
        <v>0.11</v>
      </c>
      <c r="F86" s="19">
        <f t="shared" si="8"/>
        <v>0.11</v>
      </c>
      <c r="G86" s="8">
        <v>0.05</v>
      </c>
      <c r="H86" s="19">
        <f t="shared" si="7"/>
        <v>5.5000000000000005E-3</v>
      </c>
    </row>
    <row r="87" spans="3:8" x14ac:dyDescent="0.2">
      <c r="C87" s="19">
        <v>4.2080000000000002</v>
      </c>
      <c r="E87" s="41">
        <v>0.02</v>
      </c>
      <c r="F87" s="41">
        <f t="shared" si="8"/>
        <v>0.02</v>
      </c>
      <c r="G87" s="8">
        <v>0.05</v>
      </c>
      <c r="H87" s="41">
        <f t="shared" si="7"/>
        <v>1E-3</v>
      </c>
    </row>
    <row r="88" spans="3:8" x14ac:dyDescent="0.2">
      <c r="C88" s="25">
        <v>-14734</v>
      </c>
      <c r="E88" s="41"/>
      <c r="F88" s="41">
        <f t="shared" si="8"/>
        <v>0</v>
      </c>
      <c r="G88" s="8">
        <v>0.05</v>
      </c>
      <c r="H88" s="41">
        <f t="shared" si="7"/>
        <v>0</v>
      </c>
    </row>
    <row r="89" spans="3:8" x14ac:dyDescent="0.2">
      <c r="C89" s="25">
        <v>38967</v>
      </c>
      <c r="E89" s="41">
        <v>185.52</v>
      </c>
      <c r="F89" s="41">
        <f t="shared" si="8"/>
        <v>185.52</v>
      </c>
      <c r="G89" s="8">
        <v>0.05</v>
      </c>
      <c r="H89" s="41">
        <f t="shared" si="7"/>
        <v>9.2760000000000016</v>
      </c>
    </row>
    <row r="90" spans="3:8" x14ac:dyDescent="0.2">
      <c r="C90" s="25">
        <v>20762450</v>
      </c>
      <c r="E90" s="41">
        <v>135925.70000000001</v>
      </c>
      <c r="F90" s="41">
        <f t="shared" si="8"/>
        <v>135925.70000000001</v>
      </c>
      <c r="G90" s="8">
        <v>0.05</v>
      </c>
      <c r="H90" s="41">
        <f t="shared" si="7"/>
        <v>6796.2850000000008</v>
      </c>
    </row>
    <row r="91" spans="3:8" x14ac:dyDescent="0.2">
      <c r="C91" s="25">
        <v>3989775</v>
      </c>
      <c r="E91" s="41">
        <v>27431.200000000001</v>
      </c>
      <c r="F91" s="41">
        <f t="shared" si="8"/>
        <v>27431.200000000001</v>
      </c>
      <c r="G91" s="8">
        <v>0.05</v>
      </c>
      <c r="H91" s="41">
        <f t="shared" si="7"/>
        <v>1371.5600000000002</v>
      </c>
    </row>
    <row r="92" spans="3:8" x14ac:dyDescent="0.2">
      <c r="C92" s="25">
        <v>1251958</v>
      </c>
      <c r="E92" s="41">
        <v>6966.1</v>
      </c>
      <c r="F92" s="41">
        <f t="shared" si="8"/>
        <v>6966.1</v>
      </c>
      <c r="G92" s="8">
        <v>0.05</v>
      </c>
      <c r="H92" s="41">
        <f t="shared" si="7"/>
        <v>348.30500000000006</v>
      </c>
    </row>
    <row r="93" spans="3:8" x14ac:dyDescent="0.2">
      <c r="C93" s="25">
        <v>42515</v>
      </c>
      <c r="E93" s="41"/>
      <c r="F93" s="41">
        <f t="shared" si="8"/>
        <v>0</v>
      </c>
      <c r="G93" s="8">
        <v>0.05</v>
      </c>
      <c r="H93" s="41">
        <f t="shared" si="7"/>
        <v>0</v>
      </c>
    </row>
    <row r="94" spans="3:8" x14ac:dyDescent="0.2">
      <c r="C94" s="25">
        <v>-146644</v>
      </c>
      <c r="E94" s="41">
        <v>-1126.49</v>
      </c>
      <c r="F94" s="41">
        <f t="shared" si="8"/>
        <v>-1126.49</v>
      </c>
      <c r="G94" s="8">
        <v>0.05</v>
      </c>
      <c r="H94" s="41">
        <f t="shared" si="7"/>
        <v>-56.3245</v>
      </c>
    </row>
    <row r="95" spans="3:8" x14ac:dyDescent="0.2">
      <c r="C95" s="25">
        <v>2874747</v>
      </c>
      <c r="E95" s="41">
        <v>19183.54</v>
      </c>
      <c r="F95" s="41">
        <f t="shared" si="8"/>
        <v>19183.54</v>
      </c>
      <c r="G95" s="8">
        <v>0.05</v>
      </c>
      <c r="H95" s="41">
        <f t="shared" si="7"/>
        <v>959.17700000000013</v>
      </c>
    </row>
    <row r="96" spans="3:8" x14ac:dyDescent="0.2">
      <c r="C96" s="25">
        <f>C57</f>
        <v>6995179.2300000004</v>
      </c>
      <c r="E96" s="41">
        <v>43681.39</v>
      </c>
      <c r="F96" s="41">
        <f t="shared" si="8"/>
        <v>43681.39</v>
      </c>
      <c r="G96" s="8">
        <v>0.05</v>
      </c>
      <c r="H96" s="41">
        <f t="shared" si="7"/>
        <v>2184.0695000000001</v>
      </c>
    </row>
    <row r="97" spans="3:9" x14ac:dyDescent="0.2">
      <c r="C97" s="25">
        <f>C58</f>
        <v>5529579</v>
      </c>
      <c r="E97" s="41">
        <f>E58</f>
        <v>19790.93</v>
      </c>
      <c r="F97" s="41">
        <f t="shared" si="8"/>
        <v>19790.93</v>
      </c>
      <c r="G97" s="8">
        <v>0.05</v>
      </c>
      <c r="H97" s="41">
        <f t="shared" si="7"/>
        <v>989.54650000000004</v>
      </c>
    </row>
    <row r="98" spans="3:9" ht="15" x14ac:dyDescent="0.35">
      <c r="C98" s="25">
        <f>C59</f>
        <v>41663</v>
      </c>
      <c r="E98" s="32">
        <f>E59</f>
        <v>130.19999999999999</v>
      </c>
      <c r="F98" s="32">
        <f t="shared" si="8"/>
        <v>130.19999999999999</v>
      </c>
      <c r="G98" s="8">
        <v>0.05</v>
      </c>
      <c r="H98" s="32">
        <f t="shared" si="7"/>
        <v>6.51</v>
      </c>
    </row>
    <row r="99" spans="3:9" x14ac:dyDescent="0.2">
      <c r="E99" s="19">
        <f>SUM(E65:E98)</f>
        <v>1290844.1400000001</v>
      </c>
      <c r="F99" s="19">
        <f>SUM(F65:F98)</f>
        <v>-3087.8599999999469</v>
      </c>
      <c r="H99" s="19">
        <f>SUM(H65:H98)</f>
        <v>-154.39299999999696</v>
      </c>
    </row>
    <row r="100" spans="3:9" x14ac:dyDescent="0.2">
      <c r="H100" s="19">
        <f>H99-L13</f>
        <v>338.23050000000865</v>
      </c>
      <c r="I100" s="33" t="s">
        <v>63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4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18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3.425781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10</v>
      </c>
    </row>
    <row r="6" spans="1:16" x14ac:dyDescent="0.2">
      <c r="A6" s="11" t="s">
        <v>9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-87273</v>
      </c>
    </row>
    <row r="10" spans="1:16" x14ac:dyDescent="0.2">
      <c r="A10" s="38">
        <v>44264</v>
      </c>
      <c r="C10" s="7">
        <v>9031671</v>
      </c>
      <c r="D10" s="15">
        <v>11499</v>
      </c>
      <c r="E10" s="10">
        <f t="shared" ref="E10:F13" si="0">33579.22</f>
        <v>33579.22</v>
      </c>
      <c r="F10" s="10">
        <f t="shared" si="0"/>
        <v>33579.22</v>
      </c>
      <c r="G10" s="7">
        <f t="shared" ref="G10:G15" si="1">E10-D10</f>
        <v>22080.22</v>
      </c>
      <c r="H10" s="7">
        <f t="shared" ref="H10:H15" si="2">F10-D10</f>
        <v>22080.22</v>
      </c>
      <c r="I10" s="8">
        <v>0.21</v>
      </c>
      <c r="J10" s="8">
        <v>0.05</v>
      </c>
      <c r="K10" s="7">
        <f t="shared" ref="K10:K15" si="3">G10*I10-L10*I10</f>
        <v>4405.00389</v>
      </c>
      <c r="L10" s="7">
        <f t="shared" ref="L10:L15" si="4">H10*J10</f>
        <v>1104.0110000000002</v>
      </c>
      <c r="M10" s="7">
        <f t="shared" ref="M10:M13" si="5">M9+K10+L10</f>
        <v>-81763.985110000009</v>
      </c>
      <c r="N10" s="7">
        <v>0</v>
      </c>
      <c r="O10" s="17"/>
      <c r="P10" s="19"/>
    </row>
    <row r="11" spans="1:16" x14ac:dyDescent="0.2">
      <c r="A11" s="38">
        <v>44287</v>
      </c>
      <c r="C11" s="7">
        <v>9031671</v>
      </c>
      <c r="D11" s="15">
        <v>11499</v>
      </c>
      <c r="E11" s="10">
        <f t="shared" si="0"/>
        <v>33579.22</v>
      </c>
      <c r="F11" s="10">
        <f t="shared" si="0"/>
        <v>33579.22</v>
      </c>
      <c r="G11" s="7">
        <f t="shared" si="1"/>
        <v>22080.22</v>
      </c>
      <c r="H11" s="7">
        <f t="shared" si="2"/>
        <v>22080.22</v>
      </c>
      <c r="I11" s="8">
        <v>0.21</v>
      </c>
      <c r="J11" s="8">
        <v>0.05</v>
      </c>
      <c r="K11" s="7">
        <f t="shared" si="3"/>
        <v>4405.00389</v>
      </c>
      <c r="L11" s="7">
        <f t="shared" si="4"/>
        <v>1104.0110000000002</v>
      </c>
      <c r="M11" s="24">
        <f t="shared" si="5"/>
        <v>-76254.970220000017</v>
      </c>
      <c r="N11" s="7">
        <v>0</v>
      </c>
      <c r="O11" s="17"/>
      <c r="P11" s="19"/>
    </row>
    <row r="12" spans="1:16" x14ac:dyDescent="0.2">
      <c r="A12" s="38">
        <v>44317</v>
      </c>
      <c r="C12" s="7">
        <v>9031671</v>
      </c>
      <c r="D12" s="15">
        <v>11499</v>
      </c>
      <c r="E12" s="10">
        <f t="shared" si="0"/>
        <v>33579.22</v>
      </c>
      <c r="F12" s="10">
        <f t="shared" si="0"/>
        <v>33579.22</v>
      </c>
      <c r="G12" s="7">
        <f t="shared" si="1"/>
        <v>22080.22</v>
      </c>
      <c r="H12" s="7">
        <f t="shared" si="2"/>
        <v>22080.22</v>
      </c>
      <c r="I12" s="8">
        <v>0.21</v>
      </c>
      <c r="J12" s="8">
        <v>0.05</v>
      </c>
      <c r="K12" s="7">
        <f t="shared" si="3"/>
        <v>4405.00389</v>
      </c>
      <c r="L12" s="7">
        <f t="shared" si="4"/>
        <v>1104.0110000000002</v>
      </c>
      <c r="M12" s="7">
        <f t="shared" si="5"/>
        <v>-70745.955330000026</v>
      </c>
      <c r="N12" s="7">
        <v>0</v>
      </c>
      <c r="O12" s="23"/>
      <c r="P12" s="19"/>
    </row>
    <row r="13" spans="1:16" x14ac:dyDescent="0.2">
      <c r="A13" s="38">
        <v>44348</v>
      </c>
      <c r="C13" s="7">
        <v>9031671</v>
      </c>
      <c r="D13" s="15">
        <v>11499</v>
      </c>
      <c r="E13" s="10">
        <f t="shared" si="0"/>
        <v>33579.22</v>
      </c>
      <c r="F13" s="10">
        <f t="shared" si="0"/>
        <v>33579.22</v>
      </c>
      <c r="G13" s="7">
        <f t="shared" si="1"/>
        <v>22080.22</v>
      </c>
      <c r="H13" s="7">
        <f t="shared" si="2"/>
        <v>22080.22</v>
      </c>
      <c r="I13" s="8">
        <v>0.21</v>
      </c>
      <c r="J13" s="8">
        <v>0.05</v>
      </c>
      <c r="K13" s="7">
        <f t="shared" si="3"/>
        <v>4405.00389</v>
      </c>
      <c r="L13" s="7">
        <f t="shared" si="4"/>
        <v>1104.0110000000002</v>
      </c>
      <c r="M13" s="7">
        <f t="shared" si="5"/>
        <v>-65236.940440000035</v>
      </c>
      <c r="N13" s="7">
        <v>0</v>
      </c>
      <c r="O13" s="23"/>
      <c r="P13" s="19"/>
    </row>
    <row r="14" spans="1:16" x14ac:dyDescent="0.2">
      <c r="A14" s="38">
        <v>44378</v>
      </c>
      <c r="C14" s="7"/>
      <c r="D14" s="15"/>
      <c r="E14" s="10"/>
      <c r="F14" s="10"/>
      <c r="G14" s="7">
        <f t="shared" si="1"/>
        <v>0</v>
      </c>
      <c r="H14" s="7">
        <f t="shared" si="2"/>
        <v>0</v>
      </c>
      <c r="I14" s="8">
        <v>0.21</v>
      </c>
      <c r="J14" s="8">
        <v>0.05</v>
      </c>
      <c r="K14" s="7">
        <f t="shared" si="3"/>
        <v>0</v>
      </c>
      <c r="L14" s="7">
        <f t="shared" si="4"/>
        <v>0</v>
      </c>
      <c r="M14" s="7">
        <v>0</v>
      </c>
      <c r="N14" s="7">
        <v>0</v>
      </c>
      <c r="O14" s="7"/>
      <c r="P14" s="19"/>
    </row>
    <row r="15" spans="1:16" x14ac:dyDescent="0.2">
      <c r="A15" s="38">
        <v>44409</v>
      </c>
      <c r="C15" s="7"/>
      <c r="D15" s="15"/>
      <c r="E15" s="15"/>
      <c r="F15" s="15"/>
      <c r="G15" s="7">
        <f t="shared" si="1"/>
        <v>0</v>
      </c>
      <c r="H15" s="7">
        <f t="shared" si="2"/>
        <v>0</v>
      </c>
      <c r="I15" s="8">
        <v>0.21</v>
      </c>
      <c r="J15" s="8">
        <v>0.05</v>
      </c>
      <c r="K15" s="7">
        <f t="shared" si="3"/>
        <v>0</v>
      </c>
      <c r="L15" s="7">
        <f t="shared" si="4"/>
        <v>0</v>
      </c>
      <c r="M15" s="7">
        <v>0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</sheetData>
  <pageMargins left="0.7" right="0.7" top="1.15625" bottom="0.75" header="0.3" footer="0.3"/>
  <pageSetup scale="52" orientation="portrait" r:id="rId1"/>
  <headerFooter>
    <oddHeader>&amp;R&amp;"Times New Roman,Bold"&amp;12Attachment to Response to Question 3
Page 5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" customWidth="1"/>
    <col min="4" max="4" width="14.28515625" bestFit="1" customWidth="1"/>
    <col min="5" max="5" width="17.1406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11</v>
      </c>
      <c r="O4" s="14"/>
    </row>
    <row r="5" spans="1:16" x14ac:dyDescent="0.2">
      <c r="A5" s="9" t="s">
        <v>10</v>
      </c>
    </row>
    <row r="6" spans="1:16" x14ac:dyDescent="0.2">
      <c r="A6" s="11" t="s">
        <v>18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7788838</v>
      </c>
    </row>
    <row r="10" spans="1:16" x14ac:dyDescent="0.2">
      <c r="A10" s="38">
        <v>44264</v>
      </c>
      <c r="C10" s="7">
        <v>95983913</v>
      </c>
      <c r="D10" s="15">
        <v>171318</v>
      </c>
      <c r="E10" s="10">
        <f t="shared" ref="E10:E15" si="0">354189.43</f>
        <v>354189.43</v>
      </c>
      <c r="F10" s="10">
        <f t="shared" ref="F10:F15" si="1">531377.02</f>
        <v>531377.02</v>
      </c>
      <c r="G10" s="7">
        <f t="shared" ref="G10:G15" si="2">E10-D10</f>
        <v>182871.43</v>
      </c>
      <c r="H10" s="7">
        <f t="shared" ref="H10:H15" si="3">F10-D10</f>
        <v>360059.02</v>
      </c>
      <c r="I10" s="8">
        <v>0.21</v>
      </c>
      <c r="J10" s="8">
        <v>0.05</v>
      </c>
      <c r="K10" s="7">
        <f t="shared" ref="K10:K15" si="4">G10*I10-L10*I10</f>
        <v>34622.380590000001</v>
      </c>
      <c r="L10" s="7">
        <f t="shared" ref="L10:L15" si="5">H10*J10</f>
        <v>18002.951000000001</v>
      </c>
      <c r="M10" s="7">
        <f t="shared" ref="M10:M15" si="6">M9+K10+L10</f>
        <v>7841463.3315900005</v>
      </c>
      <c r="N10" s="7">
        <v>0</v>
      </c>
      <c r="O10" s="17"/>
      <c r="P10" s="19"/>
    </row>
    <row r="11" spans="1:16" x14ac:dyDescent="0.2">
      <c r="A11" s="38">
        <v>44287</v>
      </c>
      <c r="C11" s="7">
        <v>95983913</v>
      </c>
      <c r="D11" s="15">
        <v>171318</v>
      </c>
      <c r="E11" s="10">
        <f t="shared" si="0"/>
        <v>354189.43</v>
      </c>
      <c r="F11" s="10">
        <f t="shared" si="1"/>
        <v>531377.02</v>
      </c>
      <c r="G11" s="7">
        <f t="shared" si="2"/>
        <v>182871.43</v>
      </c>
      <c r="H11" s="7">
        <f t="shared" si="3"/>
        <v>360059.02</v>
      </c>
      <c r="I11" s="8">
        <v>0.21</v>
      </c>
      <c r="J11" s="8">
        <v>0.05</v>
      </c>
      <c r="K11" s="7">
        <f t="shared" si="4"/>
        <v>34622.380590000001</v>
      </c>
      <c r="L11" s="7">
        <f t="shared" si="5"/>
        <v>18002.951000000001</v>
      </c>
      <c r="M11" s="24">
        <f t="shared" si="6"/>
        <v>7894088.6631800011</v>
      </c>
      <c r="N11" s="7">
        <v>0</v>
      </c>
      <c r="O11" s="17"/>
      <c r="P11" s="19"/>
    </row>
    <row r="12" spans="1:16" x14ac:dyDescent="0.2">
      <c r="A12" s="38">
        <v>44317</v>
      </c>
      <c r="C12" s="7">
        <v>95983913</v>
      </c>
      <c r="D12" s="15">
        <v>171318</v>
      </c>
      <c r="E12" s="10">
        <f t="shared" si="0"/>
        <v>354189.43</v>
      </c>
      <c r="F12" s="10">
        <f t="shared" si="1"/>
        <v>531377.02</v>
      </c>
      <c r="G12" s="7">
        <f t="shared" si="2"/>
        <v>182871.43</v>
      </c>
      <c r="H12" s="7">
        <f t="shared" si="3"/>
        <v>360059.02</v>
      </c>
      <c r="I12" s="8">
        <v>0.21</v>
      </c>
      <c r="J12" s="8">
        <v>0.05</v>
      </c>
      <c r="K12" s="7">
        <f t="shared" si="4"/>
        <v>34622.380590000001</v>
      </c>
      <c r="L12" s="7">
        <f t="shared" si="5"/>
        <v>18002.951000000001</v>
      </c>
      <c r="M12" s="7">
        <f t="shared" si="6"/>
        <v>7946713.9947700016</v>
      </c>
      <c r="N12" s="7">
        <v>0</v>
      </c>
      <c r="O12" s="23"/>
      <c r="P12" s="19"/>
    </row>
    <row r="13" spans="1:16" x14ac:dyDescent="0.2">
      <c r="A13" s="38">
        <v>44348</v>
      </c>
      <c r="C13" s="7">
        <v>95983913</v>
      </c>
      <c r="D13" s="15">
        <v>171318</v>
      </c>
      <c r="E13" s="10">
        <f t="shared" si="0"/>
        <v>354189.43</v>
      </c>
      <c r="F13" s="10">
        <f t="shared" si="1"/>
        <v>531377.02</v>
      </c>
      <c r="G13" s="7">
        <f t="shared" si="2"/>
        <v>182871.43</v>
      </c>
      <c r="H13" s="7">
        <f t="shared" si="3"/>
        <v>360059.02</v>
      </c>
      <c r="I13" s="8">
        <v>0.21</v>
      </c>
      <c r="J13" s="8">
        <v>0.05</v>
      </c>
      <c r="K13" s="7">
        <f t="shared" si="4"/>
        <v>34622.380590000001</v>
      </c>
      <c r="L13" s="7">
        <f t="shared" si="5"/>
        <v>18002.951000000001</v>
      </c>
      <c r="M13" s="7">
        <f t="shared" si="6"/>
        <v>7999339.3263600022</v>
      </c>
      <c r="N13" s="7">
        <v>0</v>
      </c>
      <c r="O13" s="23"/>
      <c r="P13" s="19"/>
    </row>
    <row r="14" spans="1:16" x14ac:dyDescent="0.2">
      <c r="A14" s="38">
        <v>44378</v>
      </c>
      <c r="C14" s="7">
        <v>96531240</v>
      </c>
      <c r="D14" s="15">
        <v>184718</v>
      </c>
      <c r="E14" s="15">
        <f t="shared" si="0"/>
        <v>354189.43</v>
      </c>
      <c r="F14" s="15">
        <f t="shared" si="1"/>
        <v>531377.02</v>
      </c>
      <c r="G14" s="7">
        <f t="shared" si="2"/>
        <v>169471.43</v>
      </c>
      <c r="H14" s="7">
        <f t="shared" si="3"/>
        <v>346659.02</v>
      </c>
      <c r="I14" s="8">
        <v>0.21</v>
      </c>
      <c r="J14" s="8">
        <v>0.05</v>
      </c>
      <c r="K14" s="7">
        <f t="shared" si="4"/>
        <v>31949.080589999998</v>
      </c>
      <c r="L14" s="7">
        <f t="shared" si="5"/>
        <v>17332.951000000001</v>
      </c>
      <c r="M14" s="7">
        <f t="shared" si="6"/>
        <v>8048621.3579500029</v>
      </c>
      <c r="N14" s="7">
        <v>0</v>
      </c>
      <c r="O14" s="7"/>
      <c r="P14" s="19"/>
    </row>
    <row r="15" spans="1:16" x14ac:dyDescent="0.2">
      <c r="A15" s="38">
        <v>44409</v>
      </c>
      <c r="C15" s="7">
        <v>96531240</v>
      </c>
      <c r="D15" s="15">
        <v>184718</v>
      </c>
      <c r="E15" s="15">
        <f t="shared" si="0"/>
        <v>354189.43</v>
      </c>
      <c r="F15" s="15">
        <f t="shared" si="1"/>
        <v>531377.02</v>
      </c>
      <c r="G15" s="7">
        <f t="shared" si="2"/>
        <v>169471.43</v>
      </c>
      <c r="H15" s="7">
        <f t="shared" si="3"/>
        <v>346659.02</v>
      </c>
      <c r="I15" s="8">
        <v>0.21</v>
      </c>
      <c r="J15" s="8">
        <v>0.05</v>
      </c>
      <c r="K15" s="7">
        <f t="shared" si="4"/>
        <v>31949.080589999998</v>
      </c>
      <c r="L15" s="7">
        <f t="shared" si="5"/>
        <v>17332.951000000001</v>
      </c>
      <c r="M15" s="7">
        <f t="shared" si="6"/>
        <v>8097903.3895400036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48</v>
      </c>
    </row>
    <row r="20" spans="1:14" x14ac:dyDescent="0.2">
      <c r="C20" s="43" t="s">
        <v>31</v>
      </c>
    </row>
    <row r="21" spans="1:14" x14ac:dyDescent="0.2">
      <c r="C21" s="43" t="s">
        <v>65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7">
        <v>1880068.145</v>
      </c>
      <c r="D25" s="7">
        <v>184718</v>
      </c>
      <c r="E25" s="7">
        <v>7658.14</v>
      </c>
      <c r="F25" s="7">
        <f>E25-D25</f>
        <v>-177059.86</v>
      </c>
      <c r="G25" s="8">
        <v>0.21</v>
      </c>
      <c r="H25" s="7">
        <f>F25*G25</f>
        <v>-37182.570599999999</v>
      </c>
    </row>
    <row r="26" spans="1:14" x14ac:dyDescent="0.2">
      <c r="C26" s="7">
        <v>184335</v>
      </c>
      <c r="D26" s="7"/>
      <c r="E26" s="7">
        <v>948.87</v>
      </c>
      <c r="F26" s="7">
        <f t="shared" ref="F26:F33" si="7">E26-D26</f>
        <v>948.87</v>
      </c>
      <c r="G26" s="8">
        <v>0.21</v>
      </c>
      <c r="H26" s="7">
        <f t="shared" ref="H26:H33" si="8">F26*G26</f>
        <v>199.2627</v>
      </c>
    </row>
    <row r="27" spans="1:14" x14ac:dyDescent="0.2">
      <c r="C27" s="7">
        <v>36765919</v>
      </c>
      <c r="D27" s="7"/>
      <c r="E27" s="7">
        <v>204571.7</v>
      </c>
      <c r="F27" s="7">
        <f t="shared" si="7"/>
        <v>204571.7</v>
      </c>
      <c r="G27" s="8">
        <v>0.21</v>
      </c>
      <c r="H27" s="7">
        <f t="shared" si="8"/>
        <v>42960.057000000001</v>
      </c>
    </row>
    <row r="28" spans="1:14" x14ac:dyDescent="0.2">
      <c r="C28" s="7">
        <v>570444</v>
      </c>
      <c r="D28" s="7"/>
      <c r="E28" s="7"/>
      <c r="F28" s="7">
        <f t="shared" si="7"/>
        <v>0</v>
      </c>
      <c r="G28" s="8">
        <v>0.21</v>
      </c>
      <c r="H28" s="7">
        <f t="shared" si="8"/>
        <v>0</v>
      </c>
    </row>
    <row r="29" spans="1:14" x14ac:dyDescent="0.2">
      <c r="C29" s="7">
        <v>209122</v>
      </c>
      <c r="D29" s="7"/>
      <c r="E29" s="7">
        <v>1163.5899999999999</v>
      </c>
      <c r="F29" s="7">
        <f t="shared" si="7"/>
        <v>1163.5899999999999</v>
      </c>
      <c r="G29" s="8">
        <v>0.21</v>
      </c>
      <c r="H29" s="7">
        <f t="shared" si="8"/>
        <v>244.35389999999998</v>
      </c>
    </row>
    <row r="30" spans="1:14" x14ac:dyDescent="0.2">
      <c r="C30" s="7">
        <v>5510178</v>
      </c>
      <c r="D30" s="7"/>
      <c r="E30" s="7"/>
      <c r="F30" s="7">
        <f t="shared" si="7"/>
        <v>0</v>
      </c>
      <c r="G30" s="8">
        <v>0.21</v>
      </c>
      <c r="H30" s="7">
        <f t="shared" si="8"/>
        <v>0</v>
      </c>
    </row>
    <row r="31" spans="1:14" x14ac:dyDescent="0.2">
      <c r="C31" s="7">
        <v>20738213</v>
      </c>
      <c r="D31" s="7"/>
      <c r="E31" s="37">
        <v>124757.63</v>
      </c>
      <c r="F31" s="37">
        <f t="shared" si="7"/>
        <v>124757.63</v>
      </c>
      <c r="G31" s="8">
        <v>0.21</v>
      </c>
      <c r="H31" s="37">
        <f t="shared" si="8"/>
        <v>26199.102299999999</v>
      </c>
    </row>
    <row r="32" spans="1:14" x14ac:dyDescent="0.2">
      <c r="C32" s="7">
        <v>1400</v>
      </c>
      <c r="D32" s="7"/>
      <c r="E32" s="37">
        <v>8.42</v>
      </c>
      <c r="F32" s="37">
        <f t="shared" si="7"/>
        <v>8.42</v>
      </c>
      <c r="G32" s="8">
        <v>0.21</v>
      </c>
      <c r="H32" s="37">
        <f t="shared" si="8"/>
        <v>1.7682</v>
      </c>
    </row>
    <row r="33" spans="3:8" ht="15" x14ac:dyDescent="0.35">
      <c r="C33" s="7">
        <v>2506896</v>
      </c>
      <c r="D33" s="7"/>
      <c r="E33" s="31">
        <v>15081.07</v>
      </c>
      <c r="F33" s="31">
        <f t="shared" si="7"/>
        <v>15081.07</v>
      </c>
      <c r="G33" s="8">
        <v>0.21</v>
      </c>
      <c r="H33" s="31">
        <f t="shared" si="8"/>
        <v>3167.0246999999999</v>
      </c>
    </row>
    <row r="34" spans="3:8" x14ac:dyDescent="0.2">
      <c r="C34" s="7"/>
      <c r="D34" s="7"/>
      <c r="E34" s="7">
        <f>SUM(E25:E33)</f>
        <v>354189.42000000004</v>
      </c>
      <c r="F34" s="7">
        <f>SUM(F25:F33)</f>
        <v>169471.42000000004</v>
      </c>
      <c r="G34" s="46" t="s">
        <v>43</v>
      </c>
      <c r="H34" s="7">
        <f>SUM(H25:H33)</f>
        <v>35588.998200000002</v>
      </c>
    </row>
    <row r="35" spans="3:8" ht="15" x14ac:dyDescent="0.35">
      <c r="G35" s="33" t="s">
        <v>44</v>
      </c>
      <c r="H35" s="31">
        <f>-H47*0.21</f>
        <v>-3639.9196049999996</v>
      </c>
    </row>
    <row r="36" spans="3:8" x14ac:dyDescent="0.2">
      <c r="H36" s="7">
        <f>H34+H35</f>
        <v>31949.078595000003</v>
      </c>
    </row>
    <row r="37" spans="3:8" x14ac:dyDescent="0.2">
      <c r="H37" s="7">
        <f>H36-K15</f>
        <v>-1.994999995076796E-3</v>
      </c>
    </row>
    <row r="38" spans="3:8" x14ac:dyDescent="0.2">
      <c r="C38" s="7" t="s">
        <v>39</v>
      </c>
      <c r="D38" s="27" t="s">
        <v>35</v>
      </c>
      <c r="E38" s="28" t="s">
        <v>40</v>
      </c>
      <c r="F38" s="7" t="s">
        <v>41</v>
      </c>
      <c r="G38" s="8" t="s">
        <v>28</v>
      </c>
      <c r="H38" s="7" t="s">
        <v>42</v>
      </c>
    </row>
    <row r="39" spans="3:8" x14ac:dyDescent="0.2">
      <c r="C39" s="7">
        <v>3760136.29</v>
      </c>
      <c r="D39" s="7">
        <f>D25</f>
        <v>184718</v>
      </c>
      <c r="E39" s="7">
        <v>15316.29</v>
      </c>
      <c r="F39" s="7">
        <f>E39-D39</f>
        <v>-169401.71</v>
      </c>
      <c r="G39" s="8">
        <v>0.05</v>
      </c>
      <c r="H39" s="7">
        <f>F39*G39</f>
        <v>-8470.0854999999992</v>
      </c>
    </row>
    <row r="40" spans="3:8" x14ac:dyDescent="0.2">
      <c r="C40" s="7">
        <v>184335</v>
      </c>
      <c r="D40" s="7"/>
      <c r="E40" s="7">
        <v>948.87</v>
      </c>
      <c r="F40" s="7">
        <f t="shared" ref="F40:F46" si="9">E40-D40</f>
        <v>948.87</v>
      </c>
      <c r="G40" s="8">
        <v>0.05</v>
      </c>
      <c r="H40" s="7">
        <f t="shared" ref="H40:H46" si="10">F40*G40</f>
        <v>47.4435</v>
      </c>
    </row>
    <row r="41" spans="3:8" x14ac:dyDescent="0.2">
      <c r="C41" s="47">
        <f>(27564587.34+33711944.07)</f>
        <v>61276531.409999996</v>
      </c>
      <c r="D41" s="7"/>
      <c r="E41" s="7">
        <v>340952.83</v>
      </c>
      <c r="F41" s="7">
        <f t="shared" si="9"/>
        <v>340952.83</v>
      </c>
      <c r="G41" s="8">
        <v>0.05</v>
      </c>
      <c r="H41" s="7">
        <f t="shared" si="10"/>
        <v>17047.641500000002</v>
      </c>
    </row>
    <row r="42" spans="3:8" x14ac:dyDescent="0.2">
      <c r="C42" s="47">
        <f>C28</f>
        <v>570444</v>
      </c>
      <c r="D42" s="7"/>
      <c r="E42" s="7"/>
      <c r="F42" s="7">
        <f t="shared" si="9"/>
        <v>0</v>
      </c>
      <c r="G42" s="8">
        <v>0.05</v>
      </c>
      <c r="H42" s="7">
        <f t="shared" si="10"/>
        <v>0</v>
      </c>
    </row>
    <row r="43" spans="3:8" x14ac:dyDescent="0.2">
      <c r="C43" s="7">
        <f>C29</f>
        <v>209122</v>
      </c>
      <c r="D43" s="7"/>
      <c r="E43" s="7">
        <v>1163.5899999999999</v>
      </c>
      <c r="F43" s="7">
        <f t="shared" si="9"/>
        <v>1163.5899999999999</v>
      </c>
      <c r="G43" s="8">
        <v>0.05</v>
      </c>
      <c r="H43" s="7">
        <f t="shared" si="10"/>
        <v>58.179499999999997</v>
      </c>
    </row>
    <row r="44" spans="3:8" x14ac:dyDescent="0.2">
      <c r="C44" s="7">
        <f>C30+C31</f>
        <v>26248391</v>
      </c>
      <c r="D44" s="7"/>
      <c r="E44" s="37">
        <v>157905.94</v>
      </c>
      <c r="F44" s="37">
        <f t="shared" si="9"/>
        <v>157905.94</v>
      </c>
      <c r="G44" s="8">
        <v>0.05</v>
      </c>
      <c r="H44" s="37">
        <f t="shared" si="10"/>
        <v>7895.2970000000005</v>
      </c>
    </row>
    <row r="45" spans="3:8" x14ac:dyDescent="0.2">
      <c r="C45" s="7">
        <f>C32</f>
        <v>1400</v>
      </c>
      <c r="D45" s="7"/>
      <c r="E45" s="37">
        <v>8.42</v>
      </c>
      <c r="F45" s="37">
        <f t="shared" si="9"/>
        <v>8.42</v>
      </c>
      <c r="G45" s="8">
        <v>0.05</v>
      </c>
      <c r="H45" s="37">
        <f t="shared" si="10"/>
        <v>0.42100000000000004</v>
      </c>
    </row>
    <row r="46" spans="3:8" ht="15" x14ac:dyDescent="0.35">
      <c r="C46" s="7">
        <f>C33</f>
        <v>2506896</v>
      </c>
      <c r="D46" s="7"/>
      <c r="E46" s="31">
        <v>15081.07</v>
      </c>
      <c r="F46" s="31">
        <f t="shared" si="9"/>
        <v>15081.07</v>
      </c>
      <c r="G46" s="8">
        <v>0.05</v>
      </c>
      <c r="H46" s="31">
        <f t="shared" si="10"/>
        <v>754.05349999999999</v>
      </c>
    </row>
    <row r="47" spans="3:8" x14ac:dyDescent="0.2">
      <c r="C47" s="7"/>
      <c r="D47" s="7"/>
      <c r="E47" s="7">
        <f>SUM(E39:E46)</f>
        <v>531377.01</v>
      </c>
      <c r="F47" s="7">
        <f>SUM(F39:F46)</f>
        <v>346659.01</v>
      </c>
      <c r="G47" s="46"/>
      <c r="H47" s="7">
        <f>SUM(H39:H46)</f>
        <v>17332.950499999999</v>
      </c>
    </row>
    <row r="48" spans="3:8" x14ac:dyDescent="0.2">
      <c r="H48" s="7">
        <f>H47-L15</f>
        <v>-5.0000000192085281E-4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6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P35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7109375" customWidth="1"/>
    <col min="4" max="4" width="14.28515625" bestFit="1" customWidth="1"/>
    <col min="5" max="5" width="16.7109375" customWidth="1"/>
    <col min="6" max="6" width="1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10</v>
      </c>
    </row>
    <row r="6" spans="1:16" x14ac:dyDescent="0.2">
      <c r="A6" s="11" t="s">
        <v>16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890350</v>
      </c>
    </row>
    <row r="10" spans="1:16" x14ac:dyDescent="0.2">
      <c r="A10" s="38">
        <v>44264</v>
      </c>
      <c r="C10" s="7">
        <v>4193823</v>
      </c>
      <c r="D10" s="15">
        <v>7332</v>
      </c>
      <c r="E10" s="10">
        <f t="shared" ref="E10:E15" si="0">7780.04</f>
        <v>7780.04</v>
      </c>
      <c r="F10" s="10">
        <f t="shared" ref="F10:F15" si="1">15560.08</f>
        <v>15560.08</v>
      </c>
      <c r="G10" s="7">
        <f t="shared" ref="G10:G15" si="2">E10-D10</f>
        <v>448.03999999999996</v>
      </c>
      <c r="H10" s="7">
        <f t="shared" ref="H10:H15" si="3">F10-D10</f>
        <v>8228.08</v>
      </c>
      <c r="I10" s="8">
        <v>0.21</v>
      </c>
      <c r="J10" s="8">
        <v>0.05</v>
      </c>
      <c r="K10" s="7">
        <f t="shared" ref="K10:K15" si="4">G10*I10-L10*I10</f>
        <v>7.6935599999999909</v>
      </c>
      <c r="L10" s="7">
        <f t="shared" ref="L10:L15" si="5">H10*J10</f>
        <v>411.404</v>
      </c>
      <c r="M10" s="7">
        <f t="shared" ref="M10:M15" si="6">M9+K10+L10</f>
        <v>890769.09756000002</v>
      </c>
      <c r="N10" s="7">
        <v>0</v>
      </c>
      <c r="O10" s="20"/>
      <c r="P10" s="19"/>
    </row>
    <row r="11" spans="1:16" x14ac:dyDescent="0.2">
      <c r="A11" s="38">
        <v>44287</v>
      </c>
      <c r="C11" s="7">
        <v>4193823</v>
      </c>
      <c r="D11" s="15">
        <v>7332</v>
      </c>
      <c r="E11" s="10">
        <f t="shared" si="0"/>
        <v>7780.04</v>
      </c>
      <c r="F11" s="10">
        <f t="shared" si="1"/>
        <v>15560.08</v>
      </c>
      <c r="G11" s="7">
        <f t="shared" si="2"/>
        <v>448.03999999999996</v>
      </c>
      <c r="H11" s="7">
        <f t="shared" si="3"/>
        <v>8228.08</v>
      </c>
      <c r="I11" s="8">
        <v>0.21</v>
      </c>
      <c r="J11" s="8">
        <v>0.05</v>
      </c>
      <c r="K11" s="7">
        <f t="shared" si="4"/>
        <v>7.6935599999999909</v>
      </c>
      <c r="L11" s="7">
        <f t="shared" si="5"/>
        <v>411.404</v>
      </c>
      <c r="M11" s="7">
        <f t="shared" si="6"/>
        <v>891188.19512000005</v>
      </c>
      <c r="N11" s="7">
        <v>0</v>
      </c>
      <c r="O11" s="21"/>
      <c r="P11" s="19"/>
    </row>
    <row r="12" spans="1:16" x14ac:dyDescent="0.2">
      <c r="A12" s="38">
        <v>44317</v>
      </c>
      <c r="C12" s="7">
        <v>4193823</v>
      </c>
      <c r="D12" s="15">
        <v>7332</v>
      </c>
      <c r="E12" s="10">
        <f t="shared" si="0"/>
        <v>7780.04</v>
      </c>
      <c r="F12" s="10">
        <f t="shared" si="1"/>
        <v>15560.08</v>
      </c>
      <c r="G12" s="7">
        <f t="shared" si="2"/>
        <v>448.03999999999996</v>
      </c>
      <c r="H12" s="7">
        <f t="shared" si="3"/>
        <v>8228.08</v>
      </c>
      <c r="I12" s="8">
        <v>0.21</v>
      </c>
      <c r="J12" s="8">
        <v>0.05</v>
      </c>
      <c r="K12" s="7">
        <f t="shared" si="4"/>
        <v>7.6935599999999909</v>
      </c>
      <c r="L12" s="7">
        <f t="shared" si="5"/>
        <v>411.404</v>
      </c>
      <c r="M12" s="7">
        <f t="shared" si="6"/>
        <v>891607.29268000007</v>
      </c>
      <c r="N12" s="7">
        <v>0</v>
      </c>
      <c r="O12" s="17"/>
      <c r="P12" s="19"/>
    </row>
    <row r="13" spans="1:16" x14ac:dyDescent="0.2">
      <c r="A13" s="38">
        <v>44348</v>
      </c>
      <c r="C13" s="7">
        <v>4193823</v>
      </c>
      <c r="D13" s="15">
        <v>7332</v>
      </c>
      <c r="E13" s="10">
        <f t="shared" si="0"/>
        <v>7780.04</v>
      </c>
      <c r="F13" s="10">
        <f t="shared" si="1"/>
        <v>15560.08</v>
      </c>
      <c r="G13" s="7">
        <f t="shared" si="2"/>
        <v>448.03999999999996</v>
      </c>
      <c r="H13" s="7">
        <f t="shared" si="3"/>
        <v>8228.08</v>
      </c>
      <c r="I13" s="8">
        <v>0.21</v>
      </c>
      <c r="J13" s="8">
        <v>0.05</v>
      </c>
      <c r="K13" s="7">
        <f t="shared" si="4"/>
        <v>7.6935599999999909</v>
      </c>
      <c r="L13" s="7">
        <f t="shared" si="5"/>
        <v>411.404</v>
      </c>
      <c r="M13" s="7">
        <f t="shared" si="6"/>
        <v>892026.3902400001</v>
      </c>
      <c r="N13" s="7">
        <v>0</v>
      </c>
      <c r="O13" s="22"/>
      <c r="P13" s="19"/>
    </row>
    <row r="14" spans="1:16" x14ac:dyDescent="0.2">
      <c r="A14" s="38">
        <v>44378</v>
      </c>
      <c r="C14" s="7">
        <v>4193823</v>
      </c>
      <c r="D14" s="15">
        <v>7836</v>
      </c>
      <c r="E14" s="10">
        <f t="shared" si="0"/>
        <v>7780.04</v>
      </c>
      <c r="F14" s="10">
        <f t="shared" si="1"/>
        <v>15560.08</v>
      </c>
      <c r="G14" s="7">
        <f t="shared" si="2"/>
        <v>-55.960000000000036</v>
      </c>
      <c r="H14" s="7">
        <f t="shared" si="3"/>
        <v>7724.08</v>
      </c>
      <c r="I14" s="8">
        <v>0.21</v>
      </c>
      <c r="J14" s="8">
        <v>0.05</v>
      </c>
      <c r="K14" s="7">
        <f t="shared" si="4"/>
        <v>-92.854440000000011</v>
      </c>
      <c r="L14" s="7">
        <f t="shared" si="5"/>
        <v>386.20400000000001</v>
      </c>
      <c r="M14" s="7">
        <f t="shared" si="6"/>
        <v>892319.7398000001</v>
      </c>
      <c r="N14" s="7">
        <v>0</v>
      </c>
      <c r="O14" s="22"/>
      <c r="P14" s="19"/>
    </row>
    <row r="15" spans="1:16" x14ac:dyDescent="0.2">
      <c r="A15" s="38">
        <v>44409</v>
      </c>
      <c r="C15" s="7">
        <v>4193823</v>
      </c>
      <c r="D15" s="15">
        <v>7836</v>
      </c>
      <c r="E15" s="15">
        <f t="shared" si="0"/>
        <v>7780.04</v>
      </c>
      <c r="F15" s="15">
        <f t="shared" si="1"/>
        <v>15560.08</v>
      </c>
      <c r="G15" s="7">
        <f t="shared" si="2"/>
        <v>-55.960000000000036</v>
      </c>
      <c r="H15" s="7">
        <f t="shared" si="3"/>
        <v>7724.08</v>
      </c>
      <c r="I15" s="8">
        <v>0.21</v>
      </c>
      <c r="J15" s="8">
        <v>0.05</v>
      </c>
      <c r="K15" s="7">
        <f t="shared" si="4"/>
        <v>-92.854440000000011</v>
      </c>
      <c r="L15" s="7">
        <f t="shared" si="5"/>
        <v>386.20400000000001</v>
      </c>
      <c r="M15" s="7">
        <f t="shared" si="6"/>
        <v>892613.0893600001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50</v>
      </c>
    </row>
    <row r="20" spans="1:14" x14ac:dyDescent="0.2">
      <c r="C20" s="43" t="s">
        <v>31</v>
      </c>
    </row>
    <row r="21" spans="1:14" x14ac:dyDescent="0.2">
      <c r="C21" s="43" t="s">
        <v>65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7">
        <v>2139710</v>
      </c>
      <c r="D25" s="7">
        <v>7836</v>
      </c>
      <c r="E25" s="7">
        <v>7954.37</v>
      </c>
      <c r="F25" s="7">
        <f>E25-D25</f>
        <v>118.36999999999989</v>
      </c>
      <c r="G25" s="8">
        <v>0.21</v>
      </c>
      <c r="H25" s="7">
        <f>F25*G25</f>
        <v>24.857699999999976</v>
      </c>
    </row>
    <row r="26" spans="1:14" ht="15" x14ac:dyDescent="0.35">
      <c r="C26" s="7">
        <v>-42798.530000000028</v>
      </c>
      <c r="D26" s="7"/>
      <c r="E26" s="31">
        <v>-174.33</v>
      </c>
      <c r="F26" s="31">
        <f>E26</f>
        <v>-174.33</v>
      </c>
      <c r="G26" s="8">
        <v>0.21</v>
      </c>
      <c r="H26" s="31">
        <f>F26*G26</f>
        <v>-36.609300000000005</v>
      </c>
    </row>
    <row r="27" spans="1:14" x14ac:dyDescent="0.2">
      <c r="E27" s="7">
        <f>E25+E26</f>
        <v>7780.04</v>
      </c>
      <c r="F27" s="7">
        <f>F25+F26</f>
        <v>-55.960000000000122</v>
      </c>
      <c r="G27" s="33" t="s">
        <v>43</v>
      </c>
      <c r="H27" s="7">
        <f>H25+H26</f>
        <v>-11.751600000000028</v>
      </c>
    </row>
    <row r="28" spans="1:14" ht="15" x14ac:dyDescent="0.35">
      <c r="G28" s="33" t="s">
        <v>44</v>
      </c>
      <c r="H28" s="31">
        <f>-H34*0.21</f>
        <v>-81.102734999999996</v>
      </c>
    </row>
    <row r="29" spans="1:14" x14ac:dyDescent="0.2">
      <c r="H29" s="7">
        <f>H27+H28</f>
        <v>-92.85433500000002</v>
      </c>
    </row>
    <row r="30" spans="1:14" x14ac:dyDescent="0.2">
      <c r="H30" s="7">
        <f>H29-K15</f>
        <v>1.0499999999069587E-4</v>
      </c>
    </row>
    <row r="31" spans="1:14" x14ac:dyDescent="0.2">
      <c r="C31" s="7" t="s">
        <v>39</v>
      </c>
      <c r="D31" s="27" t="s">
        <v>35</v>
      </c>
      <c r="E31" s="28" t="s">
        <v>40</v>
      </c>
      <c r="F31" s="7" t="s">
        <v>41</v>
      </c>
      <c r="G31" s="8" t="s">
        <v>28</v>
      </c>
      <c r="H31" s="7" t="s">
        <v>42</v>
      </c>
    </row>
    <row r="32" spans="1:14" x14ac:dyDescent="0.2">
      <c r="C32" s="7">
        <v>4279420</v>
      </c>
      <c r="D32" s="7">
        <f>D25</f>
        <v>7836</v>
      </c>
      <c r="E32" s="7">
        <v>15908.74</v>
      </c>
      <c r="F32" s="7">
        <f>E32-D32</f>
        <v>8072.74</v>
      </c>
      <c r="G32" s="8">
        <v>0.05</v>
      </c>
      <c r="H32" s="7">
        <f>F32*G32</f>
        <v>403.637</v>
      </c>
    </row>
    <row r="33" spans="3:8" ht="15" x14ac:dyDescent="0.35">
      <c r="C33" s="7">
        <v>-85597.060000000056</v>
      </c>
      <c r="D33" s="7"/>
      <c r="E33" s="31">
        <v>-348.67</v>
      </c>
      <c r="F33" s="31">
        <f>E33</f>
        <v>-348.67</v>
      </c>
      <c r="G33" s="8">
        <v>0.05</v>
      </c>
      <c r="H33" s="31">
        <f>F33*G33</f>
        <v>-17.433500000000002</v>
      </c>
    </row>
    <row r="34" spans="3:8" x14ac:dyDescent="0.2">
      <c r="E34" s="7">
        <f>E32+E33</f>
        <v>15560.07</v>
      </c>
      <c r="F34" s="7">
        <f>F32+F33</f>
        <v>7724.07</v>
      </c>
      <c r="H34" s="7">
        <f>H32+H33</f>
        <v>386.20350000000002</v>
      </c>
    </row>
    <row r="35" spans="3:8" x14ac:dyDescent="0.2">
      <c r="H35" s="7">
        <f>H34-L15</f>
        <v>-4.9999999998817657E-4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7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42578125" customWidth="1"/>
    <col min="4" max="4" width="14.28515625" bestFit="1" customWidth="1"/>
    <col min="5" max="5" width="17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customWidth="1"/>
    <col min="16" max="16" width="14.5703125" bestFit="1" customWidth="1"/>
    <col min="17" max="17" width="11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12</v>
      </c>
    </row>
    <row r="6" spans="1:17" x14ac:dyDescent="0.2">
      <c r="A6" s="11" t="s">
        <v>19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21412956</v>
      </c>
    </row>
    <row r="10" spans="1:17" x14ac:dyDescent="0.2">
      <c r="A10" s="38">
        <v>44264</v>
      </c>
      <c r="C10" s="7">
        <v>86697565</v>
      </c>
      <c r="D10" s="15">
        <v>374967</v>
      </c>
      <c r="E10" s="10">
        <f>66031.46</f>
        <v>66031.460000000006</v>
      </c>
      <c r="F10" s="10">
        <f>121781.76</f>
        <v>121781.75999999999</v>
      </c>
      <c r="G10" s="7">
        <f>E10-D10</f>
        <v>-308935.53999999998</v>
      </c>
      <c r="H10" s="7">
        <f>F10-D10</f>
        <v>-253185.24</v>
      </c>
      <c r="I10" s="8">
        <v>0.21</v>
      </c>
      <c r="J10" s="8">
        <v>0.05</v>
      </c>
      <c r="K10" s="7">
        <f>G10*I10+12659*I10-36819.5</f>
        <v>-99037.573399999994</v>
      </c>
      <c r="L10" s="7">
        <f>H10*J10-1460.18</f>
        <v>-14119.442000000001</v>
      </c>
      <c r="M10" s="7">
        <f t="shared" ref="M10:M13" si="0">M9+K10+L10</f>
        <v>21299798.9846</v>
      </c>
      <c r="N10" s="7">
        <f>53420.98+31018.18+178334.57</f>
        <v>262773.73</v>
      </c>
      <c r="Q10" s="19"/>
    </row>
    <row r="11" spans="1:17" x14ac:dyDescent="0.2">
      <c r="A11" s="38">
        <v>44287</v>
      </c>
      <c r="C11" s="7">
        <v>86697565</v>
      </c>
      <c r="D11" s="15">
        <v>374967</v>
      </c>
      <c r="E11" s="10">
        <f>66031.46</f>
        <v>66031.460000000006</v>
      </c>
      <c r="F11" s="10">
        <f>121781.76</f>
        <v>121781.75999999999</v>
      </c>
      <c r="G11" s="7">
        <f t="shared" ref="G11:G15" si="1">E11-D11</f>
        <v>-308935.53999999998</v>
      </c>
      <c r="H11" s="7">
        <f t="shared" ref="H11:H15" si="2">F11-D11</f>
        <v>-253185.24</v>
      </c>
      <c r="I11" s="8">
        <v>0.21</v>
      </c>
      <c r="J11" s="8">
        <v>0.05</v>
      </c>
      <c r="K11" s="7">
        <f>G11*I11+12659*I11-36819.5</f>
        <v>-99037.573399999994</v>
      </c>
      <c r="L11" s="7">
        <f>H11*J11-1460.18</f>
        <v>-14119.442000000001</v>
      </c>
      <c r="M11" s="7">
        <f t="shared" si="0"/>
        <v>21186641.9692</v>
      </c>
      <c r="N11" s="7">
        <f>52916.25+30854.07+177138.85</f>
        <v>260909.17</v>
      </c>
      <c r="O11" s="7"/>
      <c r="Q11" s="19"/>
    </row>
    <row r="12" spans="1:17" x14ac:dyDescent="0.2">
      <c r="A12" s="38">
        <v>44317</v>
      </c>
      <c r="C12" s="7">
        <v>86557830</v>
      </c>
      <c r="D12" s="15">
        <v>374665</v>
      </c>
      <c r="E12" s="10">
        <f>65376.45+265</f>
        <v>65641.45</v>
      </c>
      <c r="F12" s="10">
        <f>121126.75+265</f>
        <v>121391.75</v>
      </c>
      <c r="G12" s="7">
        <f t="shared" si="1"/>
        <v>-309023.55</v>
      </c>
      <c r="H12" s="7">
        <f t="shared" si="2"/>
        <v>-253273.25</v>
      </c>
      <c r="I12" s="8">
        <v>0.21</v>
      </c>
      <c r="J12" s="8">
        <v>0.05</v>
      </c>
      <c r="K12" s="7">
        <f>G12*I12+12664*I12-36819.5</f>
        <v>-99055.005499999999</v>
      </c>
      <c r="L12" s="7">
        <f>H12*J12-1460.18</f>
        <v>-14123.842500000001</v>
      </c>
      <c r="M12" s="7">
        <f t="shared" si="0"/>
        <v>21073463.121199999</v>
      </c>
      <c r="N12" s="7">
        <f>52411.51+30689.96+175943.13</f>
        <v>259044.6</v>
      </c>
      <c r="O12" s="17"/>
      <c r="Q12" s="19"/>
    </row>
    <row r="13" spans="1:17" x14ac:dyDescent="0.2">
      <c r="A13" s="38">
        <v>44348</v>
      </c>
      <c r="C13" s="7">
        <v>86557830</v>
      </c>
      <c r="D13" s="15">
        <v>374363</v>
      </c>
      <c r="E13" s="10">
        <f>65376.45-39</f>
        <v>65337.45</v>
      </c>
      <c r="F13" s="10">
        <f>121126.75-39</f>
        <v>121087.75</v>
      </c>
      <c r="G13" s="7">
        <f t="shared" si="1"/>
        <v>-309025.55</v>
      </c>
      <c r="H13" s="7">
        <f t="shared" si="2"/>
        <v>-253275.25</v>
      </c>
      <c r="I13" s="8">
        <v>0.21</v>
      </c>
      <c r="J13" s="8">
        <v>0.05</v>
      </c>
      <c r="K13" s="7">
        <f>G13*I13+12664*I13-36819.5</f>
        <v>-99055.425499999983</v>
      </c>
      <c r="L13" s="7">
        <f>H13*J13-1460.18</f>
        <v>-14123.942500000001</v>
      </c>
      <c r="M13" s="7">
        <f t="shared" si="0"/>
        <v>20960283.753199998</v>
      </c>
      <c r="N13" s="7">
        <f>51906.78+30525.84+174747.41</f>
        <v>257180.03</v>
      </c>
      <c r="O13" s="7"/>
      <c r="P13" s="17"/>
      <c r="Q13" s="19"/>
    </row>
    <row r="14" spans="1:17" x14ac:dyDescent="0.2">
      <c r="A14" s="38">
        <v>44378</v>
      </c>
      <c r="C14" s="7"/>
      <c r="D14" s="15"/>
      <c r="E14" s="10">
        <f>E13-E31</f>
        <v>0</v>
      </c>
      <c r="F14" s="10">
        <f>F13-E42</f>
        <v>-2.0000000018626451E-2</v>
      </c>
      <c r="G14" s="7">
        <f t="shared" si="1"/>
        <v>0</v>
      </c>
      <c r="H14" s="7">
        <f t="shared" si="2"/>
        <v>-2.0000000018626451E-2</v>
      </c>
      <c r="I14" s="8">
        <v>0.21</v>
      </c>
      <c r="J14" s="8">
        <v>0.05</v>
      </c>
      <c r="K14" s="7">
        <f t="shared" ref="K14:K15" si="3">G14*I14-L14*I14</f>
        <v>2.1000000019557772E-4</v>
      </c>
      <c r="L14" s="7">
        <f t="shared" ref="L14:L15" si="4">H14*J14</f>
        <v>-1.0000000009313225E-3</v>
      </c>
      <c r="M14" s="7">
        <v>0</v>
      </c>
      <c r="N14" s="7">
        <v>0</v>
      </c>
      <c r="O14" s="17"/>
      <c r="P14" s="17"/>
      <c r="Q14" s="19"/>
    </row>
    <row r="15" spans="1:17" x14ac:dyDescent="0.2">
      <c r="A15" s="38">
        <v>44409</v>
      </c>
      <c r="C15" s="7"/>
      <c r="D15" s="15"/>
      <c r="E15" s="15"/>
      <c r="F15" s="15"/>
      <c r="G15" s="7">
        <f t="shared" si="1"/>
        <v>0</v>
      </c>
      <c r="H15" s="7">
        <f t="shared" si="2"/>
        <v>0</v>
      </c>
      <c r="I15" s="8">
        <v>0.21</v>
      </c>
      <c r="J15" s="8">
        <v>0.05</v>
      </c>
      <c r="K15" s="7">
        <f t="shared" si="3"/>
        <v>0</v>
      </c>
      <c r="L15" s="7">
        <f t="shared" si="4"/>
        <v>0</v>
      </c>
      <c r="M15" s="7">
        <v>0</v>
      </c>
      <c r="N15" s="7">
        <v>0</v>
      </c>
      <c r="O15" s="7"/>
      <c r="Q15" s="19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/>
    </row>
    <row r="17" spans="1:14" x14ac:dyDescent="0.2">
      <c r="A17" s="16"/>
      <c r="C17" s="37" t="s">
        <v>61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49</v>
      </c>
    </row>
    <row r="20" spans="1:14" x14ac:dyDescent="0.2">
      <c r="C20" s="43" t="s">
        <v>31</v>
      </c>
    </row>
    <row r="21" spans="1:14" x14ac:dyDescent="0.2">
      <c r="C21" s="43" t="s">
        <v>64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7">
        <v>17445568.128000002</v>
      </c>
      <c r="D25" s="7">
        <v>374363</v>
      </c>
      <c r="E25" s="7">
        <v>71061.61</v>
      </c>
      <c r="F25" s="7">
        <f>E25-D25</f>
        <v>-303301.39</v>
      </c>
      <c r="G25" s="8">
        <v>0.21</v>
      </c>
      <c r="H25" s="7">
        <f>F25*G25</f>
        <v>-63693.291900000004</v>
      </c>
    </row>
    <row r="26" spans="1:14" x14ac:dyDescent="0.2">
      <c r="C26" s="7">
        <v>26168352.191999998</v>
      </c>
      <c r="D26" s="7"/>
      <c r="E26" s="7"/>
      <c r="F26" s="7">
        <f t="shared" ref="F26:F30" si="5">E26-D26</f>
        <v>0</v>
      </c>
      <c r="G26" s="8">
        <v>0.21</v>
      </c>
      <c r="H26" s="7">
        <f t="shared" ref="H26:H30" si="6">F26*G26</f>
        <v>0</v>
      </c>
    </row>
    <row r="27" spans="1:14" x14ac:dyDescent="0.2">
      <c r="C27" s="7">
        <v>-1286197</v>
      </c>
      <c r="D27" s="7"/>
      <c r="E27" s="7">
        <f>-2449.35-12861.97</f>
        <v>-15311.32</v>
      </c>
      <c r="F27" s="7">
        <f t="shared" si="5"/>
        <v>-15311.32</v>
      </c>
      <c r="G27" s="8">
        <v>0.21</v>
      </c>
      <c r="H27" s="7">
        <f t="shared" si="6"/>
        <v>-3215.3771999999999</v>
      </c>
    </row>
    <row r="28" spans="1:14" x14ac:dyDescent="0.2">
      <c r="C28" s="7">
        <v>149237</v>
      </c>
      <c r="D28" s="7"/>
      <c r="E28" s="7">
        <v>830.38</v>
      </c>
      <c r="F28" s="7">
        <f t="shared" si="5"/>
        <v>830.38</v>
      </c>
      <c r="G28" s="8">
        <v>0.21</v>
      </c>
      <c r="H28" s="7">
        <f t="shared" si="6"/>
        <v>174.37979999999999</v>
      </c>
    </row>
    <row r="29" spans="1:14" x14ac:dyDescent="0.2">
      <c r="C29" s="7">
        <v>321897</v>
      </c>
      <c r="D29" s="7"/>
      <c r="E29" s="37">
        <v>0</v>
      </c>
      <c r="F29" s="37">
        <f t="shared" si="5"/>
        <v>0</v>
      </c>
      <c r="G29" s="8">
        <v>0.21</v>
      </c>
      <c r="H29" s="37">
        <f t="shared" si="6"/>
        <v>0</v>
      </c>
    </row>
    <row r="30" spans="1:14" ht="15" x14ac:dyDescent="0.35">
      <c r="C30" s="7">
        <f>1570984.08</f>
        <v>1570984.08</v>
      </c>
      <c r="D30" s="7"/>
      <c r="E30" s="31">
        <f>9450.78-694</f>
        <v>8756.7800000000007</v>
      </c>
      <c r="F30" s="31">
        <f t="shared" si="5"/>
        <v>8756.7800000000007</v>
      </c>
      <c r="G30" s="8">
        <v>0.21</v>
      </c>
      <c r="H30" s="31">
        <f t="shared" si="6"/>
        <v>1838.9238</v>
      </c>
    </row>
    <row r="31" spans="1:14" x14ac:dyDescent="0.2">
      <c r="E31" s="7">
        <f>SUM(E25:E30)</f>
        <v>65337.45</v>
      </c>
      <c r="F31" s="7">
        <f>SUM(F25:F30)</f>
        <v>-309025.55</v>
      </c>
      <c r="G31" s="33" t="s">
        <v>43</v>
      </c>
      <c r="H31" s="7">
        <f>SUM(H25:H30)</f>
        <v>-64895.365500000007</v>
      </c>
    </row>
    <row r="32" spans="1:14" ht="15" x14ac:dyDescent="0.35">
      <c r="G32" s="33" t="s">
        <v>44</v>
      </c>
      <c r="H32" s="31">
        <f>-H42*0.21</f>
        <v>2659.3899149999997</v>
      </c>
    </row>
    <row r="33" spans="3:9" x14ac:dyDescent="0.2">
      <c r="H33" s="7">
        <f>H31+H32</f>
        <v>-62235.975585000007</v>
      </c>
    </row>
    <row r="34" spans="3:9" x14ac:dyDescent="0.2">
      <c r="H34" s="7">
        <f>H33-K13</f>
        <v>36819.449914999976</v>
      </c>
      <c r="I34" s="33" t="s">
        <v>62</v>
      </c>
    </row>
    <row r="35" spans="3:9" x14ac:dyDescent="0.2">
      <c r="C35" s="7" t="s">
        <v>39</v>
      </c>
      <c r="D35" s="27" t="s">
        <v>35</v>
      </c>
      <c r="E35" s="28" t="s">
        <v>40</v>
      </c>
      <c r="F35" s="7" t="s">
        <v>41</v>
      </c>
      <c r="G35" s="8" t="s">
        <v>28</v>
      </c>
      <c r="H35" s="7" t="s">
        <v>42</v>
      </c>
    </row>
    <row r="36" spans="3:9" x14ac:dyDescent="0.2">
      <c r="C36" s="7">
        <v>34891136.256000005</v>
      </c>
      <c r="D36" s="7">
        <f>D25</f>
        <v>374363</v>
      </c>
      <c r="E36" s="7">
        <v>142123.23000000001</v>
      </c>
      <c r="F36" s="7">
        <f>E36-D36</f>
        <v>-232239.77</v>
      </c>
      <c r="G36" s="8">
        <v>0.05</v>
      </c>
      <c r="H36" s="7">
        <f>F36*G36</f>
        <v>-11611.988499999999</v>
      </c>
    </row>
    <row r="37" spans="3:9" x14ac:dyDescent="0.2">
      <c r="C37" s="7">
        <v>52336704.383999996</v>
      </c>
      <c r="D37" s="7"/>
      <c r="E37" s="37"/>
      <c r="F37" s="37">
        <f>E37</f>
        <v>0</v>
      </c>
      <c r="G37" s="46">
        <v>0.05</v>
      </c>
      <c r="H37" s="7">
        <f t="shared" ref="H37:H41" si="7">F37*G37</f>
        <v>0</v>
      </c>
    </row>
    <row r="38" spans="3:9" x14ac:dyDescent="0.2">
      <c r="C38" s="7">
        <v>-2572393</v>
      </c>
      <c r="D38" s="7"/>
      <c r="E38" s="37">
        <f>-4898.69-25723.93</f>
        <v>-30622.62</v>
      </c>
      <c r="F38" s="37">
        <f t="shared" ref="F38:F41" si="8">E38</f>
        <v>-30622.62</v>
      </c>
      <c r="G38" s="46">
        <v>0.05</v>
      </c>
      <c r="H38" s="7">
        <f t="shared" si="7"/>
        <v>-1531.1310000000001</v>
      </c>
    </row>
    <row r="39" spans="3:9" x14ac:dyDescent="0.2">
      <c r="C39" s="7">
        <v>149237</v>
      </c>
      <c r="D39" s="7"/>
      <c r="E39" s="37">
        <v>830.38</v>
      </c>
      <c r="F39" s="37">
        <f t="shared" si="8"/>
        <v>830.38</v>
      </c>
      <c r="G39" s="46">
        <v>0.05</v>
      </c>
      <c r="H39" s="7">
        <f t="shared" si="7"/>
        <v>41.519000000000005</v>
      </c>
    </row>
    <row r="40" spans="3:9" x14ac:dyDescent="0.2">
      <c r="C40" s="7">
        <v>321897</v>
      </c>
      <c r="D40" s="7"/>
      <c r="E40" s="37">
        <v>0</v>
      </c>
      <c r="F40" s="37">
        <f t="shared" si="8"/>
        <v>0</v>
      </c>
      <c r="G40" s="46">
        <v>0.05</v>
      </c>
      <c r="H40" s="37">
        <f t="shared" si="7"/>
        <v>0</v>
      </c>
    </row>
    <row r="41" spans="3:9" ht="15" x14ac:dyDescent="0.35">
      <c r="C41" s="7">
        <f>C30</f>
        <v>1570984.08</v>
      </c>
      <c r="D41" s="7"/>
      <c r="E41" s="31">
        <f>9450.78-694</f>
        <v>8756.7800000000007</v>
      </c>
      <c r="F41" s="31">
        <f t="shared" si="8"/>
        <v>8756.7800000000007</v>
      </c>
      <c r="G41" s="46">
        <v>0.05</v>
      </c>
      <c r="H41" s="31">
        <f t="shared" si="7"/>
        <v>437.83900000000006</v>
      </c>
    </row>
    <row r="42" spans="3:9" x14ac:dyDescent="0.2">
      <c r="E42" s="7">
        <f>SUM(E36:E41)</f>
        <v>121087.77000000002</v>
      </c>
      <c r="F42" s="7">
        <f>SUM(F36:F41)</f>
        <v>-253275.23</v>
      </c>
      <c r="H42" s="7">
        <f>SUM(H36:H41)</f>
        <v>-12663.761499999999</v>
      </c>
    </row>
    <row r="43" spans="3:9" x14ac:dyDescent="0.2">
      <c r="H43" s="7">
        <f>H42-L13</f>
        <v>1460.1810000000023</v>
      </c>
      <c r="I43" s="33" t="s">
        <v>63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8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1:Q88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3.42578125" customWidth="1"/>
    <col min="4" max="4" width="14.28515625" bestFit="1" customWidth="1"/>
    <col min="5" max="5" width="17.140625" customWidth="1"/>
    <col min="6" max="6" width="16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customWidth="1"/>
    <col min="16" max="16" width="16.5703125" bestFit="1" customWidth="1"/>
    <col min="17" max="17" width="12.42578125" bestFit="1" customWidth="1"/>
  </cols>
  <sheetData>
    <row r="1" spans="1:17" x14ac:dyDescent="0.2">
      <c r="A1" s="48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7" x14ac:dyDescent="0.2">
      <c r="A2" s="48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7" x14ac:dyDescent="0.2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7" x14ac:dyDescent="0.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7" x14ac:dyDescent="0.2">
      <c r="A5" s="52" t="s">
        <v>12</v>
      </c>
    </row>
    <row r="6" spans="1:17" x14ac:dyDescent="0.2">
      <c r="A6" s="53" t="s">
        <v>13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157805171</v>
      </c>
    </row>
    <row r="10" spans="1:17" x14ac:dyDescent="0.2">
      <c r="A10" s="38">
        <v>44264</v>
      </c>
      <c r="C10" s="7">
        <v>652863061</v>
      </c>
      <c r="D10" s="25">
        <v>2375842</v>
      </c>
      <c r="E10" s="10">
        <f>1899880.91</f>
        <v>1899880.91</v>
      </c>
      <c r="F10" s="10">
        <f>3738967.32</f>
        <v>3738967.32</v>
      </c>
      <c r="G10" s="7">
        <f>E10-D10</f>
        <v>-475961.09000000008</v>
      </c>
      <c r="H10" s="7">
        <f>F10-D10</f>
        <v>1363125.3199999998</v>
      </c>
      <c r="I10" s="8">
        <v>0.21</v>
      </c>
      <c r="J10" s="8">
        <v>0.05</v>
      </c>
      <c r="K10" s="7">
        <f>G10*I10-L10*I10-83989.87</f>
        <v>-198254.51475999999</v>
      </c>
      <c r="L10" s="7">
        <f t="shared" ref="L10:L15" si="0">H10*J10</f>
        <v>68156.265999999989</v>
      </c>
      <c r="M10" s="7">
        <f t="shared" ref="M10:M13" si="1">M9+K10+L10</f>
        <v>157675072.75124002</v>
      </c>
      <c r="N10" s="7">
        <f>27897.18+43544.88</f>
        <v>71442.06</v>
      </c>
      <c r="Q10" s="19"/>
    </row>
    <row r="11" spans="1:17" x14ac:dyDescent="0.2">
      <c r="A11" s="38">
        <v>44287</v>
      </c>
      <c r="C11" s="7">
        <v>652863061</v>
      </c>
      <c r="D11" s="25">
        <v>2375842</v>
      </c>
      <c r="E11" s="10">
        <f>1899880.91</f>
        <v>1899880.91</v>
      </c>
      <c r="F11" s="10">
        <f>3738967.32</f>
        <v>3738967.32</v>
      </c>
      <c r="G11" s="7">
        <f t="shared" ref="G11:G15" si="2">E11-D11</f>
        <v>-475961.09000000008</v>
      </c>
      <c r="H11" s="7">
        <f t="shared" ref="H11:H15" si="3">F11-D11</f>
        <v>1363125.3199999998</v>
      </c>
      <c r="I11" s="8">
        <v>0.21</v>
      </c>
      <c r="J11" s="8">
        <v>0.05</v>
      </c>
      <c r="K11" s="7">
        <f>G11*I11-L11*I11-83989.87</f>
        <v>-198254.51475999999</v>
      </c>
      <c r="L11" s="7">
        <f t="shared" si="0"/>
        <v>68156.265999999989</v>
      </c>
      <c r="M11" s="7">
        <f t="shared" si="1"/>
        <v>157544974.50248003</v>
      </c>
      <c r="N11" s="7">
        <f>27740.35+43359.58</f>
        <v>71099.929999999993</v>
      </c>
      <c r="O11" s="7"/>
      <c r="Q11" s="19"/>
    </row>
    <row r="12" spans="1:17" x14ac:dyDescent="0.2">
      <c r="A12" s="38">
        <v>44317</v>
      </c>
      <c r="C12" s="7">
        <v>655726259</v>
      </c>
      <c r="D12" s="25">
        <v>2381604</v>
      </c>
      <c r="E12" s="10">
        <f>1913302.14-5043</f>
        <v>1908259.14</v>
      </c>
      <c r="F12" s="10">
        <f>3752388.56-5043</f>
        <v>3747345.56</v>
      </c>
      <c r="G12" s="7">
        <f t="shared" si="2"/>
        <v>-473344.8600000001</v>
      </c>
      <c r="H12" s="7">
        <f t="shared" si="3"/>
        <v>1365741.56</v>
      </c>
      <c r="I12" s="8">
        <v>0.21</v>
      </c>
      <c r="J12" s="8">
        <v>0.05</v>
      </c>
      <c r="K12" s="7">
        <f>G12*I12-L12*I12-83989.87</f>
        <v>-197732.57698000001</v>
      </c>
      <c r="L12" s="7">
        <f t="shared" si="0"/>
        <v>68287.078000000009</v>
      </c>
      <c r="M12" s="7">
        <f t="shared" si="1"/>
        <v>157415529.00350004</v>
      </c>
      <c r="N12" s="7">
        <f>27583.53+43174.28+28964.2</f>
        <v>99722.01</v>
      </c>
      <c r="O12" s="17"/>
      <c r="Q12" s="19"/>
    </row>
    <row r="13" spans="1:17" x14ac:dyDescent="0.2">
      <c r="A13" s="38">
        <v>44348</v>
      </c>
      <c r="C13" s="7">
        <v>655729191</v>
      </c>
      <c r="D13" s="25">
        <v>2387372</v>
      </c>
      <c r="E13" s="10">
        <f>1913317.86+715</f>
        <v>1914032.86</v>
      </c>
      <c r="F13" s="10">
        <f>3752404.27+715</f>
        <v>3753119.27</v>
      </c>
      <c r="G13" s="7">
        <f t="shared" si="2"/>
        <v>-473339.1399999999</v>
      </c>
      <c r="H13" s="7">
        <f t="shared" si="3"/>
        <v>1365747.27</v>
      </c>
      <c r="I13" s="8">
        <v>0.21</v>
      </c>
      <c r="J13" s="8">
        <v>0.05</v>
      </c>
      <c r="K13" s="7">
        <f>G13*I13-L13*I13-83989.87</f>
        <v>-197731.43573499995</v>
      </c>
      <c r="L13" s="7">
        <f t="shared" si="0"/>
        <v>68287.363500000007</v>
      </c>
      <c r="M13" s="7">
        <f t="shared" si="1"/>
        <v>157286084.93126506</v>
      </c>
      <c r="N13" s="7">
        <f>27426.7+42988.98+28786.97+22.76</f>
        <v>99225.41</v>
      </c>
      <c r="O13" s="7"/>
      <c r="P13" s="17"/>
      <c r="Q13" s="19"/>
    </row>
    <row r="14" spans="1:17" x14ac:dyDescent="0.2">
      <c r="A14" s="38">
        <v>44378</v>
      </c>
      <c r="C14" s="7"/>
      <c r="D14" s="25"/>
      <c r="E14" s="10"/>
      <c r="F14" s="10"/>
      <c r="G14" s="7">
        <f t="shared" si="2"/>
        <v>0</v>
      </c>
      <c r="H14" s="7">
        <f t="shared" si="3"/>
        <v>0</v>
      </c>
      <c r="I14" s="8">
        <v>0.21</v>
      </c>
      <c r="J14" s="8">
        <v>0.05</v>
      </c>
      <c r="K14" s="7">
        <f t="shared" ref="K14:K15" si="4">G14*I14-L14*I14</f>
        <v>0</v>
      </c>
      <c r="L14" s="7">
        <f t="shared" si="0"/>
        <v>0</v>
      </c>
      <c r="M14" s="7">
        <v>0</v>
      </c>
      <c r="N14" s="7">
        <v>0</v>
      </c>
      <c r="O14" s="17"/>
      <c r="P14" s="17"/>
      <c r="Q14" s="19"/>
    </row>
    <row r="15" spans="1:17" x14ac:dyDescent="0.2">
      <c r="A15" s="38">
        <v>44409</v>
      </c>
      <c r="C15" s="7"/>
      <c r="D15" s="25"/>
      <c r="E15" s="25"/>
      <c r="F15" s="25"/>
      <c r="G15" s="7">
        <f t="shared" si="2"/>
        <v>0</v>
      </c>
      <c r="H15" s="7">
        <f t="shared" si="3"/>
        <v>0</v>
      </c>
      <c r="I15" s="8">
        <v>0.21</v>
      </c>
      <c r="J15" s="8">
        <v>0.05</v>
      </c>
      <c r="K15" s="7">
        <f t="shared" si="4"/>
        <v>0</v>
      </c>
      <c r="L15" s="7">
        <f t="shared" si="0"/>
        <v>0</v>
      </c>
      <c r="M15" s="7">
        <v>0</v>
      </c>
      <c r="N15" s="7">
        <v>0</v>
      </c>
      <c r="O15" s="7"/>
      <c r="Q15" s="19"/>
    </row>
    <row r="16" spans="1:17" x14ac:dyDescent="0.2">
      <c r="A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/>
    </row>
    <row r="17" spans="1:14" x14ac:dyDescent="0.2">
      <c r="A17" s="54"/>
      <c r="C17" s="37" t="s">
        <v>55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51</v>
      </c>
    </row>
    <row r="20" spans="1:14" x14ac:dyDescent="0.2">
      <c r="C20" s="43" t="s">
        <v>31</v>
      </c>
    </row>
    <row r="21" spans="1:14" x14ac:dyDescent="0.2">
      <c r="C21" s="43" t="s">
        <v>64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7">
        <v>1707678.0000000002</v>
      </c>
      <c r="D25" s="7">
        <v>2387372</v>
      </c>
      <c r="E25" s="7">
        <v>6349.72</v>
      </c>
      <c r="F25" s="7">
        <f>E25-D25</f>
        <v>-2381022.2799999998</v>
      </c>
      <c r="G25" s="8">
        <v>0.21</v>
      </c>
      <c r="H25" s="7">
        <f>F25*G25</f>
        <v>-500014.67879999994</v>
      </c>
    </row>
    <row r="26" spans="1:14" x14ac:dyDescent="0.2">
      <c r="C26" s="7">
        <v>2561517</v>
      </c>
      <c r="E26" s="7"/>
      <c r="F26" s="7">
        <f>E26</f>
        <v>0</v>
      </c>
      <c r="G26" s="8">
        <v>0.21</v>
      </c>
      <c r="H26" s="7">
        <f t="shared" ref="H26:H53" si="5">F26*G26</f>
        <v>0</v>
      </c>
    </row>
    <row r="27" spans="1:14" x14ac:dyDescent="0.2">
      <c r="C27" s="7">
        <v>30650265</v>
      </c>
      <c r="E27" s="7">
        <v>115500.42</v>
      </c>
      <c r="F27" s="7">
        <f t="shared" ref="F27:F53" si="6">E27</f>
        <v>115500.42</v>
      </c>
      <c r="G27" s="8">
        <v>0.21</v>
      </c>
      <c r="H27" s="7">
        <f t="shared" si="5"/>
        <v>24255.088199999998</v>
      </c>
    </row>
    <row r="28" spans="1:14" x14ac:dyDescent="0.2">
      <c r="C28" s="7">
        <v>45975398</v>
      </c>
      <c r="E28" s="7">
        <v>228052.57</v>
      </c>
      <c r="F28" s="7">
        <f t="shared" si="6"/>
        <v>228052.57</v>
      </c>
      <c r="G28" s="8">
        <v>0.21</v>
      </c>
      <c r="H28" s="7">
        <f t="shared" si="5"/>
        <v>47891.039700000001</v>
      </c>
    </row>
    <row r="29" spans="1:14" x14ac:dyDescent="0.2">
      <c r="C29" s="7">
        <v>27464567.032000002</v>
      </c>
      <c r="E29" s="7">
        <v>103495.64</v>
      </c>
      <c r="F29" s="7">
        <f t="shared" si="6"/>
        <v>103495.64</v>
      </c>
      <c r="G29" s="8">
        <v>0.21</v>
      </c>
      <c r="H29" s="7">
        <f t="shared" si="5"/>
        <v>21734.0844</v>
      </c>
    </row>
    <row r="30" spans="1:14" x14ac:dyDescent="0.2">
      <c r="C30" s="7">
        <v>41196850.548</v>
      </c>
      <c r="E30" s="7">
        <v>449568.81</v>
      </c>
      <c r="F30" s="7">
        <f t="shared" si="6"/>
        <v>449568.81</v>
      </c>
      <c r="G30" s="8">
        <v>0.21</v>
      </c>
      <c r="H30" s="7">
        <f t="shared" si="5"/>
        <v>94409.450100000002</v>
      </c>
    </row>
    <row r="31" spans="1:14" x14ac:dyDescent="0.2">
      <c r="C31" s="7">
        <v>8604879.8300000001</v>
      </c>
      <c r="E31" s="7">
        <v>35050.54</v>
      </c>
      <c r="F31" s="7">
        <f t="shared" si="6"/>
        <v>35050.54</v>
      </c>
      <c r="G31" s="8">
        <v>0.21</v>
      </c>
      <c r="H31" s="7">
        <f t="shared" si="5"/>
        <v>7360.6134000000002</v>
      </c>
    </row>
    <row r="32" spans="1:14" x14ac:dyDescent="0.2">
      <c r="C32" s="7">
        <v>3423604.6119999997</v>
      </c>
      <c r="E32" s="7">
        <v>13945.48</v>
      </c>
      <c r="F32" s="7">
        <f t="shared" si="6"/>
        <v>13945.48</v>
      </c>
      <c r="G32" s="8">
        <v>0.21</v>
      </c>
      <c r="H32" s="7">
        <f t="shared" si="5"/>
        <v>2928.5508</v>
      </c>
    </row>
    <row r="33" spans="3:8" x14ac:dyDescent="0.2">
      <c r="C33" s="7">
        <v>5135406.9179999996</v>
      </c>
      <c r="E33" s="7">
        <v>61135.8</v>
      </c>
      <c r="F33" s="7">
        <f t="shared" si="6"/>
        <v>61135.8</v>
      </c>
      <c r="G33" s="8">
        <v>0.21</v>
      </c>
      <c r="H33" s="7">
        <f t="shared" si="5"/>
        <v>12838.518</v>
      </c>
    </row>
    <row r="34" spans="3:8" x14ac:dyDescent="0.2">
      <c r="C34" s="7">
        <v>16610.338</v>
      </c>
      <c r="E34" s="7">
        <v>67.66</v>
      </c>
      <c r="F34" s="7">
        <f t="shared" si="6"/>
        <v>67.66</v>
      </c>
      <c r="G34" s="8">
        <v>0.21</v>
      </c>
      <c r="H34" s="7">
        <f t="shared" si="5"/>
        <v>14.208599999999999</v>
      </c>
    </row>
    <row r="35" spans="3:8" x14ac:dyDescent="0.2">
      <c r="C35" s="7">
        <v>24915.507000000001</v>
      </c>
      <c r="E35" s="7">
        <v>296.61</v>
      </c>
      <c r="F35" s="7">
        <f t="shared" si="6"/>
        <v>296.61</v>
      </c>
      <c r="G35" s="8">
        <v>0.21</v>
      </c>
      <c r="H35" s="7">
        <f t="shared" si="5"/>
        <v>62.2881</v>
      </c>
    </row>
    <row r="36" spans="3:8" x14ac:dyDescent="0.2">
      <c r="C36" s="7">
        <v>31061870.714000002</v>
      </c>
      <c r="E36" s="7">
        <v>126525.35</v>
      </c>
      <c r="F36" s="7">
        <f t="shared" si="6"/>
        <v>126525.35</v>
      </c>
      <c r="G36" s="8">
        <v>0.21</v>
      </c>
      <c r="H36" s="7">
        <f t="shared" si="5"/>
        <v>26570.323499999999</v>
      </c>
    </row>
    <row r="37" spans="3:8" x14ac:dyDescent="0.2">
      <c r="C37" s="7">
        <v>46592806.070999995</v>
      </c>
      <c r="E37" s="7"/>
      <c r="F37" s="7">
        <f t="shared" si="6"/>
        <v>0</v>
      </c>
      <c r="G37" s="8">
        <v>0.21</v>
      </c>
      <c r="H37" s="7">
        <f t="shared" si="5"/>
        <v>0</v>
      </c>
    </row>
    <row r="38" spans="3:8" x14ac:dyDescent="0.2">
      <c r="C38" s="7">
        <v>1219848.1800000002</v>
      </c>
      <c r="E38" s="7">
        <v>4968.8500000000004</v>
      </c>
      <c r="F38" s="7">
        <f t="shared" si="6"/>
        <v>4968.8500000000004</v>
      </c>
      <c r="G38" s="8">
        <v>0.21</v>
      </c>
      <c r="H38" s="7">
        <f t="shared" si="5"/>
        <v>1043.4585</v>
      </c>
    </row>
    <row r="39" spans="3:8" x14ac:dyDescent="0.2">
      <c r="C39" s="7">
        <v>2523999.9120000005</v>
      </c>
      <c r="E39" s="7">
        <v>10281.09</v>
      </c>
      <c r="F39" s="7">
        <f t="shared" si="6"/>
        <v>10281.09</v>
      </c>
      <c r="G39" s="8">
        <v>0.21</v>
      </c>
      <c r="H39" s="7">
        <f t="shared" si="5"/>
        <v>2159.0288999999998</v>
      </c>
    </row>
    <row r="40" spans="3:8" x14ac:dyDescent="0.2">
      <c r="C40" s="7">
        <v>3785999.8679999998</v>
      </c>
      <c r="E40" s="7">
        <v>45071.426999999996</v>
      </c>
      <c r="F40" s="7">
        <f t="shared" si="6"/>
        <v>45071.426999999996</v>
      </c>
      <c r="G40" s="8">
        <v>0.21</v>
      </c>
      <c r="H40" s="7">
        <f t="shared" si="5"/>
        <v>9464.9996699999992</v>
      </c>
    </row>
    <row r="41" spans="3:8" x14ac:dyDescent="0.2">
      <c r="C41" s="7">
        <v>25974568.388</v>
      </c>
      <c r="E41" s="7">
        <v>105803.08</v>
      </c>
      <c r="F41" s="7">
        <f t="shared" si="6"/>
        <v>105803.08</v>
      </c>
      <c r="G41" s="8">
        <v>0.21</v>
      </c>
      <c r="H41" s="7">
        <f t="shared" si="5"/>
        <v>22218.646799999999</v>
      </c>
    </row>
    <row r="42" spans="3:8" x14ac:dyDescent="0.2">
      <c r="C42" s="7">
        <v>38961852.581999995</v>
      </c>
      <c r="E42" s="7">
        <v>463831.5783571428</v>
      </c>
      <c r="F42" s="7">
        <f t="shared" si="6"/>
        <v>463831.5783571428</v>
      </c>
      <c r="G42" s="8">
        <v>0.21</v>
      </c>
      <c r="H42" s="7">
        <f t="shared" si="5"/>
        <v>97404.631454999981</v>
      </c>
    </row>
    <row r="43" spans="3:8" x14ac:dyDescent="0.2">
      <c r="C43" s="7">
        <v>2779050.4420000003</v>
      </c>
      <c r="E43" s="7">
        <v>12239.4</v>
      </c>
      <c r="F43" s="7">
        <f t="shared" si="6"/>
        <v>12239.4</v>
      </c>
      <c r="G43" s="8">
        <v>0.21</v>
      </c>
      <c r="H43" s="7">
        <f t="shared" si="5"/>
        <v>2570.2739999999999</v>
      </c>
    </row>
    <row r="44" spans="3:8" x14ac:dyDescent="0.2">
      <c r="C44" s="7">
        <v>4168575.6630000002</v>
      </c>
      <c r="E44" s="37">
        <v>49625.9</v>
      </c>
      <c r="F44" s="37">
        <f t="shared" si="6"/>
        <v>49625.9</v>
      </c>
      <c r="G44" s="46">
        <v>0.21</v>
      </c>
      <c r="H44" s="37">
        <f t="shared" si="5"/>
        <v>10421.439</v>
      </c>
    </row>
    <row r="45" spans="3:8" x14ac:dyDescent="0.2">
      <c r="C45" s="7">
        <v>2382156</v>
      </c>
      <c r="E45" s="37">
        <f>4904.86+23821.56</f>
        <v>28726.420000000002</v>
      </c>
      <c r="F45" s="37">
        <f t="shared" si="6"/>
        <v>28726.420000000002</v>
      </c>
      <c r="G45" s="46">
        <v>0.21</v>
      </c>
      <c r="H45" s="37">
        <f t="shared" si="5"/>
        <v>6032.5482000000002</v>
      </c>
    </row>
    <row r="46" spans="3:8" x14ac:dyDescent="0.2">
      <c r="C46" s="7">
        <v>2137779</v>
      </c>
      <c r="E46" s="37">
        <f>4401.69+54.49+15230.93</f>
        <v>19687.11</v>
      </c>
      <c r="F46" s="37">
        <f t="shared" si="6"/>
        <v>19687.11</v>
      </c>
      <c r="G46" s="46">
        <v>0.21</v>
      </c>
      <c r="H46" s="37">
        <f t="shared" si="5"/>
        <v>4134.2930999999999</v>
      </c>
    </row>
    <row r="47" spans="3:8" x14ac:dyDescent="0.2">
      <c r="C47" s="7">
        <v>1682939</v>
      </c>
      <c r="E47" s="37">
        <v>9364.15</v>
      </c>
      <c r="F47" s="37">
        <f t="shared" si="6"/>
        <v>9364.15</v>
      </c>
      <c r="G47" s="46">
        <v>0.21</v>
      </c>
      <c r="H47" s="37">
        <f t="shared" si="5"/>
        <v>1966.4714999999999</v>
      </c>
    </row>
    <row r="48" spans="3:8" x14ac:dyDescent="0.2">
      <c r="C48" s="7">
        <v>1069488</v>
      </c>
      <c r="E48" s="37">
        <v>0</v>
      </c>
      <c r="F48" s="37">
        <f t="shared" si="6"/>
        <v>0</v>
      </c>
      <c r="G48" s="46">
        <v>0.21</v>
      </c>
      <c r="H48" s="37">
        <f t="shared" si="5"/>
        <v>0</v>
      </c>
    </row>
    <row r="49" spans="3:9" x14ac:dyDescent="0.2">
      <c r="C49" s="7">
        <v>-523388</v>
      </c>
      <c r="E49" s="37">
        <v>-426.39</v>
      </c>
      <c r="F49" s="37">
        <f t="shared" si="6"/>
        <v>-426.39</v>
      </c>
      <c r="G49" s="46">
        <v>0.21</v>
      </c>
      <c r="H49" s="37">
        <f t="shared" si="5"/>
        <v>-89.541899999999998</v>
      </c>
    </row>
    <row r="50" spans="3:9" x14ac:dyDescent="0.2">
      <c r="C50" s="7">
        <v>180531</v>
      </c>
      <c r="E50" s="37">
        <f>401.8+473.23+951.49</f>
        <v>1826.52</v>
      </c>
      <c r="F50" s="37">
        <f t="shared" si="6"/>
        <v>1826.52</v>
      </c>
      <c r="G50" s="46">
        <v>0.21</v>
      </c>
      <c r="H50" s="37">
        <f t="shared" si="5"/>
        <v>383.56919999999997</v>
      </c>
    </row>
    <row r="51" spans="3:9" x14ac:dyDescent="0.2">
      <c r="C51" s="7">
        <v>-152912</v>
      </c>
      <c r="E51" s="37">
        <v>-919.89</v>
      </c>
      <c r="F51" s="37">
        <f t="shared" si="6"/>
        <v>-919.89</v>
      </c>
      <c r="G51" s="46">
        <v>0.21</v>
      </c>
      <c r="H51" s="37">
        <f t="shared" si="5"/>
        <v>-193.17689999999999</v>
      </c>
    </row>
    <row r="52" spans="3:9" x14ac:dyDescent="0.2">
      <c r="C52" s="7">
        <f>1630648+558</f>
        <v>1631206</v>
      </c>
      <c r="E52" s="37">
        <f>9809.71+3.35</f>
        <v>9813.06</v>
      </c>
      <c r="F52" s="37">
        <f t="shared" si="6"/>
        <v>9813.06</v>
      </c>
      <c r="G52" s="46">
        <v>0.21</v>
      </c>
      <c r="H52" s="37">
        <f t="shared" si="5"/>
        <v>2060.7426</v>
      </c>
    </row>
    <row r="53" spans="3:9" ht="15" x14ac:dyDescent="0.35">
      <c r="C53" s="7">
        <f>2863197+2933</f>
        <v>2866130</v>
      </c>
      <c r="E53" s="31">
        <f>8947.49+9.16+5195</f>
        <v>14151.65</v>
      </c>
      <c r="F53" s="31">
        <f t="shared" si="6"/>
        <v>14151.65</v>
      </c>
      <c r="G53" s="46">
        <v>0.21</v>
      </c>
      <c r="H53" s="31">
        <f t="shared" si="5"/>
        <v>2971.8464999999997</v>
      </c>
    </row>
    <row r="54" spans="3:9" x14ac:dyDescent="0.2">
      <c r="D54" s="7"/>
      <c r="E54" s="7">
        <f>SUM(E25:E53)</f>
        <v>1914032.5553571431</v>
      </c>
      <c r="F54" s="7">
        <f>SUM(F25:F53)</f>
        <v>-473339.44464285654</v>
      </c>
      <c r="G54" s="33" t="s">
        <v>43</v>
      </c>
      <c r="H54" s="7">
        <f>SUM(H25:H53)</f>
        <v>-99401.283374999941</v>
      </c>
    </row>
    <row r="55" spans="3:9" ht="15" x14ac:dyDescent="0.35">
      <c r="G55" s="33" t="s">
        <v>44</v>
      </c>
      <c r="H55" s="31">
        <f>-H87*0.21</f>
        <v>-14340.343091999999</v>
      </c>
    </row>
    <row r="56" spans="3:9" x14ac:dyDescent="0.2">
      <c r="H56" s="7">
        <f>H54+H55</f>
        <v>-113741.62646699994</v>
      </c>
    </row>
    <row r="57" spans="3:9" x14ac:dyDescent="0.2">
      <c r="H57" s="7">
        <f>H56-K13</f>
        <v>83989.809268000012</v>
      </c>
      <c r="I57" s="33" t="s">
        <v>62</v>
      </c>
    </row>
    <row r="58" spans="3:9" x14ac:dyDescent="0.2">
      <c r="C58" s="7" t="s">
        <v>39</v>
      </c>
      <c r="D58" s="27" t="s">
        <v>35</v>
      </c>
      <c r="E58" s="28" t="s">
        <v>40</v>
      </c>
      <c r="F58" s="7" t="s">
        <v>41</v>
      </c>
      <c r="G58" s="8" t="s">
        <v>28</v>
      </c>
      <c r="H58" s="7" t="s">
        <v>42</v>
      </c>
    </row>
    <row r="59" spans="3:9" x14ac:dyDescent="0.2">
      <c r="C59" s="7">
        <v>3645863</v>
      </c>
      <c r="D59" s="7">
        <f>D25</f>
        <v>2387372</v>
      </c>
      <c r="E59" s="7">
        <v>13553.5</v>
      </c>
      <c r="F59" s="7">
        <f>E59-D59</f>
        <v>-2373818.5</v>
      </c>
      <c r="G59" s="8">
        <v>0.05</v>
      </c>
      <c r="H59" s="7">
        <f>F59*G59</f>
        <v>-118690.925</v>
      </c>
    </row>
    <row r="60" spans="3:9" x14ac:dyDescent="0.2">
      <c r="C60" s="7">
        <v>3415356</v>
      </c>
      <c r="E60" s="7">
        <v>12699.43</v>
      </c>
      <c r="F60" s="7">
        <f t="shared" ref="F60:F86" si="7">E60-D60</f>
        <v>12699.43</v>
      </c>
      <c r="G60" s="8">
        <v>0.05</v>
      </c>
      <c r="H60" s="7">
        <f t="shared" ref="H60:H86" si="8">F60*G60</f>
        <v>634.97150000000011</v>
      </c>
    </row>
    <row r="61" spans="3:9" x14ac:dyDescent="0.2">
      <c r="C61" s="7">
        <v>5123034</v>
      </c>
      <c r="E61" s="7"/>
      <c r="F61" s="7">
        <f t="shared" si="7"/>
        <v>0</v>
      </c>
      <c r="G61" s="8">
        <v>0.05</v>
      </c>
      <c r="H61" s="7">
        <f t="shared" si="8"/>
        <v>0</v>
      </c>
    </row>
    <row r="62" spans="3:9" x14ac:dyDescent="0.2">
      <c r="C62" s="7">
        <v>61300530.800000004</v>
      </c>
      <c r="E62" s="7">
        <v>231000.83</v>
      </c>
      <c r="F62" s="7">
        <f t="shared" si="7"/>
        <v>231000.83</v>
      </c>
      <c r="G62" s="8">
        <v>0.05</v>
      </c>
      <c r="H62" s="7">
        <f t="shared" si="8"/>
        <v>11550.041499999999</v>
      </c>
    </row>
    <row r="63" spans="3:9" x14ac:dyDescent="0.2">
      <c r="C63" s="7">
        <v>91950796.200000003</v>
      </c>
      <c r="E63" s="7">
        <v>456105.14</v>
      </c>
      <c r="F63" s="7">
        <f t="shared" si="7"/>
        <v>456105.14</v>
      </c>
      <c r="G63" s="8">
        <v>0.05</v>
      </c>
      <c r="H63" s="7">
        <f t="shared" si="8"/>
        <v>22805.257000000001</v>
      </c>
    </row>
    <row r="64" spans="3:9" x14ac:dyDescent="0.2">
      <c r="C64" s="7">
        <v>54929134.064000003</v>
      </c>
      <c r="E64" s="7">
        <v>206991.29</v>
      </c>
      <c r="F64" s="7">
        <f t="shared" si="7"/>
        <v>206991.29</v>
      </c>
      <c r="G64" s="8">
        <v>0.05</v>
      </c>
      <c r="H64" s="7">
        <f t="shared" si="8"/>
        <v>10349.5645</v>
      </c>
    </row>
    <row r="65" spans="3:8" x14ac:dyDescent="0.2">
      <c r="C65" s="7">
        <v>82393701.096000001</v>
      </c>
      <c r="E65" s="7">
        <v>899137.61</v>
      </c>
      <c r="F65" s="7">
        <f t="shared" si="7"/>
        <v>899137.61</v>
      </c>
      <c r="G65" s="8">
        <v>0.05</v>
      </c>
      <c r="H65" s="7">
        <f t="shared" si="8"/>
        <v>44956.880499999999</v>
      </c>
    </row>
    <row r="66" spans="3:8" x14ac:dyDescent="0.2">
      <c r="C66" s="7">
        <v>8604879.8300000001</v>
      </c>
      <c r="E66" s="7">
        <v>35050.54</v>
      </c>
      <c r="F66" s="7">
        <f t="shared" si="7"/>
        <v>35050.54</v>
      </c>
      <c r="G66" s="8">
        <v>0.05</v>
      </c>
      <c r="H66" s="7">
        <f t="shared" si="8"/>
        <v>1752.527</v>
      </c>
    </row>
    <row r="67" spans="3:8" x14ac:dyDescent="0.2">
      <c r="C67" s="7">
        <v>6880429.9000000022</v>
      </c>
      <c r="E67" s="7">
        <v>28026.28</v>
      </c>
      <c r="F67" s="7">
        <f t="shared" si="7"/>
        <v>28026.28</v>
      </c>
      <c r="G67" s="8">
        <v>0.05</v>
      </c>
      <c r="H67" s="7">
        <f t="shared" si="8"/>
        <v>1401.3140000000001</v>
      </c>
    </row>
    <row r="68" spans="3:8" x14ac:dyDescent="0.2">
      <c r="C68" s="7">
        <v>10320644.850000001</v>
      </c>
      <c r="E68" s="7">
        <v>122864.81964285717</v>
      </c>
      <c r="F68" s="7">
        <f t="shared" si="7"/>
        <v>122864.81964285717</v>
      </c>
      <c r="G68" s="8">
        <v>0.05</v>
      </c>
      <c r="H68" s="7">
        <f t="shared" si="8"/>
        <v>6143.2409821428591</v>
      </c>
    </row>
    <row r="69" spans="3:8" x14ac:dyDescent="0.2">
      <c r="C69" s="7">
        <v>62123741.428000003</v>
      </c>
      <c r="E69" s="7">
        <v>253050.71</v>
      </c>
      <c r="F69" s="7">
        <f t="shared" si="7"/>
        <v>253050.71</v>
      </c>
      <c r="G69" s="8">
        <v>0.05</v>
      </c>
      <c r="H69" s="7">
        <f t="shared" si="8"/>
        <v>12652.5355</v>
      </c>
    </row>
    <row r="70" spans="3:8" x14ac:dyDescent="0.2">
      <c r="C70" s="7">
        <v>93185612.14199999</v>
      </c>
      <c r="E70" s="7"/>
      <c r="F70" s="7">
        <f t="shared" si="7"/>
        <v>0</v>
      </c>
      <c r="G70" s="8">
        <v>0.05</v>
      </c>
      <c r="H70" s="7">
        <f t="shared" si="8"/>
        <v>0</v>
      </c>
    </row>
    <row r="71" spans="3:8" x14ac:dyDescent="0.2">
      <c r="C71" s="7">
        <v>1219848.1800000002</v>
      </c>
      <c r="E71" s="7">
        <v>4968.8500000000004</v>
      </c>
      <c r="F71" s="7">
        <f t="shared" si="7"/>
        <v>4968.8500000000004</v>
      </c>
      <c r="G71" s="8">
        <v>0.05</v>
      </c>
      <c r="H71" s="7">
        <f t="shared" si="8"/>
        <v>248.44250000000002</v>
      </c>
    </row>
    <row r="72" spans="3:8" x14ac:dyDescent="0.2">
      <c r="C72" s="7">
        <v>5047999.824000001</v>
      </c>
      <c r="E72" s="7">
        <v>20562.189999999999</v>
      </c>
      <c r="F72" s="7">
        <f t="shared" si="7"/>
        <v>20562.189999999999</v>
      </c>
      <c r="G72" s="8">
        <v>0.05</v>
      </c>
      <c r="H72" s="7">
        <f t="shared" si="8"/>
        <v>1028.1095</v>
      </c>
    </row>
    <row r="73" spans="3:8" x14ac:dyDescent="0.2">
      <c r="C73" s="7">
        <v>7571999.7359999996</v>
      </c>
      <c r="E73" s="7">
        <v>90142.85</v>
      </c>
      <c r="F73" s="7">
        <f t="shared" si="7"/>
        <v>90142.85</v>
      </c>
      <c r="G73" s="8">
        <v>0.05</v>
      </c>
      <c r="H73" s="7">
        <f t="shared" si="8"/>
        <v>4507.1425000000008</v>
      </c>
    </row>
    <row r="74" spans="3:8" x14ac:dyDescent="0.2">
      <c r="C74" s="7">
        <v>51949136.776000001</v>
      </c>
      <c r="E74" s="7">
        <v>211606.15</v>
      </c>
      <c r="F74" s="7">
        <f t="shared" si="7"/>
        <v>211606.15</v>
      </c>
      <c r="G74" s="8">
        <v>0.05</v>
      </c>
      <c r="H74" s="7">
        <f t="shared" si="8"/>
        <v>10580.307500000001</v>
      </c>
    </row>
    <row r="75" spans="3:8" x14ac:dyDescent="0.2">
      <c r="C75" s="7">
        <v>77923705.16399999</v>
      </c>
      <c r="E75" s="7">
        <v>927663.16</v>
      </c>
      <c r="F75" s="7">
        <f t="shared" si="7"/>
        <v>927663.16</v>
      </c>
      <c r="G75" s="8">
        <v>0.05</v>
      </c>
      <c r="H75" s="7">
        <f t="shared" si="8"/>
        <v>46383.158000000003</v>
      </c>
    </row>
    <row r="76" spans="3:8" x14ac:dyDescent="0.2">
      <c r="C76" s="7">
        <v>5558100.8840000005</v>
      </c>
      <c r="E76" s="7">
        <v>24478.799999999999</v>
      </c>
      <c r="F76" s="37">
        <f t="shared" si="7"/>
        <v>24478.799999999999</v>
      </c>
      <c r="G76" s="8">
        <v>0.05</v>
      </c>
      <c r="H76" s="7">
        <f t="shared" si="8"/>
        <v>1223.94</v>
      </c>
    </row>
    <row r="77" spans="3:8" x14ac:dyDescent="0.2">
      <c r="C77" s="7">
        <v>8337151.3260000004</v>
      </c>
      <c r="E77" s="37">
        <v>99251.801500000001</v>
      </c>
      <c r="F77" s="37">
        <f t="shared" si="7"/>
        <v>99251.801500000001</v>
      </c>
      <c r="G77" s="46">
        <v>0.05</v>
      </c>
      <c r="H77" s="37">
        <f t="shared" si="8"/>
        <v>4962.5900750000001</v>
      </c>
    </row>
    <row r="78" spans="3:8" x14ac:dyDescent="0.2">
      <c r="C78" s="7">
        <v>4764312</v>
      </c>
      <c r="E78" s="37">
        <f>9809.72+47643.12</f>
        <v>57452.840000000004</v>
      </c>
      <c r="F78" s="37">
        <f t="shared" si="7"/>
        <v>57452.840000000004</v>
      </c>
      <c r="G78" s="46">
        <v>0.05</v>
      </c>
      <c r="H78" s="37">
        <f t="shared" si="8"/>
        <v>2872.6420000000003</v>
      </c>
    </row>
    <row r="79" spans="3:8" x14ac:dyDescent="0.2">
      <c r="C79" s="7">
        <v>2729220</v>
      </c>
      <c r="E79" s="37">
        <f>5619.46+54.49+19455.5</f>
        <v>25129.45</v>
      </c>
      <c r="F79" s="37">
        <f t="shared" si="7"/>
        <v>25129.45</v>
      </c>
      <c r="G79" s="46">
        <v>0.05</v>
      </c>
      <c r="H79" s="37">
        <f t="shared" si="8"/>
        <v>1256.4725000000001</v>
      </c>
    </row>
    <row r="80" spans="3:8" x14ac:dyDescent="0.2">
      <c r="C80" s="7">
        <v>1682939</v>
      </c>
      <c r="E80" s="37">
        <v>9364.15</v>
      </c>
      <c r="F80" s="37">
        <f t="shared" si="7"/>
        <v>9364.15</v>
      </c>
      <c r="G80" s="46">
        <v>0.05</v>
      </c>
      <c r="H80" s="37">
        <f t="shared" si="8"/>
        <v>468.20749999999998</v>
      </c>
    </row>
    <row r="81" spans="3:8" x14ac:dyDescent="0.2">
      <c r="C81" s="7">
        <v>1069488</v>
      </c>
      <c r="E81" s="37">
        <v>0</v>
      </c>
      <c r="F81" s="37">
        <f t="shared" si="7"/>
        <v>0</v>
      </c>
      <c r="G81" s="46">
        <v>0.05</v>
      </c>
      <c r="H81" s="37">
        <f t="shared" si="8"/>
        <v>0</v>
      </c>
    </row>
    <row r="82" spans="3:8" x14ac:dyDescent="0.2">
      <c r="C82" s="7">
        <v>-523388</v>
      </c>
      <c r="E82" s="37">
        <v>-852.77</v>
      </c>
      <c r="F82" s="37">
        <f t="shared" si="7"/>
        <v>-852.77</v>
      </c>
      <c r="G82" s="46">
        <v>0.05</v>
      </c>
      <c r="H82" s="37">
        <f t="shared" si="8"/>
        <v>-42.638500000000001</v>
      </c>
    </row>
    <row r="83" spans="3:8" x14ac:dyDescent="0.2">
      <c r="C83" s="7">
        <v>180531</v>
      </c>
      <c r="E83" s="37">
        <f>401.8+473.23+951.49</f>
        <v>1826.52</v>
      </c>
      <c r="F83" s="37">
        <f t="shared" si="7"/>
        <v>1826.52</v>
      </c>
      <c r="G83" s="46">
        <v>0.05</v>
      </c>
      <c r="H83" s="37">
        <f t="shared" si="8"/>
        <v>91.326000000000008</v>
      </c>
    </row>
    <row r="84" spans="3:8" x14ac:dyDescent="0.2">
      <c r="C84" s="7">
        <v>-152912</v>
      </c>
      <c r="E84" s="37">
        <v>-919.89</v>
      </c>
      <c r="F84" s="37">
        <f t="shared" si="7"/>
        <v>-919.89</v>
      </c>
      <c r="G84" s="46">
        <v>0.05</v>
      </c>
      <c r="H84" s="37">
        <f t="shared" si="8"/>
        <v>-45.994500000000002</v>
      </c>
    </row>
    <row r="85" spans="3:8" x14ac:dyDescent="0.2">
      <c r="C85" s="7">
        <f>C52</f>
        <v>1631206</v>
      </c>
      <c r="E85" s="37">
        <f>9809.71+3.35</f>
        <v>9813.06</v>
      </c>
      <c r="F85" s="37">
        <f t="shared" si="7"/>
        <v>9813.06</v>
      </c>
      <c r="G85" s="46">
        <v>0.05</v>
      </c>
      <c r="H85" s="37">
        <f t="shared" si="8"/>
        <v>490.65300000000002</v>
      </c>
    </row>
    <row r="86" spans="3:8" ht="15" x14ac:dyDescent="0.35">
      <c r="C86" s="7"/>
      <c r="E86" s="31">
        <f>E53</f>
        <v>14151.65</v>
      </c>
      <c r="F86" s="31">
        <f t="shared" si="7"/>
        <v>14151.65</v>
      </c>
      <c r="G86" s="46">
        <v>0.05</v>
      </c>
      <c r="H86" s="31">
        <f t="shared" si="8"/>
        <v>707.58249999999998</v>
      </c>
    </row>
    <row r="87" spans="3:8" x14ac:dyDescent="0.2">
      <c r="E87" s="7">
        <f>SUM(E59:E86)</f>
        <v>3753118.9611428571</v>
      </c>
      <c r="F87" s="7">
        <f>SUM(F59:F86)</f>
        <v>1365746.9611428578</v>
      </c>
      <c r="H87" s="7">
        <f>SUM(H59:H86)</f>
        <v>68287.348057142852</v>
      </c>
    </row>
    <row r="88" spans="3:8" x14ac:dyDescent="0.2">
      <c r="H88" s="7">
        <f>H87-L13</f>
        <v>-1.5442857154994272E-2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9 of 14
Clements</oddHeader>
    <oddFooter>&amp;L_x000D_&amp;1#&amp;"Calibri"&amp;14&amp;K000000 Business Use</oddFooter>
  </headerFooter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2023-00376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KU</Value>
    </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881E70-E0D7-414A-AB1E-B1866DFE47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13BA0C-A0A4-4E17-B8BA-586A7596A79E}">
  <ds:schemaRefs>
    <ds:schemaRef ds:uri="http://schemas.microsoft.com/office/2006/documentManagement/types"/>
    <ds:schemaRef ds:uri="http://purl.org/dc/elements/1.1/"/>
    <ds:schemaRef ds:uri="65bfb563-8fe2-4d34-a09f-38a217d8fee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48AE322-2F9D-43AE-A925-AA5056796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Project 28</vt:lpstr>
      <vt:lpstr>Project 29</vt:lpstr>
      <vt:lpstr>Project 29_2011 Plan</vt:lpstr>
      <vt:lpstr>Project 30</vt:lpstr>
      <vt:lpstr>Project 31</vt:lpstr>
      <vt:lpstr>Project 32</vt:lpstr>
      <vt:lpstr>Project 33</vt:lpstr>
      <vt:lpstr>Project 34</vt:lpstr>
      <vt:lpstr>Project 35</vt:lpstr>
      <vt:lpstr>Project 37</vt:lpstr>
      <vt:lpstr>Project 38</vt:lpstr>
      <vt:lpstr>Project 40</vt:lpstr>
      <vt:lpstr>Project 41</vt:lpstr>
      <vt:lpstr>Project 42</vt:lpstr>
      <vt:lpstr>'Project 28'!Print_Area</vt:lpstr>
      <vt:lpstr>'Project 29'!Print_Area</vt:lpstr>
      <vt:lpstr>'Project 29_2011 Plan'!Print_Area</vt:lpstr>
      <vt:lpstr>'Project 30'!Print_Area</vt:lpstr>
      <vt:lpstr>'Project 31'!Print_Area</vt:lpstr>
      <vt:lpstr>'Project 32'!Print_Area</vt:lpstr>
      <vt:lpstr>'Project 33'!Print_Area</vt:lpstr>
      <vt:lpstr>'Project 34'!Print_Area</vt:lpstr>
      <vt:lpstr>'Project 35'!Print_Area</vt:lpstr>
      <vt:lpstr>'Project 37'!Print_Area</vt:lpstr>
      <vt:lpstr>'Project 38'!Print_Area</vt:lpstr>
      <vt:lpstr>'Project 40'!Print_Area</vt:lpstr>
      <vt:lpstr>'Project 41'!Print_Area</vt:lpstr>
      <vt:lpstr>'Project 42'!Print_Area</vt:lpstr>
    </vt:vector>
  </TitlesOfParts>
  <Company>LG&amp;E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Nathan Frederic Hall</dc:creator>
  <cp:lastModifiedBy>Fackler, Andrea</cp:lastModifiedBy>
  <cp:lastPrinted>2014-03-27T13:23:01Z</cp:lastPrinted>
  <dcterms:created xsi:type="dcterms:W3CDTF">2006-05-12T17:38:13Z</dcterms:created>
  <dcterms:modified xsi:type="dcterms:W3CDTF">2024-02-14T19:55:55Z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2024-01-24T18:50:13Z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00d532d0-34d4-4d08-ac2a-4e814c0d3c1f</vt:lpwstr>
  </property>
  <property fmtid="{D5CDD505-2E9C-101B-9397-08002B2CF9AE}" pid="8" name="MSIP_Label_e0c8e74a-db15-49f1-980d-3d74f2e3ff07_ContentBits">
    <vt:lpwstr>2</vt:lpwstr>
  </property>
  <property fmtid="{D5CDD505-2E9C-101B-9397-08002B2CF9AE}" pid="9" name="ContentTypeId">
    <vt:lpwstr>0x010100FF510F20E04BCF41BE361D2F61EE6FFA</vt:lpwstr>
  </property>
  <property fmtid="{D5CDD505-2E9C-101B-9397-08002B2CF9AE}" pid="10" name="MSIP_Label_d662fcd2-3ff9-4261-9b26-9dd5808d0bb4_Enabled">
    <vt:lpwstr>true</vt:lpwstr>
  </property>
  <property fmtid="{D5CDD505-2E9C-101B-9397-08002B2CF9AE}" pid="11" name="MSIP_Label_d662fcd2-3ff9-4261-9b26-9dd5808d0bb4_SetDate">
    <vt:lpwstr>2024-02-14T19:55:44Z</vt:lpwstr>
  </property>
  <property fmtid="{D5CDD505-2E9C-101B-9397-08002B2CF9AE}" pid="12" name="MSIP_Label_d662fcd2-3ff9-4261-9b26-9dd5808d0bb4_Method">
    <vt:lpwstr>Privileged</vt:lpwstr>
  </property>
  <property fmtid="{D5CDD505-2E9C-101B-9397-08002B2CF9AE}" pid="13" name="MSIP_Label_d662fcd2-3ff9-4261-9b26-9dd5808d0bb4_Name">
    <vt:lpwstr>d662fcd2-3ff9-4261-9b26-9dd5808d0bb4</vt:lpwstr>
  </property>
  <property fmtid="{D5CDD505-2E9C-101B-9397-08002B2CF9AE}" pid="14" name="MSIP_Label_d662fcd2-3ff9-4261-9b26-9dd5808d0bb4_SiteId">
    <vt:lpwstr>5ee3b0ba-a559-45ee-a69e-6d3e963a3e72</vt:lpwstr>
  </property>
  <property fmtid="{D5CDD505-2E9C-101B-9397-08002B2CF9AE}" pid="15" name="MSIP_Label_d662fcd2-3ff9-4261-9b26-9dd5808d0bb4_ActionId">
    <vt:lpwstr>458622fb-63fb-45c7-b763-00a87bec4c62</vt:lpwstr>
  </property>
  <property fmtid="{D5CDD505-2E9C-101B-9397-08002B2CF9AE}" pid="16" name="MSIP_Label_d662fcd2-3ff9-4261-9b26-9dd5808d0bb4_ContentBits">
    <vt:lpwstr>0</vt:lpwstr>
  </property>
</Properties>
</file>