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2\rates\CN2023\CNs-00375-00376 - L K ECR 2-year review (Sep19-Aug23)\3 - Data Requests and Testimony\KU\0 - efiled 02-14-2024\"/>
    </mc:Choice>
  </mc:AlternateContent>
  <xr:revisionPtr revIDLastSave="0" documentId="13_ncr:1_{2FA8FEC0-8C52-4D18-8131-8C2F613D86E3}" xr6:coauthVersionLast="47" xr6:coauthVersionMax="47" xr10:uidLastSave="{00000000-0000-0000-0000-000000000000}"/>
  <bookViews>
    <workbookView xWindow="-120" yWindow="-120" windowWidth="29040" windowHeight="17025" tabRatio="943" xr2:uid="{2133DD66-ED91-4498-BE10-7B3906C5E8BB}"/>
  </bookViews>
  <sheets>
    <sheet name="Project 28" sheetId="1" r:id="rId1"/>
    <sheet name="Project 29" sheetId="2" r:id="rId2"/>
    <sheet name="Project 29_2011 Plan" sheetId="3" r:id="rId3"/>
    <sheet name="Project 30" sheetId="4" r:id="rId4"/>
    <sheet name="Project 31" sheetId="5" r:id="rId5"/>
    <sheet name="Project 32" sheetId="6" r:id="rId6"/>
    <sheet name="Project 33" sheetId="7" r:id="rId7"/>
    <sheet name="Project 34" sheetId="8" r:id="rId8"/>
    <sheet name="Project 35" sheetId="9" r:id="rId9"/>
    <sheet name="Project 37" sheetId="10" r:id="rId10"/>
    <sheet name="Project 38" sheetId="11" r:id="rId11"/>
    <sheet name="Project 40" sheetId="13" r:id="rId12"/>
    <sheet name="Project 41" sheetId="12" r:id="rId13"/>
    <sheet name="Project 42" sheetId="14" r:id="rId14"/>
  </sheets>
  <definedNames>
    <definedName name="_xlnm.Print_Area" localSheetId="0">'Project 28'!$A$1:$N$79</definedName>
    <definedName name="_xlnm.Print_Area" localSheetId="1">'Project 29'!$A$1:$N$63</definedName>
    <definedName name="_xlnm.Print_Area" localSheetId="2">'Project 29_2011 Plan'!$A$1:$N$80</definedName>
    <definedName name="_xlnm.Print_Area" localSheetId="3">'Project 30'!$A$1:$N$116</definedName>
    <definedName name="_xlnm.Print_Area" localSheetId="4">'Project 31'!$A$1:$N$33</definedName>
    <definedName name="_xlnm.Print_Area" localSheetId="5">'Project 32'!$A$1:$N$66</definedName>
    <definedName name="_xlnm.Print_Area" localSheetId="6">'Project 33'!$A$1:$N$53</definedName>
    <definedName name="_xlnm.Print_Area" localSheetId="7">'Project 34'!$A$1:$N$61</definedName>
    <definedName name="_xlnm.Print_Area" localSheetId="8">'Project 35'!$A$1:$N$104</definedName>
    <definedName name="_xlnm.Print_Area" localSheetId="9">'Project 37'!$A$1:$N$53</definedName>
    <definedName name="_xlnm.Print_Area" localSheetId="10">'Project 38'!$A$1:$N$59</definedName>
    <definedName name="_xlnm.Print_Area" localSheetId="12">'Project 41'!$A$1:$N$55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5" l="1"/>
  <c r="H33" i="5" s="1"/>
  <c r="L33" i="5" s="1"/>
  <c r="E33" i="5"/>
  <c r="G33" i="5" s="1"/>
  <c r="K33" i="5" s="1"/>
  <c r="F32" i="5"/>
  <c r="H32" i="5" s="1"/>
  <c r="L32" i="5" s="1"/>
  <c r="E32" i="5"/>
  <c r="G32" i="5" s="1"/>
  <c r="L31" i="5"/>
  <c r="H31" i="5"/>
  <c r="E31" i="5"/>
  <c r="G31" i="5" s="1"/>
  <c r="K31" i="5" s="1"/>
  <c r="H30" i="5"/>
  <c r="L30" i="5" s="1"/>
  <c r="E30" i="5"/>
  <c r="G30" i="5" s="1"/>
  <c r="H29" i="5"/>
  <c r="L29" i="5" s="1"/>
  <c r="E29" i="5"/>
  <c r="G29" i="5" s="1"/>
  <c r="K29" i="5" s="1"/>
  <c r="H28" i="5"/>
  <c r="L28" i="5" s="1"/>
  <c r="G28" i="5"/>
  <c r="K28" i="5" s="1"/>
  <c r="L27" i="5"/>
  <c r="K27" i="5"/>
  <c r="H27" i="5"/>
  <c r="G27" i="5"/>
  <c r="E27" i="5"/>
  <c r="H26" i="5"/>
  <c r="L26" i="5" s="1"/>
  <c r="G26" i="5"/>
  <c r="E26" i="5"/>
  <c r="H25" i="5"/>
  <c r="L25" i="5" s="1"/>
  <c r="E25" i="5"/>
  <c r="G25" i="5" s="1"/>
  <c r="K25" i="5" s="1"/>
  <c r="H24" i="5"/>
  <c r="L24" i="5" s="1"/>
  <c r="G24" i="5"/>
  <c r="E24" i="5"/>
  <c r="L23" i="5"/>
  <c r="K23" i="5"/>
  <c r="H23" i="5"/>
  <c r="G23" i="5"/>
  <c r="E23" i="5"/>
  <c r="H22" i="5"/>
  <c r="L22" i="5" s="1"/>
  <c r="G22" i="5"/>
  <c r="E22" i="5"/>
  <c r="H21" i="5"/>
  <c r="L21" i="5" s="1"/>
  <c r="E21" i="5"/>
  <c r="G21" i="5" s="1"/>
  <c r="H20" i="5"/>
  <c r="L20" i="5" s="1"/>
  <c r="G20" i="5"/>
  <c r="E20" i="5"/>
  <c r="F19" i="5"/>
  <c r="H19" i="5" s="1"/>
  <c r="L19" i="5" s="1"/>
  <c r="E19" i="5"/>
  <c r="G19" i="5" s="1"/>
  <c r="H18" i="5"/>
  <c r="L18" i="5" s="1"/>
  <c r="F18" i="5"/>
  <c r="E18" i="5"/>
  <c r="G18" i="5" s="1"/>
  <c r="K18" i="5" s="1"/>
  <c r="H17" i="5"/>
  <c r="L17" i="5" s="1"/>
  <c r="G17" i="5"/>
  <c r="F17" i="5"/>
  <c r="E17" i="5"/>
  <c r="G16" i="5"/>
  <c r="F16" i="5"/>
  <c r="H16" i="5" s="1"/>
  <c r="L16" i="5" s="1"/>
  <c r="E16" i="5"/>
  <c r="F15" i="5"/>
  <c r="H15" i="5" s="1"/>
  <c r="L15" i="5" s="1"/>
  <c r="E15" i="5"/>
  <c r="G15" i="5" s="1"/>
  <c r="K15" i="5" s="1"/>
  <c r="F14" i="5"/>
  <c r="H14" i="5" s="1"/>
  <c r="L14" i="5" s="1"/>
  <c r="E14" i="5"/>
  <c r="G14" i="5" s="1"/>
  <c r="K14" i="5" s="1"/>
  <c r="F13" i="5"/>
  <c r="H13" i="5" s="1"/>
  <c r="L13" i="5" s="1"/>
  <c r="E13" i="5"/>
  <c r="G13" i="5" s="1"/>
  <c r="G12" i="5"/>
  <c r="F12" i="5"/>
  <c r="H12" i="5" s="1"/>
  <c r="L12" i="5" s="1"/>
  <c r="E12" i="5"/>
  <c r="F11" i="5"/>
  <c r="H11" i="5" s="1"/>
  <c r="L11" i="5" s="1"/>
  <c r="E11" i="5"/>
  <c r="G11" i="5" s="1"/>
  <c r="H10" i="5"/>
  <c r="L10" i="5" s="1"/>
  <c r="F10" i="5"/>
  <c r="E10" i="5"/>
  <c r="G10" i="5" s="1"/>
  <c r="E114" i="4"/>
  <c r="E115" i="4" s="1"/>
  <c r="C114" i="4"/>
  <c r="F113" i="4"/>
  <c r="H113" i="4" s="1"/>
  <c r="C113" i="4"/>
  <c r="F112" i="4"/>
  <c r="H112" i="4" s="1"/>
  <c r="H111" i="4"/>
  <c r="F111" i="4"/>
  <c r="H110" i="4"/>
  <c r="F110" i="4"/>
  <c r="H109" i="4"/>
  <c r="F109" i="4"/>
  <c r="F108" i="4"/>
  <c r="H108" i="4" s="1"/>
  <c r="H107" i="4"/>
  <c r="F107" i="4"/>
  <c r="H106" i="4"/>
  <c r="F106" i="4"/>
  <c r="H105" i="4"/>
  <c r="F105" i="4"/>
  <c r="F104" i="4"/>
  <c r="H104" i="4" s="1"/>
  <c r="H103" i="4"/>
  <c r="F103" i="4"/>
  <c r="H102" i="4"/>
  <c r="F102" i="4"/>
  <c r="H101" i="4"/>
  <c r="F101" i="4"/>
  <c r="F100" i="4"/>
  <c r="H100" i="4" s="1"/>
  <c r="H99" i="4"/>
  <c r="F99" i="4"/>
  <c r="H98" i="4"/>
  <c r="F98" i="4"/>
  <c r="H97" i="4"/>
  <c r="F97" i="4"/>
  <c r="F96" i="4"/>
  <c r="H96" i="4" s="1"/>
  <c r="H95" i="4"/>
  <c r="F95" i="4"/>
  <c r="H94" i="4"/>
  <c r="F94" i="4"/>
  <c r="H93" i="4"/>
  <c r="F93" i="4"/>
  <c r="F92" i="4"/>
  <c r="H92" i="4" s="1"/>
  <c r="H91" i="4"/>
  <c r="F91" i="4"/>
  <c r="H90" i="4"/>
  <c r="F90" i="4"/>
  <c r="H89" i="4"/>
  <c r="F89" i="4"/>
  <c r="F88" i="4"/>
  <c r="H88" i="4" s="1"/>
  <c r="H87" i="4"/>
  <c r="F87" i="4"/>
  <c r="H86" i="4"/>
  <c r="F86" i="4"/>
  <c r="H85" i="4"/>
  <c r="F85" i="4"/>
  <c r="F84" i="4"/>
  <c r="H84" i="4" s="1"/>
  <c r="H83" i="4"/>
  <c r="F83" i="4"/>
  <c r="D82" i="4"/>
  <c r="F82" i="4" s="1"/>
  <c r="E77" i="4"/>
  <c r="F76" i="4"/>
  <c r="H76" i="4" s="1"/>
  <c r="E76" i="4"/>
  <c r="F75" i="4"/>
  <c r="H75" i="4" s="1"/>
  <c r="H74" i="4"/>
  <c r="F74" i="4"/>
  <c r="H73" i="4"/>
  <c r="F73" i="4"/>
  <c r="H72" i="4"/>
  <c r="F72" i="4"/>
  <c r="F71" i="4"/>
  <c r="H71" i="4" s="1"/>
  <c r="H70" i="4"/>
  <c r="F70" i="4"/>
  <c r="H69" i="4"/>
  <c r="F69" i="4"/>
  <c r="H68" i="4"/>
  <c r="F68" i="4"/>
  <c r="F67" i="4"/>
  <c r="H67" i="4" s="1"/>
  <c r="H66" i="4"/>
  <c r="F66" i="4"/>
  <c r="H65" i="4"/>
  <c r="F65" i="4"/>
  <c r="H64" i="4"/>
  <c r="F64" i="4"/>
  <c r="F63" i="4"/>
  <c r="H63" i="4" s="1"/>
  <c r="F62" i="4"/>
  <c r="H62" i="4" s="1"/>
  <c r="H61" i="4"/>
  <c r="F61" i="4"/>
  <c r="H60" i="4"/>
  <c r="F60" i="4"/>
  <c r="F59" i="4"/>
  <c r="H59" i="4" s="1"/>
  <c r="F58" i="4"/>
  <c r="H58" i="4" s="1"/>
  <c r="H57" i="4"/>
  <c r="F57" i="4"/>
  <c r="H56" i="4"/>
  <c r="F56" i="4"/>
  <c r="F55" i="4"/>
  <c r="H55" i="4" s="1"/>
  <c r="F54" i="4"/>
  <c r="H54" i="4" s="1"/>
  <c r="H53" i="4"/>
  <c r="F53" i="4"/>
  <c r="H52" i="4"/>
  <c r="F52" i="4"/>
  <c r="F51" i="4"/>
  <c r="H51" i="4" s="1"/>
  <c r="F50" i="4"/>
  <c r="H50" i="4" s="1"/>
  <c r="H49" i="4"/>
  <c r="F49" i="4"/>
  <c r="H48" i="4"/>
  <c r="F48" i="4"/>
  <c r="F47" i="4"/>
  <c r="H47" i="4" s="1"/>
  <c r="H46" i="4"/>
  <c r="F46" i="4"/>
  <c r="H45" i="4"/>
  <c r="F45" i="4"/>
  <c r="H44" i="4"/>
  <c r="F44" i="4"/>
  <c r="F43" i="4"/>
  <c r="H43" i="4" s="1"/>
  <c r="N33" i="4"/>
  <c r="L33" i="4"/>
  <c r="H33" i="4"/>
  <c r="F33" i="4"/>
  <c r="E33" i="4"/>
  <c r="G33" i="4" s="1"/>
  <c r="K33" i="4" s="1"/>
  <c r="N32" i="4"/>
  <c r="L32" i="4"/>
  <c r="H32" i="4"/>
  <c r="F32" i="4"/>
  <c r="E32" i="4"/>
  <c r="G32" i="4" s="1"/>
  <c r="K32" i="4" s="1"/>
  <c r="N31" i="4"/>
  <c r="L31" i="4"/>
  <c r="H31" i="4"/>
  <c r="F31" i="4"/>
  <c r="E31" i="4"/>
  <c r="G31" i="4" s="1"/>
  <c r="K31" i="4" s="1"/>
  <c r="N30" i="4"/>
  <c r="L30" i="4"/>
  <c r="H30" i="4"/>
  <c r="F30" i="4"/>
  <c r="E30" i="4"/>
  <c r="G30" i="4" s="1"/>
  <c r="K30" i="4" s="1"/>
  <c r="N29" i="4"/>
  <c r="L29" i="4"/>
  <c r="H29" i="4"/>
  <c r="F29" i="4"/>
  <c r="E29" i="4"/>
  <c r="G29" i="4" s="1"/>
  <c r="K29" i="4" s="1"/>
  <c r="N28" i="4"/>
  <c r="L28" i="4"/>
  <c r="H28" i="4"/>
  <c r="F28" i="4"/>
  <c r="E28" i="4"/>
  <c r="G28" i="4" s="1"/>
  <c r="K28" i="4" s="1"/>
  <c r="N27" i="4"/>
  <c r="L27" i="4"/>
  <c r="H27" i="4"/>
  <c r="F27" i="4"/>
  <c r="E27" i="4"/>
  <c r="G27" i="4" s="1"/>
  <c r="K27" i="4" s="1"/>
  <c r="N26" i="4"/>
  <c r="L26" i="4"/>
  <c r="H26" i="4"/>
  <c r="F26" i="4"/>
  <c r="E26" i="4"/>
  <c r="G26" i="4" s="1"/>
  <c r="K26" i="4" s="1"/>
  <c r="N25" i="4"/>
  <c r="L25" i="4"/>
  <c r="H25" i="4"/>
  <c r="F25" i="4"/>
  <c r="E25" i="4"/>
  <c r="G25" i="4" s="1"/>
  <c r="K25" i="4" s="1"/>
  <c r="N24" i="4"/>
  <c r="L24" i="4"/>
  <c r="H24" i="4"/>
  <c r="F24" i="4"/>
  <c r="E24" i="4"/>
  <c r="G24" i="4" s="1"/>
  <c r="K24" i="4" s="1"/>
  <c r="N23" i="4"/>
  <c r="L23" i="4"/>
  <c r="H23" i="4"/>
  <c r="G23" i="4"/>
  <c r="K23" i="4" s="1"/>
  <c r="E23" i="4"/>
  <c r="N22" i="4"/>
  <c r="L22" i="4"/>
  <c r="K22" i="4"/>
  <c r="H22" i="4"/>
  <c r="G22" i="4"/>
  <c r="E22" i="4"/>
  <c r="L21" i="4"/>
  <c r="H21" i="4"/>
  <c r="G21" i="4"/>
  <c r="K21" i="4" s="1"/>
  <c r="E21" i="4"/>
  <c r="H20" i="4"/>
  <c r="L20" i="4" s="1"/>
  <c r="G20" i="4"/>
  <c r="E20" i="4"/>
  <c r="F19" i="4"/>
  <c r="H19" i="4" s="1"/>
  <c r="L19" i="4" s="1"/>
  <c r="E19" i="4"/>
  <c r="G19" i="4" s="1"/>
  <c r="L18" i="4"/>
  <c r="H18" i="4"/>
  <c r="F18" i="4"/>
  <c r="E18" i="4"/>
  <c r="G18" i="4" s="1"/>
  <c r="K18" i="4" s="1"/>
  <c r="G17" i="4"/>
  <c r="F17" i="4"/>
  <c r="H17" i="4" s="1"/>
  <c r="L17" i="4" s="1"/>
  <c r="K17" i="4" s="1"/>
  <c r="E17" i="4"/>
  <c r="H16" i="4"/>
  <c r="L16" i="4" s="1"/>
  <c r="F16" i="4"/>
  <c r="E16" i="4"/>
  <c r="G16" i="4" s="1"/>
  <c r="L15" i="4"/>
  <c r="H15" i="4"/>
  <c r="G15" i="4"/>
  <c r="K15" i="4" s="1"/>
  <c r="F15" i="4"/>
  <c r="E15" i="4"/>
  <c r="G14" i="4"/>
  <c r="F14" i="4"/>
  <c r="H14" i="4" s="1"/>
  <c r="L14" i="4" s="1"/>
  <c r="K14" i="4" s="1"/>
  <c r="E14" i="4"/>
  <c r="H13" i="4"/>
  <c r="L13" i="4" s="1"/>
  <c r="F13" i="4"/>
  <c r="E13" i="4"/>
  <c r="G13" i="4" s="1"/>
  <c r="K13" i="4" s="1"/>
  <c r="G12" i="4"/>
  <c r="F12" i="4"/>
  <c r="H12" i="4" s="1"/>
  <c r="L12" i="4" s="1"/>
  <c r="E12" i="4"/>
  <c r="F11" i="4"/>
  <c r="H11" i="4" s="1"/>
  <c r="L11" i="4" s="1"/>
  <c r="E11" i="4"/>
  <c r="G11" i="4" s="1"/>
  <c r="L10" i="4"/>
  <c r="H10" i="4"/>
  <c r="F10" i="4"/>
  <c r="E10" i="4"/>
  <c r="G10" i="4" s="1"/>
  <c r="K10" i="4" s="1"/>
  <c r="M10" i="4" s="1"/>
  <c r="F78" i="3"/>
  <c r="H78" i="3" s="1"/>
  <c r="E78" i="3"/>
  <c r="F77" i="3"/>
  <c r="H77" i="3" s="1"/>
  <c r="H76" i="3"/>
  <c r="F76" i="3"/>
  <c r="F75" i="3"/>
  <c r="H75" i="3" s="1"/>
  <c r="H74" i="3"/>
  <c r="F74" i="3"/>
  <c r="E73" i="3"/>
  <c r="F73" i="3" s="1"/>
  <c r="H73" i="3" s="1"/>
  <c r="E72" i="3"/>
  <c r="F72" i="3" s="1"/>
  <c r="H72" i="3" s="1"/>
  <c r="E71" i="3"/>
  <c r="E79" i="3" s="1"/>
  <c r="F70" i="3"/>
  <c r="H70" i="3" s="1"/>
  <c r="H69" i="3"/>
  <c r="F69" i="3"/>
  <c r="F68" i="3"/>
  <c r="H68" i="3" s="1"/>
  <c r="C68" i="3"/>
  <c r="F67" i="3"/>
  <c r="H67" i="3" s="1"/>
  <c r="H66" i="3"/>
  <c r="F66" i="3"/>
  <c r="D66" i="3"/>
  <c r="E61" i="3"/>
  <c r="E60" i="3"/>
  <c r="F60" i="3" s="1"/>
  <c r="H60" i="3" s="1"/>
  <c r="H59" i="3"/>
  <c r="F59" i="3"/>
  <c r="F58" i="3"/>
  <c r="H58" i="3" s="1"/>
  <c r="H57" i="3"/>
  <c r="F57" i="3"/>
  <c r="F56" i="3"/>
  <c r="H56" i="3" s="1"/>
  <c r="H55" i="3"/>
  <c r="F55" i="3"/>
  <c r="F54" i="3"/>
  <c r="H54" i="3" s="1"/>
  <c r="E53" i="3"/>
  <c r="F53" i="3" s="1"/>
  <c r="H53" i="3" s="1"/>
  <c r="F52" i="3"/>
  <c r="H52" i="3" s="1"/>
  <c r="E51" i="3"/>
  <c r="F51" i="3" s="1"/>
  <c r="H51" i="3" s="1"/>
  <c r="H50" i="3"/>
  <c r="F50" i="3"/>
  <c r="E49" i="3"/>
  <c r="F49" i="3" s="1"/>
  <c r="H49" i="3" s="1"/>
  <c r="F48" i="3"/>
  <c r="H48" i="3" s="1"/>
  <c r="F47" i="3"/>
  <c r="H47" i="3" s="1"/>
  <c r="H46" i="3"/>
  <c r="F46" i="3"/>
  <c r="F45" i="3"/>
  <c r="H45" i="3" s="1"/>
  <c r="C45" i="3"/>
  <c r="F44" i="3"/>
  <c r="H44" i="3" s="1"/>
  <c r="H43" i="3"/>
  <c r="F43" i="3"/>
  <c r="F33" i="3"/>
  <c r="H33" i="3" s="1"/>
  <c r="L33" i="3" s="1"/>
  <c r="E33" i="3"/>
  <c r="G33" i="3" s="1"/>
  <c r="H32" i="3"/>
  <c r="L32" i="3" s="1"/>
  <c r="F32" i="3"/>
  <c r="E32" i="3"/>
  <c r="G32" i="3" s="1"/>
  <c r="K32" i="3" s="1"/>
  <c r="H31" i="3"/>
  <c r="L31" i="3" s="1"/>
  <c r="G31" i="3"/>
  <c r="K31" i="3" s="1"/>
  <c r="E31" i="3"/>
  <c r="L30" i="3"/>
  <c r="K30" i="3"/>
  <c r="H30" i="3"/>
  <c r="G30" i="3"/>
  <c r="L29" i="3"/>
  <c r="H29" i="3"/>
  <c r="G29" i="3"/>
  <c r="K29" i="3" s="1"/>
  <c r="H28" i="3"/>
  <c r="L28" i="3" s="1"/>
  <c r="G28" i="3"/>
  <c r="K28" i="3" s="1"/>
  <c r="H27" i="3"/>
  <c r="L27" i="3" s="1"/>
  <c r="F27" i="3"/>
  <c r="E27" i="3"/>
  <c r="G27" i="3" s="1"/>
  <c r="H26" i="3"/>
  <c r="L26" i="3" s="1"/>
  <c r="G26" i="3"/>
  <c r="K26" i="3" s="1"/>
  <c r="F26" i="3"/>
  <c r="E26" i="3"/>
  <c r="G25" i="3"/>
  <c r="F25" i="3"/>
  <c r="H25" i="3" s="1"/>
  <c r="L25" i="3" s="1"/>
  <c r="E25" i="3"/>
  <c r="F24" i="3"/>
  <c r="H24" i="3" s="1"/>
  <c r="L24" i="3" s="1"/>
  <c r="E24" i="3"/>
  <c r="G24" i="3" s="1"/>
  <c r="H23" i="3"/>
  <c r="L23" i="3" s="1"/>
  <c r="F23" i="3"/>
  <c r="E23" i="3"/>
  <c r="G23" i="3" s="1"/>
  <c r="K23" i="3" s="1"/>
  <c r="H22" i="3"/>
  <c r="L22" i="3" s="1"/>
  <c r="G22" i="3"/>
  <c r="K22" i="3" s="1"/>
  <c r="F22" i="3"/>
  <c r="E22" i="3"/>
  <c r="L21" i="3"/>
  <c r="H21" i="3"/>
  <c r="E21" i="3"/>
  <c r="G21" i="3" s="1"/>
  <c r="K21" i="3" s="1"/>
  <c r="H20" i="3"/>
  <c r="L20" i="3" s="1"/>
  <c r="E20" i="3"/>
  <c r="G20" i="3" s="1"/>
  <c r="K20" i="3" s="1"/>
  <c r="G19" i="3"/>
  <c r="K19" i="3" s="1"/>
  <c r="F19" i="3"/>
  <c r="H19" i="3" s="1"/>
  <c r="L19" i="3" s="1"/>
  <c r="E19" i="3"/>
  <c r="F18" i="3"/>
  <c r="H18" i="3" s="1"/>
  <c r="L18" i="3" s="1"/>
  <c r="E18" i="3"/>
  <c r="G18" i="3" s="1"/>
  <c r="K18" i="3" s="1"/>
  <c r="H17" i="3"/>
  <c r="L17" i="3" s="1"/>
  <c r="F17" i="3"/>
  <c r="E17" i="3"/>
  <c r="G17" i="3" s="1"/>
  <c r="K17" i="3" s="1"/>
  <c r="H16" i="3"/>
  <c r="L16" i="3" s="1"/>
  <c r="G16" i="3"/>
  <c r="F16" i="3"/>
  <c r="E16" i="3"/>
  <c r="L15" i="3"/>
  <c r="H15" i="3"/>
  <c r="E15" i="3"/>
  <c r="G15" i="3" s="1"/>
  <c r="K15" i="3" s="1"/>
  <c r="H14" i="3"/>
  <c r="L14" i="3" s="1"/>
  <c r="F14" i="3"/>
  <c r="E14" i="3"/>
  <c r="G14" i="3" s="1"/>
  <c r="H13" i="3"/>
  <c r="L13" i="3" s="1"/>
  <c r="G13" i="3"/>
  <c r="F13" i="3"/>
  <c r="E13" i="3"/>
  <c r="G12" i="3"/>
  <c r="F12" i="3"/>
  <c r="H12" i="3" s="1"/>
  <c r="L12" i="3" s="1"/>
  <c r="E12" i="3"/>
  <c r="F11" i="3"/>
  <c r="H11" i="3" s="1"/>
  <c r="L11" i="3" s="1"/>
  <c r="E11" i="3"/>
  <c r="G11" i="3" s="1"/>
  <c r="K11" i="3" s="1"/>
  <c r="H10" i="3"/>
  <c r="L10" i="3" s="1"/>
  <c r="F10" i="3"/>
  <c r="E10" i="3"/>
  <c r="G10" i="3" s="1"/>
  <c r="K10" i="3" s="1"/>
  <c r="M10" i="3" s="1"/>
  <c r="M11" i="3" s="1"/>
  <c r="E62" i="2"/>
  <c r="F61" i="2"/>
  <c r="H61" i="2" s="1"/>
  <c r="C61" i="2"/>
  <c r="H60" i="2"/>
  <c r="F60" i="2"/>
  <c r="C60" i="2"/>
  <c r="F59" i="2"/>
  <c r="H59" i="2" s="1"/>
  <c r="F58" i="2"/>
  <c r="H58" i="2" s="1"/>
  <c r="F57" i="2"/>
  <c r="H57" i="2" s="1"/>
  <c r="F56" i="2"/>
  <c r="H56" i="2" s="1"/>
  <c r="D56" i="2"/>
  <c r="E51" i="2"/>
  <c r="H50" i="2"/>
  <c r="F50" i="2"/>
  <c r="H49" i="2"/>
  <c r="F49" i="2"/>
  <c r="F48" i="2"/>
  <c r="H48" i="2" s="1"/>
  <c r="C48" i="2"/>
  <c r="F47" i="2"/>
  <c r="H47" i="2" s="1"/>
  <c r="C47" i="2"/>
  <c r="H46" i="2"/>
  <c r="F46" i="2"/>
  <c r="F45" i="2"/>
  <c r="H45" i="2" s="1"/>
  <c r="F33" i="2"/>
  <c r="H33" i="2" s="1"/>
  <c r="L33" i="2" s="1"/>
  <c r="E33" i="2"/>
  <c r="G33" i="2" s="1"/>
  <c r="K33" i="2" s="1"/>
  <c r="H32" i="2"/>
  <c r="L32" i="2" s="1"/>
  <c r="F32" i="2"/>
  <c r="E32" i="2"/>
  <c r="G32" i="2" s="1"/>
  <c r="K32" i="2" s="1"/>
  <c r="H31" i="2"/>
  <c r="L31" i="2" s="1"/>
  <c r="G31" i="2"/>
  <c r="K31" i="2" s="1"/>
  <c r="E31" i="2"/>
  <c r="H30" i="2"/>
  <c r="L30" i="2" s="1"/>
  <c r="G30" i="2"/>
  <c r="K30" i="2" s="1"/>
  <c r="E30" i="2"/>
  <c r="H29" i="2"/>
  <c r="L29" i="2" s="1"/>
  <c r="E29" i="2"/>
  <c r="G29" i="2" s="1"/>
  <c r="K29" i="2" s="1"/>
  <c r="L28" i="2"/>
  <c r="K28" i="2"/>
  <c r="H28" i="2"/>
  <c r="G28" i="2"/>
  <c r="E28" i="2"/>
  <c r="H27" i="2"/>
  <c r="L27" i="2" s="1"/>
  <c r="G27" i="2"/>
  <c r="K27" i="2" s="1"/>
  <c r="E27" i="2"/>
  <c r="H26" i="2"/>
  <c r="L26" i="2" s="1"/>
  <c r="G26" i="2"/>
  <c r="K26" i="2" s="1"/>
  <c r="E26" i="2"/>
  <c r="H25" i="2"/>
  <c r="L25" i="2" s="1"/>
  <c r="E25" i="2"/>
  <c r="G25" i="2" s="1"/>
  <c r="K25" i="2" s="1"/>
  <c r="L24" i="2"/>
  <c r="K24" i="2"/>
  <c r="H24" i="2"/>
  <c r="G24" i="2"/>
  <c r="E24" i="2"/>
  <c r="H23" i="2"/>
  <c r="L23" i="2" s="1"/>
  <c r="G23" i="2"/>
  <c r="K23" i="2" s="1"/>
  <c r="E23" i="2"/>
  <c r="H22" i="2"/>
  <c r="L22" i="2" s="1"/>
  <c r="G22" i="2"/>
  <c r="E22" i="2"/>
  <c r="H21" i="2"/>
  <c r="L21" i="2" s="1"/>
  <c r="E21" i="2"/>
  <c r="G21" i="2" s="1"/>
  <c r="K21" i="2" s="1"/>
  <c r="L20" i="2"/>
  <c r="K20" i="2"/>
  <c r="H20" i="2"/>
  <c r="G20" i="2"/>
  <c r="E20" i="2"/>
  <c r="H19" i="2"/>
  <c r="L19" i="2" s="1"/>
  <c r="G19" i="2"/>
  <c r="F19" i="2"/>
  <c r="E19" i="2"/>
  <c r="G18" i="2"/>
  <c r="F18" i="2"/>
  <c r="H18" i="2" s="1"/>
  <c r="L18" i="2" s="1"/>
  <c r="E18" i="2"/>
  <c r="F17" i="2"/>
  <c r="H17" i="2" s="1"/>
  <c r="L17" i="2" s="1"/>
  <c r="E17" i="2"/>
  <c r="G17" i="2" s="1"/>
  <c r="K17" i="2" s="1"/>
  <c r="F16" i="2"/>
  <c r="H16" i="2" s="1"/>
  <c r="L16" i="2" s="1"/>
  <c r="E16" i="2"/>
  <c r="G16" i="2" s="1"/>
  <c r="K16" i="2" s="1"/>
  <c r="F15" i="2"/>
  <c r="H15" i="2" s="1"/>
  <c r="L15" i="2" s="1"/>
  <c r="E15" i="2"/>
  <c r="G15" i="2" s="1"/>
  <c r="K15" i="2" s="1"/>
  <c r="F14" i="2"/>
  <c r="H14" i="2" s="1"/>
  <c r="L14" i="2" s="1"/>
  <c r="E14" i="2"/>
  <c r="G14" i="2" s="1"/>
  <c r="F13" i="2"/>
  <c r="H13" i="2" s="1"/>
  <c r="L13" i="2" s="1"/>
  <c r="E13" i="2"/>
  <c r="G13" i="2" s="1"/>
  <c r="K13" i="2" s="1"/>
  <c r="H12" i="2"/>
  <c r="L12" i="2" s="1"/>
  <c r="F12" i="2"/>
  <c r="E12" i="2"/>
  <c r="G12" i="2" s="1"/>
  <c r="H11" i="2"/>
  <c r="L11" i="2" s="1"/>
  <c r="G11" i="2"/>
  <c r="K11" i="2" s="1"/>
  <c r="E11" i="2"/>
  <c r="F10" i="2"/>
  <c r="H10" i="2" s="1"/>
  <c r="L10" i="2" s="1"/>
  <c r="E10" i="2"/>
  <c r="G10" i="2" s="1"/>
  <c r="K10" i="2" s="1"/>
  <c r="M10" i="2" s="1"/>
  <c r="E77" i="1"/>
  <c r="F77" i="1" s="1"/>
  <c r="H77" i="1" s="1"/>
  <c r="C77" i="1"/>
  <c r="F76" i="1"/>
  <c r="H76" i="1" s="1"/>
  <c r="C76" i="1"/>
  <c r="F75" i="1"/>
  <c r="H75" i="1" s="1"/>
  <c r="F74" i="1"/>
  <c r="H74" i="1" s="1"/>
  <c r="H73" i="1"/>
  <c r="F73" i="1"/>
  <c r="F72" i="1"/>
  <c r="H72" i="1" s="1"/>
  <c r="F71" i="1"/>
  <c r="H71" i="1" s="1"/>
  <c r="F70" i="1"/>
  <c r="H70" i="1" s="1"/>
  <c r="E69" i="1"/>
  <c r="F69" i="1" s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D63" i="1"/>
  <c r="F63" i="1" s="1"/>
  <c r="E57" i="1"/>
  <c r="E58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C45" i="1"/>
  <c r="F44" i="1"/>
  <c r="H44" i="1" s="1"/>
  <c r="C44" i="1"/>
  <c r="F43" i="1"/>
  <c r="C43" i="1"/>
  <c r="N33" i="1"/>
  <c r="F33" i="1"/>
  <c r="H33" i="1" s="1"/>
  <c r="L33" i="1" s="1"/>
  <c r="E33" i="1"/>
  <c r="G33" i="1" s="1"/>
  <c r="K33" i="1" s="1"/>
  <c r="N32" i="1"/>
  <c r="F32" i="1"/>
  <c r="H32" i="1" s="1"/>
  <c r="L32" i="1" s="1"/>
  <c r="E32" i="1"/>
  <c r="G32" i="1" s="1"/>
  <c r="K32" i="1" s="1"/>
  <c r="N31" i="1"/>
  <c r="H31" i="1"/>
  <c r="L31" i="1" s="1"/>
  <c r="E31" i="1"/>
  <c r="G31" i="1" s="1"/>
  <c r="K31" i="1" s="1"/>
  <c r="N30" i="1"/>
  <c r="H30" i="1"/>
  <c r="L30" i="1" s="1"/>
  <c r="E30" i="1"/>
  <c r="G30" i="1" s="1"/>
  <c r="K30" i="1" s="1"/>
  <c r="N29" i="1"/>
  <c r="L29" i="1"/>
  <c r="H29" i="1"/>
  <c r="E29" i="1"/>
  <c r="G29" i="1" s="1"/>
  <c r="K29" i="1" s="1"/>
  <c r="N28" i="1"/>
  <c r="L28" i="1"/>
  <c r="H28" i="1"/>
  <c r="E28" i="1"/>
  <c r="G28" i="1" s="1"/>
  <c r="K28" i="1" s="1"/>
  <c r="N27" i="1"/>
  <c r="H27" i="1"/>
  <c r="L27" i="1" s="1"/>
  <c r="E27" i="1"/>
  <c r="G27" i="1" s="1"/>
  <c r="K27" i="1" s="1"/>
  <c r="N26" i="1"/>
  <c r="H26" i="1"/>
  <c r="L26" i="1" s="1"/>
  <c r="G26" i="1"/>
  <c r="K26" i="1" s="1"/>
  <c r="E26" i="1"/>
  <c r="N25" i="1"/>
  <c r="H25" i="1"/>
  <c r="L25" i="1" s="1"/>
  <c r="E25" i="1"/>
  <c r="G25" i="1" s="1"/>
  <c r="K25" i="1" s="1"/>
  <c r="N24" i="1"/>
  <c r="H24" i="1"/>
  <c r="L24" i="1" s="1"/>
  <c r="E24" i="1"/>
  <c r="G24" i="1" s="1"/>
  <c r="K24" i="1" s="1"/>
  <c r="N23" i="1"/>
  <c r="H23" i="1"/>
  <c r="L23" i="1" s="1"/>
  <c r="E23" i="1"/>
  <c r="G23" i="1" s="1"/>
  <c r="K23" i="1" s="1"/>
  <c r="N22" i="1"/>
  <c r="H22" i="1"/>
  <c r="L22" i="1" s="1"/>
  <c r="E22" i="1"/>
  <c r="G22" i="1" s="1"/>
  <c r="K22" i="1" s="1"/>
  <c r="N21" i="1"/>
  <c r="L21" i="1"/>
  <c r="H21" i="1"/>
  <c r="E21" i="1"/>
  <c r="G21" i="1" s="1"/>
  <c r="K21" i="1" s="1"/>
  <c r="N20" i="1"/>
  <c r="L20" i="1"/>
  <c r="H20" i="1"/>
  <c r="E20" i="1"/>
  <c r="G20" i="1" s="1"/>
  <c r="K20" i="1" s="1"/>
  <c r="N19" i="1"/>
  <c r="H19" i="1"/>
  <c r="L19" i="1" s="1"/>
  <c r="F19" i="1"/>
  <c r="E19" i="1"/>
  <c r="G19" i="1" s="1"/>
  <c r="K19" i="1" s="1"/>
  <c r="N18" i="1"/>
  <c r="H18" i="1"/>
  <c r="L18" i="1" s="1"/>
  <c r="F18" i="1"/>
  <c r="E18" i="1"/>
  <c r="G18" i="1" s="1"/>
  <c r="K18" i="1" s="1"/>
  <c r="N17" i="1"/>
  <c r="H17" i="1"/>
  <c r="L17" i="1" s="1"/>
  <c r="F17" i="1"/>
  <c r="E17" i="1"/>
  <c r="G17" i="1" s="1"/>
  <c r="K17" i="1" s="1"/>
  <c r="N16" i="1"/>
  <c r="H16" i="1"/>
  <c r="L16" i="1" s="1"/>
  <c r="F16" i="1"/>
  <c r="E16" i="1"/>
  <c r="G16" i="1" s="1"/>
  <c r="K16" i="1" s="1"/>
  <c r="N15" i="1"/>
  <c r="H15" i="1"/>
  <c r="L15" i="1" s="1"/>
  <c r="F15" i="1"/>
  <c r="E15" i="1"/>
  <c r="G15" i="1" s="1"/>
  <c r="K15" i="1" s="1"/>
  <c r="N14" i="1"/>
  <c r="H14" i="1"/>
  <c r="L14" i="1" s="1"/>
  <c r="F14" i="1"/>
  <c r="E14" i="1"/>
  <c r="G14" i="1" s="1"/>
  <c r="K14" i="1" s="1"/>
  <c r="N13" i="1"/>
  <c r="H13" i="1"/>
  <c r="L13" i="1" s="1"/>
  <c r="F13" i="1"/>
  <c r="E13" i="1"/>
  <c r="G13" i="1" s="1"/>
  <c r="K13" i="1" s="1"/>
  <c r="N12" i="1"/>
  <c r="H12" i="1"/>
  <c r="L12" i="1" s="1"/>
  <c r="F12" i="1"/>
  <c r="E12" i="1"/>
  <c r="G12" i="1" s="1"/>
  <c r="K12" i="1" s="1"/>
  <c r="N11" i="1"/>
  <c r="H11" i="1"/>
  <c r="L11" i="1" s="1"/>
  <c r="F11" i="1"/>
  <c r="E11" i="1"/>
  <c r="G11" i="1" s="1"/>
  <c r="K11" i="1" s="1"/>
  <c r="N10" i="1"/>
  <c r="H10" i="1"/>
  <c r="L10" i="1" s="1"/>
  <c r="F10" i="1"/>
  <c r="E10" i="1"/>
  <c r="G10" i="1" s="1"/>
  <c r="K10" i="1" s="1"/>
  <c r="M10" i="1" s="1"/>
  <c r="K11" i="5" l="1"/>
  <c r="K17" i="5"/>
  <c r="K20" i="5"/>
  <c r="K21" i="5"/>
  <c r="K26" i="5"/>
  <c r="K32" i="5"/>
  <c r="K12" i="5"/>
  <c r="K10" i="5"/>
  <c r="M10" i="5" s="1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K13" i="5"/>
  <c r="K16" i="5"/>
  <c r="K19" i="5"/>
  <c r="K22" i="5"/>
  <c r="K24" i="5"/>
  <c r="K30" i="5"/>
  <c r="K19" i="4"/>
  <c r="K12" i="4"/>
  <c r="K20" i="4"/>
  <c r="K11" i="4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K16" i="4"/>
  <c r="H77" i="4"/>
  <c r="F115" i="4"/>
  <c r="H82" i="4"/>
  <c r="F77" i="4"/>
  <c r="F114" i="4"/>
  <c r="H114" i="4" s="1"/>
  <c r="K33" i="3"/>
  <c r="K25" i="3"/>
  <c r="H61" i="3"/>
  <c r="K12" i="3"/>
  <c r="M12" i="3"/>
  <c r="K13" i="3"/>
  <c r="K24" i="3"/>
  <c r="F79" i="3"/>
  <c r="K27" i="3"/>
  <c r="K14" i="3"/>
  <c r="K16" i="3"/>
  <c r="F61" i="3"/>
  <c r="F71" i="3"/>
  <c r="H71" i="3" s="1"/>
  <c r="H79" i="3" s="1"/>
  <c r="K18" i="2"/>
  <c r="K12" i="2"/>
  <c r="H51" i="2"/>
  <c r="K19" i="2"/>
  <c r="M11" i="2"/>
  <c r="K22" i="2"/>
  <c r="K14" i="2"/>
  <c r="H62" i="2"/>
  <c r="F51" i="2"/>
  <c r="F62" i="2"/>
  <c r="M11" i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H63" i="1"/>
  <c r="H78" i="1" s="1"/>
  <c r="F78" i="1"/>
  <c r="E78" i="1"/>
  <c r="H43" i="1"/>
  <c r="H58" i="1" s="1"/>
  <c r="F57" i="1"/>
  <c r="H57" i="1" s="1"/>
  <c r="F28" i="12"/>
  <c r="E28" i="12"/>
  <c r="F28" i="13"/>
  <c r="E28" i="13"/>
  <c r="E26" i="9"/>
  <c r="F28" i="6"/>
  <c r="E28" i="6"/>
  <c r="H115" i="4" l="1"/>
  <c r="H80" i="3"/>
  <c r="H62" i="3"/>
  <c r="H63" i="3" s="1"/>
  <c r="H64" i="3" s="1"/>
  <c r="M13" i="3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12" i="2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H63" i="2"/>
  <c r="H52" i="2"/>
  <c r="H53" i="2"/>
  <c r="H54" i="2" s="1"/>
  <c r="H60" i="1"/>
  <c r="H61" i="1" s="1"/>
  <c r="H79" i="1"/>
  <c r="H59" i="1"/>
  <c r="F58" i="1"/>
  <c r="F24" i="6"/>
  <c r="E24" i="6"/>
  <c r="F23" i="6"/>
  <c r="E23" i="6"/>
  <c r="F22" i="6"/>
  <c r="E22" i="6"/>
  <c r="F21" i="6"/>
  <c r="E21" i="6"/>
  <c r="F20" i="6"/>
  <c r="E20" i="6"/>
  <c r="H116" i="4" l="1"/>
  <c r="H78" i="4"/>
  <c r="H79" i="4" s="1"/>
  <c r="H80" i="4" s="1"/>
  <c r="F33" i="14"/>
  <c r="E33" i="14"/>
  <c r="F32" i="13"/>
  <c r="E32" i="13"/>
  <c r="E22" i="11"/>
  <c r="E21" i="11"/>
  <c r="F18" i="11"/>
  <c r="E18" i="11"/>
  <c r="E25" i="10"/>
  <c r="F18" i="10"/>
  <c r="E18" i="10"/>
  <c r="E26" i="7"/>
  <c r="F18" i="7"/>
  <c r="E18" i="7"/>
  <c r="F31" i="6"/>
  <c r="E31" i="6"/>
  <c r="H33" i="14" l="1"/>
  <c r="L33" i="14" s="1"/>
  <c r="G33" i="14"/>
  <c r="K33" i="14" s="1"/>
  <c r="G32" i="14"/>
  <c r="F32" i="14"/>
  <c r="H32" i="14" s="1"/>
  <c r="L32" i="14" s="1"/>
  <c r="K32" i="14" s="1"/>
  <c r="E32" i="14"/>
  <c r="L31" i="14"/>
  <c r="H31" i="14"/>
  <c r="F31" i="14"/>
  <c r="E31" i="14"/>
  <c r="G31" i="14" s="1"/>
  <c r="K31" i="14" s="1"/>
  <c r="G30" i="14"/>
  <c r="F30" i="14"/>
  <c r="H30" i="14" s="1"/>
  <c r="L30" i="14" s="1"/>
  <c r="K30" i="14" s="1"/>
  <c r="E30" i="14"/>
  <c r="H29" i="14"/>
  <c r="L29" i="14" s="1"/>
  <c r="F29" i="14"/>
  <c r="E29" i="14"/>
  <c r="G29" i="14" s="1"/>
  <c r="K29" i="14" s="1"/>
  <c r="H28" i="14"/>
  <c r="L28" i="14" s="1"/>
  <c r="G28" i="14"/>
  <c r="F28" i="14"/>
  <c r="E28" i="14"/>
  <c r="F27" i="14"/>
  <c r="H27" i="14" s="1"/>
  <c r="L27" i="14" s="1"/>
  <c r="E27" i="14"/>
  <c r="G27" i="14" s="1"/>
  <c r="F26" i="14"/>
  <c r="H26" i="14" s="1"/>
  <c r="L26" i="14" s="1"/>
  <c r="E26" i="14"/>
  <c r="G26" i="14" s="1"/>
  <c r="K26" i="14" s="1"/>
  <c r="F25" i="14"/>
  <c r="H25" i="14" s="1"/>
  <c r="L25" i="14" s="1"/>
  <c r="E25" i="14"/>
  <c r="G25" i="14" s="1"/>
  <c r="F24" i="14"/>
  <c r="H24" i="14" s="1"/>
  <c r="L24" i="14" s="1"/>
  <c r="E24" i="14"/>
  <c r="G24" i="14" s="1"/>
  <c r="K24" i="14" s="1"/>
  <c r="H23" i="14"/>
  <c r="L23" i="14" s="1"/>
  <c r="K23" i="14" s="1"/>
  <c r="G23" i="14"/>
  <c r="L22" i="14"/>
  <c r="H22" i="14"/>
  <c r="G22" i="14"/>
  <c r="K22" i="14" s="1"/>
  <c r="M22" i="14" s="1"/>
  <c r="H21" i="14"/>
  <c r="L21" i="14" s="1"/>
  <c r="G21" i="14"/>
  <c r="K21" i="14" s="1"/>
  <c r="L20" i="14"/>
  <c r="K20" i="14"/>
  <c r="H20" i="14"/>
  <c r="G20" i="14"/>
  <c r="H19" i="14"/>
  <c r="L19" i="14" s="1"/>
  <c r="G19" i="14"/>
  <c r="K19" i="14" s="1"/>
  <c r="L18" i="14"/>
  <c r="H18" i="14"/>
  <c r="G18" i="14"/>
  <c r="K18" i="14" s="1"/>
  <c r="H17" i="14"/>
  <c r="L17" i="14" s="1"/>
  <c r="K17" i="14" s="1"/>
  <c r="G17" i="14"/>
  <c r="H16" i="14"/>
  <c r="L16" i="14" s="1"/>
  <c r="G16" i="14"/>
  <c r="K16" i="14" s="1"/>
  <c r="L15" i="14"/>
  <c r="K15" i="14" s="1"/>
  <c r="H15" i="14"/>
  <c r="G15" i="14"/>
  <c r="H14" i="14"/>
  <c r="L14" i="14" s="1"/>
  <c r="G14" i="14"/>
  <c r="K14" i="14" s="1"/>
  <c r="H13" i="14"/>
  <c r="L13" i="14" s="1"/>
  <c r="G13" i="14"/>
  <c r="K13" i="14" s="1"/>
  <c r="L12" i="14"/>
  <c r="K12" i="14"/>
  <c r="H12" i="14"/>
  <c r="G12" i="14"/>
  <c r="H11" i="14"/>
  <c r="L11" i="14" s="1"/>
  <c r="G11" i="14"/>
  <c r="K11" i="14" s="1"/>
  <c r="L10" i="14"/>
  <c r="H10" i="14"/>
  <c r="G10" i="14"/>
  <c r="K10" i="14" s="1"/>
  <c r="M10" i="14" s="1"/>
  <c r="M11" i="14" s="1"/>
  <c r="M12" i="14" s="1"/>
  <c r="M13" i="14" s="1"/>
  <c r="M14" i="14" s="1"/>
  <c r="H33" i="13"/>
  <c r="L33" i="13" s="1"/>
  <c r="F33" i="13"/>
  <c r="E33" i="13"/>
  <c r="G33" i="13" s="1"/>
  <c r="K33" i="13" s="1"/>
  <c r="G32" i="13"/>
  <c r="H32" i="13"/>
  <c r="L32" i="13" s="1"/>
  <c r="F31" i="13"/>
  <c r="H31" i="13" s="1"/>
  <c r="L31" i="13" s="1"/>
  <c r="E31" i="13"/>
  <c r="G31" i="13" s="1"/>
  <c r="L30" i="13"/>
  <c r="H30" i="13"/>
  <c r="F30" i="13"/>
  <c r="E30" i="13"/>
  <c r="G30" i="13" s="1"/>
  <c r="K30" i="13" s="1"/>
  <c r="H29" i="13"/>
  <c r="L29" i="13" s="1"/>
  <c r="K29" i="13" s="1"/>
  <c r="G29" i="13"/>
  <c r="F29" i="13"/>
  <c r="E29" i="13"/>
  <c r="H28" i="13"/>
  <c r="L28" i="13" s="1"/>
  <c r="G28" i="13"/>
  <c r="M22" i="13"/>
  <c r="F27" i="13"/>
  <c r="E27" i="13"/>
  <c r="F26" i="13"/>
  <c r="E26" i="13"/>
  <c r="G25" i="13"/>
  <c r="F25" i="13"/>
  <c r="H25" i="13" s="1"/>
  <c r="L25" i="13" s="1"/>
  <c r="E25" i="13"/>
  <c r="D25" i="13"/>
  <c r="D26" i="13" s="1"/>
  <c r="D27" i="13" s="1"/>
  <c r="H24" i="13"/>
  <c r="L24" i="13" s="1"/>
  <c r="G24" i="13"/>
  <c r="F24" i="13"/>
  <c r="E24" i="13"/>
  <c r="C24" i="13"/>
  <c r="C25" i="13" s="1"/>
  <c r="C26" i="13" s="1"/>
  <c r="C27" i="13" s="1"/>
  <c r="H23" i="13"/>
  <c r="L23" i="13" s="1"/>
  <c r="G23" i="13"/>
  <c r="F23" i="13"/>
  <c r="E23" i="13"/>
  <c r="H22" i="13"/>
  <c r="L22" i="13" s="1"/>
  <c r="G22" i="13"/>
  <c r="K22" i="13" s="1"/>
  <c r="H21" i="13"/>
  <c r="L21" i="13" s="1"/>
  <c r="G21" i="13"/>
  <c r="K21" i="13" s="1"/>
  <c r="H20" i="13"/>
  <c r="L20" i="13" s="1"/>
  <c r="G20" i="13"/>
  <c r="H19" i="13"/>
  <c r="L19" i="13" s="1"/>
  <c r="G19" i="13"/>
  <c r="K19" i="13" s="1"/>
  <c r="H18" i="13"/>
  <c r="L18" i="13" s="1"/>
  <c r="G18" i="13"/>
  <c r="G17" i="13"/>
  <c r="H17" i="13"/>
  <c r="L17" i="13" s="1"/>
  <c r="H16" i="13"/>
  <c r="L16" i="13" s="1"/>
  <c r="G16" i="13"/>
  <c r="H15" i="13"/>
  <c r="L15" i="13" s="1"/>
  <c r="G15" i="13"/>
  <c r="H14" i="13"/>
  <c r="L14" i="13" s="1"/>
  <c r="G14" i="13"/>
  <c r="H13" i="13"/>
  <c r="L13" i="13" s="1"/>
  <c r="G13" i="13"/>
  <c r="H12" i="13"/>
  <c r="L12" i="13" s="1"/>
  <c r="G12" i="13"/>
  <c r="H11" i="13"/>
  <c r="L11" i="13" s="1"/>
  <c r="G11" i="13"/>
  <c r="G10" i="13"/>
  <c r="H10" i="13"/>
  <c r="L10" i="13" s="1"/>
  <c r="C53" i="12"/>
  <c r="F52" i="12"/>
  <c r="H52" i="12" s="1"/>
  <c r="D51" i="12"/>
  <c r="F51" i="12" s="1"/>
  <c r="E45" i="12"/>
  <c r="E46" i="12" s="1"/>
  <c r="F44" i="12"/>
  <c r="H44" i="12" s="1"/>
  <c r="F43" i="12"/>
  <c r="H43" i="12" s="1"/>
  <c r="G33" i="12"/>
  <c r="F33" i="12"/>
  <c r="H33" i="12" s="1"/>
  <c r="L33" i="12" s="1"/>
  <c r="E33" i="12"/>
  <c r="D33" i="12"/>
  <c r="G32" i="12"/>
  <c r="F32" i="12"/>
  <c r="H32" i="12" s="1"/>
  <c r="L32" i="12" s="1"/>
  <c r="E32" i="12"/>
  <c r="F31" i="12"/>
  <c r="H31" i="12" s="1"/>
  <c r="L31" i="12" s="1"/>
  <c r="E31" i="12"/>
  <c r="G31" i="12" s="1"/>
  <c r="F30" i="12"/>
  <c r="H30" i="12" s="1"/>
  <c r="L30" i="12" s="1"/>
  <c r="E30" i="12"/>
  <c r="G30" i="12" s="1"/>
  <c r="F29" i="12"/>
  <c r="H29" i="12" s="1"/>
  <c r="L29" i="12" s="1"/>
  <c r="E29" i="12"/>
  <c r="G29" i="12" s="1"/>
  <c r="K29" i="12" s="1"/>
  <c r="H28" i="12"/>
  <c r="L28" i="12" s="1"/>
  <c r="G28" i="12"/>
  <c r="H27" i="12"/>
  <c r="L27" i="12" s="1"/>
  <c r="E27" i="12"/>
  <c r="G27" i="12" s="1"/>
  <c r="K27" i="12" s="1"/>
  <c r="L26" i="12"/>
  <c r="H26" i="12"/>
  <c r="E26" i="12"/>
  <c r="G26" i="12" s="1"/>
  <c r="K26" i="12" s="1"/>
  <c r="H25" i="12"/>
  <c r="L25" i="12" s="1"/>
  <c r="E25" i="12"/>
  <c r="G25" i="12" s="1"/>
  <c r="K25" i="12" s="1"/>
  <c r="H24" i="12"/>
  <c r="L24" i="12" s="1"/>
  <c r="E24" i="12"/>
  <c r="G24" i="12" s="1"/>
  <c r="H23" i="12"/>
  <c r="L23" i="12" s="1"/>
  <c r="E23" i="12"/>
  <c r="G23" i="12" s="1"/>
  <c r="K23" i="12" s="1"/>
  <c r="L22" i="12"/>
  <c r="H22" i="12"/>
  <c r="E22" i="12"/>
  <c r="G22" i="12" s="1"/>
  <c r="K22" i="12" s="1"/>
  <c r="M22" i="12" s="1"/>
  <c r="M23" i="12" s="1"/>
  <c r="L21" i="12"/>
  <c r="H21" i="12"/>
  <c r="E21" i="12"/>
  <c r="G21" i="12" s="1"/>
  <c r="K21" i="12" s="1"/>
  <c r="L20" i="12"/>
  <c r="H20" i="12"/>
  <c r="E20" i="12"/>
  <c r="G20" i="12" s="1"/>
  <c r="K20" i="12" s="1"/>
  <c r="H19" i="12"/>
  <c r="L19" i="12" s="1"/>
  <c r="E19" i="12"/>
  <c r="G19" i="12" s="1"/>
  <c r="K19" i="12" s="1"/>
  <c r="H18" i="12"/>
  <c r="L18" i="12" s="1"/>
  <c r="E18" i="12"/>
  <c r="G18" i="12" s="1"/>
  <c r="K18" i="12" s="1"/>
  <c r="L17" i="12"/>
  <c r="H17" i="12"/>
  <c r="E17" i="12"/>
  <c r="G17" i="12" s="1"/>
  <c r="K17" i="12" s="1"/>
  <c r="L16" i="12"/>
  <c r="H16" i="12"/>
  <c r="F16" i="12"/>
  <c r="E16" i="12"/>
  <c r="G16" i="12" s="1"/>
  <c r="K16" i="12" s="1"/>
  <c r="M16" i="12" s="1"/>
  <c r="E57" i="11"/>
  <c r="E58" i="11" s="1"/>
  <c r="H56" i="11"/>
  <c r="F56" i="11"/>
  <c r="F55" i="11"/>
  <c r="H55" i="11" s="1"/>
  <c r="F54" i="11"/>
  <c r="H54" i="11" s="1"/>
  <c r="D53" i="11"/>
  <c r="F53" i="11" s="1"/>
  <c r="E48" i="11"/>
  <c r="F47" i="11"/>
  <c r="H47" i="11" s="1"/>
  <c r="E47" i="11"/>
  <c r="F46" i="11"/>
  <c r="H46" i="11" s="1"/>
  <c r="F45" i="11"/>
  <c r="H45" i="11" s="1"/>
  <c r="F44" i="11"/>
  <c r="F48" i="11" s="1"/>
  <c r="H43" i="11"/>
  <c r="F43" i="11"/>
  <c r="F33" i="11"/>
  <c r="H33" i="11" s="1"/>
  <c r="L33" i="11" s="1"/>
  <c r="E33" i="11"/>
  <c r="G33" i="11" s="1"/>
  <c r="K33" i="11" s="1"/>
  <c r="F32" i="11"/>
  <c r="H32" i="11" s="1"/>
  <c r="L32" i="11" s="1"/>
  <c r="E32" i="11"/>
  <c r="G32" i="11" s="1"/>
  <c r="K32" i="11" s="1"/>
  <c r="H31" i="11"/>
  <c r="L31" i="11" s="1"/>
  <c r="G31" i="11"/>
  <c r="H30" i="11"/>
  <c r="L30" i="11" s="1"/>
  <c r="K30" i="11" s="1"/>
  <c r="G30" i="11"/>
  <c r="H29" i="11"/>
  <c r="L29" i="11" s="1"/>
  <c r="E29" i="11"/>
  <c r="G29" i="11" s="1"/>
  <c r="K29" i="11" s="1"/>
  <c r="H28" i="11"/>
  <c r="L28" i="11" s="1"/>
  <c r="G28" i="11"/>
  <c r="K28" i="11" s="1"/>
  <c r="H27" i="11"/>
  <c r="L27" i="11" s="1"/>
  <c r="G27" i="11"/>
  <c r="K27" i="11" s="1"/>
  <c r="E27" i="11"/>
  <c r="L26" i="11"/>
  <c r="H26" i="11"/>
  <c r="E26" i="11"/>
  <c r="G26" i="11" s="1"/>
  <c r="K26" i="11" s="1"/>
  <c r="H25" i="11"/>
  <c r="L25" i="11" s="1"/>
  <c r="E25" i="11"/>
  <c r="G25" i="11" s="1"/>
  <c r="K25" i="11" s="1"/>
  <c r="L24" i="11"/>
  <c r="H24" i="11"/>
  <c r="E24" i="11"/>
  <c r="G24" i="11" s="1"/>
  <c r="K24" i="11" s="1"/>
  <c r="H23" i="11"/>
  <c r="L23" i="11" s="1"/>
  <c r="G23" i="11"/>
  <c r="K23" i="11" s="1"/>
  <c r="E23" i="11"/>
  <c r="H22" i="11"/>
  <c r="L22" i="11" s="1"/>
  <c r="G22" i="11"/>
  <c r="H21" i="11"/>
  <c r="L21" i="11" s="1"/>
  <c r="G21" i="11"/>
  <c r="K21" i="11" s="1"/>
  <c r="L20" i="11"/>
  <c r="H20" i="11"/>
  <c r="E20" i="11"/>
  <c r="G20" i="11" s="1"/>
  <c r="K20" i="11" s="1"/>
  <c r="H19" i="11"/>
  <c r="L19" i="11" s="1"/>
  <c r="F19" i="11"/>
  <c r="E19" i="11"/>
  <c r="G19" i="11" s="1"/>
  <c r="K19" i="11" s="1"/>
  <c r="H18" i="11"/>
  <c r="L18" i="11" s="1"/>
  <c r="G18" i="11"/>
  <c r="G17" i="11"/>
  <c r="F17" i="11"/>
  <c r="H17" i="11" s="1"/>
  <c r="L17" i="11" s="1"/>
  <c r="E17" i="11"/>
  <c r="F16" i="11"/>
  <c r="H16" i="11" s="1"/>
  <c r="L16" i="11" s="1"/>
  <c r="E16" i="11"/>
  <c r="G16" i="11" s="1"/>
  <c r="E52" i="10"/>
  <c r="F51" i="10"/>
  <c r="H51" i="10" s="1"/>
  <c r="F50" i="10"/>
  <c r="F52" i="10" s="1"/>
  <c r="D50" i="10"/>
  <c r="F45" i="10"/>
  <c r="E45" i="10"/>
  <c r="H44" i="10"/>
  <c r="F44" i="10"/>
  <c r="F43" i="10"/>
  <c r="H43" i="10" s="1"/>
  <c r="H45" i="10" s="1"/>
  <c r="H33" i="10"/>
  <c r="L33" i="10" s="1"/>
  <c r="G33" i="10"/>
  <c r="K33" i="10" s="1"/>
  <c r="F33" i="10"/>
  <c r="E33" i="10"/>
  <c r="G32" i="10"/>
  <c r="F32" i="10"/>
  <c r="H32" i="10" s="1"/>
  <c r="L32" i="10" s="1"/>
  <c r="E32" i="10"/>
  <c r="H31" i="10"/>
  <c r="L31" i="10" s="1"/>
  <c r="G31" i="10"/>
  <c r="L30" i="10"/>
  <c r="H30" i="10"/>
  <c r="G30" i="10"/>
  <c r="K30" i="10" s="1"/>
  <c r="H29" i="10"/>
  <c r="L29" i="10" s="1"/>
  <c r="G29" i="10"/>
  <c r="K29" i="10" s="1"/>
  <c r="L28" i="10"/>
  <c r="H28" i="10"/>
  <c r="G28" i="10"/>
  <c r="K28" i="10" s="1"/>
  <c r="L27" i="10"/>
  <c r="H27" i="10"/>
  <c r="E27" i="10"/>
  <c r="G27" i="10" s="1"/>
  <c r="K27" i="10" s="1"/>
  <c r="L26" i="10"/>
  <c r="H26" i="10"/>
  <c r="G26" i="10"/>
  <c r="K26" i="10" s="1"/>
  <c r="E26" i="10"/>
  <c r="H25" i="10"/>
  <c r="L25" i="10" s="1"/>
  <c r="G25" i="10"/>
  <c r="H24" i="10"/>
  <c r="L24" i="10" s="1"/>
  <c r="E24" i="10"/>
  <c r="G24" i="10" s="1"/>
  <c r="K24" i="10" s="1"/>
  <c r="L23" i="10"/>
  <c r="H23" i="10"/>
  <c r="E23" i="10"/>
  <c r="G23" i="10" s="1"/>
  <c r="K23" i="10" s="1"/>
  <c r="L22" i="10"/>
  <c r="H22" i="10"/>
  <c r="G22" i="10"/>
  <c r="K22" i="10" s="1"/>
  <c r="E22" i="10"/>
  <c r="L21" i="10"/>
  <c r="H21" i="10"/>
  <c r="E21" i="10"/>
  <c r="G21" i="10" s="1"/>
  <c r="K21" i="10" s="1"/>
  <c r="H20" i="10"/>
  <c r="L20" i="10" s="1"/>
  <c r="E20" i="10"/>
  <c r="G20" i="10" s="1"/>
  <c r="K20" i="10" s="1"/>
  <c r="G19" i="10"/>
  <c r="K19" i="10" s="1"/>
  <c r="F19" i="10"/>
  <c r="H19" i="10" s="1"/>
  <c r="L19" i="10" s="1"/>
  <c r="E19" i="10"/>
  <c r="H18" i="10"/>
  <c r="L18" i="10" s="1"/>
  <c r="G18" i="10"/>
  <c r="H17" i="10"/>
  <c r="L17" i="10" s="1"/>
  <c r="F17" i="10"/>
  <c r="E17" i="10"/>
  <c r="G17" i="10" s="1"/>
  <c r="K17" i="10" s="1"/>
  <c r="H16" i="10"/>
  <c r="L16" i="10" s="1"/>
  <c r="G16" i="10"/>
  <c r="F16" i="10"/>
  <c r="E16" i="10"/>
  <c r="E102" i="9"/>
  <c r="E103" i="9" s="1"/>
  <c r="C102" i="9"/>
  <c r="F101" i="9"/>
  <c r="H101" i="9" s="1"/>
  <c r="F100" i="9"/>
  <c r="H100" i="9" s="1"/>
  <c r="E100" i="9"/>
  <c r="F99" i="9"/>
  <c r="H99" i="9" s="1"/>
  <c r="H98" i="9"/>
  <c r="F98" i="9"/>
  <c r="F97" i="9"/>
  <c r="H97" i="9" s="1"/>
  <c r="E96" i="9"/>
  <c r="F96" i="9" s="1"/>
  <c r="H96" i="9" s="1"/>
  <c r="F95" i="9"/>
  <c r="H95" i="9" s="1"/>
  <c r="E95" i="9"/>
  <c r="F94" i="9"/>
  <c r="H94" i="9" s="1"/>
  <c r="H93" i="9"/>
  <c r="F93" i="9"/>
  <c r="F92" i="9"/>
  <c r="H92" i="9" s="1"/>
  <c r="H91" i="9"/>
  <c r="F91" i="9"/>
  <c r="F90" i="9"/>
  <c r="H90" i="9" s="1"/>
  <c r="H89" i="9"/>
  <c r="F89" i="9"/>
  <c r="F88" i="9"/>
  <c r="H88" i="9" s="1"/>
  <c r="H87" i="9"/>
  <c r="F87" i="9"/>
  <c r="F86" i="9"/>
  <c r="H86" i="9" s="1"/>
  <c r="H85" i="9"/>
  <c r="F85" i="9"/>
  <c r="F84" i="9"/>
  <c r="H84" i="9" s="1"/>
  <c r="H83" i="9"/>
  <c r="F83" i="9"/>
  <c r="F82" i="9"/>
  <c r="H82" i="9" s="1"/>
  <c r="H81" i="9"/>
  <c r="F81" i="9"/>
  <c r="F80" i="9"/>
  <c r="H80" i="9" s="1"/>
  <c r="H79" i="9"/>
  <c r="F79" i="9"/>
  <c r="F78" i="9"/>
  <c r="H78" i="9" s="1"/>
  <c r="H77" i="9"/>
  <c r="F77" i="9"/>
  <c r="D76" i="9"/>
  <c r="F76" i="9" s="1"/>
  <c r="F70" i="9"/>
  <c r="H70" i="9" s="1"/>
  <c r="E70" i="9"/>
  <c r="C70" i="9"/>
  <c r="F69" i="9"/>
  <c r="H69" i="9" s="1"/>
  <c r="E68" i="9"/>
  <c r="F68" i="9" s="1"/>
  <c r="H68" i="9" s="1"/>
  <c r="H67" i="9"/>
  <c r="F67" i="9"/>
  <c r="F66" i="9"/>
  <c r="H66" i="9" s="1"/>
  <c r="H65" i="9"/>
  <c r="F65" i="9"/>
  <c r="E64" i="9"/>
  <c r="F64" i="9" s="1"/>
  <c r="H64" i="9" s="1"/>
  <c r="E63" i="9"/>
  <c r="F63" i="9" s="1"/>
  <c r="H63" i="9" s="1"/>
  <c r="H62" i="9"/>
  <c r="F62" i="9"/>
  <c r="F61" i="9"/>
  <c r="H61" i="9" s="1"/>
  <c r="H60" i="9"/>
  <c r="F60" i="9"/>
  <c r="F59" i="9"/>
  <c r="H59" i="9" s="1"/>
  <c r="H58" i="9"/>
  <c r="F58" i="9"/>
  <c r="F57" i="9"/>
  <c r="H57" i="9" s="1"/>
  <c r="H56" i="9"/>
  <c r="F56" i="9"/>
  <c r="F55" i="9"/>
  <c r="H55" i="9" s="1"/>
  <c r="H54" i="9"/>
  <c r="F54" i="9"/>
  <c r="F53" i="9"/>
  <c r="H53" i="9" s="1"/>
  <c r="H52" i="9"/>
  <c r="F52" i="9"/>
  <c r="F51" i="9"/>
  <c r="H51" i="9" s="1"/>
  <c r="H50" i="9"/>
  <c r="F50" i="9"/>
  <c r="F49" i="9"/>
  <c r="H49" i="9" s="1"/>
  <c r="H48" i="9"/>
  <c r="F48" i="9"/>
  <c r="F47" i="9"/>
  <c r="H47" i="9" s="1"/>
  <c r="H46" i="9"/>
  <c r="F46" i="9"/>
  <c r="F45" i="9"/>
  <c r="H45" i="9" s="1"/>
  <c r="H44" i="9"/>
  <c r="F44" i="9"/>
  <c r="F43" i="9"/>
  <c r="H43" i="9" s="1"/>
  <c r="N33" i="9"/>
  <c r="H33" i="9"/>
  <c r="L33" i="9" s="1"/>
  <c r="F33" i="9"/>
  <c r="E33" i="9"/>
  <c r="G33" i="9" s="1"/>
  <c r="K33" i="9" s="1"/>
  <c r="H32" i="9"/>
  <c r="L32" i="9" s="1"/>
  <c r="G32" i="9"/>
  <c r="K32" i="9" s="1"/>
  <c r="F32" i="9"/>
  <c r="E32" i="9"/>
  <c r="N31" i="9"/>
  <c r="H31" i="9"/>
  <c r="L31" i="9" s="1"/>
  <c r="G31" i="9"/>
  <c r="K31" i="9" s="1"/>
  <c r="E31" i="9"/>
  <c r="N30" i="9"/>
  <c r="G30" i="9"/>
  <c r="K30" i="9" s="1"/>
  <c r="F30" i="9"/>
  <c r="H30" i="9" s="1"/>
  <c r="L30" i="9" s="1"/>
  <c r="E30" i="9"/>
  <c r="N29" i="9"/>
  <c r="H29" i="9"/>
  <c r="L29" i="9" s="1"/>
  <c r="E29" i="9"/>
  <c r="G29" i="9" s="1"/>
  <c r="K29" i="9" s="1"/>
  <c r="N28" i="9"/>
  <c r="L28" i="9"/>
  <c r="H28" i="9"/>
  <c r="E28" i="9"/>
  <c r="G28" i="9" s="1"/>
  <c r="K28" i="9" s="1"/>
  <c r="F27" i="9"/>
  <c r="H27" i="9" s="1"/>
  <c r="L27" i="9" s="1"/>
  <c r="E27" i="9"/>
  <c r="G27" i="9" s="1"/>
  <c r="K27" i="9" s="1"/>
  <c r="H26" i="9"/>
  <c r="L26" i="9" s="1"/>
  <c r="G26" i="9"/>
  <c r="H25" i="9"/>
  <c r="L25" i="9" s="1"/>
  <c r="G25" i="9"/>
  <c r="E25" i="9"/>
  <c r="H24" i="9"/>
  <c r="L24" i="9" s="1"/>
  <c r="G24" i="9"/>
  <c r="K24" i="9" s="1"/>
  <c r="E24" i="9"/>
  <c r="H23" i="9"/>
  <c r="L23" i="9" s="1"/>
  <c r="G23" i="9"/>
  <c r="E23" i="9"/>
  <c r="H22" i="9"/>
  <c r="L22" i="9" s="1"/>
  <c r="G22" i="9"/>
  <c r="K22" i="9" s="1"/>
  <c r="M22" i="9" s="1"/>
  <c r="E22" i="9"/>
  <c r="H21" i="9"/>
  <c r="L21" i="9" s="1"/>
  <c r="E21" i="9"/>
  <c r="G21" i="9" s="1"/>
  <c r="K21" i="9" s="1"/>
  <c r="L20" i="9"/>
  <c r="H20" i="9"/>
  <c r="E20" i="9"/>
  <c r="G20" i="9" s="1"/>
  <c r="K20" i="9" s="1"/>
  <c r="H19" i="9"/>
  <c r="L19" i="9" s="1"/>
  <c r="F19" i="9"/>
  <c r="E19" i="9"/>
  <c r="G19" i="9" s="1"/>
  <c r="K19" i="9" s="1"/>
  <c r="H18" i="9"/>
  <c r="L18" i="9" s="1"/>
  <c r="G18" i="9"/>
  <c r="K18" i="9" s="1"/>
  <c r="F18" i="9"/>
  <c r="E18" i="9"/>
  <c r="G17" i="9"/>
  <c r="F17" i="9"/>
  <c r="H17" i="9" s="1"/>
  <c r="L17" i="9" s="1"/>
  <c r="E17" i="9"/>
  <c r="F16" i="9"/>
  <c r="H16" i="9" s="1"/>
  <c r="L16" i="9" s="1"/>
  <c r="E16" i="9"/>
  <c r="G16" i="9" s="1"/>
  <c r="F59" i="8"/>
  <c r="H59" i="8" s="1"/>
  <c r="C59" i="8"/>
  <c r="F58" i="8"/>
  <c r="H58" i="8" s="1"/>
  <c r="F57" i="8"/>
  <c r="H57" i="8" s="1"/>
  <c r="E56" i="8"/>
  <c r="E60" i="8" s="1"/>
  <c r="H55" i="8"/>
  <c r="F55" i="8"/>
  <c r="D54" i="8"/>
  <c r="F54" i="8" s="1"/>
  <c r="E49" i="8"/>
  <c r="F48" i="8"/>
  <c r="H48" i="8" s="1"/>
  <c r="C48" i="8"/>
  <c r="F47" i="8"/>
  <c r="H47" i="8" s="1"/>
  <c r="H46" i="8"/>
  <c r="F46" i="8"/>
  <c r="E45" i="8"/>
  <c r="F45" i="8" s="1"/>
  <c r="H45" i="8" s="1"/>
  <c r="H44" i="8"/>
  <c r="F44" i="8"/>
  <c r="H43" i="8"/>
  <c r="F43" i="8"/>
  <c r="N33" i="8"/>
  <c r="F33" i="8"/>
  <c r="H33" i="8" s="1"/>
  <c r="L33" i="8" s="1"/>
  <c r="E33" i="8"/>
  <c r="G33" i="8" s="1"/>
  <c r="K33" i="8" s="1"/>
  <c r="N32" i="8"/>
  <c r="F32" i="8"/>
  <c r="H32" i="8" s="1"/>
  <c r="L32" i="8" s="1"/>
  <c r="E32" i="8"/>
  <c r="G32" i="8" s="1"/>
  <c r="K32" i="8" s="1"/>
  <c r="N31" i="8"/>
  <c r="H31" i="8"/>
  <c r="L31" i="8" s="1"/>
  <c r="E31" i="8"/>
  <c r="G31" i="8" s="1"/>
  <c r="K31" i="8" s="1"/>
  <c r="N30" i="8"/>
  <c r="H30" i="8"/>
  <c r="L30" i="8" s="1"/>
  <c r="G30" i="8"/>
  <c r="K30" i="8" s="1"/>
  <c r="N29" i="8"/>
  <c r="H29" i="8"/>
  <c r="L29" i="8" s="1"/>
  <c r="K29" i="8" s="1"/>
  <c r="G29" i="8"/>
  <c r="N28" i="8"/>
  <c r="H28" i="8"/>
  <c r="L28" i="8" s="1"/>
  <c r="K28" i="8" s="1"/>
  <c r="M28" i="8" s="1"/>
  <c r="M29" i="8" s="1"/>
  <c r="G28" i="8"/>
  <c r="N27" i="8"/>
  <c r="H27" i="8"/>
  <c r="L27" i="8" s="1"/>
  <c r="E27" i="8"/>
  <c r="G27" i="8" s="1"/>
  <c r="K27" i="8" s="1"/>
  <c r="N26" i="8"/>
  <c r="H26" i="8"/>
  <c r="L26" i="8" s="1"/>
  <c r="E26" i="8"/>
  <c r="G26" i="8" s="1"/>
  <c r="K26" i="8" s="1"/>
  <c r="N25" i="8"/>
  <c r="H25" i="8"/>
  <c r="L25" i="8" s="1"/>
  <c r="G25" i="8"/>
  <c r="K25" i="8" s="1"/>
  <c r="E25" i="8"/>
  <c r="N24" i="8"/>
  <c r="L24" i="8"/>
  <c r="H24" i="8"/>
  <c r="E24" i="8"/>
  <c r="G24" i="8" s="1"/>
  <c r="K24" i="8" s="1"/>
  <c r="N23" i="8"/>
  <c r="L23" i="8"/>
  <c r="H23" i="8"/>
  <c r="G23" i="8"/>
  <c r="K23" i="8" s="1"/>
  <c r="E23" i="8"/>
  <c r="N22" i="8"/>
  <c r="H22" i="8"/>
  <c r="L22" i="8" s="1"/>
  <c r="E22" i="8"/>
  <c r="G22" i="8" s="1"/>
  <c r="K22" i="8" s="1"/>
  <c r="M22" i="8" s="1"/>
  <c r="M23" i="8" s="1"/>
  <c r="H21" i="8"/>
  <c r="L21" i="8" s="1"/>
  <c r="E21" i="8"/>
  <c r="G21" i="8" s="1"/>
  <c r="K21" i="8" s="1"/>
  <c r="L20" i="8"/>
  <c r="H20" i="8"/>
  <c r="E20" i="8"/>
  <c r="G20" i="8" s="1"/>
  <c r="K20" i="8" s="1"/>
  <c r="H19" i="8"/>
  <c r="L19" i="8" s="1"/>
  <c r="F19" i="8"/>
  <c r="E19" i="8"/>
  <c r="G19" i="8" s="1"/>
  <c r="K19" i="8" s="1"/>
  <c r="H18" i="8"/>
  <c r="L18" i="8" s="1"/>
  <c r="G18" i="8"/>
  <c r="K18" i="8" s="1"/>
  <c r="F18" i="8"/>
  <c r="E18" i="8"/>
  <c r="G17" i="8"/>
  <c r="K17" i="8" s="1"/>
  <c r="F17" i="8"/>
  <c r="H17" i="8" s="1"/>
  <c r="L17" i="8" s="1"/>
  <c r="E17" i="8"/>
  <c r="F16" i="8"/>
  <c r="H16" i="8" s="1"/>
  <c r="L16" i="8" s="1"/>
  <c r="E16" i="8"/>
  <c r="G16" i="8" s="1"/>
  <c r="E52" i="7"/>
  <c r="H51" i="7"/>
  <c r="F51" i="7"/>
  <c r="F50" i="7"/>
  <c r="F52" i="7" s="1"/>
  <c r="D50" i="7"/>
  <c r="F45" i="7"/>
  <c r="E45" i="7"/>
  <c r="H44" i="7"/>
  <c r="H45" i="7" s="1"/>
  <c r="F44" i="7"/>
  <c r="H43" i="7"/>
  <c r="F43" i="7"/>
  <c r="G33" i="7"/>
  <c r="K33" i="7" s="1"/>
  <c r="F33" i="7"/>
  <c r="H33" i="7" s="1"/>
  <c r="L33" i="7" s="1"/>
  <c r="E33" i="7"/>
  <c r="F32" i="7"/>
  <c r="H32" i="7" s="1"/>
  <c r="L32" i="7" s="1"/>
  <c r="E32" i="7"/>
  <c r="G32" i="7" s="1"/>
  <c r="K32" i="7" s="1"/>
  <c r="H31" i="7"/>
  <c r="L31" i="7" s="1"/>
  <c r="F31" i="7"/>
  <c r="E31" i="7"/>
  <c r="G31" i="7" s="1"/>
  <c r="K31" i="7" s="1"/>
  <c r="H30" i="7"/>
  <c r="L30" i="7" s="1"/>
  <c r="G30" i="7"/>
  <c r="F30" i="7"/>
  <c r="E30" i="7"/>
  <c r="H29" i="7"/>
  <c r="L29" i="7" s="1"/>
  <c r="E29" i="7"/>
  <c r="G29" i="7" s="1"/>
  <c r="H28" i="7"/>
  <c r="L28" i="7" s="1"/>
  <c r="K28" i="7" s="1"/>
  <c r="G28" i="7"/>
  <c r="E28" i="7"/>
  <c r="H27" i="7"/>
  <c r="L27" i="7" s="1"/>
  <c r="E27" i="7"/>
  <c r="G27" i="7" s="1"/>
  <c r="H26" i="7"/>
  <c r="L26" i="7" s="1"/>
  <c r="G26" i="7"/>
  <c r="H25" i="7"/>
  <c r="L25" i="7" s="1"/>
  <c r="E25" i="7"/>
  <c r="G25" i="7" s="1"/>
  <c r="L24" i="7"/>
  <c r="H24" i="7"/>
  <c r="E24" i="7"/>
  <c r="G24" i="7" s="1"/>
  <c r="K24" i="7" s="1"/>
  <c r="H23" i="7"/>
  <c r="L23" i="7" s="1"/>
  <c r="E23" i="7"/>
  <c r="G23" i="7" s="1"/>
  <c r="K23" i="7" s="1"/>
  <c r="L22" i="7"/>
  <c r="H22" i="7"/>
  <c r="E22" i="7"/>
  <c r="G22" i="7" s="1"/>
  <c r="K22" i="7" s="1"/>
  <c r="L21" i="7"/>
  <c r="H21" i="7"/>
  <c r="E21" i="7"/>
  <c r="G21" i="7" s="1"/>
  <c r="K21" i="7" s="1"/>
  <c r="L20" i="7"/>
  <c r="H20" i="7"/>
  <c r="G20" i="7"/>
  <c r="K20" i="7" s="1"/>
  <c r="E20" i="7"/>
  <c r="H19" i="7"/>
  <c r="L19" i="7" s="1"/>
  <c r="F19" i="7"/>
  <c r="E19" i="7"/>
  <c r="G19" i="7" s="1"/>
  <c r="K19" i="7" s="1"/>
  <c r="H18" i="7"/>
  <c r="L18" i="7" s="1"/>
  <c r="G18" i="7"/>
  <c r="G17" i="7"/>
  <c r="F17" i="7"/>
  <c r="H17" i="7" s="1"/>
  <c r="L17" i="7" s="1"/>
  <c r="E17" i="7"/>
  <c r="F16" i="7"/>
  <c r="H16" i="7" s="1"/>
  <c r="L16" i="7" s="1"/>
  <c r="E16" i="7"/>
  <c r="G16" i="7" s="1"/>
  <c r="K16" i="7" s="1"/>
  <c r="M16" i="7" s="1"/>
  <c r="E65" i="6"/>
  <c r="F64" i="6"/>
  <c r="H64" i="6" s="1"/>
  <c r="C64" i="6"/>
  <c r="H63" i="6"/>
  <c r="F63" i="6"/>
  <c r="C63" i="6"/>
  <c r="H62" i="6"/>
  <c r="F62" i="6"/>
  <c r="C62" i="6"/>
  <c r="F61" i="6"/>
  <c r="H61" i="6" s="1"/>
  <c r="C61" i="6"/>
  <c r="H60" i="6"/>
  <c r="F60" i="6"/>
  <c r="C60" i="6"/>
  <c r="F59" i="6"/>
  <c r="H59" i="6" s="1"/>
  <c r="C59" i="6"/>
  <c r="F58" i="6"/>
  <c r="H58" i="6" s="1"/>
  <c r="D57" i="6"/>
  <c r="F57" i="6" s="1"/>
  <c r="F52" i="6"/>
  <c r="E52" i="6"/>
  <c r="F51" i="6"/>
  <c r="H51" i="6" s="1"/>
  <c r="F50" i="6"/>
  <c r="H50" i="6" s="1"/>
  <c r="H49" i="6"/>
  <c r="F49" i="6"/>
  <c r="H48" i="6"/>
  <c r="F48" i="6"/>
  <c r="F47" i="6"/>
  <c r="H47" i="6" s="1"/>
  <c r="F46" i="6"/>
  <c r="H46" i="6" s="1"/>
  <c r="H45" i="6"/>
  <c r="F45" i="6"/>
  <c r="H44" i="6"/>
  <c r="F44" i="6"/>
  <c r="F43" i="6"/>
  <c r="H43" i="6" s="1"/>
  <c r="G33" i="6"/>
  <c r="F33" i="6"/>
  <c r="H33" i="6" s="1"/>
  <c r="L33" i="6" s="1"/>
  <c r="E33" i="6"/>
  <c r="F32" i="6"/>
  <c r="H32" i="6" s="1"/>
  <c r="L32" i="6" s="1"/>
  <c r="E32" i="6"/>
  <c r="G32" i="6" s="1"/>
  <c r="K32" i="6" s="1"/>
  <c r="H31" i="6"/>
  <c r="L31" i="6" s="1"/>
  <c r="G31" i="6"/>
  <c r="G30" i="6"/>
  <c r="F30" i="6"/>
  <c r="H30" i="6" s="1"/>
  <c r="L30" i="6" s="1"/>
  <c r="K30" i="6" s="1"/>
  <c r="E30" i="6"/>
  <c r="H29" i="6"/>
  <c r="L29" i="6" s="1"/>
  <c r="F29" i="6"/>
  <c r="E29" i="6"/>
  <c r="G29" i="6" s="1"/>
  <c r="G28" i="6"/>
  <c r="K28" i="6" s="1"/>
  <c r="H28" i="6"/>
  <c r="L28" i="6" s="1"/>
  <c r="G27" i="6"/>
  <c r="F27" i="6"/>
  <c r="H27" i="6" s="1"/>
  <c r="L27" i="6" s="1"/>
  <c r="E27" i="6"/>
  <c r="F26" i="6"/>
  <c r="H26" i="6" s="1"/>
  <c r="L26" i="6" s="1"/>
  <c r="E26" i="6"/>
  <c r="G26" i="6" s="1"/>
  <c r="K26" i="6" s="1"/>
  <c r="F25" i="6"/>
  <c r="H25" i="6" s="1"/>
  <c r="L25" i="6" s="1"/>
  <c r="E25" i="6"/>
  <c r="G25" i="6" s="1"/>
  <c r="K25" i="6" s="1"/>
  <c r="H24" i="6"/>
  <c r="L24" i="6" s="1"/>
  <c r="G24" i="6"/>
  <c r="H23" i="6"/>
  <c r="L23" i="6" s="1"/>
  <c r="G23" i="6"/>
  <c r="H22" i="6"/>
  <c r="L22" i="6" s="1"/>
  <c r="G22" i="6"/>
  <c r="H21" i="6"/>
  <c r="L21" i="6" s="1"/>
  <c r="G21" i="6"/>
  <c r="K21" i="6" s="1"/>
  <c r="H20" i="6"/>
  <c r="L20" i="6" s="1"/>
  <c r="G20" i="6"/>
  <c r="F19" i="6"/>
  <c r="H19" i="6" s="1"/>
  <c r="L19" i="6" s="1"/>
  <c r="E19" i="6"/>
  <c r="G19" i="6" s="1"/>
  <c r="K19" i="6" s="1"/>
  <c r="H18" i="6"/>
  <c r="L18" i="6" s="1"/>
  <c r="F18" i="6"/>
  <c r="E18" i="6"/>
  <c r="G18" i="6" s="1"/>
  <c r="K18" i="6" s="1"/>
  <c r="H17" i="6"/>
  <c r="L17" i="6" s="1"/>
  <c r="G17" i="6"/>
  <c r="F17" i="6"/>
  <c r="E17" i="6"/>
  <c r="G16" i="6"/>
  <c r="K16" i="6" s="1"/>
  <c r="M16" i="6" s="1"/>
  <c r="F16" i="6"/>
  <c r="H16" i="6" s="1"/>
  <c r="L16" i="6" s="1"/>
  <c r="E16" i="6"/>
  <c r="K23" i="6" l="1"/>
  <c r="K22" i="6"/>
  <c r="K20" i="6"/>
  <c r="K32" i="13"/>
  <c r="K31" i="11"/>
  <c r="K22" i="11"/>
  <c r="K18" i="11"/>
  <c r="K26" i="9"/>
  <c r="K25" i="9"/>
  <c r="K26" i="7"/>
  <c r="K31" i="6"/>
  <c r="K17" i="6"/>
  <c r="M17" i="6"/>
  <c r="M18" i="6" s="1"/>
  <c r="M19" i="6" s="1"/>
  <c r="K28" i="14"/>
  <c r="M28" i="14" s="1"/>
  <c r="M29" i="14" s="1"/>
  <c r="M30" i="14" s="1"/>
  <c r="M31" i="14" s="1"/>
  <c r="M32" i="14" s="1"/>
  <c r="M33" i="14" s="1"/>
  <c r="K25" i="14"/>
  <c r="M23" i="14"/>
  <c r="M24" i="14" s="1"/>
  <c r="M25" i="14" s="1"/>
  <c r="M26" i="14" s="1"/>
  <c r="K27" i="14"/>
  <c r="M15" i="14"/>
  <c r="M16" i="14" s="1"/>
  <c r="M17" i="14" s="1"/>
  <c r="M18" i="14" s="1"/>
  <c r="M19" i="14" s="1"/>
  <c r="M20" i="14" s="1"/>
  <c r="M21" i="14" s="1"/>
  <c r="K31" i="13"/>
  <c r="K28" i="13"/>
  <c r="M28" i="13" s="1"/>
  <c r="M29" i="13" s="1"/>
  <c r="M30" i="13" s="1"/>
  <c r="K20" i="13"/>
  <c r="K14" i="13"/>
  <c r="K18" i="13"/>
  <c r="K12" i="13"/>
  <c r="K23" i="13"/>
  <c r="K25" i="13"/>
  <c r="G26" i="13"/>
  <c r="H26" i="13"/>
  <c r="L26" i="13" s="1"/>
  <c r="K24" i="13"/>
  <c r="G27" i="13"/>
  <c r="H27" i="13"/>
  <c r="L27" i="13" s="1"/>
  <c r="K13" i="13"/>
  <c r="K17" i="13"/>
  <c r="K15" i="13"/>
  <c r="K16" i="13"/>
  <c r="K10" i="13"/>
  <c r="M10" i="13" s="1"/>
  <c r="K11" i="13"/>
  <c r="K31" i="12"/>
  <c r="K33" i="12"/>
  <c r="H46" i="12"/>
  <c r="K28" i="12"/>
  <c r="M28" i="12" s="1"/>
  <c r="M29" i="12" s="1"/>
  <c r="K32" i="12"/>
  <c r="H51" i="12"/>
  <c r="K30" i="12"/>
  <c r="E53" i="12"/>
  <c r="F45" i="12"/>
  <c r="H45" i="12" s="1"/>
  <c r="F46" i="12"/>
  <c r="K24" i="12"/>
  <c r="M24" i="12" s="1"/>
  <c r="M25" i="12" s="1"/>
  <c r="M26" i="12" s="1"/>
  <c r="M27" i="12" s="1"/>
  <c r="M17" i="12"/>
  <c r="M18" i="12" s="1"/>
  <c r="M19" i="12" s="1"/>
  <c r="M20" i="12" s="1"/>
  <c r="M21" i="12" s="1"/>
  <c r="H53" i="11"/>
  <c r="H44" i="11"/>
  <c r="H48" i="11" s="1"/>
  <c r="F57" i="11"/>
  <c r="H57" i="11" s="1"/>
  <c r="K17" i="11"/>
  <c r="K16" i="11"/>
  <c r="M16" i="11" s="1"/>
  <c r="M17" i="11" s="1"/>
  <c r="K32" i="10"/>
  <c r="K31" i="10"/>
  <c r="H50" i="10"/>
  <c r="H52" i="10" s="1"/>
  <c r="K25" i="10"/>
  <c r="K16" i="10"/>
  <c r="M16" i="10" s="1"/>
  <c r="M17" i="10" s="1"/>
  <c r="K18" i="10"/>
  <c r="H76" i="9"/>
  <c r="H71" i="9"/>
  <c r="E71" i="9"/>
  <c r="F102" i="9"/>
  <c r="H102" i="9" s="1"/>
  <c r="F71" i="9"/>
  <c r="K23" i="9"/>
  <c r="M23" i="9"/>
  <c r="M24" i="9" s="1"/>
  <c r="M25" i="9" s="1"/>
  <c r="K17" i="9"/>
  <c r="K16" i="9"/>
  <c r="M16" i="9" s="1"/>
  <c r="M17" i="9" s="1"/>
  <c r="M18" i="9" s="1"/>
  <c r="M19" i="9" s="1"/>
  <c r="M20" i="9" s="1"/>
  <c r="M21" i="9" s="1"/>
  <c r="H54" i="8"/>
  <c r="M30" i="8"/>
  <c r="M31" i="8" s="1"/>
  <c r="M32" i="8" s="1"/>
  <c r="M33" i="8" s="1"/>
  <c r="F49" i="8"/>
  <c r="H49" i="8"/>
  <c r="F56" i="8"/>
  <c r="H56" i="8" s="1"/>
  <c r="M24" i="8"/>
  <c r="M25" i="8" s="1"/>
  <c r="M26" i="8" s="1"/>
  <c r="M27" i="8" s="1"/>
  <c r="K16" i="8"/>
  <c r="M16" i="8" s="1"/>
  <c r="M17" i="8" s="1"/>
  <c r="M18" i="8" s="1"/>
  <c r="M19" i="8" s="1"/>
  <c r="M20" i="8" s="1"/>
  <c r="M21" i="8" s="1"/>
  <c r="K30" i="7"/>
  <c r="K29" i="7"/>
  <c r="H50" i="7"/>
  <c r="H52" i="7" s="1"/>
  <c r="K25" i="7"/>
  <c r="K27" i="7"/>
  <c r="K17" i="7"/>
  <c r="M17" i="7" s="1"/>
  <c r="K18" i="7"/>
  <c r="K29" i="6"/>
  <c r="K33" i="6"/>
  <c r="H57" i="6"/>
  <c r="H65" i="6" s="1"/>
  <c r="F65" i="6"/>
  <c r="H52" i="6"/>
  <c r="K24" i="6"/>
  <c r="K27" i="6"/>
  <c r="M26" i="9" l="1"/>
  <c r="M27" i="9" s="1"/>
  <c r="M28" i="9" s="1"/>
  <c r="M29" i="9" s="1"/>
  <c r="M30" i="9" s="1"/>
  <c r="M31" i="9" s="1"/>
  <c r="M32" i="9" s="1"/>
  <c r="M33" i="9" s="1"/>
  <c r="M20" i="6"/>
  <c r="M21" i="6" s="1"/>
  <c r="M22" i="6" s="1"/>
  <c r="M23" i="6" s="1"/>
  <c r="M18" i="11"/>
  <c r="M19" i="11" s="1"/>
  <c r="M20" i="11" s="1"/>
  <c r="M21" i="11" s="1"/>
  <c r="M22" i="11" s="1"/>
  <c r="M23" i="11" s="1"/>
  <c r="M24" i="11" s="1"/>
  <c r="M25" i="11" s="1"/>
  <c r="M26" i="11" s="1"/>
  <c r="M27" i="11" s="1"/>
  <c r="M28" i="11" s="1"/>
  <c r="M29" i="11" s="1"/>
  <c r="M30" i="11" s="1"/>
  <c r="M31" i="11" s="1"/>
  <c r="M32" i="11" s="1"/>
  <c r="M33" i="11" s="1"/>
  <c r="M18" i="10"/>
  <c r="M19" i="10" s="1"/>
  <c r="M20" i="10" s="1"/>
  <c r="M21" i="10" s="1"/>
  <c r="M22" i="10" s="1"/>
  <c r="M23" i="10" s="1"/>
  <c r="M24" i="10" s="1"/>
  <c r="M18" i="7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M33" i="7" s="1"/>
  <c r="M24" i="6"/>
  <c r="M25" i="6" s="1"/>
  <c r="M26" i="6" s="1"/>
  <c r="M27" i="6" s="1"/>
  <c r="M28" i="6" s="1"/>
  <c r="M29" i="6" s="1"/>
  <c r="M30" i="6" s="1"/>
  <c r="M31" i="6" s="1"/>
  <c r="M32" i="6" s="1"/>
  <c r="M33" i="6" s="1"/>
  <c r="M27" i="14"/>
  <c r="M31" i="13"/>
  <c r="M32" i="13" s="1"/>
  <c r="M33" i="13" s="1"/>
  <c r="K27" i="13"/>
  <c r="K26" i="13"/>
  <c r="M11" i="13"/>
  <c r="M12" i="13" s="1"/>
  <c r="M13" i="13" s="1"/>
  <c r="M14" i="13" s="1"/>
  <c r="M15" i="13" s="1"/>
  <c r="M16" i="13" s="1"/>
  <c r="M17" i="13" s="1"/>
  <c r="M18" i="13" s="1"/>
  <c r="M19" i="13" s="1"/>
  <c r="M20" i="13" s="1"/>
  <c r="M21" i="13" s="1"/>
  <c r="M23" i="13" s="1"/>
  <c r="M24" i="13" s="1"/>
  <c r="M25" i="13" s="1"/>
  <c r="M30" i="12"/>
  <c r="M31" i="12" s="1"/>
  <c r="M32" i="12" s="1"/>
  <c r="M33" i="12" s="1"/>
  <c r="E54" i="12"/>
  <c r="F53" i="12"/>
  <c r="H58" i="11"/>
  <c r="F58" i="11"/>
  <c r="H53" i="10"/>
  <c r="H46" i="10"/>
  <c r="H47" i="10" s="1"/>
  <c r="H48" i="10" s="1"/>
  <c r="M25" i="10"/>
  <c r="M26" i="10" s="1"/>
  <c r="M27" i="10" s="1"/>
  <c r="M28" i="10" s="1"/>
  <c r="M29" i="10" s="1"/>
  <c r="M30" i="10" s="1"/>
  <c r="M31" i="10" s="1"/>
  <c r="M32" i="10" s="1"/>
  <c r="M33" i="10" s="1"/>
  <c r="H103" i="9"/>
  <c r="F103" i="9"/>
  <c r="H60" i="8"/>
  <c r="F60" i="8"/>
  <c r="H53" i="7"/>
  <c r="H46" i="7"/>
  <c r="H47" i="7" s="1"/>
  <c r="H48" i="7" s="1"/>
  <c r="H66" i="6"/>
  <c r="H53" i="6"/>
  <c r="H54" i="6" s="1"/>
  <c r="H55" i="6" s="1"/>
  <c r="M26" i="13" l="1"/>
  <c r="M27" i="13" s="1"/>
  <c r="H53" i="12"/>
  <c r="H54" i="12" s="1"/>
  <c r="F54" i="12"/>
  <c r="H59" i="11"/>
  <c r="H49" i="11"/>
  <c r="H50" i="11" s="1"/>
  <c r="H51" i="11" s="1"/>
  <c r="H104" i="9"/>
  <c r="H72" i="9"/>
  <c r="H73" i="9" s="1"/>
  <c r="H74" i="9" s="1"/>
  <c r="H61" i="8"/>
  <c r="H50" i="8"/>
  <c r="H51" i="8" s="1"/>
  <c r="H52" i="8" s="1"/>
  <c r="H55" i="12" l="1"/>
  <c r="H47" i="12"/>
  <c r="H48" i="12" s="1"/>
  <c r="H49" i="12" s="1"/>
  <c r="H15" i="12" l="1"/>
  <c r="L15" i="12" s="1"/>
  <c r="F15" i="12"/>
  <c r="E15" i="12"/>
  <c r="G15" i="12" s="1"/>
  <c r="L14" i="12"/>
  <c r="H14" i="12"/>
  <c r="F14" i="12"/>
  <c r="E14" i="12"/>
  <c r="G14" i="12" s="1"/>
  <c r="L13" i="12"/>
  <c r="H13" i="12"/>
  <c r="F13" i="12"/>
  <c r="E13" i="12"/>
  <c r="G13" i="12" s="1"/>
  <c r="K13" i="12" s="1"/>
  <c r="L12" i="12"/>
  <c r="H12" i="12"/>
  <c r="F12" i="12"/>
  <c r="E12" i="12"/>
  <c r="G12" i="12" s="1"/>
  <c r="F11" i="12"/>
  <c r="H11" i="12" s="1"/>
  <c r="L11" i="12" s="1"/>
  <c r="E11" i="12"/>
  <c r="G11" i="12" s="1"/>
  <c r="K11" i="12" s="1"/>
  <c r="F10" i="12"/>
  <c r="H10" i="12" s="1"/>
  <c r="L10" i="12" s="1"/>
  <c r="E10" i="12"/>
  <c r="G10" i="12" s="1"/>
  <c r="K10" i="12" s="1"/>
  <c r="M10" i="12" s="1"/>
  <c r="M11" i="12" s="1"/>
  <c r="G15" i="11"/>
  <c r="F15" i="11"/>
  <c r="H15" i="11" s="1"/>
  <c r="L15" i="11" s="1"/>
  <c r="K15" i="11" s="1"/>
  <c r="E15" i="11"/>
  <c r="H14" i="11"/>
  <c r="L14" i="11" s="1"/>
  <c r="F14" i="11"/>
  <c r="E14" i="11"/>
  <c r="G14" i="11" s="1"/>
  <c r="K14" i="11" s="1"/>
  <c r="G13" i="11"/>
  <c r="K13" i="11" s="1"/>
  <c r="F13" i="11"/>
  <c r="H13" i="11" s="1"/>
  <c r="L13" i="11" s="1"/>
  <c r="E13" i="11"/>
  <c r="F12" i="11"/>
  <c r="H12" i="11" s="1"/>
  <c r="L12" i="11" s="1"/>
  <c r="E12" i="11"/>
  <c r="G12" i="11" s="1"/>
  <c r="F11" i="11"/>
  <c r="H11" i="11" s="1"/>
  <c r="L11" i="11" s="1"/>
  <c r="E11" i="11"/>
  <c r="G11" i="11" s="1"/>
  <c r="K11" i="11" s="1"/>
  <c r="F10" i="11"/>
  <c r="H10" i="11" s="1"/>
  <c r="L10" i="11" s="1"/>
  <c r="E10" i="11"/>
  <c r="G10" i="11" s="1"/>
  <c r="K10" i="11" s="1"/>
  <c r="M10" i="11" s="1"/>
  <c r="M11" i="11" s="1"/>
  <c r="L15" i="10"/>
  <c r="H15" i="10"/>
  <c r="G15" i="10"/>
  <c r="K15" i="10" s="1"/>
  <c r="F15" i="10"/>
  <c r="E15" i="10"/>
  <c r="G14" i="10"/>
  <c r="F14" i="10"/>
  <c r="H14" i="10" s="1"/>
  <c r="L14" i="10" s="1"/>
  <c r="K14" i="10" s="1"/>
  <c r="E14" i="10"/>
  <c r="H13" i="10"/>
  <c r="L13" i="10" s="1"/>
  <c r="G13" i="10"/>
  <c r="K13" i="10" s="1"/>
  <c r="F13" i="10"/>
  <c r="E13" i="10"/>
  <c r="G12" i="10"/>
  <c r="F12" i="10"/>
  <c r="H12" i="10" s="1"/>
  <c r="L12" i="10" s="1"/>
  <c r="E12" i="10"/>
  <c r="G11" i="10"/>
  <c r="F11" i="10"/>
  <c r="H11" i="10" s="1"/>
  <c r="L11" i="10" s="1"/>
  <c r="E11" i="10"/>
  <c r="G10" i="10"/>
  <c r="F10" i="10"/>
  <c r="H10" i="10" s="1"/>
  <c r="L10" i="10" s="1"/>
  <c r="E10" i="10"/>
  <c r="K15" i="9"/>
  <c r="G15" i="9"/>
  <c r="F15" i="9"/>
  <c r="H15" i="9" s="1"/>
  <c r="L15" i="9" s="1"/>
  <c r="E15" i="9"/>
  <c r="G14" i="9"/>
  <c r="F14" i="9"/>
  <c r="H14" i="9" s="1"/>
  <c r="L14" i="9" s="1"/>
  <c r="K14" i="9" s="1"/>
  <c r="E14" i="9"/>
  <c r="K13" i="9"/>
  <c r="G13" i="9"/>
  <c r="F13" i="9"/>
  <c r="H13" i="9" s="1"/>
  <c r="L13" i="9" s="1"/>
  <c r="E13" i="9"/>
  <c r="G12" i="9"/>
  <c r="F12" i="9"/>
  <c r="H12" i="9" s="1"/>
  <c r="L12" i="9" s="1"/>
  <c r="K12" i="9" s="1"/>
  <c r="E12" i="9"/>
  <c r="L11" i="9"/>
  <c r="H11" i="9"/>
  <c r="E11" i="9"/>
  <c r="G11" i="9" s="1"/>
  <c r="G10" i="9"/>
  <c r="K10" i="9" s="1"/>
  <c r="M10" i="9" s="1"/>
  <c r="F10" i="9"/>
  <c r="H10" i="9" s="1"/>
  <c r="L10" i="9" s="1"/>
  <c r="E10" i="9"/>
  <c r="H15" i="8"/>
  <c r="L15" i="8" s="1"/>
  <c r="G15" i="8"/>
  <c r="F15" i="8"/>
  <c r="E15" i="8"/>
  <c r="H14" i="8"/>
  <c r="L14" i="8" s="1"/>
  <c r="G14" i="8"/>
  <c r="K14" i="8" s="1"/>
  <c r="F14" i="8"/>
  <c r="E14" i="8"/>
  <c r="H13" i="8"/>
  <c r="L13" i="8" s="1"/>
  <c r="G13" i="8"/>
  <c r="F13" i="8"/>
  <c r="E13" i="8"/>
  <c r="H12" i="8"/>
  <c r="L12" i="8" s="1"/>
  <c r="G12" i="8"/>
  <c r="K12" i="8" s="1"/>
  <c r="F12" i="8"/>
  <c r="E12" i="8"/>
  <c r="H11" i="8"/>
  <c r="L11" i="8" s="1"/>
  <c r="F11" i="8"/>
  <c r="E11" i="8"/>
  <c r="G11" i="8" s="1"/>
  <c r="K11" i="8" s="1"/>
  <c r="F10" i="8"/>
  <c r="H10" i="8" s="1"/>
  <c r="L10" i="8" s="1"/>
  <c r="E10" i="8"/>
  <c r="G10" i="8" s="1"/>
  <c r="F15" i="7"/>
  <c r="H15" i="7" s="1"/>
  <c r="L15" i="7" s="1"/>
  <c r="E15" i="7"/>
  <c r="G15" i="7" s="1"/>
  <c r="K14" i="7"/>
  <c r="H14" i="7"/>
  <c r="L14" i="7" s="1"/>
  <c r="F14" i="7"/>
  <c r="E14" i="7"/>
  <c r="G14" i="7" s="1"/>
  <c r="H13" i="7"/>
  <c r="L13" i="7" s="1"/>
  <c r="G13" i="7"/>
  <c r="F13" i="7"/>
  <c r="E13" i="7"/>
  <c r="L12" i="7"/>
  <c r="H12" i="7"/>
  <c r="G12" i="7"/>
  <c r="K12" i="7" s="1"/>
  <c r="E12" i="7"/>
  <c r="G11" i="7"/>
  <c r="F11" i="7"/>
  <c r="H11" i="7" s="1"/>
  <c r="L11" i="7" s="1"/>
  <c r="K11" i="7" s="1"/>
  <c r="E11" i="7"/>
  <c r="H10" i="7"/>
  <c r="L10" i="7" s="1"/>
  <c r="F10" i="7"/>
  <c r="E10" i="7"/>
  <c r="G10" i="7" s="1"/>
  <c r="K10" i="7" s="1"/>
  <c r="M10" i="7" s="1"/>
  <c r="L15" i="6"/>
  <c r="F15" i="6"/>
  <c r="H15" i="6" s="1"/>
  <c r="E15" i="6"/>
  <c r="G15" i="6" s="1"/>
  <c r="K15" i="6" s="1"/>
  <c r="H14" i="6"/>
  <c r="L14" i="6" s="1"/>
  <c r="F14" i="6"/>
  <c r="E14" i="6"/>
  <c r="G14" i="6" s="1"/>
  <c r="K14" i="6" s="1"/>
  <c r="L13" i="6"/>
  <c r="H13" i="6"/>
  <c r="G13" i="6"/>
  <c r="K13" i="6" s="1"/>
  <c r="F13" i="6"/>
  <c r="E13" i="6"/>
  <c r="G12" i="6"/>
  <c r="K12" i="6" s="1"/>
  <c r="F12" i="6"/>
  <c r="H12" i="6" s="1"/>
  <c r="L12" i="6" s="1"/>
  <c r="E12" i="6"/>
  <c r="G11" i="6"/>
  <c r="K11" i="6" s="1"/>
  <c r="F11" i="6"/>
  <c r="H11" i="6" s="1"/>
  <c r="L11" i="6" s="1"/>
  <c r="E11" i="6"/>
  <c r="G10" i="6"/>
  <c r="K10" i="6" s="1"/>
  <c r="M10" i="6" s="1"/>
  <c r="M11" i="6" s="1"/>
  <c r="M12" i="6" s="1"/>
  <c r="M13" i="6" s="1"/>
  <c r="M14" i="6" s="1"/>
  <c r="M15" i="6" s="1"/>
  <c r="F10" i="6"/>
  <c r="H10" i="6" s="1"/>
  <c r="L10" i="6" s="1"/>
  <c r="E10" i="6"/>
  <c r="Q16" i="3"/>
  <c r="Q10" i="1" l="1"/>
  <c r="Q11" i="1" s="1"/>
  <c r="Q12" i="1" s="1"/>
  <c r="Q13" i="1" s="1"/>
  <c r="Q14" i="1" s="1"/>
  <c r="Q15" i="1" s="1"/>
  <c r="K11" i="10"/>
  <c r="K13" i="7"/>
  <c r="K15" i="7"/>
  <c r="K13" i="8"/>
  <c r="K15" i="8"/>
  <c r="K12" i="12"/>
  <c r="M12" i="12" s="1"/>
  <c r="K14" i="12"/>
  <c r="M11" i="7"/>
  <c r="M12" i="7" s="1"/>
  <c r="K11" i="9"/>
  <c r="M11" i="9" s="1"/>
  <c r="M12" i="9" s="1"/>
  <c r="K10" i="10"/>
  <c r="M10" i="10" s="1"/>
  <c r="K12" i="10"/>
  <c r="K15" i="12"/>
  <c r="K12" i="11"/>
  <c r="M12" i="11" s="1"/>
  <c r="K10" i="8"/>
  <c r="M10" i="8" s="1"/>
  <c r="M11" i="8" s="1"/>
  <c r="M12" i="8" s="1"/>
  <c r="M13" i="12" l="1"/>
  <c r="M14" i="12" s="1"/>
  <c r="O11" i="12"/>
  <c r="O12" i="12" s="1"/>
  <c r="M13" i="11"/>
  <c r="M14" i="11" s="1"/>
  <c r="M15" i="11" s="1"/>
  <c r="M13" i="9"/>
  <c r="M14" i="9" s="1"/>
  <c r="O11" i="9"/>
  <c r="O12" i="9" s="1"/>
  <c r="Q10" i="3"/>
  <c r="Q11" i="3" s="1"/>
  <c r="Q12" i="3" s="1"/>
  <c r="Q13" i="3" s="1"/>
  <c r="Q14" i="3" s="1"/>
  <c r="Q15" i="3" s="1"/>
  <c r="M11" i="10"/>
  <c r="M12" i="10" s="1"/>
  <c r="M13" i="7"/>
  <c r="M14" i="7" s="1"/>
  <c r="M15" i="7" s="1"/>
  <c r="M13" i="8"/>
  <c r="M14" i="8" s="1"/>
  <c r="O11" i="8"/>
  <c r="O12" i="8" s="1"/>
  <c r="M13" i="10" l="1"/>
  <c r="M14" i="10" s="1"/>
  <c r="M15" i="10" s="1"/>
  <c r="O13" i="8"/>
  <c r="O14" i="8" s="1"/>
  <c r="M15" i="8"/>
  <c r="O13" i="12"/>
  <c r="O14" i="12" s="1"/>
  <c r="M15" i="12"/>
  <c r="O15" i="12" s="1"/>
  <c r="O16" i="12" s="1"/>
  <c r="O13" i="9"/>
  <c r="O14" i="9" s="1"/>
  <c r="M15" i="9"/>
  <c r="O15" i="9" l="1"/>
  <c r="O16" i="9" s="1"/>
  <c r="O15" i="8"/>
  <c r="O16" i="8" s="1"/>
</calcChain>
</file>

<file path=xl/sharedStrings.xml><?xml version="1.0" encoding="utf-8"?>
<sst xmlns="http://schemas.openxmlformats.org/spreadsheetml/2006/main" count="485" uniqueCount="67">
  <si>
    <t>Kentucky Utilities Company</t>
  </si>
  <si>
    <t>Deferred Tax Calculations</t>
  </si>
  <si>
    <t>Environmental Compliance Plans, by Approved Project</t>
  </si>
  <si>
    <t>2009 - Plan</t>
  </si>
  <si>
    <t>Project 28 - Brown 3 SCR</t>
  </si>
  <si>
    <t>Month</t>
  </si>
  <si>
    <t>Plant Balance</t>
  </si>
  <si>
    <t>Book Depreciation</t>
  </si>
  <si>
    <t>Fed Tax Depreciation</t>
  </si>
  <si>
    <t>State Tax Depreciation</t>
  </si>
  <si>
    <t>Fed Temporary Difference</t>
  </si>
  <si>
    <t>State Temporary Difference</t>
  </si>
  <si>
    <t>Fed Tax Rate</t>
  </si>
  <si>
    <t>State Tax Rate</t>
  </si>
  <si>
    <t>Fed Deferred Tax</t>
  </si>
  <si>
    <t>State Deferred Tax</t>
  </si>
  <si>
    <t>Accumulated Deferred Taxes</t>
  </si>
  <si>
    <t>Deferred Taxes on Retirements</t>
  </si>
  <si>
    <t>Beg Balance</t>
  </si>
  <si>
    <t xml:space="preserve"> </t>
  </si>
  <si>
    <t xml:space="preserve">Due to Bonus Depreciation for tax purposes taken on certain components of Project 28, the deferred tax calculation for this project </t>
  </si>
  <si>
    <t>is shown below:</t>
  </si>
  <si>
    <t>Federal Basis</t>
  </si>
  <si>
    <t>Book Depr.</t>
  </si>
  <si>
    <t>Federal Tax Depr</t>
  </si>
  <si>
    <t>Fed. Difference</t>
  </si>
  <si>
    <t>Fed Def Tax</t>
  </si>
  <si>
    <t>Subtotal</t>
  </si>
  <si>
    <t>State Offset</t>
  </si>
  <si>
    <t>Excess deferred tax amortization</t>
  </si>
  <si>
    <t>State Basis</t>
  </si>
  <si>
    <t>State Tax Depr</t>
  </si>
  <si>
    <t>St. Difference</t>
  </si>
  <si>
    <t>St Def Tax</t>
  </si>
  <si>
    <t>Project 29 - ATB Expansion at E.W. Brown Station (Phase II)</t>
  </si>
  <si>
    <t>The federal deferred tax column includes an amount for amortization of excess deferred tax amounts.</t>
  </si>
  <si>
    <t xml:space="preserve">Due to Bonus Depreciation for tax purposes taken on certain components of Project 29 of the 2009 Plan, the deferred tax calculation for this project </t>
  </si>
  <si>
    <t>2011 - Plan</t>
  </si>
  <si>
    <t>Project 29 - Brown Landfill (Phase I)</t>
  </si>
  <si>
    <t xml:space="preserve">Due to Bonus Depreciation for tax purposes taken on certain components of Project 29 of the 2011 Plan, the deferred tax calculation for this project </t>
  </si>
  <si>
    <t>Project 30 - Ghent CCP Storage (Landfill-Phase I)</t>
  </si>
  <si>
    <t xml:space="preserve">Due to Bonus Depreciation for tax purposes taken on certain components of Project 30, the deferred tax calculation for this project </t>
  </si>
  <si>
    <t>Project 31 - Trimble County Ash Treatment Basin (BAP/GSP)</t>
  </si>
  <si>
    <t>Project 32 - Trimble County CCP Storage (Landfill - Phase I)</t>
  </si>
  <si>
    <t xml:space="preserve">Due to Bonus Depreciation for tax purposes taken on certain components of Project 32, the deferred tax calculation for this project </t>
  </si>
  <si>
    <t>Project 33 - Beneficial Reuse</t>
  </si>
  <si>
    <t xml:space="preserve">Due to Bonus Depreciation for tax purposes taken on certain components of Project 33, the deferred tax calculation for this project </t>
  </si>
  <si>
    <t>Project 34 - E.W. Brown Station Air Compliance</t>
  </si>
  <si>
    <t xml:space="preserve">Due to Bonus Depreciation for tax purposes taken on certain components of Project 34, the deferred tax calculation for this project </t>
  </si>
  <si>
    <t>Project 35 - Ghent Station Air Compliance</t>
  </si>
  <si>
    <t xml:space="preserve">Due to Bonus Depreciation for tax purposes taken on certain components of Project 35, the deferred tax calculation for this project </t>
  </si>
  <si>
    <t>2016 - Plan</t>
  </si>
  <si>
    <t>Project 37 - Ghent 2 WFGD Improvments</t>
  </si>
  <si>
    <t xml:space="preserve">Due to Bonus Depreciation for tax purposes taken on certain components of Project 37, the deferred tax calculation for this project </t>
  </si>
  <si>
    <t>Project 38 - Supplemental Mercury Control</t>
  </si>
  <si>
    <t xml:space="preserve">Due to Bonus Depreciation for tax purposes taken on certain components of Project 38, the deferred tax calculation for this project </t>
  </si>
  <si>
    <t>Project 41 - Trimble County New Process Water Systems</t>
  </si>
  <si>
    <t xml:space="preserve">Due to Bonus Depreciation for tax purposes taken on certain components of Project 41, the deferred tax calculation for this project </t>
  </si>
  <si>
    <t>The federal and state deferred tax columns include an amount for amortization of excess deferred tax amounts.</t>
  </si>
  <si>
    <t>is computed separately for Federal and State purposes.  Specifically, for Federal taxes, certain assets received 50% bonus</t>
  </si>
  <si>
    <t>depreciation, which reduces the Federal tax basis to 50% of the plant balance.  A sample calculation of deferred taxes for Feb 2021</t>
  </si>
  <si>
    <t>Excess fed deferred tax amortization</t>
  </si>
  <si>
    <t>Excess state deferred tax amortization</t>
  </si>
  <si>
    <t>is computed separately for Federal and State purposes.  Specifically, for Federal taxes, certain assets received 40% or 50% bonus</t>
  </si>
  <si>
    <t>depreciation, which reduces the Federal tax basis to 40% or 50% of the plant balance.  A sample calculation of deferred taxes for Feb 2021</t>
  </si>
  <si>
    <t>Project 40 - Ghent New Process Water System</t>
  </si>
  <si>
    <t>Project 42 - Brown New Process Water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</si>
</sst>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0%"/>
    <numFmt numFmtId="167" formatCode="_(* #,##0.00_);_(* \(#,##0.00\);_(* &quot;-&quot;_);_(@_)"/>
  </numFmts>
  <fonts count="5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centerContinuous"/>
    </xf>
    <xf numFmtId="164" fontId="1" fillId="0" borderId="0" xfId="0" applyNumberFormat="1" applyFont="1"/>
    <xf numFmtId="0" fontId="1" fillId="0" borderId="0" xfId="0" applyFont="1"/>
    <xf numFmtId="164" fontId="2" fillId="0" borderId="0" xfId="0" quotePrefix="1" applyNumberFormat="1" applyFont="1" applyAlignment="1">
      <alignment horizontal="left"/>
    </xf>
    <xf numFmtId="164" fontId="1" fillId="0" borderId="0" xfId="0" quotePrefix="1" applyNumberFormat="1" applyFont="1" applyAlignment="1">
      <alignment horizontal="left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0" fillId="0" borderId="0" xfId="0" applyNumberFormat="1"/>
    <xf numFmtId="165" fontId="3" fillId="0" borderId="0" xfId="1" applyNumberFormat="1"/>
    <xf numFmtId="43" fontId="0" fillId="0" borderId="0" xfId="1" applyFont="1"/>
    <xf numFmtId="164" fontId="3" fillId="0" borderId="0" xfId="2" applyNumberFormat="1" applyAlignment="1">
      <alignment horizontal="left"/>
    </xf>
    <xf numFmtId="41" fontId="0" fillId="0" borderId="0" xfId="0" applyNumberFormat="1"/>
    <xf numFmtId="165" fontId="3" fillId="0" borderId="0" xfId="1" applyNumberFormat="1" applyFont="1"/>
    <xf numFmtId="166" fontId="0" fillId="0" borderId="0" xfId="0" applyNumberFormat="1"/>
    <xf numFmtId="43" fontId="3" fillId="0" borderId="0" xfId="1" applyFont="1"/>
    <xf numFmtId="165" fontId="0" fillId="0" borderId="0" xfId="0" applyNumberFormat="1"/>
    <xf numFmtId="43" fontId="0" fillId="0" borderId="0" xfId="0" applyNumberFormat="1"/>
    <xf numFmtId="41" fontId="3" fillId="0" borderId="0" xfId="0" applyNumberFormat="1" applyFont="1"/>
    <xf numFmtId="0" fontId="3" fillId="0" borderId="0" xfId="0" applyFont="1"/>
    <xf numFmtId="167" fontId="3" fillId="0" borderId="0" xfId="0" applyNumberFormat="1" applyFont="1"/>
    <xf numFmtId="167" fontId="0" fillId="0" borderId="0" xfId="0" applyNumberFormat="1"/>
    <xf numFmtId="165" fontId="0" fillId="0" borderId="0" xfId="1" applyNumberFormat="1" applyFont="1"/>
    <xf numFmtId="0" fontId="1" fillId="0" borderId="0" xfId="0" quotePrefix="1" applyFont="1" applyAlignment="1">
      <alignment horizontal="centerContinuous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1" fontId="0" fillId="0" borderId="0" xfId="0" applyNumberFormat="1"/>
    <xf numFmtId="166" fontId="0" fillId="0" borderId="0" xfId="0" applyNumberFormat="1"/>
    <xf numFmtId="165" fontId="3" fillId="0" borderId="0" xfId="1" applyNumberFormat="1"/>
    <xf numFmtId="165" fontId="3" fillId="0" borderId="0" xfId="1" applyNumberFormat="1" applyFont="1"/>
    <xf numFmtId="164" fontId="3" fillId="0" borderId="0" xfId="0" applyNumberFormat="1" applyFont="1" applyAlignment="1">
      <alignment horizontal="left"/>
    </xf>
    <xf numFmtId="43" fontId="0" fillId="0" borderId="0" xfId="0" applyNumberFormat="1"/>
    <xf numFmtId="165" fontId="0" fillId="0" borderId="0" xfId="0" applyNumberFormat="1"/>
    <xf numFmtId="0" fontId="3" fillId="0" borderId="0" xfId="0" applyFont="1"/>
    <xf numFmtId="41" fontId="3" fillId="0" borderId="0" xfId="0" applyNumberFormat="1" applyFont="1"/>
    <xf numFmtId="165" fontId="0" fillId="0" borderId="0" xfId="1" applyNumberFormat="1" applyFont="1"/>
    <xf numFmtId="165" fontId="3" fillId="0" borderId="0" xfId="4" applyNumberFormat="1" applyFont="1" applyFill="1"/>
    <xf numFmtId="43" fontId="3" fillId="0" borderId="0" xfId="4" applyFont="1" applyFill="1"/>
    <xf numFmtId="165" fontId="3" fillId="0" borderId="0" xfId="4" quotePrefix="1" applyNumberFormat="1" applyFont="1" applyFill="1" applyAlignment="1">
      <alignment horizontal="left"/>
    </xf>
    <xf numFmtId="41" fontId="4" fillId="0" borderId="0" xfId="0" applyNumberFormat="1" applyFont="1"/>
    <xf numFmtId="165" fontId="4" fillId="0" borderId="0" xfId="0" applyNumberFormat="1" applyFont="1"/>
    <xf numFmtId="165" fontId="0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/>
    <xf numFmtId="165" fontId="3" fillId="0" borderId="0" xfId="0" applyNumberFormat="1" applyFont="1"/>
    <xf numFmtId="165" fontId="0" fillId="0" borderId="0" xfId="1" applyNumberFormat="1" applyFont="1" applyFill="1" applyBorder="1" applyAlignment="1">
      <alignment horizontal="center"/>
    </xf>
    <xf numFmtId="41" fontId="3" fillId="0" borderId="0" xfId="0" quotePrefix="1" applyNumberFormat="1" applyFont="1" applyAlignment="1">
      <alignment horizontal="left"/>
    </xf>
    <xf numFmtId="37" fontId="0" fillId="0" borderId="0" xfId="0" applyNumberFormat="1"/>
    <xf numFmtId="37" fontId="3" fillId="0" borderId="0" xfId="0" applyNumberFormat="1" applyFont="1"/>
    <xf numFmtId="166" fontId="3" fillId="0" borderId="0" xfId="0" applyNumberFormat="1" applyFont="1"/>
    <xf numFmtId="165" fontId="0" fillId="0" borderId="0" xfId="1" applyNumberFormat="1" applyFont="1" applyFill="1" applyBorder="1"/>
    <xf numFmtId="165" fontId="3" fillId="0" borderId="0" xfId="1" applyNumberFormat="1" applyFont="1" applyFill="1"/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</cellXfs>
  <cellStyles count="9">
    <cellStyle name="Comma" xfId="1" builtinId="3"/>
    <cellStyle name="Comma 2" xfId="3" xr:uid="{BA4C86AC-ECBC-4BCB-B45D-75E42D3663B2}"/>
    <cellStyle name="Comma 2 2" xfId="4" xr:uid="{D4D0AF80-2B38-4E2B-B5D0-A4A3B8FC40E4}"/>
    <cellStyle name="Comma 3" xfId="5" xr:uid="{0E7F4091-01E9-40DA-B0D7-0967EAD81ED2}"/>
    <cellStyle name="Comma 3 2" xfId="6" xr:uid="{42AA4C51-19A3-4FB8-BCDD-94BFA7CE052E}"/>
    <cellStyle name="Comma 4" xfId="7" xr:uid="{B28226A7-0EB9-4583-8071-1E028B2C940B}"/>
    <cellStyle name="Comma 5" xfId="8" xr:uid="{EE300D53-402C-449C-AA07-CCF1467EF166}"/>
    <cellStyle name="Normal" xfId="0" builtinId="0"/>
    <cellStyle name="Normal 2" xfId="2" xr:uid="{B820FB0F-AB7B-44C4-8015-D5C15C8B6D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E955C-2D5F-4C7D-BA15-135C1F5F54B5}">
  <dimension ref="A1:Q81"/>
  <sheetViews>
    <sheetView tabSelected="1" zoomScaleNormal="100" workbookViewId="0">
      <selection sqref="A1:N1"/>
    </sheetView>
  </sheetViews>
  <sheetFormatPr defaultRowHeight="12.75" x14ac:dyDescent="0.2"/>
  <cols>
    <col min="1" max="1" width="13.140625" style="9" customWidth="1"/>
    <col min="2" max="2" width="1.7109375" customWidth="1"/>
    <col min="3" max="3" width="12.7109375" customWidth="1"/>
    <col min="4" max="4" width="14.28515625" bestFit="1" customWidth="1"/>
    <col min="5" max="5" width="15.28515625" customWidth="1"/>
    <col min="6" max="6" width="14.28515625" customWidth="1"/>
    <col min="7" max="7" width="14.28515625" bestFit="1" customWidth="1"/>
    <col min="8" max="9" width="14.28515625" customWidth="1"/>
    <col min="10" max="14" width="12.7109375" customWidth="1"/>
    <col min="15" max="15" width="16.5703125" bestFit="1" customWidth="1"/>
    <col min="16" max="16" width="14.7109375" bestFit="1" customWidth="1"/>
    <col min="17" max="17" width="14" hidden="1" customWidth="1"/>
    <col min="18" max="18" width="14.5703125" bestFit="1" customWidth="1"/>
    <col min="19" max="19" width="15.140625" bestFit="1" customWidth="1"/>
  </cols>
  <sheetData>
    <row r="1" spans="1:17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"/>
      <c r="P1" s="1"/>
    </row>
    <row r="2" spans="1:17" x14ac:dyDescent="0.2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"/>
      <c r="P2" s="1"/>
    </row>
    <row r="3" spans="1:17" x14ac:dyDescent="0.2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1"/>
      <c r="P3" s="1"/>
    </row>
    <row r="4" spans="1:17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x14ac:dyDescent="0.2">
      <c r="A5" s="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7" x14ac:dyDescent="0.2">
      <c r="A6" s="5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7" x14ac:dyDescent="0.2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7" s="8" customFormat="1" ht="38.25" x14ac:dyDescent="0.2">
      <c r="A8" s="27" t="s">
        <v>5</v>
      </c>
      <c r="B8" s="28"/>
      <c r="C8" s="28" t="s">
        <v>6</v>
      </c>
      <c r="D8" s="28" t="s">
        <v>7</v>
      </c>
      <c r="E8" s="28" t="s">
        <v>8</v>
      </c>
      <c r="F8" s="28" t="s">
        <v>9</v>
      </c>
      <c r="G8" s="28" t="s">
        <v>10</v>
      </c>
      <c r="H8" s="28" t="s">
        <v>11</v>
      </c>
      <c r="I8" s="28" t="s">
        <v>12</v>
      </c>
      <c r="J8" s="28" t="s">
        <v>13</v>
      </c>
      <c r="K8" s="28" t="s">
        <v>14</v>
      </c>
      <c r="L8" s="28" t="s">
        <v>15</v>
      </c>
      <c r="M8" s="28" t="s">
        <v>16</v>
      </c>
      <c r="N8" s="28" t="s">
        <v>17</v>
      </c>
    </row>
    <row r="9" spans="1:17" x14ac:dyDescent="0.2">
      <c r="A9" s="26" t="s">
        <v>18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31">
        <v>27457925</v>
      </c>
      <c r="N9" s="25"/>
      <c r="P9" s="11"/>
    </row>
    <row r="10" spans="1:17" x14ac:dyDescent="0.2">
      <c r="A10" s="12">
        <v>43533</v>
      </c>
      <c r="B10" s="25"/>
      <c r="C10" s="29">
        <v>100049070</v>
      </c>
      <c r="D10" s="32">
        <v>220942</v>
      </c>
      <c r="E10" s="32">
        <f t="shared" ref="E10:E15" si="0">93328.91</f>
        <v>93328.91</v>
      </c>
      <c r="F10" s="32">
        <f t="shared" ref="F10:F15" si="1">186657.83</f>
        <v>186657.83</v>
      </c>
      <c r="G10" s="32">
        <f t="shared" ref="G10:G33" si="2">E10-D10</f>
        <v>-127613.09</v>
      </c>
      <c r="H10" s="32">
        <f t="shared" ref="H10:H33" si="3">F10-D10</f>
        <v>-34284.170000000013</v>
      </c>
      <c r="I10" s="30">
        <v>0.21</v>
      </c>
      <c r="J10" s="30">
        <v>0.05</v>
      </c>
      <c r="K10" s="32">
        <f>(G10*I10+1714*I10)-14440</f>
        <v>-40878.808900000004</v>
      </c>
      <c r="L10" s="32">
        <f>H10*J10-117.55</f>
        <v>-1831.7585000000006</v>
      </c>
      <c r="M10" s="29">
        <f t="shared" ref="M10:M21" si="4">M9+K10+L10</f>
        <v>27415214.432600003</v>
      </c>
      <c r="N10" s="29">
        <f>152657.04+9174.58</f>
        <v>161831.62</v>
      </c>
      <c r="O10" s="16"/>
      <c r="P10" s="11"/>
      <c r="Q10" s="17">
        <f>M9+K10+L10</f>
        <v>27415214.432600003</v>
      </c>
    </row>
    <row r="11" spans="1:17" x14ac:dyDescent="0.2">
      <c r="A11" s="12">
        <v>43556</v>
      </c>
      <c r="B11" s="25"/>
      <c r="C11" s="29">
        <v>100049070</v>
      </c>
      <c r="D11" s="32">
        <v>220942</v>
      </c>
      <c r="E11" s="32">
        <f t="shared" si="0"/>
        <v>93328.91</v>
      </c>
      <c r="F11" s="32">
        <f t="shared" si="1"/>
        <v>186657.83</v>
      </c>
      <c r="G11" s="32">
        <f t="shared" si="2"/>
        <v>-127613.09</v>
      </c>
      <c r="H11" s="32">
        <f t="shared" si="3"/>
        <v>-34284.170000000013</v>
      </c>
      <c r="I11" s="30">
        <v>0.21</v>
      </c>
      <c r="J11" s="30">
        <v>0.05</v>
      </c>
      <c r="K11" s="32">
        <f>(G11*I11+1714*I11)-14442</f>
        <v>-40880.808900000004</v>
      </c>
      <c r="L11" s="32">
        <f>H11*J11-117.55</f>
        <v>-1831.7585000000006</v>
      </c>
      <c r="M11" s="29">
        <f t="shared" si="4"/>
        <v>27372501.865200005</v>
      </c>
      <c r="N11" s="29">
        <f>152002.8+9135.12</f>
        <v>161137.91999999998</v>
      </c>
      <c r="O11" s="16"/>
      <c r="P11" s="11"/>
      <c r="Q11" s="17">
        <f>Q10+K11+L11</f>
        <v>27372501.865200005</v>
      </c>
    </row>
    <row r="12" spans="1:17" x14ac:dyDescent="0.2">
      <c r="A12" s="12">
        <v>43586</v>
      </c>
      <c r="B12" s="25"/>
      <c r="C12" s="29">
        <v>100049070</v>
      </c>
      <c r="D12" s="32">
        <v>432712</v>
      </c>
      <c r="E12" s="32">
        <f t="shared" si="0"/>
        <v>93328.91</v>
      </c>
      <c r="F12" s="32">
        <f t="shared" si="1"/>
        <v>186657.83</v>
      </c>
      <c r="G12" s="32">
        <f t="shared" si="2"/>
        <v>-339383.08999999997</v>
      </c>
      <c r="H12" s="32">
        <f t="shared" si="3"/>
        <v>-246054.17</v>
      </c>
      <c r="I12" s="30">
        <v>0.21</v>
      </c>
      <c r="J12" s="30">
        <v>0.05</v>
      </c>
      <c r="K12" s="32">
        <f>(G12*I12+12303*I12)-14441</f>
        <v>-83127.818899999984</v>
      </c>
      <c r="L12" s="32">
        <f>(H12*J12)-117.55</f>
        <v>-12420.2585</v>
      </c>
      <c r="M12" s="29">
        <f t="shared" si="4"/>
        <v>27276953.787800007</v>
      </c>
      <c r="N12" s="29">
        <f>151348.57+9095.65</f>
        <v>160444.22</v>
      </c>
      <c r="O12" s="11"/>
      <c r="P12" s="11" t="s">
        <v>19</v>
      </c>
      <c r="Q12" s="17">
        <f>Q11+K12+L12</f>
        <v>27276953.787800007</v>
      </c>
    </row>
    <row r="13" spans="1:17" x14ac:dyDescent="0.2">
      <c r="A13" s="12">
        <v>43617</v>
      </c>
      <c r="B13" s="25"/>
      <c r="C13" s="29">
        <v>100049070</v>
      </c>
      <c r="D13" s="32">
        <v>432712</v>
      </c>
      <c r="E13" s="32">
        <f t="shared" si="0"/>
        <v>93328.91</v>
      </c>
      <c r="F13" s="32">
        <f t="shared" si="1"/>
        <v>186657.83</v>
      </c>
      <c r="G13" s="32">
        <f t="shared" si="2"/>
        <v>-339383.08999999997</v>
      </c>
      <c r="H13" s="32">
        <f t="shared" si="3"/>
        <v>-246054.17</v>
      </c>
      <c r="I13" s="30">
        <v>0.21</v>
      </c>
      <c r="J13" s="30">
        <v>0.05</v>
      </c>
      <c r="K13" s="32">
        <f>(G13*I13+12303*I13)-14441</f>
        <v>-83127.818899999984</v>
      </c>
      <c r="L13" s="32">
        <f>(H13*J13)-117.55</f>
        <v>-12420.2585</v>
      </c>
      <c r="M13" s="29">
        <f t="shared" si="4"/>
        <v>27181405.710400008</v>
      </c>
      <c r="N13" s="29">
        <f>149440.16+8980.53</f>
        <v>158420.69</v>
      </c>
      <c r="O13" s="18" t="s">
        <v>19</v>
      </c>
      <c r="P13" s="11" t="s">
        <v>19</v>
      </c>
      <c r="Q13" s="17">
        <f>Q12+K13+L13</f>
        <v>27181405.710400008</v>
      </c>
    </row>
    <row r="14" spans="1:17" x14ac:dyDescent="0.2">
      <c r="A14" s="12">
        <v>43647</v>
      </c>
      <c r="B14" s="25"/>
      <c r="C14" s="29">
        <v>100049070</v>
      </c>
      <c r="D14" s="32">
        <v>432712</v>
      </c>
      <c r="E14" s="32">
        <f t="shared" si="0"/>
        <v>93328.91</v>
      </c>
      <c r="F14" s="32">
        <f t="shared" si="1"/>
        <v>186657.83</v>
      </c>
      <c r="G14" s="32">
        <f t="shared" si="2"/>
        <v>-339383.08999999997</v>
      </c>
      <c r="H14" s="32">
        <f t="shared" si="3"/>
        <v>-246054.17</v>
      </c>
      <c r="I14" s="30">
        <v>0.21</v>
      </c>
      <c r="J14" s="30">
        <v>0.05</v>
      </c>
      <c r="K14" s="32">
        <f>(G14*I14+12303*I14)-14442</f>
        <v>-83128.818899999984</v>
      </c>
      <c r="L14" s="32">
        <f>(H14*J14)-117.55</f>
        <v>-12420.2585</v>
      </c>
      <c r="M14" s="29">
        <f t="shared" si="4"/>
        <v>27085856.633000009</v>
      </c>
      <c r="N14" s="29">
        <f>148158.84+8903.24</f>
        <v>157062.07999999999</v>
      </c>
      <c r="O14" s="13" t="s">
        <v>19</v>
      </c>
      <c r="P14" s="16"/>
      <c r="Q14" s="17">
        <f>Q13+K14+L14</f>
        <v>27085856.633000009</v>
      </c>
    </row>
    <row r="15" spans="1:17" x14ac:dyDescent="0.2">
      <c r="A15" s="12">
        <v>43678</v>
      </c>
      <c r="B15" s="25"/>
      <c r="C15" s="29">
        <v>100049070</v>
      </c>
      <c r="D15" s="32">
        <v>432712</v>
      </c>
      <c r="E15" s="32">
        <f t="shared" si="0"/>
        <v>93328.91</v>
      </c>
      <c r="F15" s="32">
        <f t="shared" si="1"/>
        <v>186657.83</v>
      </c>
      <c r="G15" s="32">
        <f t="shared" si="2"/>
        <v>-339383.08999999997</v>
      </c>
      <c r="H15" s="32">
        <f t="shared" si="3"/>
        <v>-246054.17</v>
      </c>
      <c r="I15" s="30">
        <v>0.21</v>
      </c>
      <c r="J15" s="30">
        <v>0.05</v>
      </c>
      <c r="K15" s="32">
        <f>(G15*I15+12303*I15)-14441</f>
        <v>-83127.818899999984</v>
      </c>
      <c r="L15" s="32">
        <f>(H15*J15)-117.55</f>
        <v>-12420.2585</v>
      </c>
      <c r="M15" s="29">
        <f t="shared" si="4"/>
        <v>26990308.55560001</v>
      </c>
      <c r="N15" s="29">
        <f>146877.52+8825.95</f>
        <v>155703.47</v>
      </c>
      <c r="P15" s="11"/>
      <c r="Q15" s="17">
        <f>Q14+K15+L15</f>
        <v>26990308.55560001</v>
      </c>
    </row>
    <row r="16" spans="1:17" x14ac:dyDescent="0.2">
      <c r="A16" s="12">
        <v>43717</v>
      </c>
      <c r="B16" s="25"/>
      <c r="C16" s="29">
        <v>100049070</v>
      </c>
      <c r="D16" s="32">
        <v>432711.5</v>
      </c>
      <c r="E16" s="32">
        <f>93328.91</f>
        <v>93328.91</v>
      </c>
      <c r="F16" s="32">
        <f>186657.83</f>
        <v>186657.83</v>
      </c>
      <c r="G16" s="32">
        <f t="shared" si="2"/>
        <v>-339382.58999999997</v>
      </c>
      <c r="H16" s="32">
        <f t="shared" si="3"/>
        <v>-246053.67</v>
      </c>
      <c r="I16" s="30">
        <v>0.21</v>
      </c>
      <c r="J16" s="30">
        <v>0.05</v>
      </c>
      <c r="K16" s="32">
        <f>(G16*I16+12303*I16)-14441</f>
        <v>-83127.713899999988</v>
      </c>
      <c r="L16" s="32">
        <f>H16*J16-117.55</f>
        <v>-12420.2335</v>
      </c>
      <c r="M16" s="29">
        <f t="shared" si="4"/>
        <v>26894760.60820001</v>
      </c>
      <c r="N16" s="29">
        <f>145596.19+8748.65</f>
        <v>154344.84</v>
      </c>
    </row>
    <row r="17" spans="1:14" x14ac:dyDescent="0.2">
      <c r="A17" s="12">
        <v>43739</v>
      </c>
      <c r="B17" s="25"/>
      <c r="C17" s="29">
        <v>100049070</v>
      </c>
      <c r="D17" s="32">
        <v>432712</v>
      </c>
      <c r="E17" s="32">
        <f>93328.91</f>
        <v>93328.91</v>
      </c>
      <c r="F17" s="32">
        <f>186657.83</f>
        <v>186657.83</v>
      </c>
      <c r="G17" s="32">
        <f t="shared" si="2"/>
        <v>-339383.08999999997</v>
      </c>
      <c r="H17" s="32">
        <f t="shared" si="3"/>
        <v>-246054.17</v>
      </c>
      <c r="I17" s="30">
        <v>0.21</v>
      </c>
      <c r="J17" s="30">
        <v>0.05</v>
      </c>
      <c r="K17" s="32">
        <f>(G17*I17+12303*I17)-14441</f>
        <v>-83127.818899999984</v>
      </c>
      <c r="L17" s="32">
        <f>H17*J17-117.55</f>
        <v>-12420.2585</v>
      </c>
      <c r="M17" s="29">
        <f t="shared" si="4"/>
        <v>26799212.530800011</v>
      </c>
      <c r="N17" s="29">
        <f>144314.87+8671.36</f>
        <v>152986.22999999998</v>
      </c>
    </row>
    <row r="18" spans="1:14" x14ac:dyDescent="0.2">
      <c r="A18" s="12">
        <v>43770</v>
      </c>
      <c r="B18" s="25"/>
      <c r="C18" s="29">
        <v>100049070</v>
      </c>
      <c r="D18" s="32">
        <v>432711.5</v>
      </c>
      <c r="E18" s="32">
        <f>93328.5</f>
        <v>93328.5</v>
      </c>
      <c r="F18" s="32">
        <f>186657.5</f>
        <v>186657.5</v>
      </c>
      <c r="G18" s="32">
        <f>E18-D18+0.49</f>
        <v>-339382.51</v>
      </c>
      <c r="H18" s="32">
        <f>F18-D18+0.49</f>
        <v>-246053.51</v>
      </c>
      <c r="I18" s="30">
        <v>0.21</v>
      </c>
      <c r="J18" s="30">
        <v>0.05</v>
      </c>
      <c r="K18" s="32">
        <f>(G18*I18+12303*I18)-14441.4</f>
        <v>-83128.097099999984</v>
      </c>
      <c r="L18" s="32">
        <f>H18*J18-117.6</f>
        <v>-12420.275500000002</v>
      </c>
      <c r="M18" s="29">
        <f t="shared" si="4"/>
        <v>26703664.158200011</v>
      </c>
      <c r="N18" s="29">
        <f>143033.55+8594.07</f>
        <v>151627.62</v>
      </c>
    </row>
    <row r="19" spans="1:14" x14ac:dyDescent="0.2">
      <c r="A19" s="12">
        <v>43800</v>
      </c>
      <c r="B19" s="25"/>
      <c r="C19" s="29">
        <v>101398244</v>
      </c>
      <c r="D19" s="32">
        <v>435629.5</v>
      </c>
      <c r="E19" s="54">
        <f>97545.08+46380.49</f>
        <v>143925.57</v>
      </c>
      <c r="F19" s="54">
        <f>190874+46380.49</f>
        <v>237254.49</v>
      </c>
      <c r="G19" s="32">
        <f t="shared" si="2"/>
        <v>-291703.93</v>
      </c>
      <c r="H19" s="32">
        <f t="shared" si="3"/>
        <v>-198375.01</v>
      </c>
      <c r="I19" s="30">
        <v>0.21</v>
      </c>
      <c r="J19" s="30">
        <v>0.05</v>
      </c>
      <c r="K19" s="54">
        <f>(G19*I19+9919*I19)-14441.4</f>
        <v>-73616.2353</v>
      </c>
      <c r="L19" s="54">
        <f>H19*J19-117.55</f>
        <v>-10036.300500000001</v>
      </c>
      <c r="M19" s="29">
        <f t="shared" si="4"/>
        <v>26620011.622400008</v>
      </c>
      <c r="N19" s="29">
        <f>141752.23+8516.78</f>
        <v>150269.01</v>
      </c>
    </row>
    <row r="20" spans="1:14" x14ac:dyDescent="0.2">
      <c r="A20" s="12">
        <v>43831</v>
      </c>
      <c r="B20" s="25"/>
      <c r="C20" s="29">
        <v>101398244</v>
      </c>
      <c r="D20" s="32">
        <v>438547.49</v>
      </c>
      <c r="E20" s="32">
        <f>91650.21</f>
        <v>91650.21</v>
      </c>
      <c r="F20" s="32">
        <v>175184.02</v>
      </c>
      <c r="G20" s="32">
        <f t="shared" si="2"/>
        <v>-346897.27999999997</v>
      </c>
      <c r="H20" s="32">
        <f t="shared" si="3"/>
        <v>-263363.46999999997</v>
      </c>
      <c r="I20" s="30">
        <v>0.21</v>
      </c>
      <c r="J20" s="30">
        <v>0.05</v>
      </c>
      <c r="K20" s="32">
        <f t="shared" ref="K20:K26" si="5">(G20*I20+13168*I20)-15512.6</f>
        <v>-85595.748800000001</v>
      </c>
      <c r="L20" s="32">
        <f t="shared" ref="L20:L26" si="6">H20*J20-291.07</f>
        <v>-13459.243499999999</v>
      </c>
      <c r="M20" s="29">
        <f t="shared" si="4"/>
        <v>26520956.630100008</v>
      </c>
      <c r="N20" s="29">
        <f>149538.97+9030.8</f>
        <v>158569.76999999999</v>
      </c>
    </row>
    <row r="21" spans="1:14" x14ac:dyDescent="0.2">
      <c r="A21" s="12">
        <v>43862</v>
      </c>
      <c r="B21" s="25"/>
      <c r="C21" s="29">
        <v>101398244</v>
      </c>
      <c r="D21" s="32">
        <v>438547.49</v>
      </c>
      <c r="E21" s="32">
        <f>91650.21</f>
        <v>91650.21</v>
      </c>
      <c r="F21" s="32">
        <v>175184.02</v>
      </c>
      <c r="G21" s="32">
        <f t="shared" si="2"/>
        <v>-346897.27999999997</v>
      </c>
      <c r="H21" s="32">
        <f t="shared" si="3"/>
        <v>-263363.46999999997</v>
      </c>
      <c r="I21" s="30">
        <v>0.21</v>
      </c>
      <c r="J21" s="30">
        <v>0.05</v>
      </c>
      <c r="K21" s="32">
        <f t="shared" si="5"/>
        <v>-85595.748800000001</v>
      </c>
      <c r="L21" s="32">
        <f t="shared" si="6"/>
        <v>-13459.243499999999</v>
      </c>
      <c r="M21" s="29">
        <f t="shared" si="4"/>
        <v>26421901.637800008</v>
      </c>
      <c r="N21" s="29">
        <f>148257.65+8953.51</f>
        <v>157211.16</v>
      </c>
    </row>
    <row r="22" spans="1:14" x14ac:dyDescent="0.2">
      <c r="A22" s="12">
        <v>43899</v>
      </c>
      <c r="B22" s="25"/>
      <c r="C22" s="29">
        <v>101398244</v>
      </c>
      <c r="D22" s="32">
        <v>438547</v>
      </c>
      <c r="E22" s="31">
        <f t="shared" ref="E22:E27" si="7">91650.21</f>
        <v>91650.21</v>
      </c>
      <c r="F22" s="31">
        <v>175184.02</v>
      </c>
      <c r="G22" s="32">
        <f t="shared" si="2"/>
        <v>-346896.79</v>
      </c>
      <c r="H22" s="32">
        <f t="shared" si="3"/>
        <v>-263362.98</v>
      </c>
      <c r="I22" s="30">
        <v>0.21</v>
      </c>
      <c r="J22" s="30">
        <v>0.05</v>
      </c>
      <c r="K22" s="32">
        <f t="shared" si="5"/>
        <v>-85595.645900000003</v>
      </c>
      <c r="L22" s="32">
        <f t="shared" si="6"/>
        <v>-13459.218999999999</v>
      </c>
      <c r="M22" s="29">
        <f>M21+K22+L22</f>
        <v>26322846.772900008</v>
      </c>
      <c r="N22" s="29">
        <f>146976.33+8876.21</f>
        <v>155852.53999999998</v>
      </c>
    </row>
    <row r="23" spans="1:14" x14ac:dyDescent="0.2">
      <c r="A23" s="12">
        <v>43922</v>
      </c>
      <c r="B23" s="25"/>
      <c r="C23" s="29">
        <v>101398244</v>
      </c>
      <c r="D23" s="32">
        <v>438547</v>
      </c>
      <c r="E23" s="31">
        <f t="shared" si="7"/>
        <v>91650.21</v>
      </c>
      <c r="F23" s="31">
        <v>175184.02</v>
      </c>
      <c r="G23" s="32">
        <f t="shared" si="2"/>
        <v>-346896.79</v>
      </c>
      <c r="H23" s="32">
        <f t="shared" si="3"/>
        <v>-263362.98</v>
      </c>
      <c r="I23" s="30">
        <v>0.21</v>
      </c>
      <c r="J23" s="30">
        <v>0.05</v>
      </c>
      <c r="K23" s="32">
        <f t="shared" si="5"/>
        <v>-85595.645900000003</v>
      </c>
      <c r="L23" s="32">
        <f t="shared" si="6"/>
        <v>-13459.218999999999</v>
      </c>
      <c r="M23" s="29">
        <f t="shared" ref="M23:M27" si="8">M22+K23+L23</f>
        <v>26223791.908000007</v>
      </c>
      <c r="N23" s="29">
        <f>145695.01+8798.92</f>
        <v>154493.93000000002</v>
      </c>
    </row>
    <row r="24" spans="1:14" x14ac:dyDescent="0.2">
      <c r="A24" s="12">
        <v>43952</v>
      </c>
      <c r="B24" s="25"/>
      <c r="C24" s="29">
        <v>101398244</v>
      </c>
      <c r="D24" s="32">
        <v>438547.49</v>
      </c>
      <c r="E24" s="31">
        <f>91649.5</f>
        <v>91649.5</v>
      </c>
      <c r="F24" s="31">
        <v>175184.02</v>
      </c>
      <c r="G24" s="32">
        <f t="shared" si="2"/>
        <v>-346897.99</v>
      </c>
      <c r="H24" s="32">
        <f t="shared" si="3"/>
        <v>-263363.46999999997</v>
      </c>
      <c r="I24" s="30">
        <v>0.21</v>
      </c>
      <c r="J24" s="30">
        <v>0.05</v>
      </c>
      <c r="K24" s="32">
        <f t="shared" si="5"/>
        <v>-85595.897899999996</v>
      </c>
      <c r="L24" s="32">
        <f t="shared" si="6"/>
        <v>-13459.243499999999</v>
      </c>
      <c r="M24" s="29">
        <f t="shared" si="8"/>
        <v>26124736.766600005</v>
      </c>
      <c r="N24" s="29">
        <f>144413.68+8721.63</f>
        <v>153135.31</v>
      </c>
    </row>
    <row r="25" spans="1:14" x14ac:dyDescent="0.2">
      <c r="A25" s="12">
        <v>43983</v>
      </c>
      <c r="B25" s="25"/>
      <c r="C25" s="29">
        <v>101398244</v>
      </c>
      <c r="D25" s="32">
        <v>438547.49</v>
      </c>
      <c r="E25" s="31">
        <f t="shared" si="7"/>
        <v>91650.21</v>
      </c>
      <c r="F25" s="31">
        <v>175184.02</v>
      </c>
      <c r="G25" s="32">
        <f t="shared" si="2"/>
        <v>-346897.27999999997</v>
      </c>
      <c r="H25" s="32">
        <f t="shared" si="3"/>
        <v>-263363.46999999997</v>
      </c>
      <c r="I25" s="30">
        <v>0.21</v>
      </c>
      <c r="J25" s="30">
        <v>0.05</v>
      </c>
      <c r="K25" s="32">
        <f t="shared" si="5"/>
        <v>-85595.748800000001</v>
      </c>
      <c r="L25" s="32">
        <f t="shared" si="6"/>
        <v>-13459.243499999999</v>
      </c>
      <c r="M25" s="29">
        <f t="shared" si="8"/>
        <v>26025681.774300005</v>
      </c>
      <c r="N25" s="29">
        <f>143132.36+8644.33</f>
        <v>151776.68999999997</v>
      </c>
    </row>
    <row r="26" spans="1:14" x14ac:dyDescent="0.2">
      <c r="A26" s="12">
        <v>44013</v>
      </c>
      <c r="B26" s="25"/>
      <c r="C26" s="29">
        <v>101398244</v>
      </c>
      <c r="D26" s="32">
        <v>438547.19</v>
      </c>
      <c r="E26" s="31">
        <f t="shared" si="7"/>
        <v>91650.21</v>
      </c>
      <c r="F26" s="31">
        <v>175184.02</v>
      </c>
      <c r="G26" s="32">
        <f t="shared" si="2"/>
        <v>-346896.98</v>
      </c>
      <c r="H26" s="32">
        <f t="shared" si="3"/>
        <v>-263363.17000000004</v>
      </c>
      <c r="I26" s="30">
        <v>0.21</v>
      </c>
      <c r="J26" s="30">
        <v>0.05</v>
      </c>
      <c r="K26" s="32">
        <f t="shared" si="5"/>
        <v>-85595.685800000007</v>
      </c>
      <c r="L26" s="32">
        <f t="shared" si="6"/>
        <v>-13459.228500000003</v>
      </c>
      <c r="M26" s="29">
        <f t="shared" si="8"/>
        <v>25926626.860000003</v>
      </c>
      <c r="N26" s="29">
        <f>141851.04+8567.04</f>
        <v>150418.08000000002</v>
      </c>
    </row>
    <row r="27" spans="1:14" x14ac:dyDescent="0.2">
      <c r="A27" s="12">
        <v>44044</v>
      </c>
      <c r="B27" s="25"/>
      <c r="C27" s="29">
        <v>101398244</v>
      </c>
      <c r="D27" s="32">
        <v>438547</v>
      </c>
      <c r="E27" s="31">
        <f t="shared" si="7"/>
        <v>91650.21</v>
      </c>
      <c r="F27" s="31">
        <v>175184.02</v>
      </c>
      <c r="G27" s="32">
        <f t="shared" si="2"/>
        <v>-346896.79</v>
      </c>
      <c r="H27" s="32">
        <f t="shared" si="3"/>
        <v>-263362.98</v>
      </c>
      <c r="I27" s="30">
        <v>0.21</v>
      </c>
      <c r="J27" s="30">
        <v>0.05</v>
      </c>
      <c r="K27" s="32">
        <f>(G27*I27+13168*I27)-15512.6-56413.29-56413.29-((56413.29-15512.6)/2)+97</f>
        <v>-218775.57090000002</v>
      </c>
      <c r="L27" s="32">
        <f>H27*J27-291.07-4172.25-4172.25-(4172.25-291.07)</f>
        <v>-25684.898999999998</v>
      </c>
      <c r="M27" s="29">
        <f t="shared" si="8"/>
        <v>25682166.390100002</v>
      </c>
      <c r="N27" s="29">
        <f>140569.72+8489.75</f>
        <v>149059.47</v>
      </c>
    </row>
    <row r="28" spans="1:14" x14ac:dyDescent="0.2">
      <c r="A28" s="12">
        <v>44083</v>
      </c>
      <c r="B28" s="25"/>
      <c r="C28" s="29">
        <v>101398244</v>
      </c>
      <c r="D28" s="32">
        <v>438547</v>
      </c>
      <c r="E28" s="31">
        <f>91650.21</f>
        <v>91650.21</v>
      </c>
      <c r="F28" s="31">
        <v>175184.02</v>
      </c>
      <c r="G28" s="32">
        <f t="shared" si="2"/>
        <v>-346896.79</v>
      </c>
      <c r="H28" s="32">
        <f t="shared" si="3"/>
        <v>-263362.98</v>
      </c>
      <c r="I28" s="30">
        <v>0.21</v>
      </c>
      <c r="J28" s="30">
        <v>0.05</v>
      </c>
      <c r="K28" s="32">
        <f>(G28*I28+13168*I28)-15512.6-56413.29-56413.29-((56413.29-15512.6)/2)+97</f>
        <v>-218775.57090000002</v>
      </c>
      <c r="L28" s="32">
        <f>H28*J28-291.07-4172.25-4172.25-(4172.25-291.07)-0.5</f>
        <v>-25685.398999999998</v>
      </c>
      <c r="M28" s="29">
        <f>M27+K28+L28</f>
        <v>25437705.420200001</v>
      </c>
      <c r="N28" s="29">
        <f>139288.39+8412.46</f>
        <v>147700.85</v>
      </c>
    </row>
    <row r="29" spans="1:14" x14ac:dyDescent="0.2">
      <c r="A29" s="12">
        <v>44105</v>
      </c>
      <c r="B29" s="25"/>
      <c r="C29" s="29">
        <v>101398244</v>
      </c>
      <c r="D29" s="32">
        <v>438546.5</v>
      </c>
      <c r="E29" s="31">
        <f>91650.21</f>
        <v>91650.21</v>
      </c>
      <c r="F29" s="31">
        <v>175184.02</v>
      </c>
      <c r="G29" s="32">
        <f t="shared" si="2"/>
        <v>-346896.29</v>
      </c>
      <c r="H29" s="32">
        <f t="shared" si="3"/>
        <v>-263362.48</v>
      </c>
      <c r="I29" s="30">
        <v>0.21</v>
      </c>
      <c r="J29" s="30">
        <v>0.05</v>
      </c>
      <c r="K29" s="32">
        <f>(G29*I29+13168*I29)-15512.6-56413.29-56413.29-((56413.29-15512.6)/2)+97</f>
        <v>-218775.46590000001</v>
      </c>
      <c r="L29" s="32">
        <f>H29*J29-291.07-4172.25-4172.25-(4172.25-291.07)</f>
        <v>-25684.874</v>
      </c>
      <c r="M29" s="29">
        <f t="shared" ref="M29:M33" si="9">M28+K29+L29</f>
        <v>25193245.0803</v>
      </c>
      <c r="N29" s="29">
        <f>138007.07+8335.16</f>
        <v>146342.23000000001</v>
      </c>
    </row>
    <row r="30" spans="1:14" x14ac:dyDescent="0.2">
      <c r="A30" s="12">
        <v>44136</v>
      </c>
      <c r="B30" s="25"/>
      <c r="C30" s="29">
        <v>101398244</v>
      </c>
      <c r="D30" s="32">
        <v>438547</v>
      </c>
      <c r="E30" s="31">
        <f>91650.21</f>
        <v>91650.21</v>
      </c>
      <c r="F30" s="31">
        <v>175184.02</v>
      </c>
      <c r="G30" s="32">
        <f t="shared" si="2"/>
        <v>-346896.79</v>
      </c>
      <c r="H30" s="32">
        <f t="shared" si="3"/>
        <v>-263362.98</v>
      </c>
      <c r="I30" s="30">
        <v>0.21</v>
      </c>
      <c r="J30" s="30">
        <v>0.05</v>
      </c>
      <c r="K30" s="32">
        <f>(G30*I30+13168*I30)-15512.6-56413.29-56413.29-((56413.29-15512.6)/2)+97</f>
        <v>-218775.57090000002</v>
      </c>
      <c r="L30" s="32">
        <f>H30*J30-291.07-4172.25-4172.25-(4172.25-291.07)+0.5</f>
        <v>-25684.398999999998</v>
      </c>
      <c r="M30" s="29">
        <f t="shared" si="9"/>
        <v>24948785.110399999</v>
      </c>
      <c r="N30" s="29">
        <f>136725.75+8257.87</f>
        <v>144983.62</v>
      </c>
    </row>
    <row r="31" spans="1:14" x14ac:dyDescent="0.2">
      <c r="A31" s="12">
        <v>44166</v>
      </c>
      <c r="B31" s="25"/>
      <c r="C31" s="29">
        <v>101398244</v>
      </c>
      <c r="D31" s="32">
        <v>438547</v>
      </c>
      <c r="E31" s="31">
        <f>91650.21</f>
        <v>91650.21</v>
      </c>
      <c r="F31" s="31">
        <v>175184.02</v>
      </c>
      <c r="G31" s="32">
        <f t="shared" si="2"/>
        <v>-346896.79</v>
      </c>
      <c r="H31" s="32">
        <f t="shared" si="3"/>
        <v>-263362.98</v>
      </c>
      <c r="I31" s="30">
        <v>0.21</v>
      </c>
      <c r="J31" s="30">
        <v>0.05</v>
      </c>
      <c r="K31" s="32">
        <f>(G31*I31+13168*I31)-15512.6-56413.29-56413.29-((56413.29-15512.6)/2)+97</f>
        <v>-218775.57090000002</v>
      </c>
      <c r="L31" s="32">
        <f>H31*J31-291.07-4172.25-4172.25-(4172.25-291.07)+0.5</f>
        <v>-25684.398999999998</v>
      </c>
      <c r="M31" s="29">
        <f t="shared" si="9"/>
        <v>24704325.140499998</v>
      </c>
      <c r="N31" s="29">
        <f>135444.43+8180.58</f>
        <v>143625.00999999998</v>
      </c>
    </row>
    <row r="32" spans="1:14" x14ac:dyDescent="0.2">
      <c r="A32" s="12">
        <v>44197</v>
      </c>
      <c r="B32" s="25"/>
      <c r="C32" s="29">
        <v>101398244</v>
      </c>
      <c r="D32" s="32">
        <v>438547</v>
      </c>
      <c r="E32" s="31">
        <f>89887.4</f>
        <v>89887.4</v>
      </c>
      <c r="F32" s="31">
        <f>172267.76</f>
        <v>172267.76</v>
      </c>
      <c r="G32" s="32">
        <f t="shared" si="2"/>
        <v>-348659.6</v>
      </c>
      <c r="H32" s="32">
        <f t="shared" si="3"/>
        <v>-266279.24</v>
      </c>
      <c r="I32" s="30">
        <v>0.21</v>
      </c>
      <c r="J32" s="30">
        <v>0.05</v>
      </c>
      <c r="K32" s="54">
        <f>(G32*I32+13314*I32)-46814.46</f>
        <v>-117237.03599999999</v>
      </c>
      <c r="L32" s="54">
        <f>(H32*J32)-2682.57</f>
        <v>-15996.531999999999</v>
      </c>
      <c r="M32" s="29">
        <f t="shared" si="9"/>
        <v>24571091.572499998</v>
      </c>
      <c r="N32" s="29">
        <f>142550+8650.3</f>
        <v>151200.29999999999</v>
      </c>
    </row>
    <row r="33" spans="1:14" x14ac:dyDescent="0.2">
      <c r="A33" s="12">
        <v>44228</v>
      </c>
      <c r="B33" s="25"/>
      <c r="C33" s="29">
        <v>101551050</v>
      </c>
      <c r="D33" s="32">
        <v>438878</v>
      </c>
      <c r="E33" s="54">
        <f>90408.33-299</f>
        <v>90109.33</v>
      </c>
      <c r="F33" s="54">
        <f>172788.69-299</f>
        <v>172489.69</v>
      </c>
      <c r="G33" s="32">
        <f t="shared" si="2"/>
        <v>-348768.67</v>
      </c>
      <c r="H33" s="32">
        <f t="shared" si="3"/>
        <v>-266388.31</v>
      </c>
      <c r="I33" s="30">
        <v>0.21</v>
      </c>
      <c r="J33" s="30">
        <v>0.05</v>
      </c>
      <c r="K33" s="54">
        <f>(G33*I33+13319*I33)-46814.46</f>
        <v>-117258.89069999999</v>
      </c>
      <c r="L33" s="54">
        <f>(H33*J33)-2682.57</f>
        <v>-16001.985500000001</v>
      </c>
      <c r="M33" s="29">
        <f t="shared" si="9"/>
        <v>24437830.696299996</v>
      </c>
      <c r="N33" s="29">
        <f>141268.67+8573.01</f>
        <v>149841.68000000002</v>
      </c>
    </row>
    <row r="34" spans="1:14" x14ac:dyDescent="0.2">
      <c r="A34" s="33"/>
      <c r="B34" s="25"/>
      <c r="C34" s="29"/>
      <c r="D34" s="29"/>
      <c r="E34" s="29" t="s">
        <v>19</v>
      </c>
      <c r="F34" s="29"/>
      <c r="G34" s="29"/>
      <c r="H34" s="29"/>
      <c r="I34" s="29"/>
      <c r="J34" s="29"/>
      <c r="K34" s="29"/>
      <c r="L34" s="29"/>
      <c r="M34" s="29"/>
      <c r="N34" s="29"/>
    </row>
    <row r="35" spans="1:14" x14ac:dyDescent="0.2">
      <c r="A35" s="33"/>
      <c r="B35" s="25"/>
      <c r="C35" s="29" t="s">
        <v>58</v>
      </c>
      <c r="D35" s="32"/>
      <c r="E35" s="32"/>
      <c r="F35" s="32"/>
      <c r="G35" s="32"/>
      <c r="H35" s="32"/>
      <c r="I35" s="30"/>
      <c r="J35" s="30"/>
      <c r="K35" s="29"/>
      <c r="L35" s="29"/>
      <c r="M35" s="29"/>
      <c r="N35" s="29"/>
    </row>
    <row r="36" spans="1:14" x14ac:dyDescent="0.2">
      <c r="A36" s="33"/>
      <c r="B36" s="2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x14ac:dyDescent="0.2">
      <c r="A37" s="26"/>
      <c r="B37" s="39"/>
      <c r="C37" s="49" t="s">
        <v>20</v>
      </c>
      <c r="D37" s="39"/>
      <c r="E37" s="40"/>
      <c r="F37" s="40"/>
      <c r="G37" s="40"/>
      <c r="H37" s="25"/>
      <c r="I37" s="25"/>
      <c r="J37" s="25"/>
      <c r="K37" s="25"/>
      <c r="L37" s="25"/>
      <c r="M37" s="25"/>
      <c r="N37" s="25"/>
    </row>
    <row r="38" spans="1:14" x14ac:dyDescent="0.2">
      <c r="A38" s="26"/>
      <c r="B38" s="39"/>
      <c r="C38" s="49" t="s">
        <v>59</v>
      </c>
      <c r="D38" s="39"/>
      <c r="E38" s="40"/>
      <c r="F38" s="40"/>
      <c r="G38" s="40"/>
      <c r="H38" s="25"/>
      <c r="I38" s="25"/>
      <c r="J38" s="25"/>
      <c r="K38" s="25"/>
      <c r="L38" s="25"/>
      <c r="M38" s="25"/>
      <c r="N38" s="25"/>
    </row>
    <row r="39" spans="1:14" x14ac:dyDescent="0.2">
      <c r="A39" s="26"/>
      <c r="B39" s="39"/>
      <c r="C39" s="49" t="s">
        <v>60</v>
      </c>
      <c r="D39" s="39"/>
      <c r="E39" s="40"/>
      <c r="F39" s="40"/>
      <c r="G39" s="40"/>
      <c r="H39" s="25"/>
      <c r="I39" s="25"/>
      <c r="J39" s="25"/>
      <c r="K39" s="25"/>
      <c r="L39" s="25"/>
      <c r="M39" s="25"/>
      <c r="N39" s="25"/>
    </row>
    <row r="40" spans="1:14" x14ac:dyDescent="0.2">
      <c r="A40" s="26"/>
      <c r="B40" s="39"/>
      <c r="C40" s="29" t="s">
        <v>21</v>
      </c>
      <c r="D40" s="39"/>
      <c r="E40" s="40"/>
      <c r="F40" s="40"/>
      <c r="G40" s="40"/>
      <c r="H40" s="25"/>
      <c r="I40" s="25"/>
      <c r="J40" s="25"/>
      <c r="K40" s="25"/>
      <c r="L40" s="25"/>
      <c r="M40" s="25"/>
      <c r="N40" s="25"/>
    </row>
    <row r="41" spans="1:14" x14ac:dyDescent="0.2">
      <c r="A41" s="26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6"/>
      <c r="B42" s="25"/>
      <c r="C42" s="29" t="s">
        <v>22</v>
      </c>
      <c r="D42" s="41" t="s">
        <v>23</v>
      </c>
      <c r="E42" s="40" t="s">
        <v>24</v>
      </c>
      <c r="F42" s="29" t="s">
        <v>25</v>
      </c>
      <c r="G42" s="30" t="s">
        <v>12</v>
      </c>
      <c r="H42" s="29" t="s">
        <v>26</v>
      </c>
      <c r="I42" s="25"/>
      <c r="J42" s="25"/>
      <c r="K42" s="25"/>
      <c r="L42" s="25"/>
      <c r="M42" s="25"/>
      <c r="N42" s="25"/>
    </row>
    <row r="43" spans="1:14" x14ac:dyDescent="0.2">
      <c r="A43" s="26"/>
      <c r="B43" s="25"/>
      <c r="C43" s="29">
        <f>18534899</f>
        <v>18534899</v>
      </c>
      <c r="D43" s="29">
        <v>438878</v>
      </c>
      <c r="E43" s="29">
        <v>68903.490000000005</v>
      </c>
      <c r="F43" s="29">
        <f>E43-D43</f>
        <v>-369974.51</v>
      </c>
      <c r="G43" s="30">
        <v>0.21</v>
      </c>
      <c r="H43" s="35">
        <f>F43*G43</f>
        <v>-77694.647100000002</v>
      </c>
      <c r="I43" s="25"/>
      <c r="J43" s="25"/>
      <c r="K43" s="25"/>
      <c r="L43" s="25"/>
      <c r="M43" s="25"/>
      <c r="N43" s="25"/>
    </row>
    <row r="44" spans="1:14" x14ac:dyDescent="0.2">
      <c r="A44" s="26"/>
      <c r="B44" s="25"/>
      <c r="C44" s="29">
        <f>+-176214</f>
        <v>-176214</v>
      </c>
      <c r="D44" s="25"/>
      <c r="E44" s="29">
        <v>-655.22</v>
      </c>
      <c r="F44" s="29">
        <f t="shared" ref="F44:F57" si="10">E44</f>
        <v>-655.22</v>
      </c>
      <c r="G44" s="30">
        <v>0.21</v>
      </c>
      <c r="H44" s="35">
        <f t="shared" ref="H44:H57" si="11">F44*G44</f>
        <v>-137.59620000000001</v>
      </c>
      <c r="I44" s="25"/>
      <c r="J44" s="25"/>
      <c r="K44" s="25"/>
      <c r="L44" s="25"/>
      <c r="M44" s="25"/>
      <c r="N44" s="25"/>
    </row>
    <row r="45" spans="1:14" x14ac:dyDescent="0.2">
      <c r="A45" s="26"/>
      <c r="B45" s="25"/>
      <c r="C45" s="29">
        <f>526898</f>
        <v>526898</v>
      </c>
      <c r="D45" s="25"/>
      <c r="E45" s="29">
        <v>1985.53</v>
      </c>
      <c r="F45" s="29">
        <f t="shared" si="10"/>
        <v>1985.53</v>
      </c>
      <c r="G45" s="30">
        <v>0.21</v>
      </c>
      <c r="H45" s="35">
        <f t="shared" si="11"/>
        <v>416.96129999999999</v>
      </c>
      <c r="I45" s="25"/>
      <c r="J45" s="25"/>
      <c r="K45" s="25"/>
      <c r="L45" s="25"/>
      <c r="M45" s="25"/>
      <c r="N45" s="25"/>
    </row>
    <row r="46" spans="1:14" x14ac:dyDescent="0.2">
      <c r="A46" s="26"/>
      <c r="B46" s="25"/>
      <c r="C46" s="29">
        <v>790348</v>
      </c>
      <c r="D46" s="25"/>
      <c r="E46" s="29">
        <v>0</v>
      </c>
      <c r="F46" s="29">
        <f t="shared" si="10"/>
        <v>0</v>
      </c>
      <c r="G46" s="30">
        <v>0.21</v>
      </c>
      <c r="H46" s="35">
        <f t="shared" si="11"/>
        <v>0</v>
      </c>
      <c r="I46" s="25"/>
      <c r="J46" s="25"/>
      <c r="K46" s="25"/>
      <c r="L46" s="25"/>
      <c r="M46" s="25"/>
      <c r="N46" s="25"/>
    </row>
    <row r="47" spans="1:14" x14ac:dyDescent="0.2">
      <c r="A47" s="26"/>
      <c r="B47" s="25"/>
      <c r="C47" s="29">
        <v>398743</v>
      </c>
      <c r="D47" s="25"/>
      <c r="E47" s="29">
        <v>1624.21</v>
      </c>
      <c r="F47" s="29">
        <f t="shared" si="10"/>
        <v>1624.21</v>
      </c>
      <c r="G47" s="30">
        <v>0.21</v>
      </c>
      <c r="H47" s="35">
        <f t="shared" si="11"/>
        <v>341.08409999999998</v>
      </c>
      <c r="I47" s="25"/>
      <c r="J47" s="25"/>
      <c r="K47" s="25"/>
      <c r="L47" s="25"/>
      <c r="M47" s="25"/>
      <c r="N47" s="25"/>
    </row>
    <row r="48" spans="1:14" x14ac:dyDescent="0.2">
      <c r="A48" s="26"/>
      <c r="B48" s="25"/>
      <c r="C48" s="29">
        <v>1064181</v>
      </c>
      <c r="D48" s="25"/>
      <c r="E48" s="29">
        <v>4334.76</v>
      </c>
      <c r="F48" s="29">
        <f t="shared" si="10"/>
        <v>4334.76</v>
      </c>
      <c r="G48" s="30">
        <v>0.21</v>
      </c>
      <c r="H48" s="35">
        <f t="shared" si="11"/>
        <v>910.29960000000005</v>
      </c>
      <c r="I48" s="25"/>
      <c r="J48" s="25"/>
      <c r="K48" s="25"/>
      <c r="L48" s="25"/>
      <c r="M48" s="25"/>
      <c r="N48" s="25"/>
    </row>
    <row r="49" spans="1:14" x14ac:dyDescent="0.2">
      <c r="A49" s="26"/>
      <c r="B49" s="25"/>
      <c r="C49" s="29">
        <v>81522</v>
      </c>
      <c r="D49" s="25"/>
      <c r="E49" s="29">
        <v>332.07</v>
      </c>
      <c r="F49" s="29">
        <f t="shared" si="10"/>
        <v>332.07</v>
      </c>
      <c r="G49" s="30">
        <v>0.21</v>
      </c>
      <c r="H49" s="35">
        <f t="shared" si="11"/>
        <v>69.734699999999989</v>
      </c>
      <c r="I49" s="25"/>
      <c r="J49" s="25"/>
      <c r="K49" s="25"/>
      <c r="L49" s="25"/>
      <c r="M49" s="25"/>
      <c r="N49" s="25"/>
    </row>
    <row r="50" spans="1:14" x14ac:dyDescent="0.2">
      <c r="A50" s="26"/>
      <c r="B50" s="25"/>
      <c r="C50" s="29">
        <v>43567</v>
      </c>
      <c r="D50" s="25"/>
      <c r="E50" s="29">
        <v>177.46</v>
      </c>
      <c r="F50" s="29">
        <f t="shared" si="10"/>
        <v>177.46</v>
      </c>
      <c r="G50" s="30">
        <v>0.21</v>
      </c>
      <c r="H50" s="35">
        <f t="shared" si="11"/>
        <v>37.266599999999997</v>
      </c>
      <c r="I50" s="25"/>
      <c r="J50" s="25"/>
      <c r="K50" s="25"/>
      <c r="L50" s="25"/>
      <c r="M50" s="25"/>
      <c r="N50" s="25"/>
    </row>
    <row r="51" spans="1:14" x14ac:dyDescent="0.2">
      <c r="A51" s="26"/>
      <c r="B51" s="25"/>
      <c r="C51" s="29">
        <v>80051</v>
      </c>
      <c r="D51" s="25"/>
      <c r="E51" s="29">
        <v>326.07</v>
      </c>
      <c r="F51" s="29">
        <f t="shared" si="10"/>
        <v>326.07</v>
      </c>
      <c r="G51" s="30">
        <v>0.21</v>
      </c>
      <c r="H51" s="35">
        <f t="shared" si="11"/>
        <v>68.474699999999999</v>
      </c>
      <c r="I51" s="25"/>
      <c r="J51" s="25"/>
      <c r="K51" s="25"/>
      <c r="L51" s="25"/>
      <c r="M51" s="25"/>
      <c r="N51" s="25"/>
    </row>
    <row r="52" spans="1:14" x14ac:dyDescent="0.2">
      <c r="A52" s="26"/>
      <c r="B52" s="25"/>
      <c r="C52" s="29">
        <v>415872</v>
      </c>
      <c r="D52" s="25"/>
      <c r="E52" s="37">
        <v>1791.69</v>
      </c>
      <c r="F52" s="37">
        <f t="shared" si="10"/>
        <v>1791.69</v>
      </c>
      <c r="G52" s="30">
        <v>0.21</v>
      </c>
      <c r="H52" s="47">
        <f t="shared" si="11"/>
        <v>376.25490000000002</v>
      </c>
      <c r="I52" s="25"/>
      <c r="J52" s="25"/>
      <c r="K52" s="25"/>
      <c r="L52" s="25"/>
      <c r="M52" s="25"/>
      <c r="N52" s="25"/>
    </row>
    <row r="53" spans="1:14" x14ac:dyDescent="0.2">
      <c r="A53" s="26"/>
      <c r="B53" s="25"/>
      <c r="C53" s="29">
        <v>9056</v>
      </c>
      <c r="D53" s="25"/>
      <c r="E53" s="37">
        <v>39.880000000000003</v>
      </c>
      <c r="F53" s="37">
        <f t="shared" si="10"/>
        <v>39.880000000000003</v>
      </c>
      <c r="G53" s="30">
        <v>0.21</v>
      </c>
      <c r="H53" s="47">
        <f t="shared" si="11"/>
        <v>8.3748000000000005</v>
      </c>
      <c r="I53" s="25"/>
      <c r="J53" s="25"/>
      <c r="K53" s="25"/>
      <c r="L53" s="25"/>
      <c r="M53" s="25"/>
      <c r="N53" s="25"/>
    </row>
    <row r="54" spans="1:14" x14ac:dyDescent="0.2">
      <c r="A54" s="26"/>
      <c r="B54" s="25"/>
      <c r="C54" s="29">
        <v>738067</v>
      </c>
      <c r="D54" s="25"/>
      <c r="E54" s="37">
        <v>3513.82</v>
      </c>
      <c r="F54" s="37">
        <f t="shared" si="10"/>
        <v>3513.82</v>
      </c>
      <c r="G54" s="30">
        <v>0.21</v>
      </c>
      <c r="H54" s="47">
        <f t="shared" si="11"/>
        <v>737.90219999999999</v>
      </c>
      <c r="I54" s="25"/>
      <c r="J54" s="25"/>
      <c r="K54" s="25"/>
      <c r="L54" s="25"/>
      <c r="M54" s="25"/>
      <c r="N54" s="25"/>
    </row>
    <row r="55" spans="1:14" x14ac:dyDescent="0.2">
      <c r="A55" s="26"/>
      <c r="B55" s="25"/>
      <c r="C55" s="29">
        <v>1388</v>
      </c>
      <c r="D55" s="25"/>
      <c r="E55" s="37">
        <v>6.61</v>
      </c>
      <c r="F55" s="37">
        <f t="shared" si="10"/>
        <v>6.61</v>
      </c>
      <c r="G55" s="30">
        <v>0.21</v>
      </c>
      <c r="H55" s="47">
        <f t="shared" si="11"/>
        <v>1.3881000000000001</v>
      </c>
      <c r="I55" s="25"/>
      <c r="J55" s="25"/>
      <c r="K55" s="25"/>
      <c r="L55" s="25"/>
      <c r="M55" s="25"/>
      <c r="N55" s="25"/>
    </row>
    <row r="56" spans="1:14" x14ac:dyDescent="0.2">
      <c r="A56" s="26"/>
      <c r="B56" s="25"/>
      <c r="C56" s="29">
        <v>1349174</v>
      </c>
      <c r="D56" s="25"/>
      <c r="E56" s="37">
        <v>7507.03</v>
      </c>
      <c r="F56" s="37">
        <f t="shared" si="10"/>
        <v>7507.03</v>
      </c>
      <c r="G56" s="30">
        <v>0.21</v>
      </c>
      <c r="H56" s="47">
        <f t="shared" si="11"/>
        <v>1576.4762999999998</v>
      </c>
      <c r="I56" s="25"/>
      <c r="J56" s="25"/>
      <c r="K56" s="25"/>
      <c r="L56" s="25"/>
      <c r="M56" s="25"/>
      <c r="N56" s="25"/>
    </row>
    <row r="57" spans="1:14" ht="15" x14ac:dyDescent="0.35">
      <c r="A57" s="26"/>
      <c r="B57" s="25"/>
      <c r="C57" s="29">
        <v>152806</v>
      </c>
      <c r="D57" s="25"/>
      <c r="E57" s="42">
        <f>477.52+43-299</f>
        <v>221.51999999999998</v>
      </c>
      <c r="F57" s="42">
        <f t="shared" si="10"/>
        <v>221.51999999999998</v>
      </c>
      <c r="G57" s="30">
        <v>0.21</v>
      </c>
      <c r="H57" s="47">
        <f t="shared" si="11"/>
        <v>46.519199999999998</v>
      </c>
      <c r="I57" s="25"/>
      <c r="J57" s="25"/>
      <c r="K57" s="25"/>
      <c r="L57" s="25"/>
      <c r="M57" s="25"/>
      <c r="N57" s="25"/>
    </row>
    <row r="58" spans="1:14" x14ac:dyDescent="0.2">
      <c r="A58" s="26"/>
      <c r="B58" s="25"/>
      <c r="C58" s="25"/>
      <c r="D58" s="25"/>
      <c r="E58" s="29">
        <f>SUM(E43:E57)</f>
        <v>90108.920000000042</v>
      </c>
      <c r="F58" s="29">
        <f>SUM(F43:F57)</f>
        <v>-348769.07999999984</v>
      </c>
      <c r="G58" s="36" t="s">
        <v>27</v>
      </c>
      <c r="H58" s="29">
        <f>SUM(H43:H57)</f>
        <v>-73241.506800000017</v>
      </c>
      <c r="I58" s="25"/>
      <c r="J58" s="25"/>
      <c r="K58" s="25"/>
      <c r="L58" s="25"/>
      <c r="M58" s="25"/>
      <c r="N58" s="25"/>
    </row>
    <row r="59" spans="1:14" ht="15" x14ac:dyDescent="0.35">
      <c r="A59" s="26"/>
      <c r="B59" s="25"/>
      <c r="C59" s="25"/>
      <c r="D59" s="25"/>
      <c r="E59" s="29"/>
      <c r="F59" s="29"/>
      <c r="G59" s="36" t="s">
        <v>28</v>
      </c>
      <c r="H59" s="43">
        <f>-H78*0.21</f>
        <v>2797.0710600000002</v>
      </c>
      <c r="I59" s="25"/>
      <c r="J59" s="25"/>
      <c r="K59" s="25"/>
      <c r="L59" s="25"/>
      <c r="M59" s="25"/>
      <c r="N59" s="25"/>
    </row>
    <row r="60" spans="1:14" x14ac:dyDescent="0.2">
      <c r="A60" s="26"/>
      <c r="B60" s="25"/>
      <c r="C60" s="25"/>
      <c r="D60" s="25"/>
      <c r="E60" s="25"/>
      <c r="F60" s="25"/>
      <c r="G60" s="25"/>
      <c r="H60" s="35">
        <f>H58+H59</f>
        <v>-70444.435740000015</v>
      </c>
      <c r="I60" s="25"/>
      <c r="J60" s="25"/>
      <c r="K60" s="25"/>
      <c r="L60" s="25"/>
      <c r="M60" s="25"/>
      <c r="N60" s="25"/>
    </row>
    <row r="61" spans="1:14" x14ac:dyDescent="0.2">
      <c r="A61" s="26"/>
      <c r="B61" s="25"/>
      <c r="C61" s="25"/>
      <c r="D61" s="25"/>
      <c r="E61" s="25"/>
      <c r="F61" s="25"/>
      <c r="G61" s="25"/>
      <c r="H61" s="35">
        <f>H60-K33</f>
        <v>46814.454959999974</v>
      </c>
      <c r="I61" s="25" t="s">
        <v>61</v>
      </c>
      <c r="J61" s="25"/>
      <c r="K61" s="25"/>
      <c r="L61" s="25"/>
      <c r="M61" s="25"/>
      <c r="N61" s="25"/>
    </row>
    <row r="62" spans="1:14" x14ac:dyDescent="0.2">
      <c r="A62" s="26"/>
      <c r="B62" s="25"/>
      <c r="C62" s="29" t="s">
        <v>30</v>
      </c>
      <c r="D62" s="39" t="s">
        <v>23</v>
      </c>
      <c r="E62" s="40" t="s">
        <v>31</v>
      </c>
      <c r="F62" s="29" t="s">
        <v>32</v>
      </c>
      <c r="G62" s="30" t="s">
        <v>13</v>
      </c>
      <c r="H62" s="29" t="s">
        <v>33</v>
      </c>
      <c r="I62" s="25"/>
      <c r="J62" s="25"/>
      <c r="K62" s="25"/>
      <c r="L62" s="25"/>
      <c r="M62" s="25"/>
      <c r="N62" s="25"/>
    </row>
    <row r="63" spans="1:14" x14ac:dyDescent="0.2">
      <c r="A63" s="26"/>
      <c r="B63" s="25"/>
      <c r="C63" s="29">
        <v>37069798</v>
      </c>
      <c r="D63" s="29">
        <f>D43</f>
        <v>438878</v>
      </c>
      <c r="E63" s="29">
        <v>137806.97</v>
      </c>
      <c r="F63" s="29">
        <f>E63-D63</f>
        <v>-301071.03000000003</v>
      </c>
      <c r="G63" s="30">
        <v>0.05</v>
      </c>
      <c r="H63" s="35">
        <f>F63*G63</f>
        <v>-15053.551500000001</v>
      </c>
      <c r="I63" s="25"/>
      <c r="J63" s="25"/>
      <c r="K63" s="25"/>
      <c r="L63" s="25"/>
      <c r="M63" s="25"/>
      <c r="N63" s="25"/>
    </row>
    <row r="64" spans="1:14" x14ac:dyDescent="0.2">
      <c r="A64" s="26"/>
      <c r="B64" s="25"/>
      <c r="C64" s="29">
        <v>55076054</v>
      </c>
      <c r="D64" s="25"/>
      <c r="E64" s="29">
        <v>0</v>
      </c>
      <c r="F64" s="29">
        <f>E64</f>
        <v>0</v>
      </c>
      <c r="G64" s="30">
        <v>0.05</v>
      </c>
      <c r="H64" s="35">
        <f t="shared" ref="H64:H77" si="12">F64*G64</f>
        <v>0</v>
      </c>
      <c r="I64" s="25"/>
      <c r="J64" s="25"/>
      <c r="K64" s="25"/>
      <c r="L64" s="25"/>
      <c r="M64" s="25"/>
      <c r="N64" s="25"/>
    </row>
    <row r="65" spans="1:14" x14ac:dyDescent="0.2">
      <c r="A65" s="26"/>
      <c r="B65" s="25"/>
      <c r="C65" s="29">
        <v>-352428</v>
      </c>
      <c r="D65" s="25"/>
      <c r="E65" s="29">
        <v>-1310.45</v>
      </c>
      <c r="F65" s="29">
        <f t="shared" ref="F65:F77" si="13">E65</f>
        <v>-1310.45</v>
      </c>
      <c r="G65" s="30">
        <v>0.05</v>
      </c>
      <c r="H65" s="35">
        <f t="shared" si="12"/>
        <v>-65.522500000000008</v>
      </c>
      <c r="I65" s="25"/>
      <c r="J65" s="25"/>
      <c r="K65" s="25"/>
      <c r="L65" s="25"/>
      <c r="M65" s="25"/>
      <c r="N65" s="25"/>
    </row>
    <row r="66" spans="1:14" x14ac:dyDescent="0.2">
      <c r="A66" s="26"/>
      <c r="B66" s="25"/>
      <c r="C66" s="29">
        <v>1053797</v>
      </c>
      <c r="D66" s="25"/>
      <c r="E66" s="29">
        <v>3971.06</v>
      </c>
      <c r="F66" s="29">
        <f t="shared" si="13"/>
        <v>3971.06</v>
      </c>
      <c r="G66" s="30">
        <v>0.05</v>
      </c>
      <c r="H66" s="35">
        <f t="shared" si="12"/>
        <v>198.553</v>
      </c>
      <c r="I66" s="25"/>
      <c r="J66" s="25"/>
      <c r="K66" s="25"/>
      <c r="L66" s="25"/>
      <c r="M66" s="25"/>
      <c r="N66" s="25"/>
    </row>
    <row r="67" spans="1:14" x14ac:dyDescent="0.2">
      <c r="A67" s="26"/>
      <c r="B67" s="25"/>
      <c r="C67" s="29">
        <v>1580696</v>
      </c>
      <c r="D67" s="25"/>
      <c r="E67" s="29">
        <v>0</v>
      </c>
      <c r="F67" s="29">
        <f t="shared" si="13"/>
        <v>0</v>
      </c>
      <c r="G67" s="30">
        <v>0.05</v>
      </c>
      <c r="H67" s="35">
        <f t="shared" si="12"/>
        <v>0</v>
      </c>
      <c r="I67" s="25"/>
      <c r="J67" s="25"/>
      <c r="K67" s="25"/>
      <c r="L67" s="25"/>
      <c r="M67" s="25"/>
      <c r="N67" s="25"/>
    </row>
    <row r="68" spans="1:14" x14ac:dyDescent="0.2">
      <c r="A68" s="26"/>
      <c r="B68" s="25"/>
      <c r="C68" s="29">
        <v>797485</v>
      </c>
      <c r="D68" s="25"/>
      <c r="E68" s="29">
        <v>3248.42</v>
      </c>
      <c r="F68" s="29">
        <f t="shared" si="13"/>
        <v>3248.42</v>
      </c>
      <c r="G68" s="30">
        <v>0.05</v>
      </c>
      <c r="H68" s="35">
        <f t="shared" si="12"/>
        <v>162.42100000000002</v>
      </c>
      <c r="I68" s="25"/>
      <c r="J68" s="25"/>
      <c r="K68" s="25"/>
      <c r="L68" s="25"/>
      <c r="M68" s="25"/>
      <c r="N68" s="25"/>
    </row>
    <row r="69" spans="1:14" x14ac:dyDescent="0.2">
      <c r="A69" s="26"/>
      <c r="B69" s="25"/>
      <c r="C69" s="29">
        <v>2291406</v>
      </c>
      <c r="D69" s="25"/>
      <c r="E69" s="29">
        <f>8669.53+664.13</f>
        <v>9333.66</v>
      </c>
      <c r="F69" s="29">
        <f t="shared" si="13"/>
        <v>9333.66</v>
      </c>
      <c r="G69" s="30">
        <v>0.05</v>
      </c>
      <c r="H69" s="35">
        <f t="shared" si="12"/>
        <v>466.68299999999999</v>
      </c>
      <c r="I69" s="25"/>
      <c r="J69" s="25"/>
      <c r="K69" s="25"/>
      <c r="L69" s="25"/>
      <c r="M69" s="25"/>
      <c r="N69" s="25"/>
    </row>
    <row r="70" spans="1:14" x14ac:dyDescent="0.2">
      <c r="A70" s="26"/>
      <c r="B70" s="25"/>
      <c r="C70" s="29">
        <v>87134</v>
      </c>
      <c r="D70" s="25"/>
      <c r="E70" s="29">
        <v>354.92</v>
      </c>
      <c r="F70" s="29">
        <f t="shared" si="13"/>
        <v>354.92</v>
      </c>
      <c r="G70" s="30">
        <v>0.05</v>
      </c>
      <c r="H70" s="35">
        <f t="shared" si="12"/>
        <v>17.746000000000002</v>
      </c>
      <c r="I70" s="25"/>
      <c r="J70" s="25"/>
      <c r="K70" s="25"/>
      <c r="L70" s="25"/>
      <c r="M70" s="25"/>
      <c r="N70" s="25"/>
    </row>
    <row r="71" spans="1:14" x14ac:dyDescent="0.2">
      <c r="A71" s="26"/>
      <c r="B71" s="25"/>
      <c r="C71" s="29">
        <v>160101</v>
      </c>
      <c r="D71" s="25"/>
      <c r="E71" s="29">
        <v>652.15</v>
      </c>
      <c r="F71" s="29">
        <f t="shared" si="13"/>
        <v>652.15</v>
      </c>
      <c r="G71" s="30">
        <v>0.05</v>
      </c>
      <c r="H71" s="35">
        <f t="shared" si="12"/>
        <v>32.607500000000002</v>
      </c>
      <c r="I71" s="25"/>
      <c r="J71" s="25"/>
      <c r="K71" s="25"/>
      <c r="L71" s="25"/>
      <c r="M71" s="25"/>
      <c r="N71" s="25"/>
    </row>
    <row r="72" spans="1:14" x14ac:dyDescent="0.2">
      <c r="A72" s="26"/>
      <c r="B72" s="25"/>
      <c r="C72" s="29">
        <v>813634</v>
      </c>
      <c r="D72" s="25"/>
      <c r="E72" s="29">
        <v>3583.38</v>
      </c>
      <c r="F72" s="29">
        <f t="shared" si="13"/>
        <v>3583.38</v>
      </c>
      <c r="G72" s="30">
        <v>0.05</v>
      </c>
      <c r="H72" s="35">
        <f t="shared" si="12"/>
        <v>179.16900000000001</v>
      </c>
      <c r="I72" s="25"/>
      <c r="J72" s="25"/>
      <c r="K72" s="25"/>
      <c r="L72" s="25"/>
      <c r="M72" s="25"/>
      <c r="N72" s="25"/>
    </row>
    <row r="73" spans="1:14" x14ac:dyDescent="0.2">
      <c r="A73" s="26"/>
      <c r="B73" s="25"/>
      <c r="C73" s="29">
        <v>18111</v>
      </c>
      <c r="D73" s="25"/>
      <c r="E73" s="37">
        <v>79.77</v>
      </c>
      <c r="F73" s="37">
        <f t="shared" si="13"/>
        <v>79.77</v>
      </c>
      <c r="G73" s="30">
        <v>0.05</v>
      </c>
      <c r="H73" s="47">
        <f t="shared" si="12"/>
        <v>3.9885000000000002</v>
      </c>
      <c r="I73" s="25"/>
      <c r="J73" s="25"/>
      <c r="K73" s="25"/>
      <c r="L73" s="25"/>
      <c r="M73" s="25"/>
      <c r="N73" s="25"/>
    </row>
    <row r="74" spans="1:14" x14ac:dyDescent="0.2">
      <c r="A74" s="26"/>
      <c r="B74" s="25"/>
      <c r="C74" s="29">
        <v>1476135</v>
      </c>
      <c r="D74" s="25"/>
      <c r="E74" s="37">
        <v>7027.63</v>
      </c>
      <c r="F74" s="37">
        <f t="shared" si="13"/>
        <v>7027.63</v>
      </c>
      <c r="G74" s="30">
        <v>0.05</v>
      </c>
      <c r="H74" s="47">
        <f t="shared" si="12"/>
        <v>351.38150000000002</v>
      </c>
      <c r="I74" s="25"/>
      <c r="J74" s="25"/>
      <c r="K74" s="25"/>
      <c r="L74" s="25"/>
      <c r="M74" s="25"/>
      <c r="N74" s="25"/>
    </row>
    <row r="75" spans="1:14" x14ac:dyDescent="0.2">
      <c r="A75" s="26"/>
      <c r="B75" s="25"/>
      <c r="C75" s="29">
        <v>2777</v>
      </c>
      <c r="D75" s="25"/>
      <c r="E75" s="37">
        <v>13.22</v>
      </c>
      <c r="F75" s="37">
        <f t="shared" si="13"/>
        <v>13.22</v>
      </c>
      <c r="G75" s="30">
        <v>0.05</v>
      </c>
      <c r="H75" s="47">
        <f t="shared" si="12"/>
        <v>0.66100000000000003</v>
      </c>
      <c r="I75" s="25"/>
      <c r="J75" s="25"/>
      <c r="K75" s="25"/>
      <c r="L75" s="25"/>
      <c r="M75" s="25"/>
      <c r="N75" s="25"/>
    </row>
    <row r="76" spans="1:14" x14ac:dyDescent="0.2">
      <c r="A76" s="26"/>
      <c r="B76" s="25"/>
      <c r="C76" s="29">
        <f>C56</f>
        <v>1349174</v>
      </c>
      <c r="D76" s="25"/>
      <c r="E76" s="37">
        <v>7507.03</v>
      </c>
      <c r="F76" s="37">
        <f t="shared" si="13"/>
        <v>7507.03</v>
      </c>
      <c r="G76" s="30">
        <v>0.05</v>
      </c>
      <c r="H76" s="47">
        <f t="shared" si="12"/>
        <v>375.35149999999999</v>
      </c>
      <c r="I76" s="25"/>
      <c r="J76" s="25"/>
      <c r="K76" s="25"/>
      <c r="L76" s="25"/>
      <c r="M76" s="25"/>
      <c r="N76" s="25"/>
    </row>
    <row r="77" spans="1:14" ht="15" x14ac:dyDescent="0.35">
      <c r="A77" s="26"/>
      <c r="B77" s="25"/>
      <c r="C77" s="29">
        <f>C57</f>
        <v>152806</v>
      </c>
      <c r="D77" s="25"/>
      <c r="E77" s="42">
        <f>477.52+44-299</f>
        <v>222.51999999999998</v>
      </c>
      <c r="F77" s="42">
        <f t="shared" si="13"/>
        <v>222.51999999999998</v>
      </c>
      <c r="G77" s="30">
        <v>0.05</v>
      </c>
      <c r="H77" s="47">
        <f t="shared" si="12"/>
        <v>11.125999999999999</v>
      </c>
      <c r="I77" s="25"/>
      <c r="J77" s="25"/>
      <c r="K77" s="25"/>
      <c r="L77" s="25"/>
      <c r="M77" s="25"/>
      <c r="N77" s="25"/>
    </row>
    <row r="78" spans="1:14" x14ac:dyDescent="0.2">
      <c r="A78" s="26"/>
      <c r="B78" s="25"/>
      <c r="C78" s="25"/>
      <c r="D78" s="25"/>
      <c r="E78" s="29">
        <f>SUM(E63:E77)</f>
        <v>172490.28</v>
      </c>
      <c r="F78" s="29">
        <f>SUM(F63:F77)</f>
        <v>-266387.72000000003</v>
      </c>
      <c r="G78" s="25"/>
      <c r="H78" s="29">
        <f>SUM(H63:H77)</f>
        <v>-13319.386000000002</v>
      </c>
      <c r="I78" s="25"/>
      <c r="J78" s="25"/>
      <c r="K78" s="25"/>
      <c r="L78" s="25"/>
      <c r="M78" s="25"/>
      <c r="N78" s="25"/>
    </row>
    <row r="79" spans="1:14" x14ac:dyDescent="0.2">
      <c r="A79" s="26"/>
      <c r="B79" s="25"/>
      <c r="C79" s="25"/>
      <c r="D79" s="25"/>
      <c r="E79" s="29"/>
      <c r="F79" s="29"/>
      <c r="G79" s="25"/>
      <c r="H79" s="29">
        <f>H78-L33</f>
        <v>2682.5994999999984</v>
      </c>
      <c r="I79" s="25" t="s">
        <v>62</v>
      </c>
      <c r="J79" s="25"/>
      <c r="K79" s="25"/>
      <c r="L79" s="25"/>
      <c r="M79" s="25"/>
      <c r="N79" s="25"/>
    </row>
    <row r="80" spans="1:14" x14ac:dyDescent="0.2">
      <c r="A80" s="26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 x14ac:dyDescent="0.2">
      <c r="A81" s="26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</sheetData>
  <mergeCells count="3">
    <mergeCell ref="A1:N1"/>
    <mergeCell ref="A2:N2"/>
    <mergeCell ref="A3:N3"/>
  </mergeCells>
  <pageMargins left="0.7" right="0.7" top="1.15625" bottom="0.75" header="0.3" footer="0.3"/>
  <pageSetup scale="51" orientation="portrait" r:id="rId1"/>
  <headerFooter>
    <oddHeader>&amp;R&amp;"Times New Roman,Bold"&amp;12Attachment to Response to Question 3
Page 1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FEC07-78BE-472A-8100-99F9D807592D}">
  <dimension ref="A1:P54"/>
  <sheetViews>
    <sheetView zoomScaleNormal="100" workbookViewId="0">
      <selection sqref="A1:N1"/>
    </sheetView>
  </sheetViews>
  <sheetFormatPr defaultRowHeight="12.75" x14ac:dyDescent="0.2"/>
  <cols>
    <col min="1" max="1" width="11.28515625" style="9" customWidth="1"/>
    <col min="2" max="2" width="1.7109375" customWidth="1"/>
    <col min="3" max="3" width="12.7109375" customWidth="1"/>
    <col min="4" max="4" width="14.28515625" bestFit="1" customWidth="1"/>
    <col min="5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9.85546875" bestFit="1" customWidth="1"/>
  </cols>
  <sheetData>
    <row r="1" spans="1:16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6" x14ac:dyDescent="0.2">
      <c r="A2" s="2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x14ac:dyDescent="0.2">
      <c r="A5" s="4" t="s">
        <v>51</v>
      </c>
    </row>
    <row r="6" spans="1:16" x14ac:dyDescent="0.2">
      <c r="A6" s="5" t="s">
        <v>52</v>
      </c>
    </row>
    <row r="8" spans="1:16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6" x14ac:dyDescent="0.2">
      <c r="A9" s="9" t="s">
        <v>18</v>
      </c>
      <c r="M9" s="10">
        <v>558641</v>
      </c>
    </row>
    <row r="10" spans="1:16" x14ac:dyDescent="0.2">
      <c r="A10" s="12">
        <v>43533</v>
      </c>
      <c r="C10" s="13">
        <v>3077193</v>
      </c>
      <c r="D10" s="14">
        <v>6103</v>
      </c>
      <c r="E10" s="14">
        <f>8561.01</f>
        <v>8561.01</v>
      </c>
      <c r="F10" s="14">
        <f t="shared" ref="F10:F15" si="0">17122.02</f>
        <v>17122.02</v>
      </c>
      <c r="G10" s="13">
        <f t="shared" ref="G10:G33" si="1">E10-D10</f>
        <v>2458.0100000000002</v>
      </c>
      <c r="H10" s="13">
        <f t="shared" ref="H10:H33" si="2">F10-D10</f>
        <v>11019.02</v>
      </c>
      <c r="I10" s="15">
        <v>0.21</v>
      </c>
      <c r="J10" s="15">
        <v>0.05</v>
      </c>
      <c r="K10" s="13">
        <f t="shared" ref="K10:K33" si="3">G10*I10-L10*I10</f>
        <v>400.48239000000001</v>
      </c>
      <c r="L10" s="13">
        <f t="shared" ref="L10:L33" si="4">H10*J10</f>
        <v>550.95100000000002</v>
      </c>
      <c r="M10" s="13">
        <f t="shared" ref="M10:M33" si="5">M9+K10+L10</f>
        <v>559592.43339000002</v>
      </c>
      <c r="N10" s="13">
        <v>0</v>
      </c>
      <c r="O10" s="11"/>
      <c r="P10" s="17"/>
    </row>
    <row r="11" spans="1:16" x14ac:dyDescent="0.2">
      <c r="A11" s="12">
        <v>43556</v>
      </c>
      <c r="C11" s="13">
        <v>3077193</v>
      </c>
      <c r="D11" s="14">
        <v>6103</v>
      </c>
      <c r="E11" s="14">
        <f>8561.01</f>
        <v>8561.01</v>
      </c>
      <c r="F11" s="14">
        <f t="shared" si="0"/>
        <v>17122.02</v>
      </c>
      <c r="G11" s="13">
        <f t="shared" si="1"/>
        <v>2458.0100000000002</v>
      </c>
      <c r="H11" s="13">
        <f t="shared" si="2"/>
        <v>11019.02</v>
      </c>
      <c r="I11" s="15">
        <v>0.21</v>
      </c>
      <c r="J11" s="15">
        <v>0.05</v>
      </c>
      <c r="K11" s="13">
        <f t="shared" si="3"/>
        <v>400.48239000000001</v>
      </c>
      <c r="L11" s="13">
        <f t="shared" si="4"/>
        <v>550.95100000000002</v>
      </c>
      <c r="M11" s="13">
        <f t="shared" si="5"/>
        <v>560543.86678000004</v>
      </c>
      <c r="N11" s="13">
        <v>0</v>
      </c>
      <c r="O11" s="11"/>
      <c r="P11" s="17"/>
    </row>
    <row r="12" spans="1:16" x14ac:dyDescent="0.2">
      <c r="A12" s="12">
        <v>43586</v>
      </c>
      <c r="C12" s="13">
        <v>3077193</v>
      </c>
      <c r="D12" s="14">
        <v>3052</v>
      </c>
      <c r="E12" s="14">
        <f>8560.8</f>
        <v>8560.7999999999993</v>
      </c>
      <c r="F12" s="14">
        <f t="shared" si="0"/>
        <v>17122.02</v>
      </c>
      <c r="G12" s="13">
        <f t="shared" si="1"/>
        <v>5508.7999999999993</v>
      </c>
      <c r="H12" s="13">
        <f t="shared" si="2"/>
        <v>14070.02</v>
      </c>
      <c r="I12" s="15">
        <v>0.21</v>
      </c>
      <c r="J12" s="15">
        <v>0.05</v>
      </c>
      <c r="K12" s="13">
        <f t="shared" si="3"/>
        <v>1009.1127899999997</v>
      </c>
      <c r="L12" s="13">
        <f t="shared" si="4"/>
        <v>703.50100000000009</v>
      </c>
      <c r="M12" s="13">
        <f t="shared" si="5"/>
        <v>562256.48057000013</v>
      </c>
      <c r="N12" s="13">
        <v>0</v>
      </c>
      <c r="O12" s="23"/>
      <c r="P12" s="17"/>
    </row>
    <row r="13" spans="1:16" x14ac:dyDescent="0.2">
      <c r="A13" s="12">
        <v>43617</v>
      </c>
      <c r="C13" s="13">
        <v>3077193</v>
      </c>
      <c r="D13" s="14">
        <v>3052</v>
      </c>
      <c r="E13" s="14">
        <f>8561.01</f>
        <v>8561.01</v>
      </c>
      <c r="F13" s="14">
        <f t="shared" si="0"/>
        <v>17122.02</v>
      </c>
      <c r="G13" s="13">
        <f t="shared" si="1"/>
        <v>5509.01</v>
      </c>
      <c r="H13" s="13">
        <f t="shared" si="2"/>
        <v>14070.02</v>
      </c>
      <c r="I13" s="15">
        <v>0.21</v>
      </c>
      <c r="J13" s="15">
        <v>0.05</v>
      </c>
      <c r="K13" s="13">
        <f t="shared" si="3"/>
        <v>1009.15689</v>
      </c>
      <c r="L13" s="13">
        <f t="shared" si="4"/>
        <v>703.50100000000009</v>
      </c>
      <c r="M13" s="13">
        <f t="shared" si="5"/>
        <v>563969.13846000016</v>
      </c>
      <c r="N13" s="13">
        <v>0</v>
      </c>
      <c r="O13" s="23"/>
      <c r="P13" s="17"/>
    </row>
    <row r="14" spans="1:16" x14ac:dyDescent="0.2">
      <c r="A14" s="12">
        <v>43647</v>
      </c>
      <c r="C14" s="13">
        <v>3077193</v>
      </c>
      <c r="D14" s="14">
        <v>3052</v>
      </c>
      <c r="E14" s="14">
        <f>8561.01</f>
        <v>8561.01</v>
      </c>
      <c r="F14" s="14">
        <f t="shared" si="0"/>
        <v>17122.02</v>
      </c>
      <c r="G14" s="13">
        <f t="shared" si="1"/>
        <v>5509.01</v>
      </c>
      <c r="H14" s="13">
        <f t="shared" si="2"/>
        <v>14070.02</v>
      </c>
      <c r="I14" s="15">
        <v>0.21</v>
      </c>
      <c r="J14" s="15">
        <v>0.05</v>
      </c>
      <c r="K14" s="13">
        <f t="shared" si="3"/>
        <v>1009.15689</v>
      </c>
      <c r="L14" s="13">
        <f t="shared" si="4"/>
        <v>703.50100000000009</v>
      </c>
      <c r="M14" s="13">
        <f t="shared" si="5"/>
        <v>565681.79635000019</v>
      </c>
      <c r="N14" s="13">
        <v>0</v>
      </c>
      <c r="O14" s="13"/>
      <c r="P14" s="17"/>
    </row>
    <row r="15" spans="1:16" x14ac:dyDescent="0.2">
      <c r="A15" s="12">
        <v>43678</v>
      </c>
      <c r="C15" s="13">
        <v>3077193</v>
      </c>
      <c r="D15" s="14">
        <v>3051.5</v>
      </c>
      <c r="E15" s="14">
        <f>8560.9</f>
        <v>8560.9</v>
      </c>
      <c r="F15" s="14">
        <f t="shared" si="0"/>
        <v>17122.02</v>
      </c>
      <c r="G15" s="13">
        <f t="shared" si="1"/>
        <v>5509.4</v>
      </c>
      <c r="H15" s="13">
        <f t="shared" si="2"/>
        <v>14070.52</v>
      </c>
      <c r="I15" s="15">
        <v>0.21</v>
      </c>
      <c r="J15" s="15">
        <v>0.05</v>
      </c>
      <c r="K15" s="13">
        <f t="shared" si="3"/>
        <v>1009.2335399999999</v>
      </c>
      <c r="L15" s="13">
        <f t="shared" si="4"/>
        <v>703.52600000000007</v>
      </c>
      <c r="M15" s="13">
        <f t="shared" si="5"/>
        <v>567394.55589000019</v>
      </c>
      <c r="N15" s="13">
        <v>0</v>
      </c>
      <c r="P15" s="17"/>
    </row>
    <row r="16" spans="1:16" x14ac:dyDescent="0.2">
      <c r="A16" s="12">
        <v>43717</v>
      </c>
      <c r="B16" s="25"/>
      <c r="C16" s="29">
        <v>3077193</v>
      </c>
      <c r="D16" s="32">
        <v>3052</v>
      </c>
      <c r="E16" s="32">
        <f>8561.01-2</f>
        <v>8559.01</v>
      </c>
      <c r="F16" s="32">
        <f>17122.02</f>
        <v>17122.02</v>
      </c>
      <c r="G16" s="29">
        <f t="shared" si="1"/>
        <v>5507.01</v>
      </c>
      <c r="H16" s="29">
        <f t="shared" si="2"/>
        <v>14070.02</v>
      </c>
      <c r="I16" s="30">
        <v>0.21</v>
      </c>
      <c r="J16" s="30">
        <v>0.05</v>
      </c>
      <c r="K16" s="29">
        <f t="shared" si="3"/>
        <v>1008.7368899999999</v>
      </c>
      <c r="L16" s="29">
        <f t="shared" si="4"/>
        <v>703.50100000000009</v>
      </c>
      <c r="M16" s="29">
        <f t="shared" si="5"/>
        <v>569106.79378000018</v>
      </c>
      <c r="N16" s="29">
        <v>0</v>
      </c>
    </row>
    <row r="17" spans="1:14" x14ac:dyDescent="0.2">
      <c r="A17" s="12">
        <v>43739</v>
      </c>
      <c r="B17" s="25"/>
      <c r="C17" s="29">
        <v>3077193</v>
      </c>
      <c r="D17" s="32">
        <v>3051.5</v>
      </c>
      <c r="E17" s="32">
        <f>8561.01</f>
        <v>8561.01</v>
      </c>
      <c r="F17" s="32">
        <f>17122.02</f>
        <v>17122.02</v>
      </c>
      <c r="G17" s="29">
        <f t="shared" si="1"/>
        <v>5509.51</v>
      </c>
      <c r="H17" s="29">
        <f t="shared" si="2"/>
        <v>14070.52</v>
      </c>
      <c r="I17" s="30">
        <v>0.21</v>
      </c>
      <c r="J17" s="30">
        <v>0.05</v>
      </c>
      <c r="K17" s="29">
        <f t="shared" si="3"/>
        <v>1009.2566400000001</v>
      </c>
      <c r="L17" s="29">
        <f t="shared" si="4"/>
        <v>703.52600000000007</v>
      </c>
      <c r="M17" s="29">
        <f t="shared" si="5"/>
        <v>570819.57642000017</v>
      </c>
      <c r="N17" s="29">
        <v>0</v>
      </c>
    </row>
    <row r="18" spans="1:14" x14ac:dyDescent="0.2">
      <c r="A18" s="12">
        <v>43770</v>
      </c>
      <c r="B18" s="25"/>
      <c r="C18" s="29">
        <v>3077193</v>
      </c>
      <c r="D18" s="32">
        <v>3051.5</v>
      </c>
      <c r="E18" s="32">
        <f>8561.7</f>
        <v>8561.7000000000007</v>
      </c>
      <c r="F18" s="32">
        <f>17122.7</f>
        <v>17122.7</v>
      </c>
      <c r="G18" s="29">
        <f t="shared" si="1"/>
        <v>5510.2000000000007</v>
      </c>
      <c r="H18" s="29">
        <f t="shared" si="2"/>
        <v>14071.2</v>
      </c>
      <c r="I18" s="30">
        <v>0.21</v>
      </c>
      <c r="J18" s="30">
        <v>0.05</v>
      </c>
      <c r="K18" s="29">
        <f t="shared" si="3"/>
        <v>1009.3944</v>
      </c>
      <c r="L18" s="29">
        <f t="shared" si="4"/>
        <v>703.56000000000006</v>
      </c>
      <c r="M18" s="29">
        <f t="shared" si="5"/>
        <v>572532.53082000022</v>
      </c>
      <c r="N18" s="29">
        <v>0</v>
      </c>
    </row>
    <row r="19" spans="1:14" x14ac:dyDescent="0.2">
      <c r="A19" s="12">
        <v>43800</v>
      </c>
      <c r="B19" s="25"/>
      <c r="C19" s="29">
        <v>3077193</v>
      </c>
      <c r="D19" s="32">
        <v>3052</v>
      </c>
      <c r="E19" s="32">
        <f>8561.01+4</f>
        <v>8565.01</v>
      </c>
      <c r="F19" s="32">
        <f>17122.02</f>
        <v>17122.02</v>
      </c>
      <c r="G19" s="29">
        <f t="shared" si="1"/>
        <v>5513.01</v>
      </c>
      <c r="H19" s="29">
        <f t="shared" si="2"/>
        <v>14070.02</v>
      </c>
      <c r="I19" s="30">
        <v>0.21</v>
      </c>
      <c r="J19" s="30">
        <v>0.05</v>
      </c>
      <c r="K19" s="29">
        <f t="shared" si="3"/>
        <v>1009.9968899999999</v>
      </c>
      <c r="L19" s="29">
        <f t="shared" si="4"/>
        <v>703.50100000000009</v>
      </c>
      <c r="M19" s="29">
        <f t="shared" si="5"/>
        <v>574246.02871000022</v>
      </c>
      <c r="N19" s="29">
        <v>0</v>
      </c>
    </row>
    <row r="20" spans="1:14" x14ac:dyDescent="0.2">
      <c r="A20" s="12">
        <v>43831</v>
      </c>
      <c r="B20" s="25"/>
      <c r="C20" s="29">
        <v>3077193</v>
      </c>
      <c r="D20" s="32">
        <v>3052</v>
      </c>
      <c r="E20" s="32">
        <f t="shared" ref="E20:E26" si="6">7919.93</f>
        <v>7919.93</v>
      </c>
      <c r="F20" s="32">
        <v>15839.85</v>
      </c>
      <c r="G20" s="29">
        <f t="shared" si="1"/>
        <v>4867.93</v>
      </c>
      <c r="H20" s="29">
        <f t="shared" si="2"/>
        <v>12787.85</v>
      </c>
      <c r="I20" s="30">
        <v>0.21</v>
      </c>
      <c r="J20" s="30">
        <v>0.05</v>
      </c>
      <c r="K20" s="29">
        <f t="shared" si="3"/>
        <v>887.99287500000003</v>
      </c>
      <c r="L20" s="29">
        <f t="shared" si="4"/>
        <v>639.39250000000004</v>
      </c>
      <c r="M20" s="29">
        <f t="shared" si="5"/>
        <v>575773.41408500017</v>
      </c>
      <c r="N20" s="29">
        <v>0</v>
      </c>
    </row>
    <row r="21" spans="1:14" x14ac:dyDescent="0.2">
      <c r="A21" s="12">
        <v>43862</v>
      </c>
      <c r="B21" s="25"/>
      <c r="C21" s="29">
        <v>3077193</v>
      </c>
      <c r="D21" s="32">
        <v>3052</v>
      </c>
      <c r="E21" s="32">
        <f t="shared" si="6"/>
        <v>7919.93</v>
      </c>
      <c r="F21" s="32">
        <v>15839.85</v>
      </c>
      <c r="G21" s="29">
        <f t="shared" si="1"/>
        <v>4867.93</v>
      </c>
      <c r="H21" s="29">
        <f t="shared" si="2"/>
        <v>12787.85</v>
      </c>
      <c r="I21" s="30">
        <v>0.21</v>
      </c>
      <c r="J21" s="30">
        <v>0.05</v>
      </c>
      <c r="K21" s="29">
        <f t="shared" si="3"/>
        <v>887.99287500000003</v>
      </c>
      <c r="L21" s="29">
        <f t="shared" si="4"/>
        <v>639.39250000000004</v>
      </c>
      <c r="M21" s="29">
        <f t="shared" si="5"/>
        <v>577300.79946000013</v>
      </c>
      <c r="N21" s="29">
        <v>0</v>
      </c>
    </row>
    <row r="22" spans="1:14" x14ac:dyDescent="0.2">
      <c r="A22" s="12">
        <v>43899</v>
      </c>
      <c r="B22" s="25"/>
      <c r="C22" s="29">
        <v>3077193</v>
      </c>
      <c r="D22" s="32">
        <v>3052</v>
      </c>
      <c r="E22" s="31">
        <f t="shared" si="6"/>
        <v>7919.93</v>
      </c>
      <c r="F22" s="31">
        <v>15839.85</v>
      </c>
      <c r="G22" s="29">
        <f t="shared" si="1"/>
        <v>4867.93</v>
      </c>
      <c r="H22" s="29">
        <f t="shared" si="2"/>
        <v>12787.85</v>
      </c>
      <c r="I22" s="30">
        <v>0.21</v>
      </c>
      <c r="J22" s="30">
        <v>0.05</v>
      </c>
      <c r="K22" s="29">
        <f t="shared" si="3"/>
        <v>887.99287500000003</v>
      </c>
      <c r="L22" s="29">
        <f t="shared" si="4"/>
        <v>639.39250000000004</v>
      </c>
      <c r="M22" s="29">
        <f t="shared" si="5"/>
        <v>578828.18483500008</v>
      </c>
      <c r="N22" s="29">
        <v>0</v>
      </c>
    </row>
    <row r="23" spans="1:14" x14ac:dyDescent="0.2">
      <c r="A23" s="12">
        <v>43922</v>
      </c>
      <c r="B23" s="25"/>
      <c r="C23" s="29">
        <v>3077193</v>
      </c>
      <c r="D23" s="32">
        <v>3052</v>
      </c>
      <c r="E23" s="31">
        <f t="shared" si="6"/>
        <v>7919.93</v>
      </c>
      <c r="F23" s="31">
        <v>15839.85</v>
      </c>
      <c r="G23" s="29">
        <f t="shared" si="1"/>
        <v>4867.93</v>
      </c>
      <c r="H23" s="29">
        <f t="shared" si="2"/>
        <v>12787.85</v>
      </c>
      <c r="I23" s="30">
        <v>0.21</v>
      </c>
      <c r="J23" s="30">
        <v>0.05</v>
      </c>
      <c r="K23" s="29">
        <f t="shared" si="3"/>
        <v>887.99287500000003</v>
      </c>
      <c r="L23" s="29">
        <f t="shared" si="4"/>
        <v>639.39250000000004</v>
      </c>
      <c r="M23" s="29">
        <f t="shared" si="5"/>
        <v>580355.57021000003</v>
      </c>
      <c r="N23" s="29">
        <v>0</v>
      </c>
    </row>
    <row r="24" spans="1:14" x14ac:dyDescent="0.2">
      <c r="A24" s="12">
        <v>43952</v>
      </c>
      <c r="B24" s="25"/>
      <c r="C24" s="29">
        <v>3077193</v>
      </c>
      <c r="D24" s="32">
        <v>3052</v>
      </c>
      <c r="E24" s="31">
        <f t="shared" si="6"/>
        <v>7919.93</v>
      </c>
      <c r="F24" s="31">
        <v>15839.85</v>
      </c>
      <c r="G24" s="29">
        <f t="shared" si="1"/>
        <v>4867.93</v>
      </c>
      <c r="H24" s="29">
        <f t="shared" si="2"/>
        <v>12787.85</v>
      </c>
      <c r="I24" s="30">
        <v>0.21</v>
      </c>
      <c r="J24" s="30">
        <v>0.05</v>
      </c>
      <c r="K24" s="29">
        <f t="shared" si="3"/>
        <v>887.99287500000003</v>
      </c>
      <c r="L24" s="29">
        <f t="shared" si="4"/>
        <v>639.39250000000004</v>
      </c>
      <c r="M24" s="29">
        <f t="shared" si="5"/>
        <v>581882.95558499999</v>
      </c>
      <c r="N24" s="29">
        <v>0</v>
      </c>
    </row>
    <row r="25" spans="1:14" x14ac:dyDescent="0.2">
      <c r="A25" s="12">
        <v>43983</v>
      </c>
      <c r="B25" s="25"/>
      <c r="C25" s="29">
        <v>3077193</v>
      </c>
      <c r="D25" s="32">
        <v>3051.5</v>
      </c>
      <c r="E25" s="31">
        <f>7920.49</f>
        <v>7920.49</v>
      </c>
      <c r="F25" s="31">
        <v>15840.49</v>
      </c>
      <c r="G25" s="29">
        <f t="shared" si="1"/>
        <v>4868.99</v>
      </c>
      <c r="H25" s="29">
        <f t="shared" si="2"/>
        <v>12788.99</v>
      </c>
      <c r="I25" s="30">
        <v>0.21</v>
      </c>
      <c r="J25" s="30">
        <v>0.05</v>
      </c>
      <c r="K25" s="29">
        <f t="shared" si="3"/>
        <v>888.20350499999995</v>
      </c>
      <c r="L25" s="29">
        <f t="shared" si="4"/>
        <v>639.44950000000006</v>
      </c>
      <c r="M25" s="29">
        <f t="shared" si="5"/>
        <v>583410.60858999996</v>
      </c>
      <c r="N25" s="29">
        <v>0</v>
      </c>
    </row>
    <row r="26" spans="1:14" x14ac:dyDescent="0.2">
      <c r="A26" s="12">
        <v>44013</v>
      </c>
      <c r="B26" s="25"/>
      <c r="C26" s="29">
        <v>3077193</v>
      </c>
      <c r="D26" s="32">
        <v>3052</v>
      </c>
      <c r="E26" s="31">
        <f t="shared" si="6"/>
        <v>7919.93</v>
      </c>
      <c r="F26" s="31">
        <v>15839.85</v>
      </c>
      <c r="G26" s="29">
        <f t="shared" si="1"/>
        <v>4867.93</v>
      </c>
      <c r="H26" s="29">
        <f t="shared" si="2"/>
        <v>12787.85</v>
      </c>
      <c r="I26" s="30">
        <v>0.21</v>
      </c>
      <c r="J26" s="30">
        <v>0.05</v>
      </c>
      <c r="K26" s="29">
        <f t="shared" si="3"/>
        <v>887.99287500000003</v>
      </c>
      <c r="L26" s="29">
        <f t="shared" si="4"/>
        <v>639.39250000000004</v>
      </c>
      <c r="M26" s="29">
        <f t="shared" si="5"/>
        <v>584937.99396499991</v>
      </c>
      <c r="N26" s="29">
        <v>0</v>
      </c>
    </row>
    <row r="27" spans="1:14" x14ac:dyDescent="0.2">
      <c r="A27" s="12">
        <v>44044</v>
      </c>
      <c r="B27" s="25"/>
      <c r="C27" s="29">
        <v>3077193</v>
      </c>
      <c r="D27" s="32">
        <v>3052</v>
      </c>
      <c r="E27" s="31">
        <f>7919.93+2</f>
        <v>7921.93</v>
      </c>
      <c r="F27" s="31">
        <v>15839.85</v>
      </c>
      <c r="G27" s="29">
        <f t="shared" si="1"/>
        <v>4869.93</v>
      </c>
      <c r="H27" s="29">
        <f t="shared" si="2"/>
        <v>12787.85</v>
      </c>
      <c r="I27" s="30">
        <v>0.21</v>
      </c>
      <c r="J27" s="30">
        <v>0.05</v>
      </c>
      <c r="K27" s="29">
        <f t="shared" si="3"/>
        <v>888.41287499999999</v>
      </c>
      <c r="L27" s="29">
        <f t="shared" si="4"/>
        <v>639.39250000000004</v>
      </c>
      <c r="M27" s="29">
        <f t="shared" si="5"/>
        <v>586465.79933999991</v>
      </c>
      <c r="N27" s="29">
        <v>0</v>
      </c>
    </row>
    <row r="28" spans="1:14" x14ac:dyDescent="0.2">
      <c r="A28" s="12">
        <v>44083</v>
      </c>
      <c r="B28" s="25"/>
      <c r="C28" s="29">
        <v>3077193</v>
      </c>
      <c r="D28" s="32">
        <v>3051.55</v>
      </c>
      <c r="E28" s="31">
        <v>7919.93</v>
      </c>
      <c r="F28" s="31">
        <v>15839.85</v>
      </c>
      <c r="G28" s="29">
        <f t="shared" si="1"/>
        <v>4868.38</v>
      </c>
      <c r="H28" s="29">
        <f t="shared" si="2"/>
        <v>12788.3</v>
      </c>
      <c r="I28" s="30">
        <v>0.21</v>
      </c>
      <c r="J28" s="30">
        <v>0.05</v>
      </c>
      <c r="K28" s="29">
        <f t="shared" si="3"/>
        <v>888.08264999999994</v>
      </c>
      <c r="L28" s="29">
        <f t="shared" si="4"/>
        <v>639.41499999999996</v>
      </c>
      <c r="M28" s="29">
        <f t="shared" si="5"/>
        <v>587993.29698999994</v>
      </c>
      <c r="N28" s="29">
        <v>0</v>
      </c>
    </row>
    <row r="29" spans="1:14" x14ac:dyDescent="0.2">
      <c r="A29" s="12">
        <v>44105</v>
      </c>
      <c r="B29" s="25"/>
      <c r="C29" s="29">
        <v>3077193</v>
      </c>
      <c r="D29" s="32">
        <v>3051.55</v>
      </c>
      <c r="E29" s="31">
        <v>7919.93</v>
      </c>
      <c r="F29" s="31">
        <v>15839.85</v>
      </c>
      <c r="G29" s="29">
        <f t="shared" si="1"/>
        <v>4868.38</v>
      </c>
      <c r="H29" s="29">
        <f t="shared" si="2"/>
        <v>12788.3</v>
      </c>
      <c r="I29" s="30">
        <v>0.21</v>
      </c>
      <c r="J29" s="30">
        <v>0.05</v>
      </c>
      <c r="K29" s="29">
        <f t="shared" si="3"/>
        <v>888.08264999999994</v>
      </c>
      <c r="L29" s="29">
        <f t="shared" si="4"/>
        <v>639.41499999999996</v>
      </c>
      <c r="M29" s="29">
        <f t="shared" si="5"/>
        <v>589520.79463999998</v>
      </c>
      <c r="N29" s="29">
        <v>0</v>
      </c>
    </row>
    <row r="30" spans="1:14" x14ac:dyDescent="0.2">
      <c r="A30" s="12">
        <v>44136</v>
      </c>
      <c r="B30" s="25"/>
      <c r="C30" s="29">
        <v>3077193</v>
      </c>
      <c r="D30" s="32">
        <v>3051.55</v>
      </c>
      <c r="E30" s="31">
        <v>7919.93</v>
      </c>
      <c r="F30" s="31">
        <v>15839.85</v>
      </c>
      <c r="G30" s="29">
        <f t="shared" si="1"/>
        <v>4868.38</v>
      </c>
      <c r="H30" s="29">
        <f t="shared" si="2"/>
        <v>12788.3</v>
      </c>
      <c r="I30" s="30">
        <v>0.21</v>
      </c>
      <c r="J30" s="30">
        <v>0.05</v>
      </c>
      <c r="K30" s="29">
        <f t="shared" si="3"/>
        <v>888.08264999999994</v>
      </c>
      <c r="L30" s="29">
        <f t="shared" si="4"/>
        <v>639.41499999999996</v>
      </c>
      <c r="M30" s="29">
        <f t="shared" si="5"/>
        <v>591048.29229000001</v>
      </c>
      <c r="N30" s="29">
        <v>0</v>
      </c>
    </row>
    <row r="31" spans="1:14" x14ac:dyDescent="0.2">
      <c r="A31" s="12">
        <v>44166</v>
      </c>
      <c r="B31" s="25"/>
      <c r="C31" s="29">
        <v>3077193</v>
      </c>
      <c r="D31" s="32">
        <v>3051.55</v>
      </c>
      <c r="E31" s="31">
        <v>7919.93</v>
      </c>
      <c r="F31" s="31">
        <v>15839.85</v>
      </c>
      <c r="G31" s="29">
        <f t="shared" si="1"/>
        <v>4868.38</v>
      </c>
      <c r="H31" s="29">
        <f t="shared" si="2"/>
        <v>12788.3</v>
      </c>
      <c r="I31" s="30">
        <v>0.21</v>
      </c>
      <c r="J31" s="30">
        <v>0.05</v>
      </c>
      <c r="K31" s="29">
        <f t="shared" si="3"/>
        <v>888.08264999999994</v>
      </c>
      <c r="L31" s="29">
        <f t="shared" si="4"/>
        <v>639.41499999999996</v>
      </c>
      <c r="M31" s="29">
        <f t="shared" si="5"/>
        <v>592575.78994000005</v>
      </c>
      <c r="N31" s="29">
        <v>0</v>
      </c>
    </row>
    <row r="32" spans="1:14" x14ac:dyDescent="0.2">
      <c r="A32" s="12">
        <v>44197</v>
      </c>
      <c r="B32" s="25"/>
      <c r="C32" s="29">
        <v>3077193</v>
      </c>
      <c r="D32" s="32">
        <v>3051.55</v>
      </c>
      <c r="E32" s="31">
        <f>7324.5</f>
        <v>7324.5</v>
      </c>
      <c r="F32" s="31">
        <f>14650</f>
        <v>14650</v>
      </c>
      <c r="G32" s="29">
        <f t="shared" si="1"/>
        <v>4272.95</v>
      </c>
      <c r="H32" s="29">
        <f t="shared" si="2"/>
        <v>11598.45</v>
      </c>
      <c r="I32" s="30">
        <v>0.21</v>
      </c>
      <c r="J32" s="30">
        <v>0.05</v>
      </c>
      <c r="K32" s="29">
        <f t="shared" si="3"/>
        <v>775.53577499999994</v>
      </c>
      <c r="L32" s="29">
        <f t="shared" si="4"/>
        <v>579.92250000000001</v>
      </c>
      <c r="M32" s="29">
        <f t="shared" si="5"/>
        <v>593931.24821500003</v>
      </c>
      <c r="N32" s="29">
        <v>0</v>
      </c>
    </row>
    <row r="33" spans="1:14" x14ac:dyDescent="0.2">
      <c r="A33" s="12">
        <v>44228</v>
      </c>
      <c r="B33" s="25"/>
      <c r="C33" s="29">
        <v>3077193</v>
      </c>
      <c r="D33" s="32">
        <v>3051.55</v>
      </c>
      <c r="E33" s="32">
        <f>7325</f>
        <v>7325</v>
      </c>
      <c r="F33" s="31">
        <f>14650</f>
        <v>14650</v>
      </c>
      <c r="G33" s="29">
        <f t="shared" si="1"/>
        <v>4273.45</v>
      </c>
      <c r="H33" s="29">
        <f t="shared" si="2"/>
        <v>11598.45</v>
      </c>
      <c r="I33" s="30">
        <v>0.21</v>
      </c>
      <c r="J33" s="30">
        <v>0.05</v>
      </c>
      <c r="K33" s="29">
        <f t="shared" si="3"/>
        <v>775.64077499999996</v>
      </c>
      <c r="L33" s="29">
        <f t="shared" si="4"/>
        <v>579.92250000000001</v>
      </c>
      <c r="M33" s="29">
        <f t="shared" si="5"/>
        <v>595286.81148999999</v>
      </c>
      <c r="N33" s="29">
        <v>0</v>
      </c>
    </row>
    <row r="34" spans="1:14" x14ac:dyDescent="0.2">
      <c r="A34" s="33"/>
      <c r="B34" s="2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x14ac:dyDescent="0.2">
      <c r="A35" s="33"/>
      <c r="B35" s="25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">
      <c r="A36" s="33"/>
      <c r="B36" s="2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x14ac:dyDescent="0.2">
      <c r="A37" s="26"/>
      <c r="B37" s="25"/>
      <c r="C37" s="49" t="s">
        <v>53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">
      <c r="A38" s="26"/>
      <c r="B38" s="25"/>
      <c r="C38" s="49" t="s">
        <v>59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">
      <c r="A39" s="26"/>
      <c r="B39" s="25"/>
      <c r="C39" s="49" t="s">
        <v>60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">
      <c r="A40" s="26"/>
      <c r="B40" s="25"/>
      <c r="C40" s="29" t="s">
        <v>21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">
      <c r="A41" s="26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6"/>
      <c r="B42" s="25"/>
      <c r="C42" s="29" t="s">
        <v>22</v>
      </c>
      <c r="D42" s="41" t="s">
        <v>23</v>
      </c>
      <c r="E42" s="40" t="s">
        <v>24</v>
      </c>
      <c r="F42" s="29" t="s">
        <v>25</v>
      </c>
      <c r="G42" s="30" t="s">
        <v>12</v>
      </c>
      <c r="H42" s="29" t="s">
        <v>26</v>
      </c>
      <c r="I42" s="25"/>
      <c r="J42" s="25"/>
      <c r="K42" s="25"/>
      <c r="L42" s="25"/>
      <c r="M42" s="25"/>
      <c r="N42" s="25"/>
    </row>
    <row r="43" spans="1:14" x14ac:dyDescent="0.2">
      <c r="A43" s="26"/>
      <c r="B43" s="25"/>
      <c r="C43" s="29">
        <v>1386019</v>
      </c>
      <c r="D43" s="29">
        <v>3052</v>
      </c>
      <c r="E43" s="29">
        <v>6598.6</v>
      </c>
      <c r="F43" s="29">
        <f>E43-D43</f>
        <v>3546.6000000000004</v>
      </c>
      <c r="G43" s="30">
        <v>0.21</v>
      </c>
      <c r="H43" s="29">
        <f>F43*G43</f>
        <v>744.78600000000006</v>
      </c>
      <c r="I43" s="25"/>
      <c r="J43" s="25"/>
      <c r="K43" s="25"/>
      <c r="L43" s="25"/>
      <c r="M43" s="25"/>
      <c r="N43" s="25"/>
    </row>
    <row r="44" spans="1:14" ht="15" x14ac:dyDescent="0.35">
      <c r="A44" s="26"/>
      <c r="B44" s="25"/>
      <c r="C44" s="29">
        <v>152578</v>
      </c>
      <c r="D44" s="29"/>
      <c r="E44" s="42">
        <v>726.4</v>
      </c>
      <c r="F44" s="42">
        <f>E44-D44</f>
        <v>726.4</v>
      </c>
      <c r="G44" s="30">
        <v>0.21</v>
      </c>
      <c r="H44" s="42">
        <f>F44*G44</f>
        <v>152.54399999999998</v>
      </c>
      <c r="I44" s="25"/>
      <c r="J44" s="25"/>
      <c r="K44" s="25"/>
      <c r="L44" s="25"/>
      <c r="M44" s="25"/>
      <c r="N44" s="25"/>
    </row>
    <row r="45" spans="1:14" x14ac:dyDescent="0.2">
      <c r="A45" s="26"/>
      <c r="B45" s="25"/>
      <c r="C45" s="25"/>
      <c r="D45" s="25"/>
      <c r="E45" s="29">
        <f>SUM(E43:E44)</f>
        <v>7325</v>
      </c>
      <c r="F45" s="29">
        <f>SUM(F43:F44)</f>
        <v>4273</v>
      </c>
      <c r="G45" s="36" t="s">
        <v>27</v>
      </c>
      <c r="H45" s="29">
        <f>SUM(H43:H44)</f>
        <v>897.33</v>
      </c>
      <c r="I45" s="25"/>
      <c r="J45" s="25"/>
      <c r="K45" s="25"/>
      <c r="L45" s="25"/>
      <c r="M45" s="25"/>
      <c r="N45" s="25"/>
    </row>
    <row r="46" spans="1:14" ht="15" x14ac:dyDescent="0.35">
      <c r="A46" s="26"/>
      <c r="B46" s="25"/>
      <c r="C46" s="25"/>
      <c r="D46" s="25"/>
      <c r="E46" s="25"/>
      <c r="F46" s="25"/>
      <c r="G46" s="36" t="s">
        <v>28</v>
      </c>
      <c r="H46" s="42">
        <f>-H52*0.21</f>
        <v>-121.77910499999999</v>
      </c>
      <c r="I46" s="25"/>
      <c r="J46" s="25"/>
      <c r="K46" s="25"/>
      <c r="L46" s="25"/>
      <c r="M46" s="25"/>
      <c r="N46" s="25"/>
    </row>
    <row r="47" spans="1:14" x14ac:dyDescent="0.2">
      <c r="A47" s="26"/>
      <c r="B47" s="25"/>
      <c r="C47" s="25"/>
      <c r="D47" s="25"/>
      <c r="E47" s="25"/>
      <c r="F47" s="25"/>
      <c r="G47" s="25"/>
      <c r="H47" s="29">
        <f>H45+H46</f>
        <v>775.55089500000008</v>
      </c>
      <c r="I47" s="25"/>
      <c r="J47" s="25"/>
      <c r="K47" s="25"/>
      <c r="L47" s="25"/>
      <c r="M47" s="25"/>
      <c r="N47" s="25"/>
    </row>
    <row r="48" spans="1:14" x14ac:dyDescent="0.2">
      <c r="A48" s="26"/>
      <c r="B48" s="25"/>
      <c r="C48" s="25"/>
      <c r="D48" s="25"/>
      <c r="E48" s="25"/>
      <c r="F48" s="25"/>
      <c r="G48" s="25"/>
      <c r="H48" s="29">
        <f>H47-K33</f>
        <v>-8.9879999999880056E-2</v>
      </c>
      <c r="I48" s="25"/>
      <c r="J48" s="25"/>
      <c r="K48" s="25"/>
      <c r="L48" s="25"/>
      <c r="M48" s="25"/>
      <c r="N48" s="25"/>
    </row>
    <row r="49" spans="1:14" x14ac:dyDescent="0.2">
      <c r="A49" s="26"/>
      <c r="B49" s="25"/>
      <c r="C49" s="29" t="s">
        <v>30</v>
      </c>
      <c r="D49" s="39" t="s">
        <v>23</v>
      </c>
      <c r="E49" s="40" t="s">
        <v>31</v>
      </c>
      <c r="F49" s="29" t="s">
        <v>32</v>
      </c>
      <c r="G49" s="30" t="s">
        <v>13</v>
      </c>
      <c r="H49" s="29" t="s">
        <v>33</v>
      </c>
      <c r="I49" s="25"/>
      <c r="J49" s="25"/>
      <c r="K49" s="25"/>
      <c r="L49" s="25"/>
      <c r="M49" s="25"/>
      <c r="N49" s="25"/>
    </row>
    <row r="50" spans="1:14" x14ac:dyDescent="0.2">
      <c r="A50" s="26"/>
      <c r="B50" s="25"/>
      <c r="C50" s="29">
        <v>2772037</v>
      </c>
      <c r="D50" s="29">
        <f>D43</f>
        <v>3052</v>
      </c>
      <c r="E50" s="29">
        <v>13197.21</v>
      </c>
      <c r="F50" s="29">
        <f>E50-D50</f>
        <v>10145.209999999999</v>
      </c>
      <c r="G50" s="30">
        <v>0.05</v>
      </c>
      <c r="H50" s="29">
        <f>F50*G50</f>
        <v>507.26049999999998</v>
      </c>
      <c r="I50" s="25"/>
      <c r="J50" s="25"/>
      <c r="K50" s="25"/>
      <c r="L50" s="25"/>
      <c r="M50" s="25"/>
      <c r="N50" s="25"/>
    </row>
    <row r="51" spans="1:14" ht="15" x14ac:dyDescent="0.35">
      <c r="A51" s="26"/>
      <c r="B51" s="25"/>
      <c r="C51" s="29">
        <v>305156</v>
      </c>
      <c r="D51" s="25"/>
      <c r="E51" s="42">
        <v>1452.8</v>
      </c>
      <c r="F51" s="42">
        <f>E51-D51</f>
        <v>1452.8</v>
      </c>
      <c r="G51" s="30">
        <v>0.05</v>
      </c>
      <c r="H51" s="42">
        <f>F51*G51</f>
        <v>72.64</v>
      </c>
      <c r="I51" s="25"/>
      <c r="J51" s="25"/>
      <c r="K51" s="25"/>
      <c r="L51" s="25"/>
      <c r="M51" s="25"/>
      <c r="N51" s="25"/>
    </row>
    <row r="52" spans="1:14" x14ac:dyDescent="0.2">
      <c r="A52" s="26"/>
      <c r="B52" s="25"/>
      <c r="C52" s="25"/>
      <c r="D52" s="25"/>
      <c r="E52" s="29">
        <f>SUM(E50:E51)</f>
        <v>14650.009999999998</v>
      </c>
      <c r="F52" s="29">
        <f>SUM(F50:F51)</f>
        <v>11598.009999999998</v>
      </c>
      <c r="G52" s="25"/>
      <c r="H52" s="29">
        <f>SUM(H50:H51)</f>
        <v>579.90049999999997</v>
      </c>
      <c r="I52" s="25"/>
      <c r="J52" s="25"/>
      <c r="K52" s="25"/>
      <c r="L52" s="25"/>
      <c r="M52" s="25"/>
      <c r="N52" s="25"/>
    </row>
    <row r="53" spans="1:14" x14ac:dyDescent="0.2">
      <c r="A53" s="26"/>
      <c r="B53" s="25"/>
      <c r="C53" s="25"/>
      <c r="D53" s="25"/>
      <c r="E53" s="25"/>
      <c r="F53" s="25"/>
      <c r="G53" s="25"/>
      <c r="H53" s="29">
        <f>H52-L33</f>
        <v>-2.2000000000048203E-2</v>
      </c>
      <c r="I53" s="25"/>
      <c r="J53" s="25"/>
      <c r="K53" s="25"/>
      <c r="L53" s="25"/>
      <c r="M53" s="25"/>
      <c r="N53" s="25"/>
    </row>
    <row r="54" spans="1:14" x14ac:dyDescent="0.2">
      <c r="A54" s="2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</sheetData>
  <mergeCells count="1">
    <mergeCell ref="A1:N1"/>
  </mergeCells>
  <pageMargins left="0.7" right="0.7" top="1.15625" bottom="0.75" header="0.3" footer="0.3"/>
  <pageSetup scale="52" orientation="portrait" r:id="rId1"/>
  <headerFooter>
    <oddHeader>&amp;R&amp;"Times New Roman,Bold"&amp;12Attachment to Response to Question 3
Page 10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D08F9-6459-40A8-AC4B-98C0A8E6977E}">
  <dimension ref="A1:P60"/>
  <sheetViews>
    <sheetView zoomScaleNormal="100" workbookViewId="0">
      <selection sqref="A1:N1"/>
    </sheetView>
  </sheetViews>
  <sheetFormatPr defaultRowHeight="12.75" x14ac:dyDescent="0.2"/>
  <cols>
    <col min="1" max="1" width="11.28515625" style="9" customWidth="1"/>
    <col min="2" max="2" width="1.7109375" customWidth="1"/>
    <col min="3" max="3" width="12.7109375" customWidth="1"/>
    <col min="4" max="4" width="14.28515625" bestFit="1" customWidth="1"/>
    <col min="5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2.85546875" bestFit="1" customWidth="1"/>
  </cols>
  <sheetData>
    <row r="1" spans="1:16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6" x14ac:dyDescent="0.2">
      <c r="A2" s="2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x14ac:dyDescent="0.2">
      <c r="A5" s="4" t="s">
        <v>51</v>
      </c>
    </row>
    <row r="6" spans="1:16" x14ac:dyDescent="0.2">
      <c r="A6" s="5" t="s">
        <v>54</v>
      </c>
    </row>
    <row r="8" spans="1:16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6" x14ac:dyDescent="0.2">
      <c r="A9" s="9" t="s">
        <v>18</v>
      </c>
      <c r="M9" s="10">
        <v>433407</v>
      </c>
    </row>
    <row r="10" spans="1:16" x14ac:dyDescent="0.2">
      <c r="A10" s="12">
        <v>43533</v>
      </c>
      <c r="C10" s="13">
        <v>4236945</v>
      </c>
      <c r="D10" s="14">
        <v>12346</v>
      </c>
      <c r="E10" s="14">
        <f>24350.39</f>
        <v>24350.39</v>
      </c>
      <c r="F10" s="14">
        <f t="shared" ref="F10:F15" si="0">43655.89</f>
        <v>43655.89</v>
      </c>
      <c r="G10" s="13">
        <f t="shared" ref="G10:G33" si="1">E10-D10</f>
        <v>12004.39</v>
      </c>
      <c r="H10" s="13">
        <f t="shared" ref="H10:H33" si="2">F10-D10</f>
        <v>31309.89</v>
      </c>
      <c r="I10" s="15">
        <v>0.21</v>
      </c>
      <c r="J10" s="15">
        <v>0.05</v>
      </c>
      <c r="K10" s="13">
        <f t="shared" ref="K10:K33" si="3">G10*I10-L10*I10</f>
        <v>2192.1680549999996</v>
      </c>
      <c r="L10" s="13">
        <f t="shared" ref="L10:L33" si="4">H10*J10</f>
        <v>1565.4945</v>
      </c>
      <c r="M10" s="13">
        <f t="shared" ref="M10:M33" si="5">M9+K10+L10</f>
        <v>437164.66255499999</v>
      </c>
      <c r="N10" s="13">
        <v>0</v>
      </c>
      <c r="O10" s="11"/>
      <c r="P10" s="17"/>
    </row>
    <row r="11" spans="1:16" x14ac:dyDescent="0.2">
      <c r="A11" s="12">
        <v>43556</v>
      </c>
      <c r="C11" s="13">
        <v>4236945</v>
      </c>
      <c r="D11" s="14">
        <v>12346</v>
      </c>
      <c r="E11" s="14">
        <f>24350.39</f>
        <v>24350.39</v>
      </c>
      <c r="F11" s="14">
        <f t="shared" si="0"/>
        <v>43655.89</v>
      </c>
      <c r="G11" s="13">
        <f t="shared" si="1"/>
        <v>12004.39</v>
      </c>
      <c r="H11" s="13">
        <f t="shared" si="2"/>
        <v>31309.89</v>
      </c>
      <c r="I11" s="15">
        <v>0.21</v>
      </c>
      <c r="J11" s="15">
        <v>0.05</v>
      </c>
      <c r="K11" s="13">
        <f t="shared" si="3"/>
        <v>2192.1680549999996</v>
      </c>
      <c r="L11" s="13">
        <f t="shared" si="4"/>
        <v>1565.4945</v>
      </c>
      <c r="M11" s="13">
        <f t="shared" si="5"/>
        <v>440922.32510999998</v>
      </c>
      <c r="N11" s="13">
        <v>0</v>
      </c>
      <c r="O11" s="11"/>
      <c r="P11" s="17"/>
    </row>
    <row r="12" spans="1:16" x14ac:dyDescent="0.2">
      <c r="A12" s="12">
        <v>43586</v>
      </c>
      <c r="C12" s="13">
        <v>4236945</v>
      </c>
      <c r="D12" s="14">
        <v>10752</v>
      </c>
      <c r="E12" s="14">
        <f>24350.39-3.29</f>
        <v>24347.1</v>
      </c>
      <c r="F12" s="14">
        <f t="shared" si="0"/>
        <v>43655.89</v>
      </c>
      <c r="G12" s="13">
        <f t="shared" si="1"/>
        <v>13595.099999999999</v>
      </c>
      <c r="H12" s="13">
        <f t="shared" si="2"/>
        <v>32903.89</v>
      </c>
      <c r="I12" s="15">
        <v>0.21</v>
      </c>
      <c r="J12" s="15">
        <v>0.05</v>
      </c>
      <c r="K12" s="13">
        <f t="shared" si="3"/>
        <v>2509.4801549999997</v>
      </c>
      <c r="L12" s="13">
        <f t="shared" si="4"/>
        <v>1645.1945000000001</v>
      </c>
      <c r="M12" s="13">
        <f t="shared" si="5"/>
        <v>445076.99976499996</v>
      </c>
      <c r="N12" s="13">
        <v>0</v>
      </c>
      <c r="O12" s="23"/>
      <c r="P12" s="17"/>
    </row>
    <row r="13" spans="1:16" x14ac:dyDescent="0.2">
      <c r="A13" s="12">
        <v>43617</v>
      </c>
      <c r="C13" s="13">
        <v>4236945</v>
      </c>
      <c r="D13" s="14">
        <v>10752</v>
      </c>
      <c r="E13" s="14">
        <f>24350.39+2</f>
        <v>24352.39</v>
      </c>
      <c r="F13" s="14">
        <f t="shared" si="0"/>
        <v>43655.89</v>
      </c>
      <c r="G13" s="13">
        <f t="shared" si="1"/>
        <v>13600.39</v>
      </c>
      <c r="H13" s="13">
        <f t="shared" si="2"/>
        <v>32903.89</v>
      </c>
      <c r="I13" s="15">
        <v>0.21</v>
      </c>
      <c r="J13" s="15">
        <v>0.05</v>
      </c>
      <c r="K13" s="13">
        <f t="shared" si="3"/>
        <v>2510.5910549999999</v>
      </c>
      <c r="L13" s="13">
        <f t="shared" si="4"/>
        <v>1645.1945000000001</v>
      </c>
      <c r="M13" s="13">
        <f t="shared" si="5"/>
        <v>449232.78531999997</v>
      </c>
      <c r="N13" s="13">
        <v>0</v>
      </c>
      <c r="O13" s="23"/>
      <c r="P13" s="17"/>
    </row>
    <row r="14" spans="1:16" x14ac:dyDescent="0.2">
      <c r="A14" s="12">
        <v>43647</v>
      </c>
      <c r="C14" s="13">
        <v>4236945</v>
      </c>
      <c r="D14" s="14">
        <v>10752</v>
      </c>
      <c r="E14" s="14">
        <f>24350.39</f>
        <v>24350.39</v>
      </c>
      <c r="F14" s="14">
        <f t="shared" si="0"/>
        <v>43655.89</v>
      </c>
      <c r="G14" s="13">
        <f t="shared" si="1"/>
        <v>13598.39</v>
      </c>
      <c r="H14" s="13">
        <f t="shared" si="2"/>
        <v>32903.89</v>
      </c>
      <c r="I14" s="15">
        <v>0.21</v>
      </c>
      <c r="J14" s="15">
        <v>0.05</v>
      </c>
      <c r="K14" s="13">
        <f t="shared" si="3"/>
        <v>2510.1710549999998</v>
      </c>
      <c r="L14" s="13">
        <f t="shared" si="4"/>
        <v>1645.1945000000001</v>
      </c>
      <c r="M14" s="13">
        <f t="shared" si="5"/>
        <v>453388.15087499993</v>
      </c>
      <c r="N14" s="13">
        <v>0</v>
      </c>
      <c r="O14" s="13"/>
      <c r="P14" s="17"/>
    </row>
    <row r="15" spans="1:16" x14ac:dyDescent="0.2">
      <c r="A15" s="12">
        <v>43678</v>
      </c>
      <c r="C15" s="13">
        <v>4236945</v>
      </c>
      <c r="D15" s="14">
        <v>10752</v>
      </c>
      <c r="E15" s="14">
        <f>24350.39</f>
        <v>24350.39</v>
      </c>
      <c r="F15" s="14">
        <f t="shared" si="0"/>
        <v>43655.89</v>
      </c>
      <c r="G15" s="13">
        <f t="shared" si="1"/>
        <v>13598.39</v>
      </c>
      <c r="H15" s="13">
        <f t="shared" si="2"/>
        <v>32903.89</v>
      </c>
      <c r="I15" s="15">
        <v>0.21</v>
      </c>
      <c r="J15" s="15">
        <v>0.05</v>
      </c>
      <c r="K15" s="13">
        <f t="shared" si="3"/>
        <v>2510.1710549999998</v>
      </c>
      <c r="L15" s="13">
        <f t="shared" si="4"/>
        <v>1645.1945000000001</v>
      </c>
      <c r="M15" s="13">
        <f t="shared" si="5"/>
        <v>457543.5164299999</v>
      </c>
      <c r="N15" s="13">
        <v>0</v>
      </c>
      <c r="P15" s="17"/>
    </row>
    <row r="16" spans="1:16" x14ac:dyDescent="0.2">
      <c r="A16" s="12">
        <v>43717</v>
      </c>
      <c r="B16" s="25"/>
      <c r="C16" s="29">
        <v>4236945</v>
      </c>
      <c r="D16" s="32">
        <v>10752</v>
      </c>
      <c r="E16" s="32">
        <f>24350.39</f>
        <v>24350.39</v>
      </c>
      <c r="F16" s="32">
        <f>43655.89</f>
        <v>43655.89</v>
      </c>
      <c r="G16" s="29">
        <f t="shared" si="1"/>
        <v>13598.39</v>
      </c>
      <c r="H16" s="29">
        <f t="shared" si="2"/>
        <v>32903.89</v>
      </c>
      <c r="I16" s="30">
        <v>0.21</v>
      </c>
      <c r="J16" s="30">
        <v>0.05</v>
      </c>
      <c r="K16" s="29">
        <f t="shared" si="3"/>
        <v>2510.1710549999998</v>
      </c>
      <c r="L16" s="29">
        <f t="shared" si="4"/>
        <v>1645.1945000000001</v>
      </c>
      <c r="M16" s="29">
        <f t="shared" si="5"/>
        <v>461698.88198499987</v>
      </c>
      <c r="N16" s="29">
        <v>0</v>
      </c>
      <c r="P16" s="17"/>
    </row>
    <row r="17" spans="1:16" x14ac:dyDescent="0.2">
      <c r="A17" s="12">
        <v>43739</v>
      </c>
      <c r="B17" s="25"/>
      <c r="C17" s="29">
        <v>4236945</v>
      </c>
      <c r="D17" s="32">
        <v>10752</v>
      </c>
      <c r="E17" s="32">
        <f>24350.39-2</f>
        <v>24348.39</v>
      </c>
      <c r="F17" s="32">
        <f>43655.89</f>
        <v>43655.89</v>
      </c>
      <c r="G17" s="29">
        <f t="shared" si="1"/>
        <v>13596.39</v>
      </c>
      <c r="H17" s="29">
        <f t="shared" si="2"/>
        <v>32903.89</v>
      </c>
      <c r="I17" s="30">
        <v>0.21</v>
      </c>
      <c r="J17" s="30">
        <v>0.05</v>
      </c>
      <c r="K17" s="29">
        <f t="shared" si="3"/>
        <v>2509.7510550000002</v>
      </c>
      <c r="L17" s="29">
        <f t="shared" si="4"/>
        <v>1645.1945000000001</v>
      </c>
      <c r="M17" s="29">
        <f t="shared" si="5"/>
        <v>465853.82753999985</v>
      </c>
      <c r="N17" s="29">
        <v>0</v>
      </c>
      <c r="P17" s="17"/>
    </row>
    <row r="18" spans="1:16" x14ac:dyDescent="0.2">
      <c r="A18" s="12">
        <v>43770</v>
      </c>
      <c r="B18" s="25"/>
      <c r="C18" s="29">
        <v>4236945</v>
      </c>
      <c r="D18" s="32">
        <v>10751.5</v>
      </c>
      <c r="E18" s="32">
        <f>24351.2</f>
        <v>24351.200000000001</v>
      </c>
      <c r="F18" s="32">
        <f>43657.2</f>
        <v>43657.2</v>
      </c>
      <c r="G18" s="29">
        <f t="shared" si="1"/>
        <v>13599.7</v>
      </c>
      <c r="H18" s="29">
        <f t="shared" si="2"/>
        <v>32905.699999999997</v>
      </c>
      <c r="I18" s="30">
        <v>0.21</v>
      </c>
      <c r="J18" s="30">
        <v>0.05</v>
      </c>
      <c r="K18" s="29">
        <f t="shared" si="3"/>
        <v>2510.42715</v>
      </c>
      <c r="L18" s="29">
        <f t="shared" si="4"/>
        <v>1645.2849999999999</v>
      </c>
      <c r="M18" s="29">
        <f t="shared" si="5"/>
        <v>470009.53968999983</v>
      </c>
      <c r="N18" s="29">
        <v>0</v>
      </c>
    </row>
    <row r="19" spans="1:16" x14ac:dyDescent="0.2">
      <c r="A19" s="12">
        <v>43800</v>
      </c>
      <c r="B19" s="25"/>
      <c r="C19" s="29">
        <v>4236945</v>
      </c>
      <c r="D19" s="32">
        <v>10752</v>
      </c>
      <c r="E19" s="32">
        <f>24350.39</f>
        <v>24350.39</v>
      </c>
      <c r="F19" s="32">
        <f>43655.89</f>
        <v>43655.89</v>
      </c>
      <c r="G19" s="29">
        <f t="shared" si="1"/>
        <v>13598.39</v>
      </c>
      <c r="H19" s="29">
        <f t="shared" si="2"/>
        <v>32903.89</v>
      </c>
      <c r="I19" s="30">
        <v>0.21</v>
      </c>
      <c r="J19" s="30">
        <v>0.05</v>
      </c>
      <c r="K19" s="29">
        <f t="shared" si="3"/>
        <v>2510.1710549999998</v>
      </c>
      <c r="L19" s="29">
        <f t="shared" si="4"/>
        <v>1645.1945000000001</v>
      </c>
      <c r="M19" s="29">
        <f t="shared" si="5"/>
        <v>474164.9052449998</v>
      </c>
      <c r="N19" s="29">
        <v>0</v>
      </c>
    </row>
    <row r="20" spans="1:16" x14ac:dyDescent="0.2">
      <c r="A20" s="12">
        <v>43831</v>
      </c>
      <c r="B20" s="25"/>
      <c r="C20" s="29">
        <v>4236945</v>
      </c>
      <c r="D20" s="32">
        <v>10752</v>
      </c>
      <c r="E20" s="32">
        <f>23919.93</f>
        <v>23919.93</v>
      </c>
      <c r="F20" s="32">
        <v>42890.41</v>
      </c>
      <c r="G20" s="29">
        <f t="shared" si="1"/>
        <v>13167.93</v>
      </c>
      <c r="H20" s="29">
        <f t="shared" si="2"/>
        <v>32138.410000000003</v>
      </c>
      <c r="I20" s="30">
        <v>0.21</v>
      </c>
      <c r="J20" s="30">
        <v>0.05</v>
      </c>
      <c r="K20" s="29">
        <f t="shared" si="3"/>
        <v>2427.811995</v>
      </c>
      <c r="L20" s="29">
        <f t="shared" si="4"/>
        <v>1606.9205000000002</v>
      </c>
      <c r="M20" s="29">
        <f t="shared" si="5"/>
        <v>478199.6377399998</v>
      </c>
      <c r="N20" s="29">
        <v>0</v>
      </c>
    </row>
    <row r="21" spans="1:16" x14ac:dyDescent="0.2">
      <c r="A21" s="12">
        <v>43862</v>
      </c>
      <c r="B21" s="25"/>
      <c r="C21" s="29">
        <v>4236945</v>
      </c>
      <c r="D21" s="32">
        <v>10751.5</v>
      </c>
      <c r="E21" s="32">
        <f>23920.49</f>
        <v>23920.49</v>
      </c>
      <c r="F21" s="32">
        <v>42890.41</v>
      </c>
      <c r="G21" s="29">
        <f t="shared" si="1"/>
        <v>13168.990000000002</v>
      </c>
      <c r="H21" s="29">
        <f t="shared" si="2"/>
        <v>32138.910000000003</v>
      </c>
      <c r="I21" s="30">
        <v>0.21</v>
      </c>
      <c r="J21" s="30">
        <v>0.05</v>
      </c>
      <c r="K21" s="29">
        <f t="shared" si="3"/>
        <v>2428.0293449999999</v>
      </c>
      <c r="L21" s="29">
        <f t="shared" si="4"/>
        <v>1606.9455000000003</v>
      </c>
      <c r="M21" s="29">
        <f t="shared" si="5"/>
        <v>482234.61258499976</v>
      </c>
      <c r="N21" s="29">
        <v>0</v>
      </c>
    </row>
    <row r="22" spans="1:16" x14ac:dyDescent="0.2">
      <c r="A22" s="12">
        <v>43899</v>
      </c>
      <c r="B22" s="25"/>
      <c r="C22" s="29">
        <v>4236945</v>
      </c>
      <c r="D22" s="32">
        <v>10751.5</v>
      </c>
      <c r="E22" s="31">
        <f>23920.49</f>
        <v>23920.49</v>
      </c>
      <c r="F22" s="31">
        <v>42890.41</v>
      </c>
      <c r="G22" s="29">
        <f t="shared" si="1"/>
        <v>13168.990000000002</v>
      </c>
      <c r="H22" s="29">
        <f t="shared" si="2"/>
        <v>32138.910000000003</v>
      </c>
      <c r="I22" s="30">
        <v>0.21</v>
      </c>
      <c r="J22" s="30">
        <v>0.05</v>
      </c>
      <c r="K22" s="29">
        <f t="shared" si="3"/>
        <v>2428.0293449999999</v>
      </c>
      <c r="L22" s="29">
        <f t="shared" si="4"/>
        <v>1606.9455000000003</v>
      </c>
      <c r="M22" s="29">
        <f t="shared" si="5"/>
        <v>486269.58742999972</v>
      </c>
      <c r="N22" s="29">
        <v>0</v>
      </c>
    </row>
    <row r="23" spans="1:16" x14ac:dyDescent="0.2">
      <c r="A23" s="12">
        <v>43922</v>
      </c>
      <c r="B23" s="25"/>
      <c r="C23" s="29">
        <v>4236945</v>
      </c>
      <c r="D23" s="32">
        <v>10752</v>
      </c>
      <c r="E23" s="31">
        <f t="shared" ref="E23:E27" si="6">23919.93</f>
        <v>23919.93</v>
      </c>
      <c r="F23" s="31">
        <v>42890.41</v>
      </c>
      <c r="G23" s="29">
        <f t="shared" si="1"/>
        <v>13167.93</v>
      </c>
      <c r="H23" s="29">
        <f t="shared" si="2"/>
        <v>32138.410000000003</v>
      </c>
      <c r="I23" s="30">
        <v>0.21</v>
      </c>
      <c r="J23" s="30">
        <v>0.05</v>
      </c>
      <c r="K23" s="29">
        <f t="shared" si="3"/>
        <v>2427.811995</v>
      </c>
      <c r="L23" s="29">
        <f t="shared" si="4"/>
        <v>1606.9205000000002</v>
      </c>
      <c r="M23" s="29">
        <f t="shared" si="5"/>
        <v>490304.31992499973</v>
      </c>
      <c r="N23" s="29">
        <v>0</v>
      </c>
    </row>
    <row r="24" spans="1:16" x14ac:dyDescent="0.2">
      <c r="A24" s="12">
        <v>43952</v>
      </c>
      <c r="B24" s="25"/>
      <c r="C24" s="29">
        <v>4236945</v>
      </c>
      <c r="D24" s="32">
        <v>10752</v>
      </c>
      <c r="E24" s="31">
        <f t="shared" si="6"/>
        <v>23919.93</v>
      </c>
      <c r="F24" s="31">
        <v>42890.41</v>
      </c>
      <c r="G24" s="29">
        <f t="shared" si="1"/>
        <v>13167.93</v>
      </c>
      <c r="H24" s="29">
        <f t="shared" si="2"/>
        <v>32138.410000000003</v>
      </c>
      <c r="I24" s="30">
        <v>0.21</v>
      </c>
      <c r="J24" s="30">
        <v>0.05</v>
      </c>
      <c r="K24" s="29">
        <f t="shared" si="3"/>
        <v>2427.811995</v>
      </c>
      <c r="L24" s="29">
        <f t="shared" si="4"/>
        <v>1606.9205000000002</v>
      </c>
      <c r="M24" s="29">
        <f t="shared" si="5"/>
        <v>494339.05241999973</v>
      </c>
      <c r="N24" s="29">
        <v>0</v>
      </c>
    </row>
    <row r="25" spans="1:16" x14ac:dyDescent="0.2">
      <c r="A25" s="12">
        <v>43983</v>
      </c>
      <c r="B25" s="25"/>
      <c r="C25" s="29">
        <v>4236945</v>
      </c>
      <c r="D25" s="32">
        <v>10752</v>
      </c>
      <c r="E25" s="31">
        <f t="shared" si="6"/>
        <v>23919.93</v>
      </c>
      <c r="F25" s="31">
        <v>42890.41</v>
      </c>
      <c r="G25" s="29">
        <f t="shared" si="1"/>
        <v>13167.93</v>
      </c>
      <c r="H25" s="29">
        <f t="shared" si="2"/>
        <v>32138.410000000003</v>
      </c>
      <c r="I25" s="30">
        <v>0.21</v>
      </c>
      <c r="J25" s="30">
        <v>0.05</v>
      </c>
      <c r="K25" s="29">
        <f t="shared" si="3"/>
        <v>2427.811995</v>
      </c>
      <c r="L25" s="29">
        <f t="shared" si="4"/>
        <v>1606.9205000000002</v>
      </c>
      <c r="M25" s="29">
        <f t="shared" si="5"/>
        <v>498373.78491499973</v>
      </c>
      <c r="N25" s="29">
        <v>0</v>
      </c>
    </row>
    <row r="26" spans="1:16" x14ac:dyDescent="0.2">
      <c r="A26" s="12">
        <v>44013</v>
      </c>
      <c r="B26" s="25"/>
      <c r="C26" s="29">
        <v>4236945</v>
      </c>
      <c r="D26" s="32">
        <v>10752</v>
      </c>
      <c r="E26" s="31">
        <f t="shared" si="6"/>
        <v>23919.93</v>
      </c>
      <c r="F26" s="31">
        <v>42890.41</v>
      </c>
      <c r="G26" s="29">
        <f t="shared" si="1"/>
        <v>13167.93</v>
      </c>
      <c r="H26" s="29">
        <f t="shared" si="2"/>
        <v>32138.410000000003</v>
      </c>
      <c r="I26" s="30">
        <v>0.21</v>
      </c>
      <c r="J26" s="30">
        <v>0.05</v>
      </c>
      <c r="K26" s="29">
        <f t="shared" si="3"/>
        <v>2427.811995</v>
      </c>
      <c r="L26" s="29">
        <f t="shared" si="4"/>
        <v>1606.9205000000002</v>
      </c>
      <c r="M26" s="29">
        <f t="shared" si="5"/>
        <v>502408.51740999974</v>
      </c>
      <c r="N26" s="29">
        <v>0</v>
      </c>
    </row>
    <row r="27" spans="1:16" x14ac:dyDescent="0.2">
      <c r="A27" s="12">
        <v>44044</v>
      </c>
      <c r="B27" s="25"/>
      <c r="C27" s="29">
        <v>4236945</v>
      </c>
      <c r="D27" s="32">
        <v>10752</v>
      </c>
      <c r="E27" s="31">
        <f t="shared" si="6"/>
        <v>23919.93</v>
      </c>
      <c r="F27" s="31">
        <v>42890.41</v>
      </c>
      <c r="G27" s="29">
        <f t="shared" si="1"/>
        <v>13167.93</v>
      </c>
      <c r="H27" s="29">
        <f t="shared" si="2"/>
        <v>32138.410000000003</v>
      </c>
      <c r="I27" s="30">
        <v>0.21</v>
      </c>
      <c r="J27" s="30">
        <v>0.05</v>
      </c>
      <c r="K27" s="29">
        <f t="shared" si="3"/>
        <v>2427.811995</v>
      </c>
      <c r="L27" s="29">
        <f t="shared" si="4"/>
        <v>1606.9205000000002</v>
      </c>
      <c r="M27" s="29">
        <f t="shared" si="5"/>
        <v>506443.24990499974</v>
      </c>
      <c r="N27" s="29">
        <v>0</v>
      </c>
    </row>
    <row r="28" spans="1:16" x14ac:dyDescent="0.2">
      <c r="A28" s="12">
        <v>44083</v>
      </c>
      <c r="B28" s="25"/>
      <c r="C28" s="29">
        <v>4236945</v>
      </c>
      <c r="D28" s="32">
        <v>10752</v>
      </c>
      <c r="E28" s="31">
        <v>23919.93</v>
      </c>
      <c r="F28" s="31">
        <v>42890.41</v>
      </c>
      <c r="G28" s="29">
        <f t="shared" si="1"/>
        <v>13167.93</v>
      </c>
      <c r="H28" s="29">
        <f t="shared" si="2"/>
        <v>32138.410000000003</v>
      </c>
      <c r="I28" s="30">
        <v>0.21</v>
      </c>
      <c r="J28" s="30">
        <v>0.05</v>
      </c>
      <c r="K28" s="29">
        <f t="shared" si="3"/>
        <v>2427.811995</v>
      </c>
      <c r="L28" s="29">
        <f t="shared" si="4"/>
        <v>1606.9205000000002</v>
      </c>
      <c r="M28" s="29">
        <f t="shared" si="5"/>
        <v>510477.98239999975</v>
      </c>
      <c r="N28" s="29">
        <v>0</v>
      </c>
    </row>
    <row r="29" spans="1:16" x14ac:dyDescent="0.2">
      <c r="A29" s="12">
        <v>44105</v>
      </c>
      <c r="B29" s="25"/>
      <c r="C29" s="29">
        <v>4236945</v>
      </c>
      <c r="D29" s="32">
        <v>10752</v>
      </c>
      <c r="E29" s="31">
        <f>23919.93+2</f>
        <v>23921.93</v>
      </c>
      <c r="F29" s="31">
        <v>42890.41</v>
      </c>
      <c r="G29" s="29">
        <f t="shared" si="1"/>
        <v>13169.93</v>
      </c>
      <c r="H29" s="29">
        <f t="shared" si="2"/>
        <v>32138.410000000003</v>
      </c>
      <c r="I29" s="30">
        <v>0.21</v>
      </c>
      <c r="J29" s="30">
        <v>0.05</v>
      </c>
      <c r="K29" s="29">
        <f t="shared" si="3"/>
        <v>2428.2319950000001</v>
      </c>
      <c r="L29" s="29">
        <f t="shared" si="4"/>
        <v>1606.9205000000002</v>
      </c>
      <c r="M29" s="29">
        <f t="shared" si="5"/>
        <v>514513.13489499973</v>
      </c>
      <c r="N29" s="29">
        <v>0</v>
      </c>
    </row>
    <row r="30" spans="1:16" x14ac:dyDescent="0.2">
      <c r="A30" s="12">
        <v>44136</v>
      </c>
      <c r="B30" s="25"/>
      <c r="C30" s="29">
        <v>4236945</v>
      </c>
      <c r="D30" s="32">
        <v>10752</v>
      </c>
      <c r="E30" s="31">
        <v>23919.93</v>
      </c>
      <c r="F30" s="31">
        <v>42890.41</v>
      </c>
      <c r="G30" s="29">
        <f t="shared" si="1"/>
        <v>13167.93</v>
      </c>
      <c r="H30" s="29">
        <f t="shared" si="2"/>
        <v>32138.410000000003</v>
      </c>
      <c r="I30" s="30">
        <v>0.21</v>
      </c>
      <c r="J30" s="30">
        <v>0.05</v>
      </c>
      <c r="K30" s="29">
        <f t="shared" si="3"/>
        <v>2427.811995</v>
      </c>
      <c r="L30" s="29">
        <f t="shared" si="4"/>
        <v>1606.9205000000002</v>
      </c>
      <c r="M30" s="29">
        <f t="shared" si="5"/>
        <v>518547.86738999974</v>
      </c>
      <c r="N30" s="29">
        <v>0</v>
      </c>
    </row>
    <row r="31" spans="1:16" x14ac:dyDescent="0.2">
      <c r="A31" s="12">
        <v>44166</v>
      </c>
      <c r="B31" s="25"/>
      <c r="C31" s="29">
        <v>4236945</v>
      </c>
      <c r="D31" s="32">
        <v>10752.49</v>
      </c>
      <c r="E31" s="31">
        <v>23919.93</v>
      </c>
      <c r="F31" s="31">
        <v>42890.41</v>
      </c>
      <c r="G31" s="29">
        <f t="shared" si="1"/>
        <v>13167.44</v>
      </c>
      <c r="H31" s="29">
        <f t="shared" si="2"/>
        <v>32137.920000000006</v>
      </c>
      <c r="I31" s="30">
        <v>0.21</v>
      </c>
      <c r="J31" s="30">
        <v>0.05</v>
      </c>
      <c r="K31" s="29">
        <f t="shared" si="3"/>
        <v>2427.7142400000002</v>
      </c>
      <c r="L31" s="29">
        <f t="shared" si="4"/>
        <v>1606.8960000000004</v>
      </c>
      <c r="M31" s="29">
        <f t="shared" si="5"/>
        <v>522582.47762999975</v>
      </c>
      <c r="N31" s="29">
        <v>0</v>
      </c>
    </row>
    <row r="32" spans="1:16" x14ac:dyDescent="0.2">
      <c r="A32" s="12">
        <v>44197</v>
      </c>
      <c r="B32" s="25"/>
      <c r="C32" s="29">
        <v>4236945</v>
      </c>
      <c r="D32" s="32">
        <v>10752</v>
      </c>
      <c r="E32" s="31">
        <f>23522.82</f>
        <v>23522.82</v>
      </c>
      <c r="F32" s="31">
        <f>42184.25</f>
        <v>42184.25</v>
      </c>
      <c r="G32" s="29">
        <f t="shared" si="1"/>
        <v>12770.82</v>
      </c>
      <c r="H32" s="29">
        <f t="shared" si="2"/>
        <v>31432.25</v>
      </c>
      <c r="I32" s="30">
        <v>0.21</v>
      </c>
      <c r="J32" s="30">
        <v>0.05</v>
      </c>
      <c r="K32" s="29">
        <f t="shared" si="3"/>
        <v>2351.8335749999997</v>
      </c>
      <c r="L32" s="29">
        <f t="shared" si="4"/>
        <v>1571.6125000000002</v>
      </c>
      <c r="M32" s="29">
        <f t="shared" si="5"/>
        <v>526505.92370499985</v>
      </c>
      <c r="N32" s="29">
        <v>0</v>
      </c>
    </row>
    <row r="33" spans="1:14" x14ac:dyDescent="0.2">
      <c r="A33" s="12">
        <v>44228</v>
      </c>
      <c r="B33" s="25"/>
      <c r="C33" s="29">
        <v>4236945</v>
      </c>
      <c r="D33" s="32">
        <v>10752</v>
      </c>
      <c r="E33" s="31">
        <f>23522.82</f>
        <v>23522.82</v>
      </c>
      <c r="F33" s="31">
        <f>42184.25</f>
        <v>42184.25</v>
      </c>
      <c r="G33" s="29">
        <f t="shared" si="1"/>
        <v>12770.82</v>
      </c>
      <c r="H33" s="29">
        <f t="shared" si="2"/>
        <v>31432.25</v>
      </c>
      <c r="I33" s="30">
        <v>0.21</v>
      </c>
      <c r="J33" s="30">
        <v>0.05</v>
      </c>
      <c r="K33" s="29">
        <f t="shared" si="3"/>
        <v>2351.8335749999997</v>
      </c>
      <c r="L33" s="29">
        <f t="shared" si="4"/>
        <v>1571.6125000000002</v>
      </c>
      <c r="M33" s="29">
        <f t="shared" si="5"/>
        <v>530429.36977999995</v>
      </c>
      <c r="N33" s="29">
        <v>0</v>
      </c>
    </row>
    <row r="34" spans="1:14" x14ac:dyDescent="0.2">
      <c r="A34" s="12"/>
      <c r="B34" s="25"/>
      <c r="C34" s="29"/>
      <c r="D34" s="32"/>
      <c r="E34" s="32"/>
      <c r="F34" s="32"/>
      <c r="G34" s="29"/>
      <c r="H34" s="29"/>
      <c r="I34" s="30"/>
      <c r="J34" s="30"/>
      <c r="K34" s="29"/>
      <c r="L34" s="29"/>
      <c r="M34" s="29"/>
      <c r="N34" s="29"/>
    </row>
    <row r="35" spans="1:14" x14ac:dyDescent="0.2">
      <c r="A35" s="12"/>
      <c r="B35" s="25"/>
      <c r="C35" s="29"/>
      <c r="D35" s="32"/>
      <c r="E35" s="32"/>
      <c r="F35" s="32"/>
      <c r="G35" s="29"/>
      <c r="H35" s="29"/>
      <c r="I35" s="30"/>
      <c r="J35" s="30"/>
      <c r="K35" s="29"/>
      <c r="L35" s="29"/>
      <c r="M35" s="29"/>
      <c r="N35" s="29"/>
    </row>
    <row r="36" spans="1:14" x14ac:dyDescent="0.2">
      <c r="A36" s="33"/>
      <c r="B36" s="2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x14ac:dyDescent="0.2">
      <c r="A37" s="33"/>
      <c r="B37" s="25"/>
      <c r="C37" s="49" t="s">
        <v>55</v>
      </c>
      <c r="D37" s="25"/>
      <c r="E37" s="25"/>
      <c r="F37" s="25"/>
      <c r="G37" s="25"/>
      <c r="H37" s="25"/>
      <c r="I37" s="25"/>
      <c r="J37" s="25"/>
      <c r="K37" s="25"/>
      <c r="L37" s="29"/>
      <c r="M37" s="29"/>
      <c r="N37" s="29"/>
    </row>
    <row r="38" spans="1:14" x14ac:dyDescent="0.2">
      <c r="A38" s="33"/>
      <c r="B38" s="25"/>
      <c r="C38" s="49" t="s">
        <v>63</v>
      </c>
      <c r="D38" s="25"/>
      <c r="E38" s="25"/>
      <c r="F38" s="25"/>
      <c r="G38" s="25"/>
      <c r="H38" s="25"/>
      <c r="I38" s="25"/>
      <c r="J38" s="25"/>
      <c r="K38" s="25"/>
      <c r="L38" s="29"/>
      <c r="M38" s="29"/>
      <c r="N38" s="29"/>
    </row>
    <row r="39" spans="1:14" x14ac:dyDescent="0.2">
      <c r="A39" s="26"/>
      <c r="B39" s="25"/>
      <c r="C39" s="49" t="s">
        <v>64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">
      <c r="A40" s="26"/>
      <c r="B40" s="25"/>
      <c r="C40" s="29" t="s">
        <v>21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">
      <c r="A41" s="26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6"/>
      <c r="B42" s="25"/>
      <c r="C42" s="29" t="s">
        <v>22</v>
      </c>
      <c r="D42" s="41" t="s">
        <v>23</v>
      </c>
      <c r="E42" s="40" t="s">
        <v>24</v>
      </c>
      <c r="F42" s="29" t="s">
        <v>25</v>
      </c>
      <c r="G42" s="30" t="s">
        <v>12</v>
      </c>
      <c r="H42" s="29" t="s">
        <v>26</v>
      </c>
      <c r="I42" s="25"/>
      <c r="J42" s="25"/>
      <c r="K42" s="25"/>
      <c r="L42" s="25"/>
      <c r="M42" s="25"/>
      <c r="N42" s="25"/>
    </row>
    <row r="43" spans="1:14" x14ac:dyDescent="0.2">
      <c r="A43" s="26"/>
      <c r="B43" s="25"/>
      <c r="C43" s="29">
        <v>724052</v>
      </c>
      <c r="D43" s="29">
        <v>10752</v>
      </c>
      <c r="E43" s="29">
        <v>3727.06</v>
      </c>
      <c r="F43" s="29">
        <f>E43-D43</f>
        <v>-7024.9400000000005</v>
      </c>
      <c r="G43" s="30">
        <v>0.21</v>
      </c>
      <c r="H43" s="29">
        <f>F43*G43</f>
        <v>-1475.2374</v>
      </c>
      <c r="I43" s="25"/>
      <c r="J43" s="25"/>
      <c r="K43" s="25"/>
      <c r="L43" s="25"/>
      <c r="M43" s="25"/>
      <c r="N43" s="25"/>
    </row>
    <row r="44" spans="1:14" x14ac:dyDescent="0.2">
      <c r="A44" s="26"/>
      <c r="B44" s="25"/>
      <c r="C44" s="29">
        <v>314156</v>
      </c>
      <c r="D44" s="29"/>
      <c r="E44" s="29">
        <v>5235.93</v>
      </c>
      <c r="F44" s="29">
        <f>E44</f>
        <v>5235.93</v>
      </c>
      <c r="G44" s="30">
        <v>0.21</v>
      </c>
      <c r="H44" s="29">
        <f t="shared" ref="H44:H46" si="7">F44*G44</f>
        <v>1099.5453</v>
      </c>
      <c r="I44" s="25"/>
      <c r="J44" s="25"/>
      <c r="K44" s="25"/>
      <c r="L44" s="25"/>
      <c r="M44" s="25"/>
      <c r="N44" s="25"/>
    </row>
    <row r="45" spans="1:14" x14ac:dyDescent="0.2">
      <c r="A45" s="26"/>
      <c r="B45" s="25"/>
      <c r="C45" s="29">
        <v>771922</v>
      </c>
      <c r="D45" s="29"/>
      <c r="E45" s="29">
        <v>9189.5499999999993</v>
      </c>
      <c r="F45" s="29">
        <f>E45</f>
        <v>9189.5499999999993</v>
      </c>
      <c r="G45" s="30">
        <v>0.21</v>
      </c>
      <c r="H45" s="29">
        <f t="shared" si="7"/>
        <v>1929.8054999999997</v>
      </c>
      <c r="I45" s="25"/>
      <c r="J45" s="25"/>
      <c r="K45" s="25"/>
      <c r="L45" s="25"/>
      <c r="M45" s="25"/>
      <c r="N45" s="25"/>
    </row>
    <row r="46" spans="1:14" x14ac:dyDescent="0.2">
      <c r="A46" s="26"/>
      <c r="B46" s="25"/>
      <c r="C46" s="29">
        <v>228999</v>
      </c>
      <c r="D46" s="29"/>
      <c r="E46" s="29">
        <v>1178.77</v>
      </c>
      <c r="F46" s="29">
        <f>E46</f>
        <v>1178.77</v>
      </c>
      <c r="G46" s="30">
        <v>0.21</v>
      </c>
      <c r="H46" s="29">
        <f t="shared" si="7"/>
        <v>247.54169999999999</v>
      </c>
      <c r="I46" s="25"/>
      <c r="J46" s="25"/>
      <c r="K46" s="25"/>
      <c r="L46" s="25"/>
      <c r="M46" s="25"/>
      <c r="N46" s="25"/>
    </row>
    <row r="47" spans="1:14" ht="15" x14ac:dyDescent="0.35">
      <c r="A47" s="26"/>
      <c r="B47" s="25"/>
      <c r="C47" s="29">
        <v>343498</v>
      </c>
      <c r="D47" s="37"/>
      <c r="E47" s="42">
        <f>357.93+3833.59</f>
        <v>4191.5200000000004</v>
      </c>
      <c r="F47" s="42">
        <f>E47</f>
        <v>4191.5200000000004</v>
      </c>
      <c r="G47" s="52">
        <v>0.21</v>
      </c>
      <c r="H47" s="42">
        <f>F47*G47</f>
        <v>880.21920000000011</v>
      </c>
      <c r="I47" s="25"/>
      <c r="J47" s="25"/>
      <c r="K47" s="25"/>
      <c r="L47" s="25"/>
      <c r="M47" s="25"/>
      <c r="N47" s="25"/>
    </row>
    <row r="48" spans="1:14" x14ac:dyDescent="0.2">
      <c r="A48" s="26"/>
      <c r="B48" s="25"/>
      <c r="C48" s="25"/>
      <c r="D48" s="25"/>
      <c r="E48" s="35">
        <f>SUM(E43:E47)</f>
        <v>23522.83</v>
      </c>
      <c r="F48" s="35">
        <f>SUM(F43:F47)</f>
        <v>12770.83</v>
      </c>
      <c r="G48" s="36" t="s">
        <v>27</v>
      </c>
      <c r="H48" s="35">
        <f>SUM(H43:H47)</f>
        <v>2681.8742999999999</v>
      </c>
      <c r="I48" s="25"/>
      <c r="J48" s="25"/>
      <c r="K48" s="25"/>
      <c r="L48" s="25"/>
      <c r="M48" s="25"/>
      <c r="N48" s="25"/>
    </row>
    <row r="49" spans="1:14" ht="15" x14ac:dyDescent="0.35">
      <c r="A49" s="26"/>
      <c r="B49" s="25"/>
      <c r="C49" s="25"/>
      <c r="D49" s="25"/>
      <c r="E49" s="25"/>
      <c r="F49" s="25"/>
      <c r="G49" s="36" t="s">
        <v>28</v>
      </c>
      <c r="H49" s="42">
        <f>-H58*0.21</f>
        <v>-330.03862500000002</v>
      </c>
      <c r="I49" s="25"/>
      <c r="J49" s="25"/>
      <c r="K49" s="25"/>
      <c r="L49" s="25"/>
      <c r="M49" s="25"/>
      <c r="N49" s="25"/>
    </row>
    <row r="50" spans="1:14" x14ac:dyDescent="0.2">
      <c r="A50" s="26"/>
      <c r="B50" s="25"/>
      <c r="C50" s="25"/>
      <c r="D50" s="25"/>
      <c r="E50" s="25"/>
      <c r="F50" s="25"/>
      <c r="G50" s="25"/>
      <c r="H50" s="29">
        <f>H48+H49</f>
        <v>2351.8356749999998</v>
      </c>
      <c r="I50" s="25"/>
      <c r="J50" s="25"/>
      <c r="K50" s="25"/>
      <c r="L50" s="25"/>
      <c r="M50" s="25"/>
      <c r="N50" s="25"/>
    </row>
    <row r="51" spans="1:14" x14ac:dyDescent="0.2">
      <c r="A51" s="26"/>
      <c r="B51" s="25"/>
      <c r="C51" s="25"/>
      <c r="D51" s="25"/>
      <c r="E51" s="25"/>
      <c r="F51" s="25"/>
      <c r="G51" s="25"/>
      <c r="H51" s="29">
        <f>H50-K33</f>
        <v>2.1000000001549779E-3</v>
      </c>
      <c r="I51" s="25"/>
      <c r="J51" s="25"/>
      <c r="K51" s="25"/>
      <c r="L51" s="25"/>
      <c r="M51" s="25"/>
      <c r="N51" s="25"/>
    </row>
    <row r="52" spans="1:14" x14ac:dyDescent="0.2">
      <c r="A52" s="26"/>
      <c r="B52" s="25"/>
      <c r="C52" s="29" t="s">
        <v>30</v>
      </c>
      <c r="D52" s="39" t="s">
        <v>23</v>
      </c>
      <c r="E52" s="40" t="s">
        <v>31</v>
      </c>
      <c r="F52" s="29" t="s">
        <v>32</v>
      </c>
      <c r="G52" s="30" t="s">
        <v>13</v>
      </c>
      <c r="H52" s="29" t="s">
        <v>33</v>
      </c>
      <c r="I52" s="25"/>
      <c r="J52" s="25"/>
      <c r="K52" s="25"/>
      <c r="L52" s="25"/>
      <c r="M52" s="25"/>
      <c r="N52" s="25"/>
    </row>
    <row r="53" spans="1:14" x14ac:dyDescent="0.2">
      <c r="A53" s="26"/>
      <c r="B53" s="25"/>
      <c r="C53" s="29">
        <v>1276565</v>
      </c>
      <c r="D53" s="29">
        <f>D43</f>
        <v>10752</v>
      </c>
      <c r="E53" s="29">
        <v>6571.12</v>
      </c>
      <c r="F53" s="29">
        <f>E53-D53</f>
        <v>-4180.88</v>
      </c>
      <c r="G53" s="30">
        <v>0.05</v>
      </c>
      <c r="H53" s="29">
        <f>F53*G53</f>
        <v>-209.04400000000001</v>
      </c>
      <c r="I53" s="25"/>
      <c r="J53" s="25"/>
      <c r="K53" s="25"/>
      <c r="L53" s="25"/>
      <c r="M53" s="25"/>
      <c r="N53" s="25"/>
    </row>
    <row r="54" spans="1:14" x14ac:dyDescent="0.2">
      <c r="A54" s="26"/>
      <c r="B54" s="25"/>
      <c r="C54" s="29">
        <v>628311</v>
      </c>
      <c r="D54" s="29"/>
      <c r="E54" s="29">
        <v>10471.85</v>
      </c>
      <c r="F54" s="29">
        <f>E54</f>
        <v>10471.85</v>
      </c>
      <c r="G54" s="30">
        <v>0.05</v>
      </c>
      <c r="H54" s="29">
        <f t="shared" ref="H54:H57" si="8">F54*G54</f>
        <v>523.59250000000009</v>
      </c>
      <c r="I54" s="25"/>
      <c r="J54" s="25"/>
      <c r="K54" s="25"/>
      <c r="L54" s="25"/>
      <c r="M54" s="25"/>
      <c r="N54" s="25"/>
    </row>
    <row r="55" spans="1:14" x14ac:dyDescent="0.2">
      <c r="A55" s="26"/>
      <c r="B55" s="25"/>
      <c r="C55" s="29">
        <v>1286537</v>
      </c>
      <c r="D55" s="29"/>
      <c r="E55" s="37">
        <v>15315.91</v>
      </c>
      <c r="F55" s="37">
        <f t="shared" ref="F55:F57" si="9">E55</f>
        <v>15315.91</v>
      </c>
      <c r="G55" s="52">
        <v>0.05</v>
      </c>
      <c r="H55" s="29">
        <f t="shared" si="8"/>
        <v>765.79550000000006</v>
      </c>
      <c r="I55" s="25"/>
      <c r="J55" s="25"/>
      <c r="K55" s="25"/>
      <c r="L55" s="25"/>
      <c r="M55" s="25"/>
      <c r="N55" s="25"/>
    </row>
    <row r="56" spans="1:14" x14ac:dyDescent="0.2">
      <c r="A56" s="26"/>
      <c r="B56" s="25"/>
      <c r="C56" s="29">
        <v>418213</v>
      </c>
      <c r="D56" s="29"/>
      <c r="E56" s="37">
        <v>2152.75</v>
      </c>
      <c r="F56" s="37">
        <f t="shared" si="9"/>
        <v>2152.75</v>
      </c>
      <c r="G56" s="52">
        <v>0.05</v>
      </c>
      <c r="H56" s="29">
        <f t="shared" si="8"/>
        <v>107.6375</v>
      </c>
      <c r="I56" s="25"/>
      <c r="J56" s="25"/>
      <c r="K56" s="25"/>
      <c r="L56" s="25"/>
      <c r="M56" s="25"/>
      <c r="N56" s="25"/>
    </row>
    <row r="57" spans="1:14" ht="15" x14ac:dyDescent="0.35">
      <c r="A57" s="26"/>
      <c r="B57" s="25"/>
      <c r="C57" s="29">
        <v>627319</v>
      </c>
      <c r="D57" s="29"/>
      <c r="E57" s="42">
        <f>715.86+6956.76</f>
        <v>7672.62</v>
      </c>
      <c r="F57" s="42">
        <f t="shared" si="9"/>
        <v>7672.62</v>
      </c>
      <c r="G57" s="52">
        <v>0.05</v>
      </c>
      <c r="H57" s="42">
        <f t="shared" si="8"/>
        <v>383.63100000000003</v>
      </c>
      <c r="I57" s="25"/>
      <c r="J57" s="25"/>
      <c r="K57" s="25"/>
      <c r="L57" s="25"/>
      <c r="M57" s="25"/>
      <c r="N57" s="25"/>
    </row>
    <row r="58" spans="1:14" x14ac:dyDescent="0.2">
      <c r="A58" s="26"/>
      <c r="B58" s="25"/>
      <c r="C58" s="25"/>
      <c r="D58" s="25"/>
      <c r="E58" s="29">
        <f>SUM(E53:E57)</f>
        <v>42184.250000000007</v>
      </c>
      <c r="F58" s="29">
        <f>SUM(F53:F57)</f>
        <v>31432.25</v>
      </c>
      <c r="G58" s="25"/>
      <c r="H58" s="29">
        <f>SUM(H53:H57)</f>
        <v>1571.6125000000002</v>
      </c>
      <c r="I58" s="25"/>
      <c r="J58" s="25"/>
      <c r="K58" s="25"/>
      <c r="L58" s="25"/>
      <c r="M58" s="25"/>
      <c r="N58" s="25"/>
    </row>
    <row r="59" spans="1:14" x14ac:dyDescent="0.2">
      <c r="A59" s="26"/>
      <c r="B59" s="25"/>
      <c r="C59" s="25"/>
      <c r="D59" s="25"/>
      <c r="E59" s="25"/>
      <c r="F59" s="25"/>
      <c r="G59" s="25"/>
      <c r="H59" s="29">
        <f>H58-L33</f>
        <v>0</v>
      </c>
      <c r="I59" s="25"/>
      <c r="J59" s="25"/>
      <c r="K59" s="25"/>
      <c r="L59" s="25"/>
      <c r="M59" s="25"/>
      <c r="N59" s="25"/>
    </row>
    <row r="60" spans="1:14" x14ac:dyDescent="0.2">
      <c r="A60" s="2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</sheetData>
  <mergeCells count="1">
    <mergeCell ref="A1:N1"/>
  </mergeCells>
  <pageMargins left="0.7" right="0.7" top="1.15625" bottom="0.75" header="0.3" footer="0.3"/>
  <pageSetup scale="52" orientation="portrait" r:id="rId1"/>
  <headerFooter>
    <oddHeader>&amp;R&amp;"Times New Roman,Bold"&amp;12Attachment to Response to Question 3
Page 11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C9142-90F4-4FA3-AD9C-067B5172EBA1}">
  <dimension ref="A1:N33"/>
  <sheetViews>
    <sheetView zoomScaleNormal="100" workbookViewId="0">
      <selection sqref="A1:N1"/>
    </sheetView>
  </sheetViews>
  <sheetFormatPr defaultRowHeight="12.75" x14ac:dyDescent="0.2"/>
  <cols>
    <col min="1" max="1" width="11.28515625" customWidth="1"/>
    <col min="2" max="2" width="1.7109375" customWidth="1"/>
    <col min="3" max="3" width="12.7109375" customWidth="1"/>
    <col min="4" max="4" width="14.28515625" bestFit="1" customWidth="1"/>
    <col min="5" max="8" width="14.28515625" customWidth="1"/>
    <col min="9" max="12" width="12.7109375" customWidth="1"/>
    <col min="13" max="13" width="16.5703125" bestFit="1" customWidth="1"/>
    <col min="14" max="14" width="12.7109375" customWidth="1"/>
  </cols>
  <sheetData>
    <row r="1" spans="1:14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x14ac:dyDescent="0.2">
      <c r="A2" s="2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">
      <c r="A5" s="4" t="s">
        <v>51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5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x14ac:dyDescent="0.2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65.099999999999994" customHeight="1" x14ac:dyDescent="0.2">
      <c r="A8" s="27" t="s">
        <v>5</v>
      </c>
      <c r="B8" s="28"/>
      <c r="C8" s="28" t="s">
        <v>6</v>
      </c>
      <c r="D8" s="28" t="s">
        <v>7</v>
      </c>
      <c r="E8" s="28" t="s">
        <v>8</v>
      </c>
      <c r="F8" s="28" t="s">
        <v>9</v>
      </c>
      <c r="G8" s="28" t="s">
        <v>10</v>
      </c>
      <c r="H8" s="28" t="s">
        <v>11</v>
      </c>
      <c r="I8" s="28" t="s">
        <v>12</v>
      </c>
      <c r="J8" s="28" t="s">
        <v>13</v>
      </c>
      <c r="K8" s="28" t="s">
        <v>14</v>
      </c>
      <c r="L8" s="28" t="s">
        <v>15</v>
      </c>
      <c r="M8" s="28" t="s">
        <v>16</v>
      </c>
      <c r="N8" s="28" t="s">
        <v>17</v>
      </c>
    </row>
    <row r="9" spans="1:14" x14ac:dyDescent="0.2">
      <c r="A9" s="26" t="s">
        <v>18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31"/>
      <c r="N9" s="25"/>
    </row>
    <row r="10" spans="1:14" x14ac:dyDescent="0.2">
      <c r="A10" s="12">
        <v>43533</v>
      </c>
      <c r="B10" s="25"/>
      <c r="C10" s="29"/>
      <c r="D10" s="32"/>
      <c r="E10" s="32"/>
      <c r="F10" s="32"/>
      <c r="G10" s="29">
        <f t="shared" ref="G10:G21" si="0">E10-D10</f>
        <v>0</v>
      </c>
      <c r="H10" s="29">
        <f t="shared" ref="H10:H21" si="1">F10-D10</f>
        <v>0</v>
      </c>
      <c r="I10" s="30">
        <v>0.21</v>
      </c>
      <c r="J10" s="30">
        <v>0.05</v>
      </c>
      <c r="K10" s="29">
        <f t="shared" ref="K10:K21" si="2">G10*I10-L10*I10</f>
        <v>0</v>
      </c>
      <c r="L10" s="29">
        <f t="shared" ref="L10:L21" si="3">H10*J10</f>
        <v>0</v>
      </c>
      <c r="M10" s="29">
        <f t="shared" ref="M10:M33" si="4">M9+K10+L10</f>
        <v>0</v>
      </c>
      <c r="N10" s="29">
        <v>0</v>
      </c>
    </row>
    <row r="11" spans="1:14" x14ac:dyDescent="0.2">
      <c r="A11" s="12">
        <v>43556</v>
      </c>
      <c r="B11" s="25"/>
      <c r="C11" s="29"/>
      <c r="D11" s="32"/>
      <c r="E11" s="32"/>
      <c r="F11" s="32"/>
      <c r="G11" s="29">
        <f t="shared" si="0"/>
        <v>0</v>
      </c>
      <c r="H11" s="29">
        <f t="shared" si="1"/>
        <v>0</v>
      </c>
      <c r="I11" s="30">
        <v>0.21</v>
      </c>
      <c r="J11" s="30">
        <v>0.05</v>
      </c>
      <c r="K11" s="29">
        <f t="shared" si="2"/>
        <v>0</v>
      </c>
      <c r="L11" s="29">
        <f t="shared" si="3"/>
        <v>0</v>
      </c>
      <c r="M11" s="29">
        <f t="shared" si="4"/>
        <v>0</v>
      </c>
      <c r="N11" s="29">
        <v>0</v>
      </c>
    </row>
    <row r="12" spans="1:14" x14ac:dyDescent="0.2">
      <c r="A12" s="12">
        <v>43586</v>
      </c>
      <c r="B12" s="25"/>
      <c r="C12" s="29"/>
      <c r="D12" s="32"/>
      <c r="E12" s="32"/>
      <c r="F12" s="32"/>
      <c r="G12" s="29">
        <f t="shared" si="0"/>
        <v>0</v>
      </c>
      <c r="H12" s="29">
        <f t="shared" si="1"/>
        <v>0</v>
      </c>
      <c r="I12" s="30">
        <v>0.21</v>
      </c>
      <c r="J12" s="30">
        <v>0.05</v>
      </c>
      <c r="K12" s="29">
        <f t="shared" si="2"/>
        <v>0</v>
      </c>
      <c r="L12" s="29">
        <f t="shared" si="3"/>
        <v>0</v>
      </c>
      <c r="M12" s="29">
        <f t="shared" si="4"/>
        <v>0</v>
      </c>
      <c r="N12" s="29">
        <v>0</v>
      </c>
    </row>
    <row r="13" spans="1:14" x14ac:dyDescent="0.2">
      <c r="A13" s="12">
        <v>43617</v>
      </c>
      <c r="B13" s="25"/>
      <c r="C13" s="29"/>
      <c r="D13" s="32"/>
      <c r="E13" s="32"/>
      <c r="F13" s="32"/>
      <c r="G13" s="29">
        <f t="shared" si="0"/>
        <v>0</v>
      </c>
      <c r="H13" s="29">
        <f t="shared" si="1"/>
        <v>0</v>
      </c>
      <c r="I13" s="30">
        <v>0.21</v>
      </c>
      <c r="J13" s="30">
        <v>0.05</v>
      </c>
      <c r="K13" s="29">
        <f t="shared" si="2"/>
        <v>0</v>
      </c>
      <c r="L13" s="29">
        <f t="shared" si="3"/>
        <v>0</v>
      </c>
      <c r="M13" s="29">
        <f t="shared" si="4"/>
        <v>0</v>
      </c>
      <c r="N13" s="29">
        <v>0</v>
      </c>
    </row>
    <row r="14" spans="1:14" x14ac:dyDescent="0.2">
      <c r="A14" s="12">
        <v>43647</v>
      </c>
      <c r="B14" s="25"/>
      <c r="C14" s="29"/>
      <c r="D14" s="32"/>
      <c r="E14" s="32"/>
      <c r="F14" s="32"/>
      <c r="G14" s="29">
        <f t="shared" si="0"/>
        <v>0</v>
      </c>
      <c r="H14" s="29">
        <f t="shared" si="1"/>
        <v>0</v>
      </c>
      <c r="I14" s="30">
        <v>0.21</v>
      </c>
      <c r="J14" s="30">
        <v>0.05</v>
      </c>
      <c r="K14" s="29">
        <f t="shared" si="2"/>
        <v>0</v>
      </c>
      <c r="L14" s="29">
        <f t="shared" si="3"/>
        <v>0</v>
      </c>
      <c r="M14" s="29">
        <f t="shared" si="4"/>
        <v>0</v>
      </c>
      <c r="N14" s="29">
        <v>0</v>
      </c>
    </row>
    <row r="15" spans="1:14" x14ac:dyDescent="0.2">
      <c r="A15" s="12">
        <v>43678</v>
      </c>
      <c r="B15" s="25"/>
      <c r="C15" s="29"/>
      <c r="D15" s="32"/>
      <c r="E15" s="32"/>
      <c r="F15" s="32"/>
      <c r="G15" s="29">
        <f t="shared" si="0"/>
        <v>0</v>
      </c>
      <c r="H15" s="29">
        <f t="shared" si="1"/>
        <v>0</v>
      </c>
      <c r="I15" s="30">
        <v>0.21</v>
      </c>
      <c r="J15" s="30">
        <v>0.05</v>
      </c>
      <c r="K15" s="29">
        <f t="shared" si="2"/>
        <v>0</v>
      </c>
      <c r="L15" s="29">
        <f t="shared" si="3"/>
        <v>0</v>
      </c>
      <c r="M15" s="29">
        <f t="shared" si="4"/>
        <v>0</v>
      </c>
      <c r="N15" s="29">
        <v>0</v>
      </c>
    </row>
    <row r="16" spans="1:14" x14ac:dyDescent="0.2">
      <c r="A16" s="12">
        <v>43717</v>
      </c>
      <c r="B16" s="25"/>
      <c r="C16" s="29"/>
      <c r="D16" s="32"/>
      <c r="E16" s="32"/>
      <c r="F16" s="32"/>
      <c r="G16" s="29">
        <f t="shared" si="0"/>
        <v>0</v>
      </c>
      <c r="H16" s="29">
        <f t="shared" si="1"/>
        <v>0</v>
      </c>
      <c r="I16" s="30">
        <v>0.21</v>
      </c>
      <c r="J16" s="30">
        <v>0.05</v>
      </c>
      <c r="K16" s="29">
        <f t="shared" si="2"/>
        <v>0</v>
      </c>
      <c r="L16" s="29">
        <f t="shared" si="3"/>
        <v>0</v>
      </c>
      <c r="M16" s="29">
        <f t="shared" si="4"/>
        <v>0</v>
      </c>
      <c r="N16" s="29">
        <v>0</v>
      </c>
    </row>
    <row r="17" spans="1:14" x14ac:dyDescent="0.2">
      <c r="A17" s="12">
        <v>43739</v>
      </c>
      <c r="B17" s="25"/>
      <c r="C17" s="29"/>
      <c r="D17" s="32"/>
      <c r="E17" s="32"/>
      <c r="F17" s="32"/>
      <c r="G17" s="29">
        <f t="shared" si="0"/>
        <v>0</v>
      </c>
      <c r="H17" s="29">
        <f t="shared" si="1"/>
        <v>0</v>
      </c>
      <c r="I17" s="30">
        <v>0.21</v>
      </c>
      <c r="J17" s="30">
        <v>0.05</v>
      </c>
      <c r="K17" s="29">
        <f t="shared" si="2"/>
        <v>0</v>
      </c>
      <c r="L17" s="29">
        <f t="shared" si="3"/>
        <v>0</v>
      </c>
      <c r="M17" s="29">
        <f t="shared" si="4"/>
        <v>0</v>
      </c>
      <c r="N17" s="29">
        <v>0</v>
      </c>
    </row>
    <row r="18" spans="1:14" x14ac:dyDescent="0.2">
      <c r="A18" s="12">
        <v>43770</v>
      </c>
      <c r="B18" s="25"/>
      <c r="C18" s="29"/>
      <c r="D18" s="32"/>
      <c r="E18" s="32"/>
      <c r="F18" s="32"/>
      <c r="G18" s="29">
        <f t="shared" si="0"/>
        <v>0</v>
      </c>
      <c r="H18" s="29">
        <f t="shared" si="1"/>
        <v>0</v>
      </c>
      <c r="I18" s="30">
        <v>0.21</v>
      </c>
      <c r="J18" s="30">
        <v>0.05</v>
      </c>
      <c r="K18" s="29">
        <f t="shared" si="2"/>
        <v>0</v>
      </c>
      <c r="L18" s="29">
        <f t="shared" si="3"/>
        <v>0</v>
      </c>
      <c r="M18" s="29">
        <f t="shared" si="4"/>
        <v>0</v>
      </c>
      <c r="N18" s="29">
        <v>0</v>
      </c>
    </row>
    <row r="19" spans="1:14" x14ac:dyDescent="0.2">
      <c r="A19" s="12">
        <v>43800</v>
      </c>
      <c r="B19" s="25"/>
      <c r="C19" s="29"/>
      <c r="D19" s="32"/>
      <c r="E19" s="32"/>
      <c r="F19" s="32"/>
      <c r="G19" s="29">
        <f t="shared" si="0"/>
        <v>0</v>
      </c>
      <c r="H19" s="29">
        <f t="shared" si="1"/>
        <v>0</v>
      </c>
      <c r="I19" s="30">
        <v>0.21</v>
      </c>
      <c r="J19" s="30">
        <v>0.05</v>
      </c>
      <c r="K19" s="29">
        <f t="shared" si="2"/>
        <v>0</v>
      </c>
      <c r="L19" s="29">
        <f t="shared" si="3"/>
        <v>0</v>
      </c>
      <c r="M19" s="29">
        <f t="shared" si="4"/>
        <v>0</v>
      </c>
      <c r="N19" s="29">
        <v>0</v>
      </c>
    </row>
    <row r="20" spans="1:14" x14ac:dyDescent="0.2">
      <c r="A20" s="12">
        <v>43831</v>
      </c>
      <c r="B20" s="25"/>
      <c r="C20" s="29"/>
      <c r="D20" s="32"/>
      <c r="E20" s="32"/>
      <c r="F20" s="32"/>
      <c r="G20" s="29">
        <f t="shared" si="0"/>
        <v>0</v>
      </c>
      <c r="H20" s="29">
        <f t="shared" si="1"/>
        <v>0</v>
      </c>
      <c r="I20" s="30">
        <v>0.21</v>
      </c>
      <c r="J20" s="30">
        <v>0.05</v>
      </c>
      <c r="K20" s="29">
        <f t="shared" si="2"/>
        <v>0</v>
      </c>
      <c r="L20" s="29">
        <f t="shared" si="3"/>
        <v>0</v>
      </c>
      <c r="M20" s="29">
        <f t="shared" si="4"/>
        <v>0</v>
      </c>
      <c r="N20" s="29">
        <v>0</v>
      </c>
    </row>
    <row r="21" spans="1:14" x14ac:dyDescent="0.2">
      <c r="A21" s="12">
        <v>43862</v>
      </c>
      <c r="B21" s="25"/>
      <c r="C21" s="29"/>
      <c r="D21" s="32"/>
      <c r="E21" s="32"/>
      <c r="F21" s="32"/>
      <c r="G21" s="29">
        <f t="shared" si="0"/>
        <v>0</v>
      </c>
      <c r="H21" s="29">
        <f t="shared" si="1"/>
        <v>0</v>
      </c>
      <c r="I21" s="30">
        <v>0.21</v>
      </c>
      <c r="J21" s="30">
        <v>0.05</v>
      </c>
      <c r="K21" s="29">
        <f t="shared" si="2"/>
        <v>0</v>
      </c>
      <c r="L21" s="29">
        <f t="shared" si="3"/>
        <v>0</v>
      </c>
      <c r="M21" s="29">
        <f t="shared" si="4"/>
        <v>0</v>
      </c>
      <c r="N21" s="29">
        <v>0</v>
      </c>
    </row>
    <row r="22" spans="1:14" x14ac:dyDescent="0.2">
      <c r="A22" s="12">
        <v>43899</v>
      </c>
      <c r="B22" s="25"/>
      <c r="C22" s="29"/>
      <c r="D22" s="32"/>
      <c r="E22" s="31"/>
      <c r="F22" s="31"/>
      <c r="G22" s="29">
        <f>E22-D22</f>
        <v>0</v>
      </c>
      <c r="H22" s="29">
        <f>F22-D22</f>
        <v>0</v>
      </c>
      <c r="I22" s="30">
        <v>0.21</v>
      </c>
      <c r="J22" s="30">
        <v>0.05</v>
      </c>
      <c r="K22" s="29">
        <f>G22*I22-L22*I22</f>
        <v>0</v>
      </c>
      <c r="L22" s="29">
        <f>H22*J22</f>
        <v>0</v>
      </c>
      <c r="M22" s="29">
        <f t="shared" si="4"/>
        <v>0</v>
      </c>
      <c r="N22" s="29">
        <v>0</v>
      </c>
    </row>
    <row r="23" spans="1:14" x14ac:dyDescent="0.2">
      <c r="A23" s="12">
        <v>43922</v>
      </c>
      <c r="B23" s="25"/>
      <c r="C23" s="29">
        <v>154616887</v>
      </c>
      <c r="D23" s="32">
        <v>279299</v>
      </c>
      <c r="E23" s="31">
        <f>888191.57/12*8.64574</f>
        <v>639922.78203431657</v>
      </c>
      <c r="F23" s="31">
        <f>888191.57/12*8.64574</f>
        <v>639922.78203431657</v>
      </c>
      <c r="G23" s="29">
        <f t="shared" ref="G23:G25" si="5">E23-D23</f>
        <v>360623.78203431657</v>
      </c>
      <c r="H23" s="29">
        <f t="shared" ref="H23:H25" si="6">F23-D23</f>
        <v>360623.78203431657</v>
      </c>
      <c r="I23" s="30">
        <v>0.21</v>
      </c>
      <c r="J23" s="30">
        <v>0.05</v>
      </c>
      <c r="K23" s="29">
        <f t="shared" ref="K23:K25" si="7">G23*I23-L23*I23</f>
        <v>71944.44451584616</v>
      </c>
      <c r="L23" s="29">
        <f t="shared" ref="L23:L25" si="8">H23*J23</f>
        <v>18031.18910171583</v>
      </c>
      <c r="M23" s="29">
        <f t="shared" si="4"/>
        <v>89975.633617561994</v>
      </c>
      <c r="N23" s="29">
        <v>0</v>
      </c>
    </row>
    <row r="24" spans="1:14" x14ac:dyDescent="0.2">
      <c r="A24" s="12">
        <v>43952</v>
      </c>
      <c r="B24" s="25"/>
      <c r="C24" s="29">
        <f>C23</f>
        <v>154616887</v>
      </c>
      <c r="D24" s="32">
        <v>558598</v>
      </c>
      <c r="E24" s="31">
        <f>888191.57+31037</f>
        <v>919228.57</v>
      </c>
      <c r="F24" s="31">
        <f>888191.57+31037</f>
        <v>919228.57</v>
      </c>
      <c r="G24" s="29">
        <f t="shared" si="5"/>
        <v>360630.56999999995</v>
      </c>
      <c r="H24" s="29">
        <f t="shared" si="6"/>
        <v>360630.56999999995</v>
      </c>
      <c r="I24" s="30">
        <v>0.21</v>
      </c>
      <c r="J24" s="30">
        <v>0.05</v>
      </c>
      <c r="K24" s="29">
        <f t="shared" si="7"/>
        <v>71945.798714999983</v>
      </c>
      <c r="L24" s="29">
        <f t="shared" si="8"/>
        <v>18031.528499999997</v>
      </c>
      <c r="M24" s="29">
        <f t="shared" si="4"/>
        <v>179952.96083256198</v>
      </c>
      <c r="N24" s="29">
        <v>0</v>
      </c>
    </row>
    <row r="25" spans="1:14" x14ac:dyDescent="0.2">
      <c r="A25" s="12">
        <v>43983</v>
      </c>
      <c r="B25" s="25"/>
      <c r="C25" s="29">
        <f>C24</f>
        <v>154616887</v>
      </c>
      <c r="D25" s="32">
        <f>D24</f>
        <v>558598</v>
      </c>
      <c r="E25" s="31">
        <f>888191.57+31033.8</f>
        <v>919225.37</v>
      </c>
      <c r="F25" s="31">
        <f>888191.57+31033.8</f>
        <v>919225.37</v>
      </c>
      <c r="G25" s="29">
        <f t="shared" si="5"/>
        <v>360627.37</v>
      </c>
      <c r="H25" s="29">
        <f t="shared" si="6"/>
        <v>360627.37</v>
      </c>
      <c r="I25" s="30">
        <v>0.21</v>
      </c>
      <c r="J25" s="30">
        <v>0.05</v>
      </c>
      <c r="K25" s="29">
        <f t="shared" si="7"/>
        <v>71945.160314999986</v>
      </c>
      <c r="L25" s="29">
        <f t="shared" si="8"/>
        <v>18031.3685</v>
      </c>
      <c r="M25" s="29">
        <f t="shared" si="4"/>
        <v>269929.48964756198</v>
      </c>
      <c r="N25" s="29">
        <v>0</v>
      </c>
    </row>
    <row r="26" spans="1:14" x14ac:dyDescent="0.2">
      <c r="A26" s="12">
        <v>44013</v>
      </c>
      <c r="B26" s="25"/>
      <c r="C26" s="29">
        <f>C25</f>
        <v>154616887</v>
      </c>
      <c r="D26" s="32">
        <f>D25</f>
        <v>558598</v>
      </c>
      <c r="E26" s="31">
        <f>888191.57+31033.8</f>
        <v>919225.37</v>
      </c>
      <c r="F26" s="31">
        <f>888191.57+31033.8</f>
        <v>919225.37</v>
      </c>
      <c r="G26" s="29">
        <f>E26-D26</f>
        <v>360627.37</v>
      </c>
      <c r="H26" s="29">
        <f>F26-D26</f>
        <v>360627.37</v>
      </c>
      <c r="I26" s="30">
        <v>0.21</v>
      </c>
      <c r="J26" s="30">
        <v>0.05</v>
      </c>
      <c r="K26" s="29">
        <f>G26*I26-L26*I26</f>
        <v>71945.160314999986</v>
      </c>
      <c r="L26" s="29">
        <f>H26*J26</f>
        <v>18031.3685</v>
      </c>
      <c r="M26" s="29">
        <f t="shared" si="4"/>
        <v>359906.01846256194</v>
      </c>
      <c r="N26" s="29">
        <v>0</v>
      </c>
    </row>
    <row r="27" spans="1:14" x14ac:dyDescent="0.2">
      <c r="A27" s="12">
        <v>44044</v>
      </c>
      <c r="B27" s="25"/>
      <c r="C27" s="29">
        <f>C26</f>
        <v>154616887</v>
      </c>
      <c r="D27" s="32">
        <f>D26</f>
        <v>558598</v>
      </c>
      <c r="E27" s="31">
        <f>888191.57+31033.6</f>
        <v>919225.16999999993</v>
      </c>
      <c r="F27" s="31">
        <f>888191.57+31033.6</f>
        <v>919225.16999999993</v>
      </c>
      <c r="G27" s="29">
        <f>E27-D27</f>
        <v>360627.16999999993</v>
      </c>
      <c r="H27" s="29">
        <f>F27-D27</f>
        <v>360627.16999999993</v>
      </c>
      <c r="I27" s="30">
        <v>0.21</v>
      </c>
      <c r="J27" s="30">
        <v>0.05</v>
      </c>
      <c r="K27" s="29">
        <f>G27*I27-L27*I27</f>
        <v>71945.120414999983</v>
      </c>
      <c r="L27" s="29">
        <f>H27*J27</f>
        <v>18031.358499999998</v>
      </c>
      <c r="M27" s="29">
        <f t="shared" si="4"/>
        <v>449882.49737756187</v>
      </c>
      <c r="N27" s="29">
        <v>0</v>
      </c>
    </row>
    <row r="28" spans="1:14" x14ac:dyDescent="0.2">
      <c r="A28" s="12">
        <v>44083</v>
      </c>
      <c r="B28" s="25"/>
      <c r="C28" s="29">
        <v>154616887</v>
      </c>
      <c r="D28" s="32">
        <v>558598</v>
      </c>
      <c r="E28" s="31">
        <f>888191.57+31034</f>
        <v>919225.57</v>
      </c>
      <c r="F28" s="31">
        <f>888191.57+31034</f>
        <v>919225.57</v>
      </c>
      <c r="G28" s="29">
        <f>E28-D28</f>
        <v>360627.56999999995</v>
      </c>
      <c r="H28" s="29">
        <f>F28-D28</f>
        <v>360627.56999999995</v>
      </c>
      <c r="I28" s="30">
        <v>0.21</v>
      </c>
      <c r="J28" s="30">
        <v>0.05</v>
      </c>
      <c r="K28" s="29">
        <f>G28*I28-L28*I28</f>
        <v>71945.200214999975</v>
      </c>
      <c r="L28" s="29">
        <f>H28*J28</f>
        <v>18031.378499999999</v>
      </c>
      <c r="M28" s="29">
        <f t="shared" si="4"/>
        <v>539859.07609256182</v>
      </c>
      <c r="N28" s="29">
        <v>0</v>
      </c>
    </row>
    <row r="29" spans="1:14" x14ac:dyDescent="0.2">
      <c r="A29" s="12">
        <v>44105</v>
      </c>
      <c r="B29" s="25"/>
      <c r="C29" s="29">
        <v>157915595</v>
      </c>
      <c r="D29" s="32">
        <v>564576</v>
      </c>
      <c r="E29" s="31">
        <f>928738.18+27049</f>
        <v>955787.18</v>
      </c>
      <c r="F29" s="31">
        <f>928738.18+27049</f>
        <v>955787.18</v>
      </c>
      <c r="G29" s="29">
        <f t="shared" ref="G29:G31" si="9">E29-D29</f>
        <v>391211.18000000005</v>
      </c>
      <c r="H29" s="29">
        <f t="shared" ref="H29:H31" si="10">F29-D29</f>
        <v>391211.18000000005</v>
      </c>
      <c r="I29" s="30">
        <v>0.21</v>
      </c>
      <c r="J29" s="30">
        <v>0.05</v>
      </c>
      <c r="K29" s="29">
        <f t="shared" ref="K29:K31" si="11">G29*I29-L29*I29</f>
        <v>78046.630409999998</v>
      </c>
      <c r="L29" s="29">
        <f t="shared" ref="L29:L31" si="12">H29*J29</f>
        <v>19560.559000000005</v>
      </c>
      <c r="M29" s="29">
        <f t="shared" si="4"/>
        <v>637466.26550256182</v>
      </c>
      <c r="N29" s="29">
        <v>0</v>
      </c>
    </row>
    <row r="30" spans="1:14" x14ac:dyDescent="0.2">
      <c r="A30" s="12">
        <v>44136</v>
      </c>
      <c r="B30" s="25"/>
      <c r="C30" s="29">
        <v>157915595</v>
      </c>
      <c r="D30" s="32">
        <v>570555</v>
      </c>
      <c r="E30" s="31">
        <f>928738.18+33023</f>
        <v>961761.18</v>
      </c>
      <c r="F30" s="31">
        <f>928738.18+33023</f>
        <v>961761.18</v>
      </c>
      <c r="G30" s="29">
        <f t="shared" si="9"/>
        <v>391206.18000000005</v>
      </c>
      <c r="H30" s="29">
        <f t="shared" si="10"/>
        <v>391206.18000000005</v>
      </c>
      <c r="I30" s="30">
        <v>0.21</v>
      </c>
      <c r="J30" s="30">
        <v>0.05</v>
      </c>
      <c r="K30" s="29">
        <f t="shared" si="11"/>
        <v>78045.632910000015</v>
      </c>
      <c r="L30" s="29">
        <f t="shared" si="12"/>
        <v>19560.309000000005</v>
      </c>
      <c r="M30" s="29">
        <f t="shared" si="4"/>
        <v>735072.20741256187</v>
      </c>
      <c r="N30" s="29">
        <v>0</v>
      </c>
    </row>
    <row r="31" spans="1:14" x14ac:dyDescent="0.2">
      <c r="A31" s="12">
        <v>44166</v>
      </c>
      <c r="B31" s="25"/>
      <c r="C31" s="29">
        <v>157915595</v>
      </c>
      <c r="D31" s="32">
        <v>570555</v>
      </c>
      <c r="E31" s="31">
        <f>928738.18+33027</f>
        <v>961765.18</v>
      </c>
      <c r="F31" s="31">
        <f>928738.18+33027</f>
        <v>961765.18</v>
      </c>
      <c r="G31" s="29">
        <f t="shared" si="9"/>
        <v>391210.18000000005</v>
      </c>
      <c r="H31" s="29">
        <f t="shared" si="10"/>
        <v>391210.18000000005</v>
      </c>
      <c r="I31" s="30">
        <v>0.21</v>
      </c>
      <c r="J31" s="30">
        <v>0.05</v>
      </c>
      <c r="K31" s="29">
        <f t="shared" si="11"/>
        <v>78046.43091000001</v>
      </c>
      <c r="L31" s="29">
        <f t="shared" si="12"/>
        <v>19560.509000000002</v>
      </c>
      <c r="M31" s="29">
        <f t="shared" si="4"/>
        <v>832679.14732256182</v>
      </c>
      <c r="N31" s="29">
        <v>0</v>
      </c>
    </row>
    <row r="32" spans="1:14" x14ac:dyDescent="0.2">
      <c r="A32" s="12">
        <v>44197</v>
      </c>
      <c r="B32" s="25"/>
      <c r="C32" s="29">
        <v>157915595</v>
      </c>
      <c r="D32" s="32">
        <v>570555.49</v>
      </c>
      <c r="E32" s="31">
        <f>1198315.4</f>
        <v>1198315.3999999999</v>
      </c>
      <c r="F32" s="31">
        <f>1198315.4</f>
        <v>1198315.3999999999</v>
      </c>
      <c r="G32" s="29">
        <f>E32-D32</f>
        <v>627759.90999999992</v>
      </c>
      <c r="H32" s="29">
        <f>F32-D32</f>
        <v>627759.90999999992</v>
      </c>
      <c r="I32" s="30">
        <v>0.21</v>
      </c>
      <c r="J32" s="30">
        <v>0.05</v>
      </c>
      <c r="K32" s="29">
        <f>G32*I32-L32*I32</f>
        <v>125238.10204499998</v>
      </c>
      <c r="L32" s="29">
        <f>H32*J32</f>
        <v>31387.995499999997</v>
      </c>
      <c r="M32" s="29">
        <f t="shared" si="4"/>
        <v>989305.24486756173</v>
      </c>
      <c r="N32" s="29">
        <v>0</v>
      </c>
    </row>
    <row r="33" spans="1:14" x14ac:dyDescent="0.2">
      <c r="A33" s="12">
        <v>44228</v>
      </c>
      <c r="B33" s="25"/>
      <c r="C33" s="29">
        <v>157915595</v>
      </c>
      <c r="D33" s="32">
        <v>570555</v>
      </c>
      <c r="E33" s="31">
        <f>1198317.19</f>
        <v>1198317.19</v>
      </c>
      <c r="F33" s="31">
        <f>1198317.19</f>
        <v>1198317.19</v>
      </c>
      <c r="G33" s="29">
        <f>E33-D33</f>
        <v>627762.18999999994</v>
      </c>
      <c r="H33" s="29">
        <f>F33-D33</f>
        <v>627762.18999999994</v>
      </c>
      <c r="I33" s="30">
        <v>0.21</v>
      </c>
      <c r="J33" s="30">
        <v>0.05</v>
      </c>
      <c r="K33" s="29">
        <f>G33*I33-L33*I33</f>
        <v>125238.55690499999</v>
      </c>
      <c r="L33" s="29">
        <f>H33*J33</f>
        <v>31388.109499999999</v>
      </c>
      <c r="M33" s="29">
        <f t="shared" si="4"/>
        <v>1145931.9112725616</v>
      </c>
      <c r="N33" s="29">
        <v>0</v>
      </c>
    </row>
  </sheetData>
  <mergeCells count="1">
    <mergeCell ref="A1:N1"/>
  </mergeCells>
  <pageMargins left="0.7" right="0.7" top="0.75" bottom="0.75" header="0.3" footer="0.3"/>
  <pageSetup scale="52" orientation="portrait" r:id="rId1"/>
  <headerFooter>
    <oddHeader>&amp;R&amp;"Times New Roman,Bold"&amp;12Attachment to Response to Question 3
Page 12 of 14
Clements</oddHeader>
    <oddFooter>&amp;L_x000D_&amp;1#&amp;"Calibri"&amp;14&amp;K000000 Business Use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74E40-F7A8-401B-A16A-ECD2D11A2CAF}">
  <dimension ref="A1:Q56"/>
  <sheetViews>
    <sheetView zoomScaleNormal="100" workbookViewId="0">
      <selection sqref="A1:N1"/>
    </sheetView>
  </sheetViews>
  <sheetFormatPr defaultRowHeight="12.75" x14ac:dyDescent="0.2"/>
  <cols>
    <col min="1" max="1" width="11.28515625" style="9" customWidth="1"/>
    <col min="2" max="2" width="1.7109375" customWidth="1"/>
    <col min="3" max="3" width="14.28515625" customWidth="1"/>
    <col min="4" max="4" width="14.28515625" bestFit="1" customWidth="1"/>
    <col min="5" max="5" width="16.42578125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</cols>
  <sheetData>
    <row r="1" spans="1:17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7" x14ac:dyDescent="0.2">
      <c r="A2" s="2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7" x14ac:dyDescent="0.2">
      <c r="A5" s="4" t="s">
        <v>51</v>
      </c>
    </row>
    <row r="6" spans="1:17" x14ac:dyDescent="0.2">
      <c r="A6" s="5" t="s">
        <v>56</v>
      </c>
    </row>
    <row r="8" spans="1:17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7" x14ac:dyDescent="0.2">
      <c r="A9" s="9" t="s">
        <v>18</v>
      </c>
      <c r="M9" s="10">
        <v>62948</v>
      </c>
    </row>
    <row r="10" spans="1:17" x14ac:dyDescent="0.2">
      <c r="A10" s="12">
        <v>43533</v>
      </c>
      <c r="C10" s="13">
        <v>350074</v>
      </c>
      <c r="D10" s="14">
        <v>691</v>
      </c>
      <c r="E10" s="14">
        <f>973.94</f>
        <v>973.94</v>
      </c>
      <c r="F10" s="14">
        <f t="shared" ref="F10:F15" si="0">1947.87</f>
        <v>1947.87</v>
      </c>
      <c r="G10" s="13">
        <f>E10-D10</f>
        <v>282.94000000000005</v>
      </c>
      <c r="H10" s="13">
        <f>F10-D10</f>
        <v>1256.8699999999999</v>
      </c>
      <c r="I10" s="15">
        <v>0.21</v>
      </c>
      <c r="J10" s="15">
        <v>0.05</v>
      </c>
      <c r="K10" s="13">
        <f>G10*I10-L10*I10</f>
        <v>46.220265000000012</v>
      </c>
      <c r="L10" s="13">
        <f>H10*J10</f>
        <v>62.843499999999999</v>
      </c>
      <c r="M10" s="13">
        <f t="shared" ref="M10:M33" si="1">M9+K10+L10</f>
        <v>63057.063765000006</v>
      </c>
      <c r="N10" s="13">
        <v>0</v>
      </c>
      <c r="P10" s="11"/>
    </row>
    <row r="11" spans="1:17" x14ac:dyDescent="0.2">
      <c r="A11" s="12">
        <v>43556</v>
      </c>
      <c r="C11" s="13">
        <v>350074</v>
      </c>
      <c r="D11" s="14">
        <v>691</v>
      </c>
      <c r="E11" s="14">
        <f>973.94-4</f>
        <v>969.94</v>
      </c>
      <c r="F11" s="14">
        <f t="shared" si="0"/>
        <v>1947.87</v>
      </c>
      <c r="G11" s="13">
        <f t="shared" ref="G11:G13" si="2">E11-D11</f>
        <v>278.94000000000005</v>
      </c>
      <c r="H11" s="13">
        <f t="shared" ref="H11:H13" si="3">F11-D11</f>
        <v>1256.8699999999999</v>
      </c>
      <c r="I11" s="15">
        <v>0.21</v>
      </c>
      <c r="J11" s="15">
        <v>0.05</v>
      </c>
      <c r="K11" s="13">
        <f t="shared" ref="K11:K13" si="4">G11*I11-L11*I11</f>
        <v>45.380265000000009</v>
      </c>
      <c r="L11" s="13">
        <f t="shared" ref="L11:L13" si="5">H11*J11</f>
        <v>62.843499999999999</v>
      </c>
      <c r="M11" s="13">
        <f t="shared" si="1"/>
        <v>63165.287530000009</v>
      </c>
      <c r="N11" s="13">
        <v>0</v>
      </c>
      <c r="O11" s="13">
        <f>1598189-M12</f>
        <v>1534900.1777049999</v>
      </c>
      <c r="P11" s="11"/>
    </row>
    <row r="12" spans="1:17" x14ac:dyDescent="0.2">
      <c r="A12" s="12">
        <v>43586</v>
      </c>
      <c r="C12" s="13">
        <v>350074</v>
      </c>
      <c r="D12" s="14">
        <v>633</v>
      </c>
      <c r="E12" s="14">
        <f>973.94</f>
        <v>973.94</v>
      </c>
      <c r="F12" s="14">
        <f t="shared" si="0"/>
        <v>1947.87</v>
      </c>
      <c r="G12" s="13">
        <f t="shared" si="2"/>
        <v>340.94000000000005</v>
      </c>
      <c r="H12" s="13">
        <f t="shared" si="3"/>
        <v>1314.87</v>
      </c>
      <c r="I12" s="15">
        <v>0.21</v>
      </c>
      <c r="J12" s="15">
        <v>0.05</v>
      </c>
      <c r="K12" s="13">
        <f t="shared" si="4"/>
        <v>57.79126500000001</v>
      </c>
      <c r="L12" s="13">
        <f t="shared" si="5"/>
        <v>65.743499999999997</v>
      </c>
      <c r="M12" s="13">
        <f t="shared" si="1"/>
        <v>63288.822295000005</v>
      </c>
      <c r="N12" s="13">
        <v>0</v>
      </c>
      <c r="O12" s="11">
        <f>+O11/0.389</f>
        <v>3945758.8115809765</v>
      </c>
    </row>
    <row r="13" spans="1:17" x14ac:dyDescent="0.2">
      <c r="A13" s="12">
        <v>43617</v>
      </c>
      <c r="C13" s="13">
        <v>350074</v>
      </c>
      <c r="D13" s="14">
        <v>633</v>
      </c>
      <c r="E13" s="14">
        <f>973.94+2</f>
        <v>975.94</v>
      </c>
      <c r="F13" s="14">
        <f t="shared" si="0"/>
        <v>1947.87</v>
      </c>
      <c r="G13" s="13">
        <f t="shared" si="2"/>
        <v>342.94000000000005</v>
      </c>
      <c r="H13" s="13">
        <f t="shared" si="3"/>
        <v>1314.87</v>
      </c>
      <c r="I13" s="15">
        <v>0.21</v>
      </c>
      <c r="J13" s="15">
        <v>0.05</v>
      </c>
      <c r="K13" s="13">
        <f t="shared" si="4"/>
        <v>58.211265000000012</v>
      </c>
      <c r="L13" s="13">
        <f t="shared" si="5"/>
        <v>65.743499999999997</v>
      </c>
      <c r="M13" s="13">
        <f t="shared" si="1"/>
        <v>63412.77706</v>
      </c>
      <c r="N13" s="13">
        <v>0</v>
      </c>
      <c r="O13" s="13">
        <f>1923738-M14</f>
        <v>1860201.688175</v>
      </c>
    </row>
    <row r="14" spans="1:17" x14ac:dyDescent="0.2">
      <c r="A14" s="12">
        <v>43647</v>
      </c>
      <c r="C14" s="13">
        <v>350074</v>
      </c>
      <c r="D14" s="14">
        <v>633</v>
      </c>
      <c r="E14" s="14">
        <f>973.94</f>
        <v>973.94</v>
      </c>
      <c r="F14" s="14">
        <f t="shared" si="0"/>
        <v>1947.87</v>
      </c>
      <c r="G14" s="13">
        <f>E14-D14</f>
        <v>340.94000000000005</v>
      </c>
      <c r="H14" s="13">
        <f>F14-D14</f>
        <v>1314.87</v>
      </c>
      <c r="I14" s="15">
        <v>0.21</v>
      </c>
      <c r="J14" s="15">
        <v>0.05</v>
      </c>
      <c r="K14" s="13">
        <f>G14*I14-L14*I14</f>
        <v>57.79126500000001</v>
      </c>
      <c r="L14" s="13">
        <f>H14*J14</f>
        <v>65.743499999999997</v>
      </c>
      <c r="M14" s="13">
        <f t="shared" si="1"/>
        <v>63536.311824999997</v>
      </c>
      <c r="N14" s="13">
        <v>0</v>
      </c>
      <c r="O14" s="11">
        <f>+O13/0.389</f>
        <v>4782009.4811696662</v>
      </c>
      <c r="Q14" s="13"/>
    </row>
    <row r="15" spans="1:17" x14ac:dyDescent="0.2">
      <c r="A15" s="12">
        <v>43678</v>
      </c>
      <c r="C15" s="13">
        <v>350074</v>
      </c>
      <c r="D15" s="14">
        <v>633</v>
      </c>
      <c r="E15" s="14">
        <f>973.94</f>
        <v>973.94</v>
      </c>
      <c r="F15" s="14">
        <f t="shared" si="0"/>
        <v>1947.87</v>
      </c>
      <c r="G15" s="13">
        <f>E15-D15</f>
        <v>340.94000000000005</v>
      </c>
      <c r="H15" s="13">
        <f>F15-D15</f>
        <v>1314.87</v>
      </c>
      <c r="I15" s="15">
        <v>0.21</v>
      </c>
      <c r="J15" s="15">
        <v>0.05</v>
      </c>
      <c r="K15" s="13">
        <f>G15*I15-L15*I15</f>
        <v>57.79126500000001</v>
      </c>
      <c r="L15" s="13">
        <f>H15*J15</f>
        <v>65.743499999999997</v>
      </c>
      <c r="M15" s="13">
        <f t="shared" si="1"/>
        <v>63659.846589999994</v>
      </c>
      <c r="N15" s="13">
        <v>0</v>
      </c>
      <c r="O15" s="13">
        <f>+M15-2105354</f>
        <v>-2041694.15341</v>
      </c>
      <c r="Q15" s="13"/>
    </row>
    <row r="16" spans="1:17" x14ac:dyDescent="0.2">
      <c r="A16" s="12">
        <v>43717</v>
      </c>
      <c r="B16" s="25"/>
      <c r="C16" s="29">
        <v>350074</v>
      </c>
      <c r="D16" s="32">
        <v>633</v>
      </c>
      <c r="E16" s="32">
        <f>973.94-2</f>
        <v>971.94</v>
      </c>
      <c r="F16" s="32">
        <f>1947.87</f>
        <v>1947.87</v>
      </c>
      <c r="G16" s="29">
        <f>E16-D16</f>
        <v>338.94000000000005</v>
      </c>
      <c r="H16" s="29">
        <f>F16-D16</f>
        <v>1314.87</v>
      </c>
      <c r="I16" s="30">
        <v>0.21</v>
      </c>
      <c r="J16" s="30">
        <v>0.05</v>
      </c>
      <c r="K16" s="29">
        <f>G16*I16-L16*I16</f>
        <v>57.371265000000008</v>
      </c>
      <c r="L16" s="29">
        <f>H16*J16</f>
        <v>65.743499999999997</v>
      </c>
      <c r="M16" s="29">
        <f t="shared" si="1"/>
        <v>63782.961354999992</v>
      </c>
      <c r="N16" s="29">
        <v>0</v>
      </c>
      <c r="O16" s="17">
        <f>+O15/0.389</f>
        <v>-5248571.0884575834</v>
      </c>
    </row>
    <row r="17" spans="1:14" x14ac:dyDescent="0.2">
      <c r="A17" s="12">
        <v>43739</v>
      </c>
      <c r="B17" s="25"/>
      <c r="C17" s="29">
        <v>40829262</v>
      </c>
      <c r="D17" s="32">
        <v>37233</v>
      </c>
      <c r="E17" s="32">
        <f>5244660.35-28989.02</f>
        <v>5215671.33</v>
      </c>
      <c r="F17" s="32">
        <v>507937.72</v>
      </c>
      <c r="G17" s="29">
        <f t="shared" ref="G17:G19" si="6">E17-D17</f>
        <v>5178438.33</v>
      </c>
      <c r="H17" s="29">
        <f t="shared" ref="H17:H19" si="7">F17-D17</f>
        <v>470704.72</v>
      </c>
      <c r="I17" s="30">
        <v>0.21</v>
      </c>
      <c r="J17" s="30">
        <v>0.05</v>
      </c>
      <c r="K17" s="29">
        <f t="shared" ref="K17:K19" si="8">G17*I17-L17*I17</f>
        <v>1082529.64974</v>
      </c>
      <c r="L17" s="29">
        <f t="shared" ref="L17:L19" si="9">H17*J17</f>
        <v>23535.236000000001</v>
      </c>
      <c r="M17" s="29">
        <f t="shared" si="1"/>
        <v>1169847.8470950001</v>
      </c>
      <c r="N17" s="29">
        <v>0</v>
      </c>
    </row>
    <row r="18" spans="1:14" x14ac:dyDescent="0.2">
      <c r="A18" s="12">
        <v>43770</v>
      </c>
      <c r="B18" s="25"/>
      <c r="C18" s="29">
        <v>40829262</v>
      </c>
      <c r="D18" s="32">
        <v>73833</v>
      </c>
      <c r="E18" s="32">
        <f>5244660.35-28989.02+43484.83</f>
        <v>5259156.16</v>
      </c>
      <c r="F18" s="32">
        <v>507937.72</v>
      </c>
      <c r="G18" s="29">
        <f t="shared" si="6"/>
        <v>5185323.16</v>
      </c>
      <c r="H18" s="29">
        <f t="shared" si="7"/>
        <v>434104.72</v>
      </c>
      <c r="I18" s="30">
        <v>0.21</v>
      </c>
      <c r="J18" s="30">
        <v>0.05</v>
      </c>
      <c r="K18" s="29">
        <f t="shared" si="8"/>
        <v>1084359.76404</v>
      </c>
      <c r="L18" s="29">
        <f t="shared" si="9"/>
        <v>21705.236000000001</v>
      </c>
      <c r="M18" s="29">
        <f t="shared" si="1"/>
        <v>2275912.8471350004</v>
      </c>
      <c r="N18" s="29">
        <v>0</v>
      </c>
    </row>
    <row r="19" spans="1:14" x14ac:dyDescent="0.2">
      <c r="A19" s="12">
        <v>43800</v>
      </c>
      <c r="B19" s="25"/>
      <c r="C19" s="29">
        <v>40829262</v>
      </c>
      <c r="D19" s="32">
        <v>73833</v>
      </c>
      <c r="E19" s="32">
        <f>5244660.35-28989.02+43484.83-4</f>
        <v>5259152.16</v>
      </c>
      <c r="F19" s="32">
        <v>507937.72</v>
      </c>
      <c r="G19" s="29">
        <f t="shared" si="6"/>
        <v>5185319.16</v>
      </c>
      <c r="H19" s="29">
        <f t="shared" si="7"/>
        <v>434104.72</v>
      </c>
      <c r="I19" s="30">
        <v>0.21</v>
      </c>
      <c r="J19" s="30">
        <v>0.05</v>
      </c>
      <c r="K19" s="29">
        <f t="shared" si="8"/>
        <v>1084358.92404</v>
      </c>
      <c r="L19" s="29">
        <f t="shared" si="9"/>
        <v>21705.236000000001</v>
      </c>
      <c r="M19" s="29">
        <f t="shared" si="1"/>
        <v>3381977.0071750004</v>
      </c>
      <c r="N19" s="29">
        <v>0</v>
      </c>
    </row>
    <row r="20" spans="1:14" x14ac:dyDescent="0.2">
      <c r="A20" s="12">
        <v>43831</v>
      </c>
      <c r="B20" s="25"/>
      <c r="C20" s="29">
        <v>40829262</v>
      </c>
      <c r="D20" s="32">
        <v>73833</v>
      </c>
      <c r="E20" s="32">
        <f>155582.16</f>
        <v>155582.16</v>
      </c>
      <c r="F20" s="32">
        <v>245318.05</v>
      </c>
      <c r="G20" s="29">
        <f>E20-D20</f>
        <v>81749.16</v>
      </c>
      <c r="H20" s="29">
        <f>F20-D20</f>
        <v>171485.05</v>
      </c>
      <c r="I20" s="30">
        <v>0.21</v>
      </c>
      <c r="J20" s="30">
        <v>0.05</v>
      </c>
      <c r="K20" s="29">
        <f>G20*I20-L20*I20</f>
        <v>15366.730575</v>
      </c>
      <c r="L20" s="29">
        <f>H20*J20</f>
        <v>8574.2525000000005</v>
      </c>
      <c r="M20" s="29">
        <f t="shared" si="1"/>
        <v>3405917.9902500003</v>
      </c>
      <c r="N20" s="29">
        <v>0</v>
      </c>
    </row>
    <row r="21" spans="1:14" x14ac:dyDescent="0.2">
      <c r="A21" s="12">
        <v>43862</v>
      </c>
      <c r="B21" s="25"/>
      <c r="C21" s="29">
        <v>40829262</v>
      </c>
      <c r="D21" s="32">
        <v>73833</v>
      </c>
      <c r="E21" s="32">
        <f>155582.16</f>
        <v>155582.16</v>
      </c>
      <c r="F21" s="32">
        <v>245318.05</v>
      </c>
      <c r="G21" s="29">
        <f>E21-D21</f>
        <v>81749.16</v>
      </c>
      <c r="H21" s="29">
        <f>F21-D21</f>
        <v>171485.05</v>
      </c>
      <c r="I21" s="30">
        <v>0.21</v>
      </c>
      <c r="J21" s="30">
        <v>0.05</v>
      </c>
      <c r="K21" s="29">
        <f>G21*I21-L21*I21</f>
        <v>15366.730575</v>
      </c>
      <c r="L21" s="29">
        <f>H21*J21</f>
        <v>8574.2525000000005</v>
      </c>
      <c r="M21" s="29">
        <f t="shared" si="1"/>
        <v>3429858.9733250001</v>
      </c>
      <c r="N21" s="29">
        <v>0</v>
      </c>
    </row>
    <row r="22" spans="1:14" x14ac:dyDescent="0.2">
      <c r="A22" s="12">
        <v>43899</v>
      </c>
      <c r="B22" s="25"/>
      <c r="C22" s="29">
        <v>40829262</v>
      </c>
      <c r="D22" s="32">
        <v>73833</v>
      </c>
      <c r="E22" s="31">
        <f t="shared" ref="E22:E27" si="10">155582.16</f>
        <v>155582.16</v>
      </c>
      <c r="F22" s="31">
        <v>245318.05</v>
      </c>
      <c r="G22" s="29">
        <f>E22-D22</f>
        <v>81749.16</v>
      </c>
      <c r="H22" s="29">
        <f>F22-D22</f>
        <v>171485.05</v>
      </c>
      <c r="I22" s="30">
        <v>0.21</v>
      </c>
      <c r="J22" s="30">
        <v>0.05</v>
      </c>
      <c r="K22" s="29">
        <f>G22*I22-L22*I22</f>
        <v>15366.730575</v>
      </c>
      <c r="L22" s="29">
        <f>H22*J22</f>
        <v>8574.2525000000005</v>
      </c>
      <c r="M22" s="29">
        <f t="shared" si="1"/>
        <v>3453799.9564</v>
      </c>
      <c r="N22" s="29">
        <v>0</v>
      </c>
    </row>
    <row r="23" spans="1:14" x14ac:dyDescent="0.2">
      <c r="A23" s="12">
        <v>43922</v>
      </c>
      <c r="B23" s="25"/>
      <c r="C23" s="29">
        <v>40829262</v>
      </c>
      <c r="D23" s="32">
        <v>73833</v>
      </c>
      <c r="E23" s="31">
        <f t="shared" si="10"/>
        <v>155582.16</v>
      </c>
      <c r="F23" s="31">
        <v>245318.05</v>
      </c>
      <c r="G23" s="29">
        <f t="shared" ref="G23:G25" si="11">E23-D23</f>
        <v>81749.16</v>
      </c>
      <c r="H23" s="29">
        <f t="shared" ref="H23:H25" si="12">F23-D23</f>
        <v>171485.05</v>
      </c>
      <c r="I23" s="30">
        <v>0.21</v>
      </c>
      <c r="J23" s="30">
        <v>0.05</v>
      </c>
      <c r="K23" s="29">
        <f t="shared" ref="K23:K25" si="13">G23*I23-L23*I23</f>
        <v>15366.730575</v>
      </c>
      <c r="L23" s="29">
        <f t="shared" ref="L23:L25" si="14">H23*J23</f>
        <v>8574.2525000000005</v>
      </c>
      <c r="M23" s="29">
        <f t="shared" si="1"/>
        <v>3477740.9394749999</v>
      </c>
      <c r="N23" s="29">
        <v>0</v>
      </c>
    </row>
    <row r="24" spans="1:14" x14ac:dyDescent="0.2">
      <c r="A24" s="12">
        <v>43952</v>
      </c>
      <c r="B24" s="25"/>
      <c r="C24" s="29">
        <v>40829262</v>
      </c>
      <c r="D24" s="32">
        <v>73833</v>
      </c>
      <c r="E24" s="31">
        <f t="shared" si="10"/>
        <v>155582.16</v>
      </c>
      <c r="F24" s="31">
        <v>245318.05</v>
      </c>
      <c r="G24" s="29">
        <f t="shared" si="11"/>
        <v>81749.16</v>
      </c>
      <c r="H24" s="29">
        <f t="shared" si="12"/>
        <v>171485.05</v>
      </c>
      <c r="I24" s="30">
        <v>0.21</v>
      </c>
      <c r="J24" s="30">
        <v>0.05</v>
      </c>
      <c r="K24" s="29">
        <f t="shared" si="13"/>
        <v>15366.730575</v>
      </c>
      <c r="L24" s="29">
        <f t="shared" si="14"/>
        <v>8574.2525000000005</v>
      </c>
      <c r="M24" s="29">
        <f t="shared" si="1"/>
        <v>3501681.9225499998</v>
      </c>
      <c r="N24" s="29">
        <v>0</v>
      </c>
    </row>
    <row r="25" spans="1:14" x14ac:dyDescent="0.2">
      <c r="A25" s="12">
        <v>43983</v>
      </c>
      <c r="B25" s="25"/>
      <c r="C25" s="29">
        <v>40829262</v>
      </c>
      <c r="D25" s="32">
        <v>73833</v>
      </c>
      <c r="E25" s="31">
        <f t="shared" si="10"/>
        <v>155582.16</v>
      </c>
      <c r="F25" s="31">
        <v>245318.05</v>
      </c>
      <c r="G25" s="29">
        <f t="shared" si="11"/>
        <v>81749.16</v>
      </c>
      <c r="H25" s="29">
        <f t="shared" si="12"/>
        <v>171485.05</v>
      </c>
      <c r="I25" s="30">
        <v>0.21</v>
      </c>
      <c r="J25" s="30">
        <v>0.05</v>
      </c>
      <c r="K25" s="29">
        <f t="shared" si="13"/>
        <v>15366.730575</v>
      </c>
      <c r="L25" s="29">
        <f t="shared" si="14"/>
        <v>8574.2525000000005</v>
      </c>
      <c r="M25" s="29">
        <f t="shared" si="1"/>
        <v>3525622.9056249997</v>
      </c>
      <c r="N25" s="29">
        <v>0</v>
      </c>
    </row>
    <row r="26" spans="1:14" x14ac:dyDescent="0.2">
      <c r="A26" s="12">
        <v>44013</v>
      </c>
      <c r="B26" s="25"/>
      <c r="C26" s="29">
        <v>40829262</v>
      </c>
      <c r="D26" s="32">
        <v>73833</v>
      </c>
      <c r="E26" s="31">
        <f t="shared" si="10"/>
        <v>155582.16</v>
      </c>
      <c r="F26" s="31">
        <v>245318.05</v>
      </c>
      <c r="G26" s="29">
        <f>E26-D26</f>
        <v>81749.16</v>
      </c>
      <c r="H26" s="29">
        <f>F26-D26</f>
        <v>171485.05</v>
      </c>
      <c r="I26" s="30">
        <v>0.21</v>
      </c>
      <c r="J26" s="30">
        <v>0.05</v>
      </c>
      <c r="K26" s="29">
        <f>G26*I26-L26*I26</f>
        <v>15366.730575</v>
      </c>
      <c r="L26" s="29">
        <f>H26*J26</f>
        <v>8574.2525000000005</v>
      </c>
      <c r="M26" s="29">
        <f t="shared" si="1"/>
        <v>3549563.8886999995</v>
      </c>
      <c r="N26" s="29">
        <v>0</v>
      </c>
    </row>
    <row r="27" spans="1:14" x14ac:dyDescent="0.2">
      <c r="A27" s="12">
        <v>44044</v>
      </c>
      <c r="B27" s="25"/>
      <c r="C27" s="29">
        <v>40829262</v>
      </c>
      <c r="D27" s="32">
        <v>73833</v>
      </c>
      <c r="E27" s="31">
        <f t="shared" si="10"/>
        <v>155582.16</v>
      </c>
      <c r="F27" s="31">
        <v>245318.05</v>
      </c>
      <c r="G27" s="29">
        <f>E27-D27</f>
        <v>81749.16</v>
      </c>
      <c r="H27" s="29">
        <f>F27-D27</f>
        <v>171485.05</v>
      </c>
      <c r="I27" s="30">
        <v>0.21</v>
      </c>
      <c r="J27" s="30">
        <v>0.05</v>
      </c>
      <c r="K27" s="29">
        <f>G27*I27-L27*I27</f>
        <v>15366.730575</v>
      </c>
      <c r="L27" s="29">
        <f>H27*J27</f>
        <v>8574.2525000000005</v>
      </c>
      <c r="M27" s="29">
        <f t="shared" si="1"/>
        <v>3573504.8717749994</v>
      </c>
      <c r="N27" s="29">
        <v>0</v>
      </c>
    </row>
    <row r="28" spans="1:14" x14ac:dyDescent="0.2">
      <c r="A28" s="12">
        <v>44083</v>
      </c>
      <c r="B28" s="25"/>
      <c r="C28" s="29">
        <v>40829262</v>
      </c>
      <c r="D28" s="32">
        <v>73833</v>
      </c>
      <c r="E28" s="31">
        <f>155582.16</f>
        <v>155582.16</v>
      </c>
      <c r="F28" s="31">
        <f>245318.05</f>
        <v>245318.05</v>
      </c>
      <c r="G28" s="29">
        <f>E28-D28</f>
        <v>81749.16</v>
      </c>
      <c r="H28" s="29">
        <f>F28-D28</f>
        <v>171485.05</v>
      </c>
      <c r="I28" s="30">
        <v>0.21</v>
      </c>
      <c r="J28" s="30">
        <v>0.05</v>
      </c>
      <c r="K28" s="29">
        <f>G28*I28-L28*I28</f>
        <v>15366.730575</v>
      </c>
      <c r="L28" s="29">
        <f>H28*J28</f>
        <v>8574.2525000000005</v>
      </c>
      <c r="M28" s="29">
        <f t="shared" si="1"/>
        <v>3597445.8548499993</v>
      </c>
      <c r="N28" s="29">
        <v>0</v>
      </c>
    </row>
    <row r="29" spans="1:14" x14ac:dyDescent="0.2">
      <c r="A29" s="12">
        <v>44105</v>
      </c>
      <c r="B29" s="25"/>
      <c r="C29" s="29">
        <v>41905553</v>
      </c>
      <c r="D29" s="32">
        <v>74806</v>
      </c>
      <c r="E29" s="31">
        <f>169035.8-648.91</f>
        <v>168386.88999999998</v>
      </c>
      <c r="F29" s="31">
        <f>258771.69-648.91</f>
        <v>258122.78</v>
      </c>
      <c r="G29" s="29">
        <f t="shared" ref="G29:G31" si="15">E29-D29</f>
        <v>93580.889999999985</v>
      </c>
      <c r="H29" s="29">
        <f t="shared" ref="H29:H31" si="16">F29-D29</f>
        <v>183316.78</v>
      </c>
      <c r="I29" s="30">
        <v>0.21</v>
      </c>
      <c r="J29" s="30">
        <v>0.05</v>
      </c>
      <c r="K29" s="29">
        <f t="shared" ref="K29:K31" si="17">G29*I29-L29*I29</f>
        <v>17727.160709999996</v>
      </c>
      <c r="L29" s="29">
        <f t="shared" ref="L29:L31" si="18">H29*J29</f>
        <v>9165.8389999999999</v>
      </c>
      <c r="M29" s="29">
        <f t="shared" si="1"/>
        <v>3624338.8545599994</v>
      </c>
      <c r="N29" s="29">
        <v>0</v>
      </c>
    </row>
    <row r="30" spans="1:14" x14ac:dyDescent="0.2">
      <c r="A30" s="12">
        <v>44136</v>
      </c>
      <c r="B30" s="25"/>
      <c r="C30" s="29">
        <v>41905553</v>
      </c>
      <c r="D30" s="32">
        <v>75779</v>
      </c>
      <c r="E30" s="31">
        <f>169035.8+328.1</f>
        <v>169363.9</v>
      </c>
      <c r="F30" s="31">
        <f>258771.69+328.1</f>
        <v>259099.79</v>
      </c>
      <c r="G30" s="29">
        <f t="shared" si="15"/>
        <v>93584.9</v>
      </c>
      <c r="H30" s="29">
        <f t="shared" si="16"/>
        <v>183320.79</v>
      </c>
      <c r="I30" s="30">
        <v>0.21</v>
      </c>
      <c r="J30" s="30">
        <v>0.05</v>
      </c>
      <c r="K30" s="29">
        <f t="shared" si="17"/>
        <v>17727.960704999998</v>
      </c>
      <c r="L30" s="29">
        <f t="shared" si="18"/>
        <v>9166.0395000000008</v>
      </c>
      <c r="M30" s="29">
        <f t="shared" si="1"/>
        <v>3651232.8547649994</v>
      </c>
      <c r="N30" s="29">
        <v>0</v>
      </c>
    </row>
    <row r="31" spans="1:14" x14ac:dyDescent="0.2">
      <c r="A31" s="12">
        <v>44166</v>
      </c>
      <c r="B31" s="25"/>
      <c r="C31" s="29">
        <v>41905553</v>
      </c>
      <c r="D31" s="32">
        <v>75779</v>
      </c>
      <c r="E31" s="31">
        <f>169035.8+324.09</f>
        <v>169359.88999999998</v>
      </c>
      <c r="F31" s="31">
        <f>258771.69+324.09</f>
        <v>259095.78</v>
      </c>
      <c r="G31" s="29">
        <f t="shared" si="15"/>
        <v>93580.889999999985</v>
      </c>
      <c r="H31" s="29">
        <f t="shared" si="16"/>
        <v>183316.78</v>
      </c>
      <c r="I31" s="30">
        <v>0.21</v>
      </c>
      <c r="J31" s="30">
        <v>0.05</v>
      </c>
      <c r="K31" s="29">
        <f t="shared" si="17"/>
        <v>17727.160709999996</v>
      </c>
      <c r="L31" s="29">
        <f t="shared" si="18"/>
        <v>9165.8389999999999</v>
      </c>
      <c r="M31" s="29">
        <f t="shared" si="1"/>
        <v>3678125.8544749995</v>
      </c>
      <c r="N31" s="29">
        <v>0</v>
      </c>
    </row>
    <row r="32" spans="1:14" x14ac:dyDescent="0.2">
      <c r="A32" s="12">
        <v>44197</v>
      </c>
      <c r="B32" s="25"/>
      <c r="C32" s="29">
        <v>41905553</v>
      </c>
      <c r="D32" s="32">
        <v>75779</v>
      </c>
      <c r="E32" s="31">
        <f>150375.86</f>
        <v>150375.85999999999</v>
      </c>
      <c r="F32" s="31">
        <f>233374.38</f>
        <v>233374.38</v>
      </c>
      <c r="G32" s="29">
        <f>E32-D32</f>
        <v>74596.859999999986</v>
      </c>
      <c r="H32" s="29">
        <f>F32-D32</f>
        <v>157595.38</v>
      </c>
      <c r="I32" s="30">
        <v>0.21</v>
      </c>
      <c r="J32" s="30">
        <v>0.05</v>
      </c>
      <c r="K32" s="29">
        <f>G32*I32-L32*I32</f>
        <v>14010.589109999995</v>
      </c>
      <c r="L32" s="29">
        <f>H32*J32</f>
        <v>7879.7690000000002</v>
      </c>
      <c r="M32" s="29">
        <f t="shared" si="1"/>
        <v>3700016.2125849994</v>
      </c>
      <c r="N32" s="29">
        <v>0</v>
      </c>
    </row>
    <row r="33" spans="1:14" x14ac:dyDescent="0.2">
      <c r="A33" s="12">
        <v>44228</v>
      </c>
      <c r="B33" s="25"/>
      <c r="C33" s="29">
        <v>41905553</v>
      </c>
      <c r="D33" s="32">
        <f>75779.4</f>
        <v>75779.399999999994</v>
      </c>
      <c r="E33" s="31">
        <f>150375</f>
        <v>150375</v>
      </c>
      <c r="F33" s="31">
        <f>233373</f>
        <v>233373</v>
      </c>
      <c r="G33" s="29">
        <f>E33-D33</f>
        <v>74595.600000000006</v>
      </c>
      <c r="H33" s="29">
        <f>F33-D33</f>
        <v>157593.60000000001</v>
      </c>
      <c r="I33" s="30">
        <v>0.21</v>
      </c>
      <c r="J33" s="30">
        <v>0.05</v>
      </c>
      <c r="K33" s="29">
        <f>G33*I33-L33*I33</f>
        <v>14010.343200000001</v>
      </c>
      <c r="L33" s="29">
        <f>H33*J33</f>
        <v>7879.68</v>
      </c>
      <c r="M33" s="29">
        <f t="shared" si="1"/>
        <v>3721906.2357849996</v>
      </c>
      <c r="N33" s="29">
        <v>0</v>
      </c>
    </row>
    <row r="34" spans="1:14" x14ac:dyDescent="0.2">
      <c r="A34" s="33"/>
      <c r="B34" s="2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x14ac:dyDescent="0.2">
      <c r="A35" s="33"/>
      <c r="B35" s="25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">
      <c r="A36" s="33"/>
      <c r="B36" s="2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x14ac:dyDescent="0.2">
      <c r="A37" s="26"/>
      <c r="B37" s="25"/>
      <c r="C37" s="49" t="s">
        <v>57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">
      <c r="A38" s="26"/>
      <c r="B38" s="25"/>
      <c r="C38" s="49" t="s">
        <v>59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">
      <c r="A39" s="26"/>
      <c r="B39" s="25"/>
      <c r="C39" s="49" t="s">
        <v>60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">
      <c r="A40" s="26"/>
      <c r="B40" s="25"/>
      <c r="C40" s="29" t="s">
        <v>21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">
      <c r="A41" s="26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6"/>
      <c r="B42" s="25"/>
      <c r="C42" s="29" t="s">
        <v>22</v>
      </c>
      <c r="D42" s="41" t="s">
        <v>23</v>
      </c>
      <c r="E42" s="40" t="s">
        <v>24</v>
      </c>
      <c r="F42" s="29" t="s">
        <v>25</v>
      </c>
      <c r="G42" s="30" t="s">
        <v>12</v>
      </c>
      <c r="H42" s="29" t="s">
        <v>26</v>
      </c>
      <c r="I42" s="25"/>
      <c r="J42" s="25"/>
      <c r="K42" s="25"/>
      <c r="L42" s="25"/>
      <c r="M42" s="25"/>
      <c r="N42" s="25"/>
    </row>
    <row r="43" spans="1:14" x14ac:dyDescent="0.2">
      <c r="A43" s="26"/>
      <c r="B43" s="25"/>
      <c r="C43" s="29">
        <v>175037.2</v>
      </c>
      <c r="D43" s="29">
        <v>75779</v>
      </c>
      <c r="E43" s="29">
        <v>833.32</v>
      </c>
      <c r="F43" s="29">
        <f>E43-D43</f>
        <v>-74945.679999999993</v>
      </c>
      <c r="G43" s="30">
        <v>0.21</v>
      </c>
      <c r="H43" s="29">
        <f>F43*G43</f>
        <v>-15738.592799999999</v>
      </c>
      <c r="I43" s="25"/>
      <c r="J43" s="25"/>
      <c r="K43" s="25"/>
      <c r="L43" s="25"/>
      <c r="M43" s="25"/>
      <c r="N43" s="25"/>
    </row>
    <row r="44" spans="1:14" x14ac:dyDescent="0.2">
      <c r="A44" s="26"/>
      <c r="B44" s="25"/>
      <c r="C44" s="29">
        <v>25712341</v>
      </c>
      <c r="D44" s="29"/>
      <c r="E44" s="37">
        <v>143067.75</v>
      </c>
      <c r="F44" s="37">
        <f>E44</f>
        <v>143067.75</v>
      </c>
      <c r="G44" s="30">
        <v>0.21</v>
      </c>
      <c r="H44" s="37">
        <f>F44*G44</f>
        <v>30044.227499999997</v>
      </c>
      <c r="I44" s="25"/>
      <c r="J44" s="25"/>
      <c r="K44" s="25"/>
      <c r="L44" s="25"/>
      <c r="M44" s="25"/>
      <c r="N44" s="25"/>
    </row>
    <row r="45" spans="1:14" ht="15" x14ac:dyDescent="0.35">
      <c r="A45" s="26"/>
      <c r="B45" s="25"/>
      <c r="C45" s="35">
        <v>1076291.1100000001</v>
      </c>
      <c r="D45" s="29"/>
      <c r="E45" s="42">
        <f>6474.79-1</f>
        <v>6473.79</v>
      </c>
      <c r="F45" s="42">
        <f>E45</f>
        <v>6473.79</v>
      </c>
      <c r="G45" s="30">
        <v>0.21</v>
      </c>
      <c r="H45" s="42">
        <f>F45*G45</f>
        <v>1359.4958999999999</v>
      </c>
      <c r="I45" s="25"/>
      <c r="J45" s="25"/>
      <c r="K45" s="25"/>
      <c r="L45" s="25"/>
      <c r="M45" s="25"/>
      <c r="N45" s="25"/>
    </row>
    <row r="46" spans="1:14" x14ac:dyDescent="0.2">
      <c r="A46" s="26"/>
      <c r="B46" s="25"/>
      <c r="C46" s="25"/>
      <c r="D46" s="25"/>
      <c r="E46" s="29">
        <f>SUM(E43:E45)</f>
        <v>150374.86000000002</v>
      </c>
      <c r="F46" s="29">
        <f>SUM(F43:F45)</f>
        <v>74595.86</v>
      </c>
      <c r="G46" s="36" t="s">
        <v>27</v>
      </c>
      <c r="H46" s="29">
        <f>SUM(H43:H45)</f>
        <v>15665.130599999999</v>
      </c>
      <c r="I46" s="25"/>
      <c r="J46" s="25"/>
      <c r="K46" s="25"/>
      <c r="L46" s="25"/>
      <c r="M46" s="25"/>
      <c r="N46" s="25"/>
    </row>
    <row r="47" spans="1:14" ht="15" x14ac:dyDescent="0.35">
      <c r="A47" s="26"/>
      <c r="B47" s="25"/>
      <c r="C47" s="25"/>
      <c r="D47" s="25"/>
      <c r="E47" s="25"/>
      <c r="F47" s="25"/>
      <c r="G47" s="36" t="s">
        <v>28</v>
      </c>
      <c r="H47" s="42">
        <f>-H54*0.21</f>
        <v>-1654.7410950000001</v>
      </c>
      <c r="I47" s="25"/>
      <c r="J47" s="25"/>
      <c r="K47" s="25"/>
      <c r="L47" s="25"/>
      <c r="M47" s="25"/>
      <c r="N47" s="25"/>
    </row>
    <row r="48" spans="1:14" x14ac:dyDescent="0.2">
      <c r="A48" s="26"/>
      <c r="B48" s="25"/>
      <c r="C48" s="25"/>
      <c r="D48" s="25"/>
      <c r="E48" s="25"/>
      <c r="F48" s="25"/>
      <c r="G48" s="25"/>
      <c r="H48" s="29">
        <f>H46+H47</f>
        <v>14010.389504999999</v>
      </c>
      <c r="I48" s="25"/>
      <c r="J48" s="25"/>
      <c r="K48" s="25"/>
      <c r="L48" s="25"/>
      <c r="M48" s="25"/>
      <c r="N48" s="25"/>
    </row>
    <row r="49" spans="1:14" x14ac:dyDescent="0.2">
      <c r="A49" s="26"/>
      <c r="B49" s="25"/>
      <c r="C49" s="25"/>
      <c r="D49" s="25"/>
      <c r="E49" s="25"/>
      <c r="F49" s="25"/>
      <c r="G49" s="25"/>
      <c r="H49" s="29">
        <f>H48-K33</f>
        <v>4.6304999998028507E-2</v>
      </c>
      <c r="I49" s="25"/>
      <c r="J49" s="25"/>
      <c r="K49" s="25"/>
      <c r="L49" s="25"/>
      <c r="M49" s="25"/>
      <c r="N49" s="25"/>
    </row>
    <row r="50" spans="1:14" x14ac:dyDescent="0.2">
      <c r="A50" s="26"/>
      <c r="B50" s="25"/>
      <c r="C50" s="29" t="s">
        <v>30</v>
      </c>
      <c r="D50" s="39" t="s">
        <v>23</v>
      </c>
      <c r="E50" s="40" t="s">
        <v>31</v>
      </c>
      <c r="F50" s="29" t="s">
        <v>32</v>
      </c>
      <c r="G50" s="30" t="s">
        <v>13</v>
      </c>
      <c r="H50" s="29" t="s">
        <v>33</v>
      </c>
      <c r="I50" s="25"/>
      <c r="J50" s="25"/>
      <c r="K50" s="25"/>
      <c r="L50" s="25"/>
      <c r="M50" s="25"/>
      <c r="N50" s="25"/>
    </row>
    <row r="51" spans="1:14" x14ac:dyDescent="0.2">
      <c r="A51" s="26"/>
      <c r="B51" s="25"/>
      <c r="C51" s="29">
        <v>350074.4</v>
      </c>
      <c r="D51" s="29">
        <f>D43</f>
        <v>75779</v>
      </c>
      <c r="E51" s="29">
        <v>1666.65</v>
      </c>
      <c r="F51" s="29">
        <f>E51-D51</f>
        <v>-74112.350000000006</v>
      </c>
      <c r="G51" s="30">
        <v>0.05</v>
      </c>
      <c r="H51" s="29">
        <f>F51*G51</f>
        <v>-3705.6175000000003</v>
      </c>
      <c r="I51" s="25"/>
      <c r="J51" s="25"/>
      <c r="K51" s="25"/>
      <c r="L51" s="25"/>
      <c r="M51" s="25"/>
      <c r="N51" s="25"/>
    </row>
    <row r="52" spans="1:14" x14ac:dyDescent="0.2">
      <c r="A52" s="26"/>
      <c r="B52" s="25"/>
      <c r="C52" s="29">
        <v>40479188</v>
      </c>
      <c r="D52" s="29"/>
      <c r="E52" s="37">
        <v>225232.95</v>
      </c>
      <c r="F52" s="37">
        <f>E52-D52</f>
        <v>225232.95</v>
      </c>
      <c r="G52" s="30">
        <v>0.05</v>
      </c>
      <c r="H52" s="37">
        <f>F52*G52</f>
        <v>11261.647500000001</v>
      </c>
      <c r="I52" s="25"/>
      <c r="J52" s="25"/>
      <c r="K52" s="25"/>
      <c r="L52" s="25"/>
      <c r="M52" s="25"/>
      <c r="N52" s="25"/>
    </row>
    <row r="53" spans="1:14" ht="15" x14ac:dyDescent="0.35">
      <c r="A53" s="26"/>
      <c r="B53" s="25"/>
      <c r="C53" s="29">
        <f>C45</f>
        <v>1076291.1100000001</v>
      </c>
      <c r="D53" s="29"/>
      <c r="E53" s="42">
        <f>E45</f>
        <v>6473.79</v>
      </c>
      <c r="F53" s="42">
        <f>E53-D53</f>
        <v>6473.79</v>
      </c>
      <c r="G53" s="30">
        <v>0.05</v>
      </c>
      <c r="H53" s="42">
        <f>F53*G53</f>
        <v>323.68950000000001</v>
      </c>
      <c r="I53" s="25"/>
      <c r="J53" s="25"/>
      <c r="K53" s="25"/>
      <c r="L53" s="25"/>
      <c r="M53" s="25"/>
      <c r="N53" s="25"/>
    </row>
    <row r="54" spans="1:14" x14ac:dyDescent="0.2">
      <c r="A54" s="26"/>
      <c r="B54" s="25"/>
      <c r="C54" s="25"/>
      <c r="D54" s="25"/>
      <c r="E54" s="29">
        <f>SUM(E51:E53)</f>
        <v>233373.39</v>
      </c>
      <c r="F54" s="29">
        <f>SUM(F51:F53)</f>
        <v>157594.39000000001</v>
      </c>
      <c r="G54" s="25"/>
      <c r="H54" s="29">
        <f>SUM(H51:H53)</f>
        <v>7879.7195000000011</v>
      </c>
      <c r="I54" s="25"/>
      <c r="J54" s="25"/>
      <c r="K54" s="25"/>
      <c r="L54" s="25"/>
      <c r="M54" s="25"/>
      <c r="N54" s="25"/>
    </row>
    <row r="55" spans="1:14" x14ac:dyDescent="0.2">
      <c r="A55" s="26"/>
      <c r="B55" s="25"/>
      <c r="C55" s="25"/>
      <c r="D55" s="25"/>
      <c r="E55" s="25"/>
      <c r="F55" s="25"/>
      <c r="G55" s="25"/>
      <c r="H55" s="29">
        <f>H54-L33</f>
        <v>3.9500000000771252E-2</v>
      </c>
      <c r="I55" s="25"/>
      <c r="J55" s="25"/>
      <c r="K55" s="25"/>
      <c r="L55" s="25"/>
      <c r="M55" s="25"/>
      <c r="N55" s="25"/>
    </row>
    <row r="56" spans="1:14" x14ac:dyDescent="0.2">
      <c r="A56" s="26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</sheetData>
  <mergeCells count="1">
    <mergeCell ref="A1:N1"/>
  </mergeCells>
  <pageMargins left="0.7" right="0.7" top="1.15625" bottom="0.75" header="0.3" footer="0.3"/>
  <pageSetup scale="50" orientation="portrait" r:id="rId1"/>
  <headerFooter>
    <oddHeader>&amp;R&amp;"Times New Roman,Bold"&amp;12Attachment to Response to Question 3
Page 13 of 14
Clements</oddHeader>
    <oddFooter>&amp;L_x000D_&amp;1#&amp;"Calibri"&amp;14&amp;K000000 Business Use</oddFooter>
  </headerFooter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23C70-1E2C-48D7-9FB2-C1A337476309}">
  <dimension ref="A1:N33"/>
  <sheetViews>
    <sheetView zoomScaleNormal="100" workbookViewId="0">
      <selection sqref="A1:N1"/>
    </sheetView>
  </sheetViews>
  <sheetFormatPr defaultRowHeight="12.75" x14ac:dyDescent="0.2"/>
  <cols>
    <col min="1" max="1" width="11.28515625" customWidth="1"/>
    <col min="2" max="2" width="1.7109375" customWidth="1"/>
    <col min="3" max="3" width="12.7109375" customWidth="1"/>
    <col min="4" max="4" width="14.28515625" bestFit="1" customWidth="1"/>
    <col min="5" max="8" width="14.28515625" customWidth="1"/>
    <col min="9" max="12" width="12.7109375" customWidth="1"/>
    <col min="13" max="13" width="16.5703125" bestFit="1" customWidth="1"/>
    <col min="14" max="14" width="12.7109375" customWidth="1"/>
  </cols>
  <sheetData>
    <row r="1" spans="1:14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x14ac:dyDescent="0.2">
      <c r="A2" s="2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">
      <c r="A5" s="4" t="s">
        <v>51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5" t="s">
        <v>66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x14ac:dyDescent="0.2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65.099999999999994" customHeight="1" x14ac:dyDescent="0.2">
      <c r="A8" s="27" t="s">
        <v>5</v>
      </c>
      <c r="B8" s="28"/>
      <c r="C8" s="28" t="s">
        <v>6</v>
      </c>
      <c r="D8" s="28" t="s">
        <v>7</v>
      </c>
      <c r="E8" s="28" t="s">
        <v>8</v>
      </c>
      <c r="F8" s="28" t="s">
        <v>9</v>
      </c>
      <c r="G8" s="28" t="s">
        <v>10</v>
      </c>
      <c r="H8" s="28" t="s">
        <v>11</v>
      </c>
      <c r="I8" s="28" t="s">
        <v>12</v>
      </c>
      <c r="J8" s="28" t="s">
        <v>13</v>
      </c>
      <c r="K8" s="28" t="s">
        <v>14</v>
      </c>
      <c r="L8" s="28" t="s">
        <v>15</v>
      </c>
      <c r="M8" s="28" t="s">
        <v>16</v>
      </c>
      <c r="N8" s="28" t="s">
        <v>17</v>
      </c>
    </row>
    <row r="9" spans="1:14" x14ac:dyDescent="0.2">
      <c r="A9" s="26" t="s">
        <v>18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31"/>
      <c r="N9" s="25"/>
    </row>
    <row r="10" spans="1:14" x14ac:dyDescent="0.2">
      <c r="A10" s="12">
        <v>43533</v>
      </c>
      <c r="B10" s="25"/>
      <c r="C10" s="29"/>
      <c r="D10" s="32"/>
      <c r="E10" s="32"/>
      <c r="F10" s="32"/>
      <c r="G10" s="29">
        <f t="shared" ref="G10:G21" si="0">E10-D10</f>
        <v>0</v>
      </c>
      <c r="H10" s="29">
        <f t="shared" ref="H10:H21" si="1">F10-D10</f>
        <v>0</v>
      </c>
      <c r="I10" s="30">
        <v>0.21</v>
      </c>
      <c r="J10" s="30">
        <v>0.05</v>
      </c>
      <c r="K10" s="29">
        <f t="shared" ref="K10:K21" si="2">G10*I10-L10*I10</f>
        <v>0</v>
      </c>
      <c r="L10" s="29">
        <f t="shared" ref="L10:L21" si="3">H10*J10</f>
        <v>0</v>
      </c>
      <c r="M10" s="29">
        <f t="shared" ref="M10:M33" si="4">M9+K10+L10</f>
        <v>0</v>
      </c>
      <c r="N10" s="29">
        <v>0</v>
      </c>
    </row>
    <row r="11" spans="1:14" x14ac:dyDescent="0.2">
      <c r="A11" s="12">
        <v>43556</v>
      </c>
      <c r="B11" s="25"/>
      <c r="C11" s="29"/>
      <c r="D11" s="32"/>
      <c r="E11" s="32"/>
      <c r="F11" s="32"/>
      <c r="G11" s="29">
        <f t="shared" si="0"/>
        <v>0</v>
      </c>
      <c r="H11" s="29">
        <f t="shared" si="1"/>
        <v>0</v>
      </c>
      <c r="I11" s="30">
        <v>0.21</v>
      </c>
      <c r="J11" s="30">
        <v>0.05</v>
      </c>
      <c r="K11" s="29">
        <f t="shared" si="2"/>
        <v>0</v>
      </c>
      <c r="L11" s="29">
        <f t="shared" si="3"/>
        <v>0</v>
      </c>
      <c r="M11" s="29">
        <f t="shared" si="4"/>
        <v>0</v>
      </c>
      <c r="N11" s="29">
        <v>0</v>
      </c>
    </row>
    <row r="12" spans="1:14" x14ac:dyDescent="0.2">
      <c r="A12" s="12">
        <v>43586</v>
      </c>
      <c r="B12" s="25"/>
      <c r="C12" s="29"/>
      <c r="D12" s="32"/>
      <c r="E12" s="32"/>
      <c r="F12" s="32"/>
      <c r="G12" s="29">
        <f t="shared" si="0"/>
        <v>0</v>
      </c>
      <c r="H12" s="29">
        <f t="shared" si="1"/>
        <v>0</v>
      </c>
      <c r="I12" s="30">
        <v>0.21</v>
      </c>
      <c r="J12" s="30">
        <v>0.05</v>
      </c>
      <c r="K12" s="29">
        <f t="shared" si="2"/>
        <v>0</v>
      </c>
      <c r="L12" s="29">
        <f t="shared" si="3"/>
        <v>0</v>
      </c>
      <c r="M12" s="29">
        <f t="shared" si="4"/>
        <v>0</v>
      </c>
      <c r="N12" s="29">
        <v>0</v>
      </c>
    </row>
    <row r="13" spans="1:14" x14ac:dyDescent="0.2">
      <c r="A13" s="12">
        <v>43617</v>
      </c>
      <c r="B13" s="25"/>
      <c r="C13" s="29"/>
      <c r="D13" s="32"/>
      <c r="E13" s="32"/>
      <c r="F13" s="32"/>
      <c r="G13" s="29">
        <f t="shared" si="0"/>
        <v>0</v>
      </c>
      <c r="H13" s="29">
        <f t="shared" si="1"/>
        <v>0</v>
      </c>
      <c r="I13" s="30">
        <v>0.21</v>
      </c>
      <c r="J13" s="30">
        <v>0.05</v>
      </c>
      <c r="K13" s="29">
        <f t="shared" si="2"/>
        <v>0</v>
      </c>
      <c r="L13" s="29">
        <f t="shared" si="3"/>
        <v>0</v>
      </c>
      <c r="M13" s="29">
        <f t="shared" si="4"/>
        <v>0</v>
      </c>
      <c r="N13" s="29">
        <v>0</v>
      </c>
    </row>
    <row r="14" spans="1:14" x14ac:dyDescent="0.2">
      <c r="A14" s="12">
        <v>43647</v>
      </c>
      <c r="B14" s="25"/>
      <c r="C14" s="29"/>
      <c r="D14" s="32"/>
      <c r="E14" s="32"/>
      <c r="F14" s="32"/>
      <c r="G14" s="29">
        <f t="shared" si="0"/>
        <v>0</v>
      </c>
      <c r="H14" s="29">
        <f t="shared" si="1"/>
        <v>0</v>
      </c>
      <c r="I14" s="30">
        <v>0.21</v>
      </c>
      <c r="J14" s="30">
        <v>0.05</v>
      </c>
      <c r="K14" s="29">
        <f t="shared" si="2"/>
        <v>0</v>
      </c>
      <c r="L14" s="29">
        <f t="shared" si="3"/>
        <v>0</v>
      </c>
      <c r="M14" s="29">
        <f t="shared" si="4"/>
        <v>0</v>
      </c>
      <c r="N14" s="29">
        <v>0</v>
      </c>
    </row>
    <row r="15" spans="1:14" x14ac:dyDescent="0.2">
      <c r="A15" s="12">
        <v>43678</v>
      </c>
      <c r="B15" s="25"/>
      <c r="C15" s="29"/>
      <c r="D15" s="32"/>
      <c r="E15" s="32"/>
      <c r="F15" s="32"/>
      <c r="G15" s="29">
        <f t="shared" si="0"/>
        <v>0</v>
      </c>
      <c r="H15" s="29">
        <f t="shared" si="1"/>
        <v>0</v>
      </c>
      <c r="I15" s="30">
        <v>0.21</v>
      </c>
      <c r="J15" s="30">
        <v>0.05</v>
      </c>
      <c r="K15" s="29">
        <f t="shared" si="2"/>
        <v>0</v>
      </c>
      <c r="L15" s="29">
        <f t="shared" si="3"/>
        <v>0</v>
      </c>
      <c r="M15" s="29">
        <f t="shared" si="4"/>
        <v>0</v>
      </c>
      <c r="N15" s="29">
        <v>0</v>
      </c>
    </row>
    <row r="16" spans="1:14" x14ac:dyDescent="0.2">
      <c r="A16" s="12">
        <v>43717</v>
      </c>
      <c r="B16" s="25"/>
      <c r="C16" s="29"/>
      <c r="D16" s="32"/>
      <c r="E16" s="32"/>
      <c r="F16" s="32"/>
      <c r="G16" s="29">
        <f t="shared" si="0"/>
        <v>0</v>
      </c>
      <c r="H16" s="29">
        <f t="shared" si="1"/>
        <v>0</v>
      </c>
      <c r="I16" s="30">
        <v>0.21</v>
      </c>
      <c r="J16" s="30">
        <v>0.05</v>
      </c>
      <c r="K16" s="29">
        <f t="shared" si="2"/>
        <v>0</v>
      </c>
      <c r="L16" s="29">
        <f t="shared" si="3"/>
        <v>0</v>
      </c>
      <c r="M16" s="29">
        <f t="shared" si="4"/>
        <v>0</v>
      </c>
      <c r="N16" s="29">
        <v>0</v>
      </c>
    </row>
    <row r="17" spans="1:14" x14ac:dyDescent="0.2">
      <c r="A17" s="12">
        <v>43739</v>
      </c>
      <c r="B17" s="25"/>
      <c r="C17" s="29"/>
      <c r="D17" s="32"/>
      <c r="E17" s="32"/>
      <c r="F17" s="32"/>
      <c r="G17" s="29">
        <f t="shared" si="0"/>
        <v>0</v>
      </c>
      <c r="H17" s="29">
        <f t="shared" si="1"/>
        <v>0</v>
      </c>
      <c r="I17" s="30">
        <v>0.21</v>
      </c>
      <c r="J17" s="30">
        <v>0.05</v>
      </c>
      <c r="K17" s="29">
        <f t="shared" si="2"/>
        <v>0</v>
      </c>
      <c r="L17" s="29">
        <f t="shared" si="3"/>
        <v>0</v>
      </c>
      <c r="M17" s="29">
        <f t="shared" si="4"/>
        <v>0</v>
      </c>
      <c r="N17" s="29">
        <v>0</v>
      </c>
    </row>
    <row r="18" spans="1:14" x14ac:dyDescent="0.2">
      <c r="A18" s="12">
        <v>43770</v>
      </c>
      <c r="B18" s="25"/>
      <c r="C18" s="29"/>
      <c r="D18" s="32"/>
      <c r="E18" s="32"/>
      <c r="F18" s="32"/>
      <c r="G18" s="29">
        <f t="shared" si="0"/>
        <v>0</v>
      </c>
      <c r="H18" s="29">
        <f t="shared" si="1"/>
        <v>0</v>
      </c>
      <c r="I18" s="30">
        <v>0.21</v>
      </c>
      <c r="J18" s="30">
        <v>0.05</v>
      </c>
      <c r="K18" s="29">
        <f t="shared" si="2"/>
        <v>0</v>
      </c>
      <c r="L18" s="29">
        <f t="shared" si="3"/>
        <v>0</v>
      </c>
      <c r="M18" s="29">
        <f t="shared" si="4"/>
        <v>0</v>
      </c>
      <c r="N18" s="29">
        <v>0</v>
      </c>
    </row>
    <row r="19" spans="1:14" x14ac:dyDescent="0.2">
      <c r="A19" s="12">
        <v>43800</v>
      </c>
      <c r="B19" s="25"/>
      <c r="C19" s="29"/>
      <c r="D19" s="32"/>
      <c r="E19" s="32"/>
      <c r="F19" s="32"/>
      <c r="G19" s="29">
        <f t="shared" si="0"/>
        <v>0</v>
      </c>
      <c r="H19" s="29">
        <f t="shared" si="1"/>
        <v>0</v>
      </c>
      <c r="I19" s="30">
        <v>0.21</v>
      </c>
      <c r="J19" s="30">
        <v>0.05</v>
      </c>
      <c r="K19" s="29">
        <f t="shared" si="2"/>
        <v>0</v>
      </c>
      <c r="L19" s="29">
        <f t="shared" si="3"/>
        <v>0</v>
      </c>
      <c r="M19" s="29">
        <f t="shared" si="4"/>
        <v>0</v>
      </c>
      <c r="N19" s="29">
        <v>0</v>
      </c>
    </row>
    <row r="20" spans="1:14" x14ac:dyDescent="0.2">
      <c r="A20" s="12">
        <v>43831</v>
      </c>
      <c r="B20" s="25"/>
      <c r="C20" s="29"/>
      <c r="D20" s="32"/>
      <c r="E20" s="32"/>
      <c r="F20" s="32"/>
      <c r="G20" s="29">
        <f t="shared" si="0"/>
        <v>0</v>
      </c>
      <c r="H20" s="29">
        <f t="shared" si="1"/>
        <v>0</v>
      </c>
      <c r="I20" s="30">
        <v>0.21</v>
      </c>
      <c r="J20" s="30">
        <v>0.05</v>
      </c>
      <c r="K20" s="29">
        <f t="shared" si="2"/>
        <v>0</v>
      </c>
      <c r="L20" s="29">
        <f t="shared" si="3"/>
        <v>0</v>
      </c>
      <c r="M20" s="29">
        <f t="shared" si="4"/>
        <v>0</v>
      </c>
      <c r="N20" s="29">
        <v>0</v>
      </c>
    </row>
    <row r="21" spans="1:14" x14ac:dyDescent="0.2">
      <c r="A21" s="12">
        <v>43862</v>
      </c>
      <c r="B21" s="25"/>
      <c r="C21" s="29"/>
      <c r="D21" s="32"/>
      <c r="E21" s="32"/>
      <c r="F21" s="32"/>
      <c r="G21" s="29">
        <f t="shared" si="0"/>
        <v>0</v>
      </c>
      <c r="H21" s="29">
        <f t="shared" si="1"/>
        <v>0</v>
      </c>
      <c r="I21" s="30">
        <v>0.21</v>
      </c>
      <c r="J21" s="30">
        <v>0.05</v>
      </c>
      <c r="K21" s="29">
        <f t="shared" si="2"/>
        <v>0</v>
      </c>
      <c r="L21" s="29">
        <f t="shared" si="3"/>
        <v>0</v>
      </c>
      <c r="M21" s="29">
        <f t="shared" si="4"/>
        <v>0</v>
      </c>
      <c r="N21" s="29">
        <v>0</v>
      </c>
    </row>
    <row r="22" spans="1:14" x14ac:dyDescent="0.2">
      <c r="A22" s="12">
        <v>43899</v>
      </c>
      <c r="B22" s="25"/>
      <c r="C22" s="29"/>
      <c r="D22" s="32"/>
      <c r="E22" s="31"/>
      <c r="F22" s="31"/>
      <c r="G22" s="29">
        <f>E22-D22</f>
        <v>0</v>
      </c>
      <c r="H22" s="29">
        <f>F22-D22</f>
        <v>0</v>
      </c>
      <c r="I22" s="30">
        <v>0.21</v>
      </c>
      <c r="J22" s="30">
        <v>0.05</v>
      </c>
      <c r="K22" s="29">
        <f>G22*I22-L22*I22</f>
        <v>0</v>
      </c>
      <c r="L22" s="29">
        <f>H22*J22</f>
        <v>0</v>
      </c>
      <c r="M22" s="29">
        <f t="shared" si="4"/>
        <v>0</v>
      </c>
      <c r="N22" s="29">
        <v>0</v>
      </c>
    </row>
    <row r="23" spans="1:14" x14ac:dyDescent="0.2">
      <c r="A23" s="12">
        <v>43922</v>
      </c>
      <c r="B23" s="25"/>
      <c r="C23" s="29"/>
      <c r="D23" s="32"/>
      <c r="E23" s="31"/>
      <c r="F23" s="31"/>
      <c r="G23" s="29">
        <f t="shared" ref="G23:G25" si="5">E23-D23</f>
        <v>0</v>
      </c>
      <c r="H23" s="29">
        <f t="shared" ref="H23:H25" si="6">F23-D23</f>
        <v>0</v>
      </c>
      <c r="I23" s="30">
        <v>0.21</v>
      </c>
      <c r="J23" s="30">
        <v>0.05</v>
      </c>
      <c r="K23" s="29">
        <f t="shared" ref="K23:K25" si="7">G23*I23-L23*I23</f>
        <v>0</v>
      </c>
      <c r="L23" s="29">
        <f t="shared" ref="L23:L25" si="8">H23*J23</f>
        <v>0</v>
      </c>
      <c r="M23" s="29">
        <f t="shared" si="4"/>
        <v>0</v>
      </c>
      <c r="N23" s="29">
        <v>0</v>
      </c>
    </row>
    <row r="24" spans="1:14" x14ac:dyDescent="0.2">
      <c r="A24" s="12">
        <v>43952</v>
      </c>
      <c r="B24" s="25"/>
      <c r="C24" s="29">
        <v>25007838</v>
      </c>
      <c r="D24" s="32">
        <v>54079</v>
      </c>
      <c r="E24" s="31">
        <f>265708.28-47320</f>
        <v>218388.28000000003</v>
      </c>
      <c r="F24" s="31">
        <f>265708.28-47320</f>
        <v>218388.28000000003</v>
      </c>
      <c r="G24" s="29">
        <f t="shared" si="5"/>
        <v>164309.28000000003</v>
      </c>
      <c r="H24" s="29">
        <f t="shared" si="6"/>
        <v>164309.28000000003</v>
      </c>
      <c r="I24" s="30">
        <v>0.21</v>
      </c>
      <c r="J24" s="30">
        <v>0.05</v>
      </c>
      <c r="K24" s="29">
        <f t="shared" si="7"/>
        <v>32779.701360000006</v>
      </c>
      <c r="L24" s="29">
        <f t="shared" si="8"/>
        <v>8215.4640000000018</v>
      </c>
      <c r="M24" s="29">
        <f t="shared" si="4"/>
        <v>40995.165360000006</v>
      </c>
      <c r="N24" s="29">
        <v>0</v>
      </c>
    </row>
    <row r="25" spans="1:14" x14ac:dyDescent="0.2">
      <c r="A25" s="12">
        <v>43983</v>
      </c>
      <c r="B25" s="25"/>
      <c r="C25" s="29">
        <v>25007838</v>
      </c>
      <c r="D25" s="32">
        <v>108159</v>
      </c>
      <c r="E25" s="31">
        <f>265708.28+6760</f>
        <v>272468.28000000003</v>
      </c>
      <c r="F25" s="31">
        <f>265708.28+6760</f>
        <v>272468.28000000003</v>
      </c>
      <c r="G25" s="29">
        <f t="shared" si="5"/>
        <v>164309.28000000003</v>
      </c>
      <c r="H25" s="29">
        <f t="shared" si="6"/>
        <v>164309.28000000003</v>
      </c>
      <c r="I25" s="30">
        <v>0.21</v>
      </c>
      <c r="J25" s="30">
        <v>0.05</v>
      </c>
      <c r="K25" s="29">
        <f t="shared" si="7"/>
        <v>32779.701360000006</v>
      </c>
      <c r="L25" s="29">
        <f t="shared" si="8"/>
        <v>8215.4640000000018</v>
      </c>
      <c r="M25" s="29">
        <f t="shared" si="4"/>
        <v>81990.330720000027</v>
      </c>
      <c r="N25" s="29">
        <v>0</v>
      </c>
    </row>
    <row r="26" spans="1:14" x14ac:dyDescent="0.2">
      <c r="A26" s="12">
        <v>44013</v>
      </c>
      <c r="B26" s="25"/>
      <c r="C26" s="29">
        <v>25007838</v>
      </c>
      <c r="D26" s="32">
        <v>108159</v>
      </c>
      <c r="E26" s="31">
        <f>265708.28+6760.2</f>
        <v>272468.48000000004</v>
      </c>
      <c r="F26" s="31">
        <f>265708.28+6760</f>
        <v>272468.28000000003</v>
      </c>
      <c r="G26" s="29">
        <f>E26-D26</f>
        <v>164309.48000000004</v>
      </c>
      <c r="H26" s="29">
        <f>F26-D26</f>
        <v>164309.28000000003</v>
      </c>
      <c r="I26" s="30">
        <v>0.21</v>
      </c>
      <c r="J26" s="30">
        <v>0.05</v>
      </c>
      <c r="K26" s="29">
        <f>G26*I26-L26*I26</f>
        <v>32779.743360000008</v>
      </c>
      <c r="L26" s="29">
        <f>H26*J26</f>
        <v>8215.4640000000018</v>
      </c>
      <c r="M26" s="29">
        <f t="shared" si="4"/>
        <v>122985.53808000004</v>
      </c>
      <c r="N26" s="29">
        <v>0</v>
      </c>
    </row>
    <row r="27" spans="1:14" x14ac:dyDescent="0.2">
      <c r="A27" s="12">
        <v>44044</v>
      </c>
      <c r="B27" s="25"/>
      <c r="C27" s="29">
        <v>25007838</v>
      </c>
      <c r="D27" s="32">
        <v>108159</v>
      </c>
      <c r="E27" s="31">
        <f>265708.28+6760.2</f>
        <v>272468.48000000004</v>
      </c>
      <c r="F27" s="31">
        <f>265708.28+6760</f>
        <v>272468.28000000003</v>
      </c>
      <c r="G27" s="29">
        <f>E27-D27</f>
        <v>164309.48000000004</v>
      </c>
      <c r="H27" s="29">
        <f>F27-D27</f>
        <v>164309.28000000003</v>
      </c>
      <c r="I27" s="30">
        <v>0.21</v>
      </c>
      <c r="J27" s="30">
        <v>0.05</v>
      </c>
      <c r="K27" s="29">
        <f>G27*I27-L27*I27</f>
        <v>32779.743360000008</v>
      </c>
      <c r="L27" s="29">
        <f>H27*J27</f>
        <v>8215.4640000000018</v>
      </c>
      <c r="M27" s="29">
        <f t="shared" si="4"/>
        <v>163980.74544000006</v>
      </c>
      <c r="N27" s="29">
        <v>0</v>
      </c>
    </row>
    <row r="28" spans="1:14" x14ac:dyDescent="0.2">
      <c r="A28" s="12">
        <v>44083</v>
      </c>
      <c r="B28" s="25"/>
      <c r="C28" s="29">
        <v>25007838</v>
      </c>
      <c r="D28" s="32">
        <v>108159</v>
      </c>
      <c r="E28" s="31">
        <f>265708.28+6760.2</f>
        <v>272468.48000000004</v>
      </c>
      <c r="F28" s="31">
        <f>265708.28+6760</f>
        <v>272468.28000000003</v>
      </c>
      <c r="G28" s="29">
        <f>E28-D28</f>
        <v>164309.48000000004</v>
      </c>
      <c r="H28" s="29">
        <f>F28-D28</f>
        <v>164309.28000000003</v>
      </c>
      <c r="I28" s="30">
        <v>0.21</v>
      </c>
      <c r="J28" s="30">
        <v>0.05</v>
      </c>
      <c r="K28" s="29">
        <f>G28*I28-L28*I28</f>
        <v>32779.743360000008</v>
      </c>
      <c r="L28" s="29">
        <f>H28*J28</f>
        <v>8215.4640000000018</v>
      </c>
      <c r="M28" s="29">
        <f t="shared" si="4"/>
        <v>204975.95280000006</v>
      </c>
      <c r="N28" s="29">
        <v>0</v>
      </c>
    </row>
    <row r="29" spans="1:14" x14ac:dyDescent="0.2">
      <c r="A29" s="12">
        <v>44105</v>
      </c>
      <c r="B29" s="25"/>
      <c r="C29" s="29">
        <v>25007838</v>
      </c>
      <c r="D29" s="32">
        <v>108159</v>
      </c>
      <c r="E29" s="31">
        <f>265708.28+6760.2</f>
        <v>272468.48000000004</v>
      </c>
      <c r="F29" s="31">
        <f>265708.28+6760</f>
        <v>272468.28000000003</v>
      </c>
      <c r="G29" s="29">
        <f t="shared" ref="G29:G31" si="9">E29-D29</f>
        <v>164309.48000000004</v>
      </c>
      <c r="H29" s="29">
        <f t="shared" ref="H29:H31" si="10">F29-D29</f>
        <v>164309.28000000003</v>
      </c>
      <c r="I29" s="30">
        <v>0.21</v>
      </c>
      <c r="J29" s="30">
        <v>0.05</v>
      </c>
      <c r="K29" s="29">
        <f t="shared" ref="K29:K31" si="11">G29*I29-L29*I29</f>
        <v>32779.743360000008</v>
      </c>
      <c r="L29" s="29">
        <f t="shared" ref="L29:L31" si="12">H29*J29</f>
        <v>8215.4640000000018</v>
      </c>
      <c r="M29" s="29">
        <f t="shared" si="4"/>
        <v>245971.16016000006</v>
      </c>
      <c r="N29" s="29">
        <v>0</v>
      </c>
    </row>
    <row r="30" spans="1:14" x14ac:dyDescent="0.2">
      <c r="A30" s="12">
        <v>44136</v>
      </c>
      <c r="B30" s="25"/>
      <c r="C30" s="29">
        <v>25358416</v>
      </c>
      <c r="D30" s="32">
        <v>108159.49</v>
      </c>
      <c r="E30" s="31">
        <f>265708.28+6760.2</f>
        <v>272468.48000000004</v>
      </c>
      <c r="F30" s="31">
        <f>265708.28+6760</f>
        <v>272468.28000000003</v>
      </c>
      <c r="G30" s="29">
        <f t="shared" si="9"/>
        <v>164308.99000000005</v>
      </c>
      <c r="H30" s="29">
        <f t="shared" si="10"/>
        <v>164308.79000000004</v>
      </c>
      <c r="I30" s="30">
        <v>0.21</v>
      </c>
      <c r="J30" s="30">
        <v>0.05</v>
      </c>
      <c r="K30" s="29">
        <f t="shared" si="11"/>
        <v>32779.645605000005</v>
      </c>
      <c r="L30" s="29">
        <f t="shared" si="12"/>
        <v>8215.4395000000022</v>
      </c>
      <c r="M30" s="29">
        <f t="shared" si="4"/>
        <v>286966.24526500003</v>
      </c>
      <c r="N30" s="29">
        <v>0</v>
      </c>
    </row>
    <row r="31" spans="1:14" x14ac:dyDescent="0.2">
      <c r="A31" s="12">
        <v>44166</v>
      </c>
      <c r="B31" s="25"/>
      <c r="C31" s="29">
        <v>25358416</v>
      </c>
      <c r="D31" s="32">
        <v>108159.49</v>
      </c>
      <c r="E31" s="31">
        <f>265708+6760</f>
        <v>272468</v>
      </c>
      <c r="F31" s="31">
        <f>265708+6760</f>
        <v>272468</v>
      </c>
      <c r="G31" s="29">
        <f t="shared" si="9"/>
        <v>164308.51</v>
      </c>
      <c r="H31" s="29">
        <f t="shared" si="10"/>
        <v>164308.51</v>
      </c>
      <c r="I31" s="30">
        <v>0.21</v>
      </c>
      <c r="J31" s="30">
        <v>0.05</v>
      </c>
      <c r="K31" s="29">
        <f t="shared" si="11"/>
        <v>32779.547745000003</v>
      </c>
      <c r="L31" s="29">
        <f t="shared" si="12"/>
        <v>8215.4255000000012</v>
      </c>
      <c r="M31" s="29">
        <f t="shared" si="4"/>
        <v>327961.21851000004</v>
      </c>
      <c r="N31" s="29">
        <v>0</v>
      </c>
    </row>
    <row r="32" spans="1:14" x14ac:dyDescent="0.2">
      <c r="A32" s="12">
        <v>44197</v>
      </c>
      <c r="B32" s="25"/>
      <c r="C32" s="29">
        <v>25358416</v>
      </c>
      <c r="D32" s="32">
        <v>108159.49</v>
      </c>
      <c r="E32" s="31">
        <f>310255.57</f>
        <v>310255.57</v>
      </c>
      <c r="F32" s="31">
        <f>310255.57</f>
        <v>310255.57</v>
      </c>
      <c r="G32" s="29">
        <f>E32-D32</f>
        <v>202096.08000000002</v>
      </c>
      <c r="H32" s="29">
        <f>F32-D32</f>
        <v>202096.08000000002</v>
      </c>
      <c r="I32" s="30">
        <v>0.21</v>
      </c>
      <c r="J32" s="30">
        <v>0.05</v>
      </c>
      <c r="K32" s="29">
        <f>G32*I32-L32*I32</f>
        <v>40318.167959999999</v>
      </c>
      <c r="L32" s="29">
        <f>H32*J32</f>
        <v>10104.804000000002</v>
      </c>
      <c r="M32" s="29">
        <f t="shared" si="4"/>
        <v>378384.19047000003</v>
      </c>
      <c r="N32" s="29">
        <v>0</v>
      </c>
    </row>
    <row r="33" spans="1:14" x14ac:dyDescent="0.2">
      <c r="A33" s="12">
        <v>44228</v>
      </c>
      <c r="B33" s="25"/>
      <c r="C33" s="29">
        <v>25358416</v>
      </c>
      <c r="D33" s="32">
        <v>108158.5</v>
      </c>
      <c r="E33" s="31">
        <f>310256.49</f>
        <v>310256.49</v>
      </c>
      <c r="F33" s="31">
        <f>310256.49</f>
        <v>310256.49</v>
      </c>
      <c r="G33" s="29">
        <f>E33-D33</f>
        <v>202097.99</v>
      </c>
      <c r="H33" s="29">
        <f>F33-D33</f>
        <v>202097.99</v>
      </c>
      <c r="I33" s="30">
        <v>0.21</v>
      </c>
      <c r="J33" s="30">
        <v>0.05</v>
      </c>
      <c r="K33" s="29">
        <f>G33*I33-L33*I33</f>
        <v>40318.549004999993</v>
      </c>
      <c r="L33" s="29">
        <f>H33*J33</f>
        <v>10104.8995</v>
      </c>
      <c r="M33" s="29">
        <f t="shared" si="4"/>
        <v>428807.63897500001</v>
      </c>
      <c r="N33" s="29">
        <v>0</v>
      </c>
    </row>
  </sheetData>
  <mergeCells count="1">
    <mergeCell ref="A1:N1"/>
  </mergeCells>
  <pageMargins left="0.7" right="0.7" top="0.75" bottom="0.75" header="0.3" footer="0.3"/>
  <pageSetup scale="52" orientation="portrait" r:id="rId1"/>
  <headerFooter>
    <oddHeader>&amp;R&amp;"Times New Roman,Bold"&amp;12Attachment to Response to Question 3
Page 14 of 14
Clements</oddHeader>
    <oddFooter>&amp;L_x000D_&amp;1#&amp;"Calibri"&amp;14&amp;K000000 Business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FDC66-4055-4B8D-82C5-CF2157B03A37}">
  <dimension ref="A1:P64"/>
  <sheetViews>
    <sheetView zoomScaleNormal="100" workbookViewId="0">
      <selection sqref="A1:N1"/>
    </sheetView>
  </sheetViews>
  <sheetFormatPr defaultRowHeight="12.75" x14ac:dyDescent="0.2"/>
  <cols>
    <col min="1" max="1" width="11.28515625" style="9" customWidth="1"/>
    <col min="2" max="2" width="1.7109375" customWidth="1"/>
    <col min="3" max="3" width="14.42578125" customWidth="1"/>
    <col min="4" max="4" width="14.28515625" bestFit="1" customWidth="1"/>
    <col min="5" max="5" width="16.28515625" customWidth="1"/>
    <col min="6" max="6" width="15.28515625" customWidth="1"/>
    <col min="7" max="7" width="14.28515625" bestFit="1" customWidth="1"/>
    <col min="8" max="9" width="14.28515625" customWidth="1"/>
    <col min="10" max="14" width="12.7109375" customWidth="1"/>
    <col min="15" max="15" width="16.5703125" bestFit="1" customWidth="1"/>
    <col min="16" max="16" width="12.7109375" customWidth="1"/>
    <col min="17" max="17" width="10.85546875" bestFit="1" customWidth="1"/>
    <col min="18" max="18" width="10.42578125" bestFit="1" customWidth="1"/>
  </cols>
  <sheetData>
    <row r="1" spans="1:16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"/>
      <c r="P1" s="1"/>
    </row>
    <row r="2" spans="1:16" x14ac:dyDescent="0.2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"/>
      <c r="P2" s="1"/>
    </row>
    <row r="3" spans="1:16" x14ac:dyDescent="0.2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1"/>
      <c r="P3" s="1"/>
    </row>
    <row r="4" spans="1:16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">
      <c r="A5" s="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6" x14ac:dyDescent="0.2">
      <c r="A6" s="5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6" x14ac:dyDescent="0.2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6" s="8" customFormat="1" ht="38.25" x14ac:dyDescent="0.2">
      <c r="A8" s="27" t="s">
        <v>5</v>
      </c>
      <c r="B8" s="28"/>
      <c r="C8" s="28" t="s">
        <v>6</v>
      </c>
      <c r="D8" s="28" t="s">
        <v>7</v>
      </c>
      <c r="E8" s="28" t="s">
        <v>8</v>
      </c>
      <c r="F8" s="28" t="s">
        <v>9</v>
      </c>
      <c r="G8" s="28" t="s">
        <v>10</v>
      </c>
      <c r="H8" s="28" t="s">
        <v>11</v>
      </c>
      <c r="I8" s="28" t="s">
        <v>12</v>
      </c>
      <c r="J8" s="28" t="s">
        <v>13</v>
      </c>
      <c r="K8" s="28" t="s">
        <v>14</v>
      </c>
      <c r="L8" s="28" t="s">
        <v>15</v>
      </c>
      <c r="M8" s="28" t="s">
        <v>16</v>
      </c>
      <c r="N8" s="28" t="s">
        <v>17</v>
      </c>
    </row>
    <row r="9" spans="1:16" x14ac:dyDescent="0.2">
      <c r="A9" s="26" t="s">
        <v>18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31">
        <v>5503206</v>
      </c>
      <c r="N9" s="25"/>
    </row>
    <row r="10" spans="1:16" x14ac:dyDescent="0.2">
      <c r="A10" s="12">
        <v>43533</v>
      </c>
      <c r="B10" s="25"/>
      <c r="C10" s="29">
        <v>19347703</v>
      </c>
      <c r="D10" s="32">
        <v>42693</v>
      </c>
      <c r="E10" s="32">
        <f t="shared" ref="E10:E15" si="0">28786.26</f>
        <v>28786.26</v>
      </c>
      <c r="F10" s="32">
        <f>57572.53</f>
        <v>57572.53</v>
      </c>
      <c r="G10" s="32">
        <f t="shared" ref="G10:G33" si="1">E10-D10</f>
        <v>-13906.740000000002</v>
      </c>
      <c r="H10" s="32">
        <f t="shared" ref="H10:H33" si="2">F10-D10</f>
        <v>14879.529999999999</v>
      </c>
      <c r="I10" s="30">
        <v>0.21</v>
      </c>
      <c r="J10" s="30">
        <v>0.05</v>
      </c>
      <c r="K10" s="29">
        <f>(G10*I10-L10*I10)-1270</f>
        <v>-4346.6504650000006</v>
      </c>
      <c r="L10" s="29">
        <f t="shared" ref="L10:L26" si="3">H10*J10</f>
        <v>743.97649999999999</v>
      </c>
      <c r="M10" s="29">
        <f t="shared" ref="M10:M33" si="4">M9+K10+L10</f>
        <v>5499603.3260349995</v>
      </c>
      <c r="N10" s="29">
        <v>0</v>
      </c>
      <c r="O10" s="19"/>
      <c r="P10" s="17"/>
    </row>
    <row r="11" spans="1:16" x14ac:dyDescent="0.2">
      <c r="A11" s="12">
        <v>43556</v>
      </c>
      <c r="B11" s="25"/>
      <c r="C11" s="29">
        <v>19347703</v>
      </c>
      <c r="D11" s="32">
        <v>42693</v>
      </c>
      <c r="E11" s="32">
        <f t="shared" si="0"/>
        <v>28786.26</v>
      </c>
      <c r="F11" s="32">
        <v>57572.53</v>
      </c>
      <c r="G11" s="32">
        <f t="shared" si="1"/>
        <v>-13906.740000000002</v>
      </c>
      <c r="H11" s="32">
        <f t="shared" si="2"/>
        <v>14879.529999999999</v>
      </c>
      <c r="I11" s="30">
        <v>0.21</v>
      </c>
      <c r="J11" s="30">
        <v>0.05</v>
      </c>
      <c r="K11" s="29">
        <f>(G11*I11-L11*I11)-1271</f>
        <v>-4347.6504650000006</v>
      </c>
      <c r="L11" s="29">
        <f t="shared" si="3"/>
        <v>743.97649999999999</v>
      </c>
      <c r="M11" s="29">
        <f t="shared" si="4"/>
        <v>5495999.6520699989</v>
      </c>
      <c r="N11" s="29">
        <v>0</v>
      </c>
      <c r="O11" s="21"/>
      <c r="P11" s="17"/>
    </row>
    <row r="12" spans="1:16" x14ac:dyDescent="0.2">
      <c r="A12" s="12">
        <v>43586</v>
      </c>
      <c r="B12" s="25"/>
      <c r="C12" s="29">
        <v>19347703</v>
      </c>
      <c r="D12" s="32">
        <v>83600</v>
      </c>
      <c r="E12" s="32">
        <f t="shared" si="0"/>
        <v>28786.26</v>
      </c>
      <c r="F12" s="32">
        <f>57572.53</f>
        <v>57572.53</v>
      </c>
      <c r="G12" s="32">
        <f t="shared" si="1"/>
        <v>-54813.740000000005</v>
      </c>
      <c r="H12" s="32">
        <f t="shared" si="2"/>
        <v>-26027.47</v>
      </c>
      <c r="I12" s="30">
        <v>0.21</v>
      </c>
      <c r="J12" s="30">
        <v>0.05</v>
      </c>
      <c r="K12" s="29">
        <f>(G12*I12-L12*I12)-1271</f>
        <v>-12508.596965000001</v>
      </c>
      <c r="L12" s="29">
        <f t="shared" si="3"/>
        <v>-1301.3735000000001</v>
      </c>
      <c r="M12" s="29">
        <f t="shared" si="4"/>
        <v>5482189.6816049991</v>
      </c>
      <c r="N12" s="29">
        <v>0</v>
      </c>
      <c r="P12" s="17"/>
    </row>
    <row r="13" spans="1:16" x14ac:dyDescent="0.2">
      <c r="A13" s="12">
        <v>43617</v>
      </c>
      <c r="B13" s="25"/>
      <c r="C13" s="29">
        <v>19347703</v>
      </c>
      <c r="D13" s="32">
        <v>83600</v>
      </c>
      <c r="E13" s="32">
        <f t="shared" si="0"/>
        <v>28786.26</v>
      </c>
      <c r="F13" s="32">
        <f>57572.53</f>
        <v>57572.53</v>
      </c>
      <c r="G13" s="32">
        <f t="shared" si="1"/>
        <v>-54813.740000000005</v>
      </c>
      <c r="H13" s="32">
        <f t="shared" si="2"/>
        <v>-26027.47</v>
      </c>
      <c r="I13" s="30">
        <v>0.21</v>
      </c>
      <c r="J13" s="30">
        <v>0.05</v>
      </c>
      <c r="K13" s="29">
        <f>(G13*I13-L13*I13)-1270</f>
        <v>-12507.596965000001</v>
      </c>
      <c r="L13" s="29">
        <f t="shared" si="3"/>
        <v>-1301.3735000000001</v>
      </c>
      <c r="M13" s="29">
        <f t="shared" si="4"/>
        <v>5468380.7111399993</v>
      </c>
      <c r="N13" s="29">
        <v>0</v>
      </c>
      <c r="O13" s="13"/>
      <c r="P13" s="17"/>
    </row>
    <row r="14" spans="1:16" x14ac:dyDescent="0.2">
      <c r="A14" s="12">
        <v>43647</v>
      </c>
      <c r="B14" s="25"/>
      <c r="C14" s="29">
        <v>19347703</v>
      </c>
      <c r="D14" s="32">
        <v>83600</v>
      </c>
      <c r="E14" s="32">
        <f t="shared" si="0"/>
        <v>28786.26</v>
      </c>
      <c r="F14" s="32">
        <f>57572.53</f>
        <v>57572.53</v>
      </c>
      <c r="G14" s="32">
        <f t="shared" si="1"/>
        <v>-54813.740000000005</v>
      </c>
      <c r="H14" s="32">
        <f t="shared" si="2"/>
        <v>-26027.47</v>
      </c>
      <c r="I14" s="30">
        <v>0.21</v>
      </c>
      <c r="J14" s="30">
        <v>0.05</v>
      </c>
      <c r="K14" s="29">
        <f>(G14*I14-L14*I14)-1270</f>
        <v>-12507.596965000001</v>
      </c>
      <c r="L14" s="29">
        <f t="shared" si="3"/>
        <v>-1301.3735000000001</v>
      </c>
      <c r="M14" s="29">
        <f t="shared" si="4"/>
        <v>5454571.7406749995</v>
      </c>
      <c r="N14" s="29">
        <v>0</v>
      </c>
      <c r="O14" s="19"/>
      <c r="P14" s="17"/>
    </row>
    <row r="15" spans="1:16" x14ac:dyDescent="0.2">
      <c r="A15" s="12">
        <v>43678</v>
      </c>
      <c r="B15" s="25"/>
      <c r="C15" s="29">
        <v>19347703</v>
      </c>
      <c r="D15" s="32">
        <v>83600</v>
      </c>
      <c r="E15" s="32">
        <f t="shared" si="0"/>
        <v>28786.26</v>
      </c>
      <c r="F15" s="32">
        <f>57572.53</f>
        <v>57572.53</v>
      </c>
      <c r="G15" s="32">
        <f t="shared" si="1"/>
        <v>-54813.740000000005</v>
      </c>
      <c r="H15" s="32">
        <f t="shared" si="2"/>
        <v>-26027.47</v>
      </c>
      <c r="I15" s="30">
        <v>0.21</v>
      </c>
      <c r="J15" s="30">
        <v>0.05</v>
      </c>
      <c r="K15" s="29">
        <f>(G15*I15-L15*I15)-1271</f>
        <v>-12508.596965000001</v>
      </c>
      <c r="L15" s="29">
        <f t="shared" si="3"/>
        <v>-1301.3735000000001</v>
      </c>
      <c r="M15" s="29">
        <f t="shared" si="4"/>
        <v>5440761.7702099998</v>
      </c>
      <c r="N15" s="29">
        <v>0</v>
      </c>
      <c r="O15" s="20"/>
      <c r="P15" s="17"/>
    </row>
    <row r="16" spans="1:16" x14ac:dyDescent="0.2">
      <c r="A16" s="12">
        <v>43717</v>
      </c>
      <c r="B16" s="25"/>
      <c r="C16" s="29">
        <v>19347703</v>
      </c>
      <c r="D16" s="32">
        <v>83599.5</v>
      </c>
      <c r="E16" s="32">
        <f>28786.26</f>
        <v>28786.26</v>
      </c>
      <c r="F16" s="32">
        <f>57572.53</f>
        <v>57572.53</v>
      </c>
      <c r="G16" s="32">
        <f t="shared" si="1"/>
        <v>-54813.240000000005</v>
      </c>
      <c r="H16" s="32">
        <f t="shared" si="2"/>
        <v>-26026.97</v>
      </c>
      <c r="I16" s="30">
        <v>0.21</v>
      </c>
      <c r="J16" s="30">
        <v>0.05</v>
      </c>
      <c r="K16" s="29">
        <f>G16*I16-L16*I16-1270.32</f>
        <v>-12507.817215000001</v>
      </c>
      <c r="L16" s="29">
        <f t="shared" si="3"/>
        <v>-1301.3485000000001</v>
      </c>
      <c r="M16" s="29">
        <f t="shared" si="4"/>
        <v>5426952.6044949992</v>
      </c>
      <c r="N16" s="29">
        <v>0</v>
      </c>
      <c r="O16" s="13"/>
      <c r="P16" s="13"/>
    </row>
    <row r="17" spans="1:16" x14ac:dyDescent="0.2">
      <c r="A17" s="12">
        <v>43739</v>
      </c>
      <c r="B17" s="25"/>
      <c r="C17" s="29">
        <v>19347703</v>
      </c>
      <c r="D17" s="32">
        <v>83599.5</v>
      </c>
      <c r="E17" s="32">
        <f>28786.49</f>
        <v>28786.49</v>
      </c>
      <c r="F17" s="32">
        <f>57573.49</f>
        <v>57573.49</v>
      </c>
      <c r="G17" s="32">
        <f t="shared" si="1"/>
        <v>-54813.009999999995</v>
      </c>
      <c r="H17" s="32">
        <f t="shared" si="2"/>
        <v>-26026.010000000002</v>
      </c>
      <c r="I17" s="30">
        <v>0.21</v>
      </c>
      <c r="J17" s="30">
        <v>0.05</v>
      </c>
      <c r="K17" s="29">
        <f>G17*I17-L17*I17-1270.32</f>
        <v>-12507.778994999999</v>
      </c>
      <c r="L17" s="29">
        <f t="shared" si="3"/>
        <v>-1301.3005000000003</v>
      </c>
      <c r="M17" s="29">
        <f t="shared" si="4"/>
        <v>5413143.5249999994</v>
      </c>
      <c r="N17" s="29">
        <v>0</v>
      </c>
      <c r="O17" s="13"/>
      <c r="P17" s="13"/>
    </row>
    <row r="18" spans="1:16" x14ac:dyDescent="0.2">
      <c r="A18" s="12">
        <v>43770</v>
      </c>
      <c r="B18" s="25"/>
      <c r="C18" s="29">
        <v>19347703</v>
      </c>
      <c r="D18" s="32">
        <v>83599.5</v>
      </c>
      <c r="E18" s="32">
        <f>28786.49</f>
        <v>28786.49</v>
      </c>
      <c r="F18" s="32">
        <f>57573.49</f>
        <v>57573.49</v>
      </c>
      <c r="G18" s="32">
        <f t="shared" si="1"/>
        <v>-54813.009999999995</v>
      </c>
      <c r="H18" s="32">
        <f t="shared" si="2"/>
        <v>-26026.010000000002</v>
      </c>
      <c r="I18" s="30">
        <v>0.21</v>
      </c>
      <c r="J18" s="30">
        <v>0.05</v>
      </c>
      <c r="K18" s="29">
        <f>G18*I18-L18*I18-1270.2</f>
        <v>-12507.658995</v>
      </c>
      <c r="L18" s="29">
        <f t="shared" si="3"/>
        <v>-1301.3005000000003</v>
      </c>
      <c r="M18" s="29">
        <f t="shared" si="4"/>
        <v>5399334.5655049998</v>
      </c>
      <c r="N18" s="29">
        <v>0</v>
      </c>
      <c r="O18" s="13"/>
      <c r="P18" s="13"/>
    </row>
    <row r="19" spans="1:16" x14ac:dyDescent="0.2">
      <c r="A19" s="12">
        <v>43800</v>
      </c>
      <c r="B19" s="25"/>
      <c r="C19" s="29">
        <v>19347703</v>
      </c>
      <c r="D19" s="32">
        <v>83600</v>
      </c>
      <c r="E19" s="32">
        <f>28786.26</f>
        <v>28786.26</v>
      </c>
      <c r="F19" s="32">
        <f>57572.53</f>
        <v>57572.53</v>
      </c>
      <c r="G19" s="32">
        <f t="shared" si="1"/>
        <v>-54813.740000000005</v>
      </c>
      <c r="H19" s="32">
        <f t="shared" si="2"/>
        <v>-26027.47</v>
      </c>
      <c r="I19" s="30">
        <v>0.21</v>
      </c>
      <c r="J19" s="30">
        <v>0.05</v>
      </c>
      <c r="K19" s="29">
        <f>G19*I19-L19*I19-1270.32</f>
        <v>-12507.916965</v>
      </c>
      <c r="L19" s="29">
        <f t="shared" si="3"/>
        <v>-1301.3735000000001</v>
      </c>
      <c r="M19" s="29">
        <f t="shared" si="4"/>
        <v>5385525.2750399997</v>
      </c>
      <c r="N19" s="29">
        <v>0</v>
      </c>
    </row>
    <row r="20" spans="1:16" x14ac:dyDescent="0.2">
      <c r="A20" s="12">
        <v>43831</v>
      </c>
      <c r="B20" s="25"/>
      <c r="C20" s="29">
        <v>19347703</v>
      </c>
      <c r="D20" s="32">
        <v>83599.5</v>
      </c>
      <c r="E20" s="32">
        <f>18174.67</f>
        <v>18174.669999999998</v>
      </c>
      <c r="F20" s="32">
        <v>36349.33</v>
      </c>
      <c r="G20" s="32">
        <f t="shared" si="1"/>
        <v>-65424.83</v>
      </c>
      <c r="H20" s="32">
        <f t="shared" si="2"/>
        <v>-47250.17</v>
      </c>
      <c r="I20" s="30">
        <v>0.21</v>
      </c>
      <c r="J20" s="30">
        <v>0.05</v>
      </c>
      <c r="K20" s="29">
        <f t="shared" ref="K20:K26" si="5">G20*I20-L20*I20-2279.05</f>
        <v>-15522.137514999999</v>
      </c>
      <c r="L20" s="29">
        <f t="shared" si="3"/>
        <v>-2362.5084999999999</v>
      </c>
      <c r="M20" s="29">
        <f t="shared" si="4"/>
        <v>5367640.6290249992</v>
      </c>
      <c r="N20" s="29">
        <v>0</v>
      </c>
    </row>
    <row r="21" spans="1:16" x14ac:dyDescent="0.2">
      <c r="A21" s="12">
        <v>43862</v>
      </c>
      <c r="B21" s="25"/>
      <c r="C21" s="29">
        <v>19347703</v>
      </c>
      <c r="D21" s="32">
        <v>83600</v>
      </c>
      <c r="E21" s="32">
        <f>18174.67</f>
        <v>18174.669999999998</v>
      </c>
      <c r="F21" s="32">
        <v>36349.33</v>
      </c>
      <c r="G21" s="32">
        <f t="shared" si="1"/>
        <v>-65425.33</v>
      </c>
      <c r="H21" s="32">
        <f t="shared" si="2"/>
        <v>-47250.67</v>
      </c>
      <c r="I21" s="30">
        <v>0.21</v>
      </c>
      <c r="J21" s="30">
        <v>0.05</v>
      </c>
      <c r="K21" s="29">
        <f t="shared" si="5"/>
        <v>-15522.237265</v>
      </c>
      <c r="L21" s="29">
        <f t="shared" si="3"/>
        <v>-2362.5335</v>
      </c>
      <c r="M21" s="29">
        <f t="shared" si="4"/>
        <v>5349755.8582599992</v>
      </c>
      <c r="N21" s="29">
        <v>0</v>
      </c>
    </row>
    <row r="22" spans="1:16" x14ac:dyDescent="0.2">
      <c r="A22" s="12">
        <v>43899</v>
      </c>
      <c r="B22" s="25"/>
      <c r="C22" s="29">
        <v>19347703</v>
      </c>
      <c r="D22" s="32">
        <v>83600</v>
      </c>
      <c r="E22" s="31">
        <f>18174.67</f>
        <v>18174.669999999998</v>
      </c>
      <c r="F22" s="31">
        <v>36349.33</v>
      </c>
      <c r="G22" s="32">
        <f t="shared" si="1"/>
        <v>-65425.33</v>
      </c>
      <c r="H22" s="32">
        <f t="shared" si="2"/>
        <v>-47250.67</v>
      </c>
      <c r="I22" s="30">
        <v>0.21</v>
      </c>
      <c r="J22" s="30">
        <v>0.05</v>
      </c>
      <c r="K22" s="29">
        <f t="shared" si="5"/>
        <v>-15522.237265</v>
      </c>
      <c r="L22" s="29">
        <f t="shared" si="3"/>
        <v>-2362.5335</v>
      </c>
      <c r="M22" s="29">
        <f t="shared" si="4"/>
        <v>5331871.0874949992</v>
      </c>
      <c r="N22" s="29">
        <v>0</v>
      </c>
    </row>
    <row r="23" spans="1:16" x14ac:dyDescent="0.2">
      <c r="A23" s="12">
        <v>43922</v>
      </c>
      <c r="B23" s="25"/>
      <c r="C23" s="29">
        <v>19347703</v>
      </c>
      <c r="D23" s="32">
        <v>83600</v>
      </c>
      <c r="E23" s="31">
        <f>18174.67</f>
        <v>18174.669999999998</v>
      </c>
      <c r="F23" s="31">
        <v>36349.33</v>
      </c>
      <c r="G23" s="32">
        <f t="shared" si="1"/>
        <v>-65425.33</v>
      </c>
      <c r="H23" s="32">
        <f t="shared" si="2"/>
        <v>-47250.67</v>
      </c>
      <c r="I23" s="30">
        <v>0.21</v>
      </c>
      <c r="J23" s="30">
        <v>0.05</v>
      </c>
      <c r="K23" s="29">
        <f t="shared" si="5"/>
        <v>-15522.237265</v>
      </c>
      <c r="L23" s="29">
        <f t="shared" si="3"/>
        <v>-2362.5335</v>
      </c>
      <c r="M23" s="29">
        <f t="shared" si="4"/>
        <v>5313986.3167299991</v>
      </c>
      <c r="N23" s="29">
        <v>0</v>
      </c>
    </row>
    <row r="24" spans="1:16" x14ac:dyDescent="0.2">
      <c r="A24" s="12">
        <v>43952</v>
      </c>
      <c r="B24" s="25"/>
      <c r="C24" s="29">
        <v>19347703</v>
      </c>
      <c r="D24" s="32">
        <v>83600.490000000005</v>
      </c>
      <c r="E24" s="31">
        <f>18174.5</f>
        <v>18174.5</v>
      </c>
      <c r="F24" s="31">
        <v>36348.5</v>
      </c>
      <c r="G24" s="32">
        <f t="shared" si="1"/>
        <v>-65425.990000000005</v>
      </c>
      <c r="H24" s="32">
        <f t="shared" si="2"/>
        <v>-47251.990000000005</v>
      </c>
      <c r="I24" s="30">
        <v>0.21</v>
      </c>
      <c r="J24" s="30">
        <v>0.05</v>
      </c>
      <c r="K24" s="29">
        <f t="shared" si="5"/>
        <v>-15522.362005000003</v>
      </c>
      <c r="L24" s="29">
        <f t="shared" si="3"/>
        <v>-2362.5995000000003</v>
      </c>
      <c r="M24" s="29">
        <f t="shared" si="4"/>
        <v>5296101.3552249996</v>
      </c>
      <c r="N24" s="29">
        <v>0</v>
      </c>
    </row>
    <row r="25" spans="1:16" x14ac:dyDescent="0.2">
      <c r="A25" s="12">
        <v>43983</v>
      </c>
      <c r="B25" s="25"/>
      <c r="C25" s="29">
        <v>19347703</v>
      </c>
      <c r="D25" s="32">
        <v>83600</v>
      </c>
      <c r="E25" s="31">
        <f t="shared" ref="E25:E31" si="6">18174.67</f>
        <v>18174.669999999998</v>
      </c>
      <c r="F25" s="31">
        <v>36349.33</v>
      </c>
      <c r="G25" s="32">
        <f t="shared" si="1"/>
        <v>-65425.33</v>
      </c>
      <c r="H25" s="32">
        <f t="shared" si="2"/>
        <v>-47250.67</v>
      </c>
      <c r="I25" s="30">
        <v>0.21</v>
      </c>
      <c r="J25" s="30">
        <v>0.05</v>
      </c>
      <c r="K25" s="29">
        <f t="shared" si="5"/>
        <v>-15522.237265</v>
      </c>
      <c r="L25" s="29">
        <f t="shared" si="3"/>
        <v>-2362.5335</v>
      </c>
      <c r="M25" s="29">
        <f t="shared" si="4"/>
        <v>5278216.5844599996</v>
      </c>
      <c r="N25" s="29">
        <v>0</v>
      </c>
    </row>
    <row r="26" spans="1:16" x14ac:dyDescent="0.2">
      <c r="A26" s="12">
        <v>44013</v>
      </c>
      <c r="B26" s="25"/>
      <c r="C26" s="29">
        <v>19347703</v>
      </c>
      <c r="D26" s="32">
        <v>83600</v>
      </c>
      <c r="E26" s="31">
        <f t="shared" si="6"/>
        <v>18174.669999999998</v>
      </c>
      <c r="F26" s="31">
        <v>36349.33</v>
      </c>
      <c r="G26" s="32">
        <f t="shared" si="1"/>
        <v>-65425.33</v>
      </c>
      <c r="H26" s="32">
        <f t="shared" si="2"/>
        <v>-47250.67</v>
      </c>
      <c r="I26" s="30">
        <v>0.21</v>
      </c>
      <c r="J26" s="30">
        <v>0.05</v>
      </c>
      <c r="K26" s="29">
        <f t="shared" si="5"/>
        <v>-15522.237265</v>
      </c>
      <c r="L26" s="29">
        <f t="shared" si="3"/>
        <v>-2362.5335</v>
      </c>
      <c r="M26" s="29">
        <f t="shared" si="4"/>
        <v>5260331.8136949996</v>
      </c>
      <c r="N26" s="29">
        <v>11280.94</v>
      </c>
    </row>
    <row r="27" spans="1:16" x14ac:dyDescent="0.2">
      <c r="A27" s="12">
        <v>44044</v>
      </c>
      <c r="B27" s="25"/>
      <c r="C27" s="29">
        <v>19347703</v>
      </c>
      <c r="D27" s="32">
        <v>83600</v>
      </c>
      <c r="E27" s="31">
        <f t="shared" si="6"/>
        <v>18174.669999999998</v>
      </c>
      <c r="F27" s="31">
        <v>36349.33</v>
      </c>
      <c r="G27" s="32">
        <f t="shared" si="1"/>
        <v>-65425.33</v>
      </c>
      <c r="H27" s="32">
        <f t="shared" si="2"/>
        <v>-47250.67</v>
      </c>
      <c r="I27" s="30">
        <v>0.21</v>
      </c>
      <c r="J27" s="30">
        <v>0.05</v>
      </c>
      <c r="K27" s="29">
        <f>(G27*I27+2363*I27)-2279.05-13840.5-13840.5-300</f>
        <v>-43503.139299999995</v>
      </c>
      <c r="L27" s="29">
        <f>H27*J27-583.61-583.61</f>
        <v>-3529.7535000000003</v>
      </c>
      <c r="M27" s="29">
        <f t="shared" si="4"/>
        <v>5213298.920895</v>
      </c>
      <c r="N27" s="29">
        <v>11210.67</v>
      </c>
    </row>
    <row r="28" spans="1:16" x14ac:dyDescent="0.2">
      <c r="A28" s="12">
        <v>44083</v>
      </c>
      <c r="B28" s="25"/>
      <c r="C28" s="29">
        <v>19347703</v>
      </c>
      <c r="D28" s="32">
        <v>83600</v>
      </c>
      <c r="E28" s="31">
        <f t="shared" si="6"/>
        <v>18174.669999999998</v>
      </c>
      <c r="F28" s="31">
        <v>36349.33</v>
      </c>
      <c r="G28" s="32">
        <f t="shared" si="1"/>
        <v>-65425.33</v>
      </c>
      <c r="H28" s="32">
        <f t="shared" si="2"/>
        <v>-47250.67</v>
      </c>
      <c r="I28" s="30">
        <v>0.21</v>
      </c>
      <c r="J28" s="30">
        <v>0.05</v>
      </c>
      <c r="K28" s="29">
        <f>(G28*I28+2363*I28)-2279.05-13840.5-13840.5-300</f>
        <v>-43503.139299999995</v>
      </c>
      <c r="L28" s="29">
        <f>H28*J28-583.61-583.61</f>
        <v>-3529.7535000000003</v>
      </c>
      <c r="M28" s="29">
        <f t="shared" si="4"/>
        <v>5166266.0280950004</v>
      </c>
      <c r="N28" s="29">
        <v>11140.4</v>
      </c>
    </row>
    <row r="29" spans="1:16" x14ac:dyDescent="0.2">
      <c r="A29" s="12">
        <v>44105</v>
      </c>
      <c r="B29" s="25"/>
      <c r="C29" s="29">
        <v>19347703</v>
      </c>
      <c r="D29" s="32">
        <v>83600</v>
      </c>
      <c r="E29" s="31">
        <f t="shared" si="6"/>
        <v>18174.669999999998</v>
      </c>
      <c r="F29" s="31">
        <v>36349.33</v>
      </c>
      <c r="G29" s="32">
        <f t="shared" si="1"/>
        <v>-65425.33</v>
      </c>
      <c r="H29" s="32">
        <f t="shared" si="2"/>
        <v>-47250.67</v>
      </c>
      <c r="I29" s="30">
        <v>0.21</v>
      </c>
      <c r="J29" s="30">
        <v>0.05</v>
      </c>
      <c r="K29" s="29">
        <f>(G29*I29+2363*I29)-2279.05-13840.5-13840.5-300</f>
        <v>-43503.139299999995</v>
      </c>
      <c r="L29" s="29">
        <f>H29*J29-583.61-583.61</f>
        <v>-3529.7535000000003</v>
      </c>
      <c r="M29" s="29">
        <f t="shared" si="4"/>
        <v>5119233.1352950009</v>
      </c>
      <c r="N29" s="29">
        <v>11070.13</v>
      </c>
    </row>
    <row r="30" spans="1:16" x14ac:dyDescent="0.2">
      <c r="A30" s="12">
        <v>44136</v>
      </c>
      <c r="B30" s="25"/>
      <c r="C30" s="29">
        <v>19347703</v>
      </c>
      <c r="D30" s="32">
        <v>83600</v>
      </c>
      <c r="E30" s="31">
        <f t="shared" si="6"/>
        <v>18174.669999999998</v>
      </c>
      <c r="F30" s="31">
        <v>36349.33</v>
      </c>
      <c r="G30" s="32">
        <f t="shared" si="1"/>
        <v>-65425.33</v>
      </c>
      <c r="H30" s="32">
        <f t="shared" si="2"/>
        <v>-47250.67</v>
      </c>
      <c r="I30" s="30">
        <v>0.21</v>
      </c>
      <c r="J30" s="30">
        <v>0.05</v>
      </c>
      <c r="K30" s="29">
        <f>(G30*I30+2363*I30)-2279.05-13840.5-13840.5-300</f>
        <v>-43503.139299999995</v>
      </c>
      <c r="L30" s="29">
        <f>H30*J30-583.61-583.61</f>
        <v>-3529.7535000000003</v>
      </c>
      <c r="M30" s="29">
        <f t="shared" si="4"/>
        <v>5072200.2424950013</v>
      </c>
      <c r="N30" s="29">
        <v>10999.87</v>
      </c>
    </row>
    <row r="31" spans="1:16" x14ac:dyDescent="0.2">
      <c r="A31" s="12">
        <v>44166</v>
      </c>
      <c r="B31" s="25"/>
      <c r="C31" s="29">
        <v>19347703</v>
      </c>
      <c r="D31" s="32">
        <v>83600</v>
      </c>
      <c r="E31" s="31">
        <f t="shared" si="6"/>
        <v>18174.669999999998</v>
      </c>
      <c r="F31" s="31">
        <v>36349.33</v>
      </c>
      <c r="G31" s="32">
        <f t="shared" si="1"/>
        <v>-65425.33</v>
      </c>
      <c r="H31" s="32">
        <f t="shared" si="2"/>
        <v>-47250.67</v>
      </c>
      <c r="I31" s="30">
        <v>0.21</v>
      </c>
      <c r="J31" s="30">
        <v>0.05</v>
      </c>
      <c r="K31" s="29">
        <f>(G31*I31+2363*I31)-2279.05-13840.5-13840.5-300</f>
        <v>-43503.139299999995</v>
      </c>
      <c r="L31" s="29">
        <f>H31*J31-583.61-583.61</f>
        <v>-3529.7535000000003</v>
      </c>
      <c r="M31" s="29">
        <f t="shared" si="4"/>
        <v>5025167.3496950017</v>
      </c>
      <c r="N31" s="29">
        <v>10929.6</v>
      </c>
    </row>
    <row r="32" spans="1:16" x14ac:dyDescent="0.2">
      <c r="A32" s="12">
        <v>44197</v>
      </c>
      <c r="B32" s="25"/>
      <c r="C32" s="29">
        <v>19347703</v>
      </c>
      <c r="D32" s="32">
        <v>83600</v>
      </c>
      <c r="E32" s="31">
        <f>14579.06</f>
        <v>14579.06</v>
      </c>
      <c r="F32" s="31">
        <f>29158.12</f>
        <v>29158.12</v>
      </c>
      <c r="G32" s="32">
        <f t="shared" si="1"/>
        <v>-69020.94</v>
      </c>
      <c r="H32" s="32">
        <f t="shared" si="2"/>
        <v>-54441.880000000005</v>
      </c>
      <c r="I32" s="30">
        <v>0.21</v>
      </c>
      <c r="J32" s="30">
        <v>0.05</v>
      </c>
      <c r="K32" s="29">
        <f>(G32*I32+2722*I32)-9215.45</f>
        <v>-23138.2274</v>
      </c>
      <c r="L32" s="29">
        <f>H32*J32-532.72</f>
        <v>-3254.8140000000003</v>
      </c>
      <c r="M32" s="29">
        <f t="shared" si="4"/>
        <v>4998774.3082950013</v>
      </c>
      <c r="N32" s="29">
        <v>11622.83</v>
      </c>
    </row>
    <row r="33" spans="1:14" x14ac:dyDescent="0.2">
      <c r="A33" s="12">
        <v>44228</v>
      </c>
      <c r="B33" s="25"/>
      <c r="C33" s="29">
        <v>19347703</v>
      </c>
      <c r="D33" s="32">
        <v>83600</v>
      </c>
      <c r="E33" s="31">
        <f>14579.06</f>
        <v>14579.06</v>
      </c>
      <c r="F33" s="31">
        <f>29158.12</f>
        <v>29158.12</v>
      </c>
      <c r="G33" s="32">
        <f t="shared" si="1"/>
        <v>-69020.94</v>
      </c>
      <c r="H33" s="32">
        <f t="shared" si="2"/>
        <v>-54441.880000000005</v>
      </c>
      <c r="I33" s="30">
        <v>0.21</v>
      </c>
      <c r="J33" s="30">
        <v>0.05</v>
      </c>
      <c r="K33" s="29">
        <f>(G33*I33+2722*I33)-9215.45</f>
        <v>-23138.2274</v>
      </c>
      <c r="L33" s="29">
        <f>H33*J33-532.72</f>
        <v>-3254.8140000000003</v>
      </c>
      <c r="M33" s="29">
        <f t="shared" si="4"/>
        <v>4972381.2668950008</v>
      </c>
      <c r="N33" s="29">
        <v>11552.56</v>
      </c>
    </row>
    <row r="34" spans="1:14" x14ac:dyDescent="0.2">
      <c r="A34" s="33"/>
      <c r="B34" s="2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x14ac:dyDescent="0.2">
      <c r="A35" s="33"/>
      <c r="B35" s="25"/>
      <c r="C35" s="29"/>
      <c r="D35" s="32"/>
      <c r="E35" s="32"/>
      <c r="F35" s="32"/>
      <c r="G35" s="32"/>
      <c r="H35" s="32"/>
      <c r="I35" s="30"/>
      <c r="J35" s="30"/>
      <c r="K35" s="29"/>
      <c r="L35" s="29"/>
      <c r="M35" s="29"/>
      <c r="N35" s="29"/>
    </row>
    <row r="36" spans="1:14" x14ac:dyDescent="0.2">
      <c r="A36" s="33"/>
      <c r="B36" s="2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x14ac:dyDescent="0.2">
      <c r="A37" s="26"/>
      <c r="B37" s="25"/>
      <c r="C37" s="37" t="s">
        <v>58</v>
      </c>
      <c r="D37" s="32"/>
      <c r="E37" s="32"/>
      <c r="F37" s="32"/>
      <c r="G37" s="32"/>
      <c r="H37" s="32"/>
      <c r="I37" s="30"/>
      <c r="J37" s="30"/>
      <c r="K37" s="29"/>
      <c r="L37" s="29"/>
      <c r="M37" s="25"/>
      <c r="N37" s="25"/>
    </row>
    <row r="38" spans="1:14" x14ac:dyDescent="0.2">
      <c r="A38" s="26"/>
      <c r="B38" s="25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5"/>
      <c r="N38" s="25"/>
    </row>
    <row r="39" spans="1:14" x14ac:dyDescent="0.2">
      <c r="A39" s="26"/>
      <c r="B39" s="25"/>
      <c r="C39" s="49" t="s">
        <v>36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">
      <c r="A40" s="26"/>
      <c r="B40" s="25"/>
      <c r="C40" s="49" t="s">
        <v>59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">
      <c r="A41" s="26"/>
      <c r="B41" s="25"/>
      <c r="C41" s="49" t="s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6"/>
      <c r="B42" s="25"/>
      <c r="C42" s="29" t="s">
        <v>21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A43" s="26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">
      <c r="A44" s="26"/>
      <c r="B44" s="25"/>
      <c r="C44" s="29" t="s">
        <v>22</v>
      </c>
      <c r="D44" s="41" t="s">
        <v>23</v>
      </c>
      <c r="E44" s="40" t="s">
        <v>24</v>
      </c>
      <c r="F44" s="29" t="s">
        <v>25</v>
      </c>
      <c r="G44" s="30" t="s">
        <v>12</v>
      </c>
      <c r="H44" s="29" t="s">
        <v>26</v>
      </c>
      <c r="I44" s="25"/>
      <c r="J44" s="25"/>
      <c r="K44" s="25"/>
      <c r="L44" s="25"/>
      <c r="M44" s="25"/>
      <c r="N44" s="25"/>
    </row>
    <row r="45" spans="1:14" x14ac:dyDescent="0.2">
      <c r="A45" s="26"/>
      <c r="B45" s="25"/>
      <c r="C45" s="44">
        <v>3199833</v>
      </c>
      <c r="D45" s="48">
        <v>83600</v>
      </c>
      <c r="E45" s="44">
        <v>11895.38</v>
      </c>
      <c r="F45" s="35">
        <f>E45-D45</f>
        <v>-71704.62</v>
      </c>
      <c r="G45" s="30">
        <v>0.21</v>
      </c>
      <c r="H45" s="35">
        <f>F45*G45</f>
        <v>-15057.970199999998</v>
      </c>
      <c r="I45" s="25"/>
      <c r="J45" s="25"/>
      <c r="K45" s="25"/>
      <c r="L45" s="25"/>
      <c r="M45" s="25"/>
      <c r="N45" s="25"/>
    </row>
    <row r="46" spans="1:14" x14ac:dyDescent="0.2">
      <c r="A46" s="26"/>
      <c r="B46" s="25"/>
      <c r="C46" s="44">
        <v>4799749</v>
      </c>
      <c r="D46" s="25"/>
      <c r="E46" s="44">
        <v>0</v>
      </c>
      <c r="F46" s="35">
        <f>E46</f>
        <v>0</v>
      </c>
      <c r="G46" s="30">
        <v>0.21</v>
      </c>
      <c r="H46" s="35">
        <f t="shared" ref="H46:H50" si="7">F46*G46</f>
        <v>0</v>
      </c>
      <c r="I46" s="25"/>
      <c r="J46" s="25"/>
      <c r="K46" s="25"/>
      <c r="L46" s="25"/>
      <c r="M46" s="25"/>
      <c r="N46" s="25"/>
    </row>
    <row r="47" spans="1:14" x14ac:dyDescent="0.2">
      <c r="A47" s="26"/>
      <c r="B47" s="25"/>
      <c r="C47" s="50">
        <f>623422/2*0.4</f>
        <v>124684.40000000001</v>
      </c>
      <c r="D47" s="25"/>
      <c r="E47" s="44">
        <v>463.62</v>
      </c>
      <c r="F47" s="35">
        <f t="shared" ref="F47:F50" si="8">E47</f>
        <v>463.62</v>
      </c>
      <c r="G47" s="30">
        <v>0.21</v>
      </c>
      <c r="H47" s="35">
        <f t="shared" si="7"/>
        <v>97.360199999999992</v>
      </c>
      <c r="I47" s="25"/>
      <c r="J47" s="25"/>
      <c r="K47" s="25"/>
      <c r="L47" s="25"/>
      <c r="M47" s="25"/>
      <c r="N47" s="25"/>
    </row>
    <row r="48" spans="1:14" x14ac:dyDescent="0.2">
      <c r="A48" s="26"/>
      <c r="B48" s="25"/>
      <c r="C48" s="50">
        <f>623422/2*0.6</f>
        <v>187026.6</v>
      </c>
      <c r="D48" s="25"/>
      <c r="E48" s="44">
        <v>0</v>
      </c>
      <c r="F48" s="35">
        <f t="shared" si="8"/>
        <v>0</v>
      </c>
      <c r="G48" s="30">
        <v>0.21</v>
      </c>
      <c r="H48" s="35">
        <f t="shared" si="7"/>
        <v>0</v>
      </c>
      <c r="I48" s="25"/>
      <c r="J48" s="25"/>
      <c r="K48" s="25"/>
      <c r="L48" s="25"/>
      <c r="M48" s="25"/>
      <c r="N48" s="25"/>
    </row>
    <row r="49" spans="1:14" x14ac:dyDescent="0.2">
      <c r="A49" s="26"/>
      <c r="B49" s="25"/>
      <c r="C49" s="50">
        <v>545023.20400000003</v>
      </c>
      <c r="D49" s="25"/>
      <c r="E49" s="44">
        <v>2220.06</v>
      </c>
      <c r="F49" s="35">
        <f t="shared" si="8"/>
        <v>2220.06</v>
      </c>
      <c r="G49" s="30">
        <v>0.21</v>
      </c>
      <c r="H49" s="35">
        <f t="shared" si="7"/>
        <v>466.21259999999995</v>
      </c>
      <c r="I49" s="25"/>
      <c r="J49" s="25"/>
      <c r="K49" s="25"/>
      <c r="L49" s="25"/>
      <c r="M49" s="25"/>
      <c r="N49" s="25"/>
    </row>
    <row r="50" spans="1:14" ht="15" x14ac:dyDescent="0.35">
      <c r="A50" s="26"/>
      <c r="B50" s="25"/>
      <c r="C50" s="50">
        <v>817534.80599999998</v>
      </c>
      <c r="D50" s="25"/>
      <c r="E50" s="45">
        <v>0</v>
      </c>
      <c r="F50" s="43">
        <f t="shared" si="8"/>
        <v>0</v>
      </c>
      <c r="G50" s="30">
        <v>0.21</v>
      </c>
      <c r="H50" s="43">
        <f t="shared" si="7"/>
        <v>0</v>
      </c>
      <c r="I50" s="25"/>
      <c r="J50" s="25"/>
      <c r="K50" s="25"/>
      <c r="L50" s="25"/>
      <c r="M50" s="25"/>
      <c r="N50" s="25"/>
    </row>
    <row r="51" spans="1:14" x14ac:dyDescent="0.2">
      <c r="A51" s="26"/>
      <c r="B51" s="25"/>
      <c r="C51" s="25"/>
      <c r="D51" s="25"/>
      <c r="E51" s="44">
        <f>SUM(E45:E50)</f>
        <v>14579.06</v>
      </c>
      <c r="F51" s="44">
        <f>SUM(F45:F50)</f>
        <v>-69020.94</v>
      </c>
      <c r="G51" s="36" t="s">
        <v>27</v>
      </c>
      <c r="H51" s="35">
        <f>SUM(H45:H50)</f>
        <v>-14494.397399999998</v>
      </c>
      <c r="I51" s="25"/>
      <c r="J51" s="25"/>
      <c r="K51" s="25"/>
      <c r="L51" s="25"/>
      <c r="M51" s="25"/>
      <c r="N51" s="25"/>
    </row>
    <row r="52" spans="1:14" ht="15" x14ac:dyDescent="0.35">
      <c r="A52" s="26"/>
      <c r="B52" s="25"/>
      <c r="C52" s="25"/>
      <c r="D52" s="25"/>
      <c r="E52" s="35"/>
      <c r="F52" s="35"/>
      <c r="G52" s="36" t="s">
        <v>28</v>
      </c>
      <c r="H52" s="43">
        <f>-H62*0.21</f>
        <v>571.63974000000007</v>
      </c>
      <c r="I52" s="25"/>
      <c r="J52" s="25"/>
      <c r="K52" s="25"/>
      <c r="L52" s="25"/>
      <c r="M52" s="25"/>
      <c r="N52" s="25"/>
    </row>
    <row r="53" spans="1:14" x14ac:dyDescent="0.2">
      <c r="A53" s="26"/>
      <c r="B53" s="25"/>
      <c r="C53" s="25"/>
      <c r="D53" s="25"/>
      <c r="E53" s="25"/>
      <c r="F53" s="25"/>
      <c r="G53" s="25"/>
      <c r="H53" s="35">
        <f>H51+H52</f>
        <v>-13922.757659999997</v>
      </c>
      <c r="I53" s="25"/>
      <c r="J53" s="25"/>
      <c r="K53" s="25"/>
      <c r="L53" s="25"/>
      <c r="M53" s="25"/>
      <c r="N53" s="25"/>
    </row>
    <row r="54" spans="1:14" x14ac:dyDescent="0.2">
      <c r="A54" s="26"/>
      <c r="B54" s="25"/>
      <c r="C54" s="25"/>
      <c r="D54" s="25"/>
      <c r="E54" s="25"/>
      <c r="F54" s="25"/>
      <c r="G54" s="25"/>
      <c r="H54" s="35">
        <f>H53-K33</f>
        <v>9215.4697400000023</v>
      </c>
      <c r="I54" s="25" t="s">
        <v>61</v>
      </c>
      <c r="J54" s="25"/>
      <c r="K54" s="25"/>
      <c r="L54" s="25"/>
      <c r="M54" s="25"/>
      <c r="N54" s="25"/>
    </row>
    <row r="55" spans="1:14" x14ac:dyDescent="0.2">
      <c r="A55" s="26"/>
      <c r="B55" s="25"/>
      <c r="C55" s="29" t="s">
        <v>30</v>
      </c>
      <c r="D55" s="39" t="s">
        <v>23</v>
      </c>
      <c r="E55" s="40" t="s">
        <v>31</v>
      </c>
      <c r="F55" s="29" t="s">
        <v>32</v>
      </c>
      <c r="G55" s="30" t="s">
        <v>13</v>
      </c>
      <c r="H55" s="29" t="s">
        <v>33</v>
      </c>
      <c r="I55" s="25"/>
      <c r="J55" s="25"/>
      <c r="K55" s="25"/>
      <c r="L55" s="25"/>
      <c r="M55" s="25"/>
      <c r="N55" s="25"/>
    </row>
    <row r="56" spans="1:14" x14ac:dyDescent="0.2">
      <c r="A56" s="26"/>
      <c r="B56" s="25"/>
      <c r="C56" s="50">
        <v>6399666</v>
      </c>
      <c r="D56" s="35">
        <f>D45</f>
        <v>83600</v>
      </c>
      <c r="E56" s="35">
        <v>23790.76</v>
      </c>
      <c r="F56" s="35">
        <f>E56-D56</f>
        <v>-59809.240000000005</v>
      </c>
      <c r="G56" s="30">
        <v>0.05</v>
      </c>
      <c r="H56" s="35">
        <f>F56*G56</f>
        <v>-2990.4620000000004</v>
      </c>
      <c r="I56" s="25"/>
      <c r="J56" s="25"/>
      <c r="K56" s="25"/>
      <c r="L56" s="25"/>
      <c r="M56" s="25"/>
      <c r="N56" s="25"/>
    </row>
    <row r="57" spans="1:14" x14ac:dyDescent="0.2">
      <c r="A57" s="26"/>
      <c r="B57" s="25"/>
      <c r="C57" s="50">
        <v>9599498</v>
      </c>
      <c r="D57" s="25"/>
      <c r="E57" s="35">
        <v>0</v>
      </c>
      <c r="F57" s="35">
        <f>E57</f>
        <v>0</v>
      </c>
      <c r="G57" s="30">
        <v>0.05</v>
      </c>
      <c r="H57" s="35">
        <f t="shared" ref="H57:H61" si="9">F57*G57</f>
        <v>0</v>
      </c>
      <c r="I57" s="25"/>
      <c r="J57" s="25"/>
      <c r="K57" s="25"/>
      <c r="L57" s="25"/>
      <c r="M57" s="25"/>
      <c r="N57" s="25"/>
    </row>
    <row r="58" spans="1:14" x14ac:dyDescent="0.2">
      <c r="A58" s="26"/>
      <c r="B58" s="25"/>
      <c r="C58" s="50">
        <v>249369</v>
      </c>
      <c r="D58" s="25"/>
      <c r="E58" s="35">
        <v>927.24</v>
      </c>
      <c r="F58" s="35">
        <f t="shared" ref="F58:F61" si="10">E58</f>
        <v>927.24</v>
      </c>
      <c r="G58" s="30">
        <v>0.05</v>
      </c>
      <c r="H58" s="35">
        <f t="shared" si="9"/>
        <v>46.362000000000002</v>
      </c>
      <c r="I58" s="25"/>
      <c r="J58" s="25"/>
      <c r="K58" s="25"/>
      <c r="L58" s="25"/>
      <c r="M58" s="25"/>
      <c r="N58" s="25"/>
    </row>
    <row r="59" spans="1:14" x14ac:dyDescent="0.2">
      <c r="A59" s="26"/>
      <c r="B59" s="25"/>
      <c r="C59" s="50">
        <v>374053</v>
      </c>
      <c r="D59" s="25"/>
      <c r="E59" s="35">
        <v>0</v>
      </c>
      <c r="F59" s="35">
        <f t="shared" si="10"/>
        <v>0</v>
      </c>
      <c r="G59" s="30">
        <v>0.05</v>
      </c>
      <c r="H59" s="35">
        <f t="shared" si="9"/>
        <v>0</v>
      </c>
      <c r="I59" s="25"/>
      <c r="J59" s="25"/>
      <c r="K59" s="25"/>
      <c r="L59" s="25"/>
      <c r="M59" s="25"/>
      <c r="N59" s="25"/>
    </row>
    <row r="60" spans="1:14" x14ac:dyDescent="0.2">
      <c r="A60" s="26"/>
      <c r="B60" s="25"/>
      <c r="C60" s="50">
        <f>(2725460.82-344.8)*0.4</f>
        <v>1090046.4080000001</v>
      </c>
      <c r="D60" s="25"/>
      <c r="E60" s="35">
        <v>4440.12</v>
      </c>
      <c r="F60" s="35">
        <f t="shared" si="10"/>
        <v>4440.12</v>
      </c>
      <c r="G60" s="30">
        <v>0.05</v>
      </c>
      <c r="H60" s="35">
        <f t="shared" si="9"/>
        <v>222.006</v>
      </c>
      <c r="I60" s="25"/>
      <c r="J60" s="25"/>
      <c r="K60" s="25"/>
      <c r="L60" s="25"/>
      <c r="M60" s="25"/>
      <c r="N60" s="25"/>
    </row>
    <row r="61" spans="1:14" ht="15" x14ac:dyDescent="0.35">
      <c r="A61" s="26"/>
      <c r="B61" s="25"/>
      <c r="C61" s="50">
        <f>(2725460.82-344.8)*0.6</f>
        <v>1635069.612</v>
      </c>
      <c r="D61" s="25"/>
      <c r="E61" s="43">
        <v>0</v>
      </c>
      <c r="F61" s="43">
        <f t="shared" si="10"/>
        <v>0</v>
      </c>
      <c r="G61" s="30">
        <v>0.05</v>
      </c>
      <c r="H61" s="43">
        <f t="shared" si="9"/>
        <v>0</v>
      </c>
      <c r="I61" s="25"/>
      <c r="J61" s="25"/>
      <c r="K61" s="25"/>
      <c r="L61" s="25"/>
      <c r="M61" s="25"/>
      <c r="N61" s="25"/>
    </row>
    <row r="62" spans="1:14" x14ac:dyDescent="0.2">
      <c r="A62" s="26"/>
      <c r="B62" s="25"/>
      <c r="C62" s="25"/>
      <c r="D62" s="25"/>
      <c r="E62" s="35">
        <f>SUM(E56:E61)</f>
        <v>29158.12</v>
      </c>
      <c r="F62" s="35">
        <f>SUM(F56:F61)</f>
        <v>-54441.880000000005</v>
      </c>
      <c r="G62" s="25"/>
      <c r="H62" s="35">
        <f>SUM(H56:H61)</f>
        <v>-2722.0940000000005</v>
      </c>
      <c r="I62" s="25"/>
      <c r="J62" s="25"/>
      <c r="K62" s="25"/>
      <c r="L62" s="25"/>
      <c r="M62" s="25"/>
      <c r="N62" s="25"/>
    </row>
    <row r="63" spans="1:14" x14ac:dyDescent="0.2">
      <c r="A63" s="26"/>
      <c r="B63" s="25"/>
      <c r="C63" s="25"/>
      <c r="D63" s="25"/>
      <c r="E63" s="35"/>
      <c r="F63" s="35"/>
      <c r="G63" s="25"/>
      <c r="H63" s="35">
        <f>H62-L33</f>
        <v>532.7199999999998</v>
      </c>
      <c r="I63" s="25" t="s">
        <v>62</v>
      </c>
      <c r="J63" s="25"/>
      <c r="K63" s="25"/>
      <c r="L63" s="25"/>
      <c r="M63" s="25"/>
      <c r="N63" s="25"/>
    </row>
    <row r="64" spans="1:14" x14ac:dyDescent="0.2">
      <c r="A64" s="26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</sheetData>
  <mergeCells count="3">
    <mergeCell ref="A1:N1"/>
    <mergeCell ref="A2:N2"/>
    <mergeCell ref="A3:N3"/>
  </mergeCells>
  <pageMargins left="0.7" right="0.7" top="1.15625" bottom="0.75" header="0.3" footer="0.3"/>
  <pageSetup scale="51" orientation="portrait" r:id="rId1"/>
  <headerFooter>
    <oddHeader>&amp;R&amp;"Times New Roman,Bold"&amp;12Attachment to Response to Question 3
Page 2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B9C8D-E34D-4910-BA0B-6A71D0E79CC6}">
  <dimension ref="A1:Q81"/>
  <sheetViews>
    <sheetView zoomScaleNormal="100" workbookViewId="0">
      <selection sqref="A1:N1"/>
    </sheetView>
  </sheetViews>
  <sheetFormatPr defaultRowHeight="12.75" x14ac:dyDescent="0.2"/>
  <cols>
    <col min="1" max="1" width="11.28515625" style="9" customWidth="1"/>
    <col min="2" max="2" width="1.7109375" customWidth="1"/>
    <col min="3" max="3" width="13.85546875" customWidth="1"/>
    <col min="4" max="4" width="14.28515625" bestFit="1" customWidth="1"/>
    <col min="5" max="5" width="16.5703125" customWidth="1"/>
    <col min="6" max="6" width="15.42578125" customWidth="1"/>
    <col min="7" max="7" width="14.28515625" bestFit="1" customWidth="1"/>
    <col min="8" max="9" width="14.28515625" customWidth="1"/>
    <col min="10" max="14" width="12.7109375" customWidth="1"/>
    <col min="15" max="15" width="16.5703125" bestFit="1" customWidth="1"/>
    <col min="16" max="16" width="12.7109375" customWidth="1"/>
    <col min="17" max="17" width="11.28515625" hidden="1" customWidth="1"/>
    <col min="18" max="18" width="14.5703125" bestFit="1" customWidth="1"/>
    <col min="19" max="19" width="11.42578125" bestFit="1" customWidth="1"/>
  </cols>
  <sheetData>
    <row r="1" spans="1:17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"/>
      <c r="P1" s="1"/>
    </row>
    <row r="2" spans="1:17" x14ac:dyDescent="0.2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"/>
      <c r="P2" s="1"/>
    </row>
    <row r="3" spans="1:17" x14ac:dyDescent="0.2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1"/>
      <c r="P3" s="1"/>
    </row>
    <row r="4" spans="1:17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x14ac:dyDescent="0.2">
      <c r="A5" s="4" t="s">
        <v>37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7" x14ac:dyDescent="0.2">
      <c r="A6" s="5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7" x14ac:dyDescent="0.2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7" s="8" customFormat="1" ht="38.25" x14ac:dyDescent="0.2">
      <c r="A8" s="27" t="s">
        <v>5</v>
      </c>
      <c r="B8" s="28"/>
      <c r="C8" s="28" t="s">
        <v>6</v>
      </c>
      <c r="D8" s="28" t="s">
        <v>7</v>
      </c>
      <c r="E8" s="28" t="s">
        <v>8</v>
      </c>
      <c r="F8" s="28" t="s">
        <v>9</v>
      </c>
      <c r="G8" s="28" t="s">
        <v>10</v>
      </c>
      <c r="H8" s="28" t="s">
        <v>11</v>
      </c>
      <c r="I8" s="28" t="s">
        <v>12</v>
      </c>
      <c r="J8" s="28" t="s">
        <v>13</v>
      </c>
      <c r="K8" s="28" t="s">
        <v>14</v>
      </c>
      <c r="L8" s="28" t="s">
        <v>15</v>
      </c>
      <c r="M8" s="28" t="s">
        <v>16</v>
      </c>
      <c r="N8" s="28" t="s">
        <v>17</v>
      </c>
    </row>
    <row r="9" spans="1:17" x14ac:dyDescent="0.2">
      <c r="A9" s="26" t="s">
        <v>18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31">
        <v>25494415</v>
      </c>
      <c r="N9" s="25"/>
    </row>
    <row r="10" spans="1:17" x14ac:dyDescent="0.2">
      <c r="A10" s="12">
        <v>43533</v>
      </c>
      <c r="B10" s="25"/>
      <c r="C10" s="29">
        <v>120292433</v>
      </c>
      <c r="D10" s="32">
        <v>251809</v>
      </c>
      <c r="E10" s="32">
        <f>748037.5</f>
        <v>748037.5</v>
      </c>
      <c r="F10" s="32">
        <f>1431970.26</f>
        <v>1431970.26</v>
      </c>
      <c r="G10" s="32">
        <f t="shared" ref="G10:G33" si="0">E10-D10</f>
        <v>496228.5</v>
      </c>
      <c r="H10" s="32">
        <f t="shared" ref="H10:H33" si="1">F10-D10</f>
        <v>1180161.26</v>
      </c>
      <c r="I10" s="30">
        <v>0.21</v>
      </c>
      <c r="J10" s="30">
        <v>0.05</v>
      </c>
      <c r="K10" s="29">
        <f t="shared" ref="K10:K31" si="2">G10*I10-L10*I10</f>
        <v>91816.291769999996</v>
      </c>
      <c r="L10" s="29">
        <f t="shared" ref="L10:L33" si="3">H10*J10</f>
        <v>59008.063000000002</v>
      </c>
      <c r="M10" s="29">
        <f t="shared" ref="M10:M33" si="4">M9+K10+L10</f>
        <v>25645239.354770001</v>
      </c>
      <c r="N10" s="29">
        <v>0</v>
      </c>
      <c r="O10" s="22"/>
      <c r="P10" s="13"/>
      <c r="Q10" s="13">
        <f>K10+L10</f>
        <v>150824.35477000001</v>
      </c>
    </row>
    <row r="11" spans="1:17" x14ac:dyDescent="0.2">
      <c r="A11" s="12">
        <v>43556</v>
      </c>
      <c r="B11" s="25"/>
      <c r="C11" s="29">
        <v>120292433</v>
      </c>
      <c r="D11" s="32">
        <v>251809</v>
      </c>
      <c r="E11" s="32">
        <f>748037.5</f>
        <v>748037.5</v>
      </c>
      <c r="F11" s="32">
        <f>1431970.26</f>
        <v>1431970.26</v>
      </c>
      <c r="G11" s="32">
        <f t="shared" si="0"/>
        <v>496228.5</v>
      </c>
      <c r="H11" s="32">
        <f t="shared" si="1"/>
        <v>1180161.26</v>
      </c>
      <c r="I11" s="30">
        <v>0.21</v>
      </c>
      <c r="J11" s="30">
        <v>0.05</v>
      </c>
      <c r="K11" s="29">
        <f>(G11*I11-L11*I11)-1</f>
        <v>91815.291769999996</v>
      </c>
      <c r="L11" s="29">
        <f t="shared" si="3"/>
        <v>59008.063000000002</v>
      </c>
      <c r="M11" s="29">
        <f t="shared" si="4"/>
        <v>25796062.709540002</v>
      </c>
      <c r="N11" s="29">
        <v>0</v>
      </c>
      <c r="O11" s="22"/>
      <c r="P11" s="11"/>
      <c r="Q11" s="13">
        <f>Q10+K11+L11</f>
        <v>301647.70954000001</v>
      </c>
    </row>
    <row r="12" spans="1:17" x14ac:dyDescent="0.2">
      <c r="A12" s="12">
        <v>43586</v>
      </c>
      <c r="B12" s="25"/>
      <c r="C12" s="29">
        <v>120896355</v>
      </c>
      <c r="D12" s="32">
        <v>500135</v>
      </c>
      <c r="E12" s="32">
        <f>739680.17</f>
        <v>739680.17</v>
      </c>
      <c r="F12" s="32">
        <f>1427816.36</f>
        <v>1427816.36</v>
      </c>
      <c r="G12" s="32">
        <f t="shared" si="0"/>
        <v>239545.17000000004</v>
      </c>
      <c r="H12" s="32">
        <f t="shared" si="1"/>
        <v>927681.3600000001</v>
      </c>
      <c r="I12" s="30">
        <v>0.21</v>
      </c>
      <c r="J12" s="30">
        <v>0.05</v>
      </c>
      <c r="K12" s="29">
        <f t="shared" si="2"/>
        <v>40563.831420000002</v>
      </c>
      <c r="L12" s="29">
        <f t="shared" si="3"/>
        <v>46384.068000000007</v>
      </c>
      <c r="M12" s="29">
        <f t="shared" si="4"/>
        <v>25883010.608960003</v>
      </c>
      <c r="N12" s="29">
        <v>0</v>
      </c>
      <c r="O12" s="11"/>
      <c r="Q12" s="13">
        <f>Q11+K12+L12</f>
        <v>388595.60896000004</v>
      </c>
    </row>
    <row r="13" spans="1:17" x14ac:dyDescent="0.2">
      <c r="A13" s="12">
        <v>43617</v>
      </c>
      <c r="B13" s="25"/>
      <c r="C13" s="29">
        <v>120896355</v>
      </c>
      <c r="D13" s="32">
        <v>500135</v>
      </c>
      <c r="E13" s="32">
        <f>739680.17</f>
        <v>739680.17</v>
      </c>
      <c r="F13" s="32">
        <f>1427816.36</f>
        <v>1427816.36</v>
      </c>
      <c r="G13" s="32">
        <f t="shared" si="0"/>
        <v>239545.17000000004</v>
      </c>
      <c r="H13" s="32">
        <f t="shared" si="1"/>
        <v>927681.3600000001</v>
      </c>
      <c r="I13" s="30">
        <v>0.21</v>
      </c>
      <c r="J13" s="30">
        <v>0.05</v>
      </c>
      <c r="K13" s="29">
        <f t="shared" si="2"/>
        <v>40563.831420000002</v>
      </c>
      <c r="L13" s="29">
        <f t="shared" si="3"/>
        <v>46384.068000000007</v>
      </c>
      <c r="M13" s="29">
        <f t="shared" si="4"/>
        <v>25969958.508380003</v>
      </c>
      <c r="N13" s="29">
        <v>0</v>
      </c>
      <c r="O13" s="13"/>
      <c r="Q13" s="13">
        <f>Q12+K13+L13</f>
        <v>475543.50838000007</v>
      </c>
    </row>
    <row r="14" spans="1:17" x14ac:dyDescent="0.2">
      <c r="A14" s="12">
        <v>43647</v>
      </c>
      <c r="B14" s="25"/>
      <c r="C14" s="29">
        <v>120896355</v>
      </c>
      <c r="D14" s="32">
        <v>500135</v>
      </c>
      <c r="E14" s="32">
        <f>739678.17</f>
        <v>739678.17</v>
      </c>
      <c r="F14" s="32">
        <f>1427816.36</f>
        <v>1427816.36</v>
      </c>
      <c r="G14" s="32">
        <f t="shared" si="0"/>
        <v>239543.17000000004</v>
      </c>
      <c r="H14" s="32">
        <f t="shared" si="1"/>
        <v>927681.3600000001</v>
      </c>
      <c r="I14" s="30">
        <v>0.21</v>
      </c>
      <c r="J14" s="30">
        <v>0.05</v>
      </c>
      <c r="K14" s="29">
        <f t="shared" si="2"/>
        <v>40563.411420000004</v>
      </c>
      <c r="L14" s="29">
        <f t="shared" si="3"/>
        <v>46384.068000000007</v>
      </c>
      <c r="M14" s="29">
        <f t="shared" si="4"/>
        <v>26056905.987800002</v>
      </c>
      <c r="N14" s="29">
        <v>0</v>
      </c>
      <c r="O14" s="11"/>
      <c r="Q14" s="13">
        <f>Q13+K14+L14</f>
        <v>562490.98780000012</v>
      </c>
    </row>
    <row r="15" spans="1:17" x14ac:dyDescent="0.2">
      <c r="A15" s="12">
        <v>43678</v>
      </c>
      <c r="B15" s="25"/>
      <c r="C15" s="29">
        <v>121543607</v>
      </c>
      <c r="D15" s="32">
        <v>501550</v>
      </c>
      <c r="E15" s="32">
        <f>745458.65+587</f>
        <v>746045.65</v>
      </c>
      <c r="F15" s="32">
        <v>1432195.03</v>
      </c>
      <c r="G15" s="32">
        <f t="shared" si="0"/>
        <v>244495.65000000002</v>
      </c>
      <c r="H15" s="32">
        <f t="shared" si="1"/>
        <v>930645.03</v>
      </c>
      <c r="I15" s="30">
        <v>0.21</v>
      </c>
      <c r="J15" s="30">
        <v>0.05</v>
      </c>
      <c r="K15" s="29">
        <f t="shared" si="2"/>
        <v>41572.313685000001</v>
      </c>
      <c r="L15" s="29">
        <f t="shared" si="3"/>
        <v>46532.251500000006</v>
      </c>
      <c r="M15" s="29">
        <f t="shared" si="4"/>
        <v>26145010.552985001</v>
      </c>
      <c r="N15" s="29">
        <v>0</v>
      </c>
      <c r="O15" s="13"/>
      <c r="Q15" s="13">
        <f>Q14+K15+L15</f>
        <v>650595.55298500019</v>
      </c>
    </row>
    <row r="16" spans="1:17" x14ac:dyDescent="0.2">
      <c r="A16" s="12">
        <v>43717</v>
      </c>
      <c r="B16" s="25"/>
      <c r="C16" s="29">
        <v>121543607</v>
      </c>
      <c r="D16" s="32">
        <v>502966</v>
      </c>
      <c r="E16" s="32">
        <f>746863.87+333.44</f>
        <v>747197.30999999994</v>
      </c>
      <c r="F16" s="32">
        <f>1435002.05</f>
        <v>1435002.05</v>
      </c>
      <c r="G16" s="32">
        <f t="shared" si="0"/>
        <v>244231.30999999994</v>
      </c>
      <c r="H16" s="32">
        <f t="shared" si="1"/>
        <v>932036.05</v>
      </c>
      <c r="I16" s="30">
        <v>0.21</v>
      </c>
      <c r="J16" s="30">
        <v>0.05</v>
      </c>
      <c r="K16" s="29">
        <f t="shared" si="2"/>
        <v>41502.196574999987</v>
      </c>
      <c r="L16" s="29">
        <f t="shared" si="3"/>
        <v>46601.802500000005</v>
      </c>
      <c r="M16" s="29">
        <f t="shared" si="4"/>
        <v>26233114.552060001</v>
      </c>
      <c r="N16" s="29">
        <v>0</v>
      </c>
      <c r="O16" s="13"/>
      <c r="P16" s="13"/>
      <c r="Q16" s="17">
        <f>+O15/0.389</f>
        <v>0</v>
      </c>
    </row>
    <row r="17" spans="1:16" x14ac:dyDescent="0.2">
      <c r="A17" s="12">
        <v>43739</v>
      </c>
      <c r="B17" s="25"/>
      <c r="C17" s="29">
        <v>121543607</v>
      </c>
      <c r="D17" s="32">
        <v>502965.5</v>
      </c>
      <c r="E17" s="32">
        <f>746863.87+333.44+4</f>
        <v>747201.30999999994</v>
      </c>
      <c r="F17" s="32">
        <f>1435002.05</f>
        <v>1435002.05</v>
      </c>
      <c r="G17" s="32">
        <f t="shared" si="0"/>
        <v>244235.80999999994</v>
      </c>
      <c r="H17" s="32">
        <f t="shared" si="1"/>
        <v>932036.55</v>
      </c>
      <c r="I17" s="30">
        <v>0.21</v>
      </c>
      <c r="J17" s="30">
        <v>0.05</v>
      </c>
      <c r="K17" s="29">
        <f t="shared" si="2"/>
        <v>41503.136324999985</v>
      </c>
      <c r="L17" s="29">
        <f t="shared" si="3"/>
        <v>46601.827500000007</v>
      </c>
      <c r="M17" s="29">
        <f t="shared" si="4"/>
        <v>26321219.515885003</v>
      </c>
      <c r="N17" s="29">
        <v>0</v>
      </c>
      <c r="O17" s="13"/>
      <c r="P17" s="13"/>
    </row>
    <row r="18" spans="1:16" x14ac:dyDescent="0.2">
      <c r="A18" s="12">
        <v>43770</v>
      </c>
      <c r="B18" s="25"/>
      <c r="C18" s="29">
        <v>121543607</v>
      </c>
      <c r="D18" s="32">
        <v>502965.5</v>
      </c>
      <c r="E18" s="32">
        <f>746863.87+333.44+4.18</f>
        <v>747201.49</v>
      </c>
      <c r="F18" s="32">
        <f>1435002.05</f>
        <v>1435002.05</v>
      </c>
      <c r="G18" s="32">
        <f t="shared" si="0"/>
        <v>244235.99</v>
      </c>
      <c r="H18" s="32">
        <f t="shared" si="1"/>
        <v>932036.55</v>
      </c>
      <c r="I18" s="30">
        <v>0.21</v>
      </c>
      <c r="J18" s="30">
        <v>0.05</v>
      </c>
      <c r="K18" s="29">
        <f t="shared" si="2"/>
        <v>41503.17412499999</v>
      </c>
      <c r="L18" s="29">
        <f t="shared" si="3"/>
        <v>46601.827500000007</v>
      </c>
      <c r="M18" s="29">
        <f t="shared" si="4"/>
        <v>26409324.517510004</v>
      </c>
      <c r="N18" s="29">
        <v>0</v>
      </c>
      <c r="O18" s="13"/>
      <c r="P18" s="13"/>
    </row>
    <row r="19" spans="1:16" x14ac:dyDescent="0.2">
      <c r="A19" s="12">
        <v>43800</v>
      </c>
      <c r="B19" s="25"/>
      <c r="C19" s="29">
        <v>121543607</v>
      </c>
      <c r="D19" s="32">
        <v>502966</v>
      </c>
      <c r="E19" s="32">
        <f>746863.87+333.44+2</f>
        <v>747199.30999999994</v>
      </c>
      <c r="F19" s="32">
        <f>1435002.05</f>
        <v>1435002.05</v>
      </c>
      <c r="G19" s="32">
        <f t="shared" si="0"/>
        <v>244233.30999999994</v>
      </c>
      <c r="H19" s="32">
        <f t="shared" si="1"/>
        <v>932036.05</v>
      </c>
      <c r="I19" s="30">
        <v>0.21</v>
      </c>
      <c r="J19" s="30">
        <v>0.05</v>
      </c>
      <c r="K19" s="29">
        <f t="shared" si="2"/>
        <v>41502.616574999985</v>
      </c>
      <c r="L19" s="29">
        <f t="shared" si="3"/>
        <v>46601.802500000005</v>
      </c>
      <c r="M19" s="29">
        <f t="shared" si="4"/>
        <v>26497428.936585002</v>
      </c>
      <c r="N19" s="29">
        <v>0</v>
      </c>
    </row>
    <row r="20" spans="1:16" x14ac:dyDescent="0.2">
      <c r="A20" s="12">
        <v>43831</v>
      </c>
      <c r="B20" s="25"/>
      <c r="C20" s="29">
        <v>121543607</v>
      </c>
      <c r="D20" s="32">
        <v>502966</v>
      </c>
      <c r="E20" s="32">
        <f>745794.8</f>
        <v>745794.8</v>
      </c>
      <c r="F20" s="32">
        <v>1420209.06</v>
      </c>
      <c r="G20" s="32">
        <f t="shared" si="0"/>
        <v>242828.80000000005</v>
      </c>
      <c r="H20" s="32">
        <f t="shared" si="1"/>
        <v>917243.06</v>
      </c>
      <c r="I20" s="30">
        <v>0.21</v>
      </c>
      <c r="J20" s="30">
        <v>0.05</v>
      </c>
      <c r="K20" s="29">
        <f t="shared" si="2"/>
        <v>41362.995870000013</v>
      </c>
      <c r="L20" s="29">
        <f t="shared" si="3"/>
        <v>45862.153000000006</v>
      </c>
      <c r="M20" s="29">
        <f t="shared" si="4"/>
        <v>26584654.085455004</v>
      </c>
      <c r="N20" s="29">
        <v>0</v>
      </c>
    </row>
    <row r="21" spans="1:16" x14ac:dyDescent="0.2">
      <c r="A21" s="12">
        <v>43862</v>
      </c>
      <c r="B21" s="25"/>
      <c r="C21" s="29">
        <v>121543607</v>
      </c>
      <c r="D21" s="32">
        <v>502966</v>
      </c>
      <c r="E21" s="32">
        <f>745794.8+4</f>
        <v>745798.8</v>
      </c>
      <c r="F21" s="32">
        <v>1420209.06</v>
      </c>
      <c r="G21" s="32">
        <f t="shared" si="0"/>
        <v>242832.80000000005</v>
      </c>
      <c r="H21" s="32">
        <f t="shared" si="1"/>
        <v>917243.06</v>
      </c>
      <c r="I21" s="30">
        <v>0.21</v>
      </c>
      <c r="J21" s="30">
        <v>0.05</v>
      </c>
      <c r="K21" s="29">
        <f t="shared" si="2"/>
        <v>41363.83587000001</v>
      </c>
      <c r="L21" s="29">
        <f t="shared" si="3"/>
        <v>45862.153000000006</v>
      </c>
      <c r="M21" s="29">
        <f t="shared" si="4"/>
        <v>26671880.074325006</v>
      </c>
      <c r="N21" s="29">
        <v>0</v>
      </c>
    </row>
    <row r="22" spans="1:16" x14ac:dyDescent="0.2">
      <c r="A22" s="12">
        <v>43899</v>
      </c>
      <c r="B22" s="25"/>
      <c r="C22" s="29">
        <v>121543607</v>
      </c>
      <c r="D22" s="32">
        <v>502966</v>
      </c>
      <c r="E22" s="31">
        <f>745794.8</f>
        <v>745794.8</v>
      </c>
      <c r="F22" s="31">
        <f t="shared" ref="F22:F27" si="5">1420209.06</f>
        <v>1420209.06</v>
      </c>
      <c r="G22" s="32">
        <f t="shared" si="0"/>
        <v>242828.80000000005</v>
      </c>
      <c r="H22" s="32">
        <f t="shared" si="1"/>
        <v>917243.06</v>
      </c>
      <c r="I22" s="30">
        <v>0.21</v>
      </c>
      <c r="J22" s="30">
        <v>0.05</v>
      </c>
      <c r="K22" s="29">
        <f t="shared" si="2"/>
        <v>41362.995870000013</v>
      </c>
      <c r="L22" s="29">
        <f t="shared" si="3"/>
        <v>45862.153000000006</v>
      </c>
      <c r="M22" s="29">
        <f t="shared" si="4"/>
        <v>26759105.223195009</v>
      </c>
      <c r="N22" s="29">
        <v>0</v>
      </c>
    </row>
    <row r="23" spans="1:16" x14ac:dyDescent="0.2">
      <c r="A23" s="12">
        <v>43922</v>
      </c>
      <c r="B23" s="25"/>
      <c r="C23" s="29">
        <v>121543607</v>
      </c>
      <c r="D23" s="32">
        <v>502966</v>
      </c>
      <c r="E23" s="31">
        <f>745794.8</f>
        <v>745794.8</v>
      </c>
      <c r="F23" s="31">
        <f t="shared" si="5"/>
        <v>1420209.06</v>
      </c>
      <c r="G23" s="32">
        <f t="shared" si="0"/>
        <v>242828.80000000005</v>
      </c>
      <c r="H23" s="32">
        <f t="shared" si="1"/>
        <v>917243.06</v>
      </c>
      <c r="I23" s="30">
        <v>0.21</v>
      </c>
      <c r="J23" s="30">
        <v>0.05</v>
      </c>
      <c r="K23" s="29">
        <f t="shared" si="2"/>
        <v>41362.995870000013</v>
      </c>
      <c r="L23" s="29">
        <f t="shared" si="3"/>
        <v>45862.153000000006</v>
      </c>
      <c r="M23" s="29">
        <f t="shared" si="4"/>
        <v>26846330.372065011</v>
      </c>
      <c r="N23" s="29">
        <v>0</v>
      </c>
    </row>
    <row r="24" spans="1:16" x14ac:dyDescent="0.2">
      <c r="A24" s="12">
        <v>43952</v>
      </c>
      <c r="B24" s="25"/>
      <c r="C24" s="29">
        <v>121543607</v>
      </c>
      <c r="D24" s="32">
        <v>502966.49</v>
      </c>
      <c r="E24" s="31">
        <f>745794.8</f>
        <v>745794.8</v>
      </c>
      <c r="F24" s="31">
        <f t="shared" si="5"/>
        <v>1420209.06</v>
      </c>
      <c r="G24" s="32">
        <f t="shared" si="0"/>
        <v>242828.31000000006</v>
      </c>
      <c r="H24" s="32">
        <f t="shared" si="1"/>
        <v>917242.57000000007</v>
      </c>
      <c r="I24" s="30">
        <v>0.21</v>
      </c>
      <c r="J24" s="30">
        <v>0.05</v>
      </c>
      <c r="K24" s="29">
        <f t="shared" si="2"/>
        <v>41362.898115000011</v>
      </c>
      <c r="L24" s="29">
        <f t="shared" si="3"/>
        <v>45862.128500000006</v>
      </c>
      <c r="M24" s="29">
        <f t="shared" si="4"/>
        <v>26933555.398680013</v>
      </c>
      <c r="N24" s="29">
        <v>0</v>
      </c>
    </row>
    <row r="25" spans="1:16" x14ac:dyDescent="0.2">
      <c r="A25" s="12">
        <v>43983</v>
      </c>
      <c r="B25" s="25"/>
      <c r="C25" s="29">
        <v>121543607</v>
      </c>
      <c r="D25" s="32">
        <v>502966</v>
      </c>
      <c r="E25" s="31">
        <f>745794.8-2</f>
        <v>745792.8</v>
      </c>
      <c r="F25" s="31">
        <f t="shared" si="5"/>
        <v>1420209.06</v>
      </c>
      <c r="G25" s="32">
        <f t="shared" si="0"/>
        <v>242826.80000000005</v>
      </c>
      <c r="H25" s="32">
        <f t="shared" si="1"/>
        <v>917243.06</v>
      </c>
      <c r="I25" s="30">
        <v>0.21</v>
      </c>
      <c r="J25" s="30">
        <v>0.05</v>
      </c>
      <c r="K25" s="29">
        <f t="shared" si="2"/>
        <v>41362.575870000015</v>
      </c>
      <c r="L25" s="29">
        <f t="shared" si="3"/>
        <v>45862.153000000006</v>
      </c>
      <c r="M25" s="29">
        <f t="shared" si="4"/>
        <v>27020780.127550013</v>
      </c>
      <c r="N25" s="29">
        <v>0</v>
      </c>
    </row>
    <row r="26" spans="1:16" x14ac:dyDescent="0.2">
      <c r="A26" s="12">
        <v>44013</v>
      </c>
      <c r="B26" s="25"/>
      <c r="C26" s="29">
        <v>121543607</v>
      </c>
      <c r="D26" s="32">
        <v>502966</v>
      </c>
      <c r="E26" s="31">
        <f>745794.8+2</f>
        <v>745796.8</v>
      </c>
      <c r="F26" s="31">
        <f t="shared" si="5"/>
        <v>1420209.06</v>
      </c>
      <c r="G26" s="32">
        <f t="shared" si="0"/>
        <v>242830.80000000005</v>
      </c>
      <c r="H26" s="32">
        <f t="shared" si="1"/>
        <v>917243.06</v>
      </c>
      <c r="I26" s="30">
        <v>0.21</v>
      </c>
      <c r="J26" s="30">
        <v>0.05</v>
      </c>
      <c r="K26" s="29">
        <f t="shared" si="2"/>
        <v>41363.415870000012</v>
      </c>
      <c r="L26" s="29">
        <f t="shared" si="3"/>
        <v>45862.153000000006</v>
      </c>
      <c r="M26" s="29">
        <f t="shared" si="4"/>
        <v>27108005.696420014</v>
      </c>
      <c r="N26" s="29">
        <v>0</v>
      </c>
    </row>
    <row r="27" spans="1:16" x14ac:dyDescent="0.2">
      <c r="A27" s="12">
        <v>44044</v>
      </c>
      <c r="B27" s="25"/>
      <c r="C27" s="29">
        <v>121543607</v>
      </c>
      <c r="D27" s="32">
        <v>502966</v>
      </c>
      <c r="E27" s="31">
        <f>745794.8</f>
        <v>745794.8</v>
      </c>
      <c r="F27" s="31">
        <f t="shared" si="5"/>
        <v>1420209.06</v>
      </c>
      <c r="G27" s="32">
        <f t="shared" si="0"/>
        <v>242828.80000000005</v>
      </c>
      <c r="H27" s="32">
        <f t="shared" si="1"/>
        <v>917243.06</v>
      </c>
      <c r="I27" s="30">
        <v>0.21</v>
      </c>
      <c r="J27" s="30">
        <v>0.05</v>
      </c>
      <c r="K27" s="29">
        <f t="shared" si="2"/>
        <v>41362.995870000013</v>
      </c>
      <c r="L27" s="29">
        <f t="shared" si="3"/>
        <v>45862.153000000006</v>
      </c>
      <c r="M27" s="29">
        <f t="shared" si="4"/>
        <v>27195230.845290016</v>
      </c>
      <c r="N27" s="29">
        <v>0</v>
      </c>
    </row>
    <row r="28" spans="1:16" x14ac:dyDescent="0.2">
      <c r="A28" s="12">
        <v>44083</v>
      </c>
      <c r="B28" s="25"/>
      <c r="C28" s="29">
        <v>121543607</v>
      </c>
      <c r="D28" s="32">
        <v>502966</v>
      </c>
      <c r="E28" s="31">
        <v>745794.8</v>
      </c>
      <c r="F28" s="31">
        <v>1420209.06</v>
      </c>
      <c r="G28" s="32">
        <f t="shared" si="0"/>
        <v>242828.80000000005</v>
      </c>
      <c r="H28" s="32">
        <f t="shared" si="1"/>
        <v>917243.06</v>
      </c>
      <c r="I28" s="30">
        <v>0.21</v>
      </c>
      <c r="J28" s="30">
        <v>0.05</v>
      </c>
      <c r="K28" s="29">
        <f t="shared" si="2"/>
        <v>41362.995870000013</v>
      </c>
      <c r="L28" s="29">
        <f t="shared" si="3"/>
        <v>45862.153000000006</v>
      </c>
      <c r="M28" s="29">
        <f t="shared" si="4"/>
        <v>27282455.994160019</v>
      </c>
      <c r="N28" s="29">
        <v>0</v>
      </c>
    </row>
    <row r="29" spans="1:16" x14ac:dyDescent="0.2">
      <c r="A29" s="12">
        <v>44105</v>
      </c>
      <c r="B29" s="25"/>
      <c r="C29" s="29">
        <v>121543607</v>
      </c>
      <c r="D29" s="32">
        <v>502966</v>
      </c>
      <c r="E29" s="31">
        <v>745794.8</v>
      </c>
      <c r="F29" s="31">
        <v>1420209.06</v>
      </c>
      <c r="G29" s="32">
        <f t="shared" si="0"/>
        <v>242828.80000000005</v>
      </c>
      <c r="H29" s="32">
        <f t="shared" si="1"/>
        <v>917243.06</v>
      </c>
      <c r="I29" s="30">
        <v>0.21</v>
      </c>
      <c r="J29" s="30">
        <v>0.05</v>
      </c>
      <c r="K29" s="29">
        <f t="shared" si="2"/>
        <v>41362.995870000013</v>
      </c>
      <c r="L29" s="29">
        <f t="shared" si="3"/>
        <v>45862.153000000006</v>
      </c>
      <c r="M29" s="29">
        <f t="shared" si="4"/>
        <v>27369681.143030021</v>
      </c>
      <c r="N29" s="29">
        <v>0</v>
      </c>
    </row>
    <row r="30" spans="1:16" x14ac:dyDescent="0.2">
      <c r="A30" s="12">
        <v>44136</v>
      </c>
      <c r="B30" s="25"/>
      <c r="C30" s="29">
        <v>121543607</v>
      </c>
      <c r="D30" s="32">
        <v>502966</v>
      </c>
      <c r="E30" s="31">
        <v>745794.8</v>
      </c>
      <c r="F30" s="31">
        <v>1420209.06</v>
      </c>
      <c r="G30" s="32">
        <f t="shared" si="0"/>
        <v>242828.80000000005</v>
      </c>
      <c r="H30" s="32">
        <f t="shared" si="1"/>
        <v>917243.06</v>
      </c>
      <c r="I30" s="30">
        <v>0.21</v>
      </c>
      <c r="J30" s="30">
        <v>0.05</v>
      </c>
      <c r="K30" s="29">
        <f t="shared" si="2"/>
        <v>41362.995870000013</v>
      </c>
      <c r="L30" s="29">
        <f t="shared" si="3"/>
        <v>45862.153000000006</v>
      </c>
      <c r="M30" s="29">
        <f t="shared" si="4"/>
        <v>27456906.291900024</v>
      </c>
      <c r="N30" s="29">
        <v>0</v>
      </c>
    </row>
    <row r="31" spans="1:16" x14ac:dyDescent="0.2">
      <c r="A31" s="12">
        <v>44166</v>
      </c>
      <c r="B31" s="25"/>
      <c r="C31" s="29">
        <v>121543607</v>
      </c>
      <c r="D31" s="32">
        <v>502966</v>
      </c>
      <c r="E31" s="31">
        <f>745794.8-2</f>
        <v>745792.8</v>
      </c>
      <c r="F31" s="31">
        <v>1420209.06</v>
      </c>
      <c r="G31" s="32">
        <f t="shared" si="0"/>
        <v>242826.80000000005</v>
      </c>
      <c r="H31" s="32">
        <f t="shared" si="1"/>
        <v>917243.06</v>
      </c>
      <c r="I31" s="30">
        <v>0.21</v>
      </c>
      <c r="J31" s="30">
        <v>0.05</v>
      </c>
      <c r="K31" s="29">
        <f t="shared" si="2"/>
        <v>41362.575870000015</v>
      </c>
      <c r="L31" s="29">
        <f t="shared" si="3"/>
        <v>45862.153000000006</v>
      </c>
      <c r="M31" s="29">
        <f t="shared" si="4"/>
        <v>27544131.020770025</v>
      </c>
      <c r="N31" s="29">
        <v>0</v>
      </c>
    </row>
    <row r="32" spans="1:16" x14ac:dyDescent="0.2">
      <c r="A32" s="12">
        <v>44197</v>
      </c>
      <c r="B32" s="25"/>
      <c r="C32" s="29">
        <v>121543607</v>
      </c>
      <c r="D32" s="32">
        <v>502965.5</v>
      </c>
      <c r="E32" s="31">
        <f>561220.9</f>
        <v>561220.9</v>
      </c>
      <c r="F32" s="31">
        <f>1051984.9</f>
        <v>1051984.8999999999</v>
      </c>
      <c r="G32" s="32">
        <f t="shared" si="0"/>
        <v>58255.400000000023</v>
      </c>
      <c r="H32" s="32">
        <f t="shared" si="1"/>
        <v>549019.39999999991</v>
      </c>
      <c r="I32" s="30">
        <v>0.21</v>
      </c>
      <c r="J32" s="30">
        <v>0.05</v>
      </c>
      <c r="K32" s="29">
        <f>G32*I32-L32*I32-3640.42</f>
        <v>2828.5103000000045</v>
      </c>
      <c r="L32" s="29">
        <f t="shared" si="3"/>
        <v>27450.969999999998</v>
      </c>
      <c r="M32" s="29">
        <f t="shared" si="4"/>
        <v>27574410.501070023</v>
      </c>
      <c r="N32" s="29">
        <v>0</v>
      </c>
    </row>
    <row r="33" spans="1:14" x14ac:dyDescent="0.2">
      <c r="A33" s="12">
        <v>44228</v>
      </c>
      <c r="B33" s="25"/>
      <c r="C33" s="29">
        <v>121543607</v>
      </c>
      <c r="D33" s="32">
        <v>502966</v>
      </c>
      <c r="E33" s="31">
        <f>561220.41</f>
        <v>561220.41</v>
      </c>
      <c r="F33" s="31">
        <f>1051983.7</f>
        <v>1051983.7</v>
      </c>
      <c r="G33" s="32">
        <f t="shared" si="0"/>
        <v>58254.410000000033</v>
      </c>
      <c r="H33" s="32">
        <f t="shared" si="1"/>
        <v>549017.69999999995</v>
      </c>
      <c r="I33" s="30">
        <v>0.21</v>
      </c>
      <c r="J33" s="30">
        <v>0.05</v>
      </c>
      <c r="K33" s="29">
        <f>G33*I33-L33*I33-3640.42</f>
        <v>2828.3202500000061</v>
      </c>
      <c r="L33" s="29">
        <f t="shared" si="3"/>
        <v>27450.884999999998</v>
      </c>
      <c r="M33" s="29">
        <f t="shared" si="4"/>
        <v>27604689.706320025</v>
      </c>
      <c r="N33" s="29">
        <v>0</v>
      </c>
    </row>
    <row r="34" spans="1:14" x14ac:dyDescent="0.2">
      <c r="A34" s="33"/>
      <c r="B34" s="2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x14ac:dyDescent="0.2">
      <c r="A35" s="33"/>
      <c r="B35" s="25"/>
      <c r="C35" s="29" t="s">
        <v>35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">
      <c r="A36" s="33"/>
      <c r="B36" s="2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x14ac:dyDescent="0.2">
      <c r="A37" s="26"/>
      <c r="B37" s="25"/>
      <c r="C37" s="49" t="s">
        <v>39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">
      <c r="A38" s="26"/>
      <c r="B38" s="25"/>
      <c r="C38" s="49" t="s">
        <v>59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">
      <c r="A39" s="26"/>
      <c r="B39" s="25"/>
      <c r="C39" s="49" t="s">
        <v>60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">
      <c r="A40" s="26"/>
      <c r="B40" s="25"/>
      <c r="C40" s="29" t="s">
        <v>21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">
      <c r="A41" s="26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6"/>
      <c r="B42" s="25"/>
      <c r="C42" s="29" t="s">
        <v>22</v>
      </c>
      <c r="D42" s="41" t="s">
        <v>23</v>
      </c>
      <c r="E42" s="40" t="s">
        <v>24</v>
      </c>
      <c r="F42" s="29" t="s">
        <v>25</v>
      </c>
      <c r="G42" s="30" t="s">
        <v>12</v>
      </c>
      <c r="H42" s="29" t="s">
        <v>26</v>
      </c>
      <c r="I42" s="25"/>
      <c r="J42" s="25"/>
      <c r="K42" s="25"/>
      <c r="L42" s="25"/>
      <c r="M42" s="25"/>
      <c r="N42" s="25"/>
    </row>
    <row r="43" spans="1:14" x14ac:dyDescent="0.2">
      <c r="A43" s="26"/>
      <c r="B43" s="25"/>
      <c r="C43" s="38">
        <v>846667</v>
      </c>
      <c r="D43" s="38">
        <v>502966</v>
      </c>
      <c r="E43" s="38">
        <v>0</v>
      </c>
      <c r="F43" s="35">
        <f>E43-D43</f>
        <v>-502966</v>
      </c>
      <c r="G43" s="30">
        <v>0.21</v>
      </c>
      <c r="H43" s="35">
        <f>F43*G43</f>
        <v>-105622.86</v>
      </c>
      <c r="I43" s="25"/>
      <c r="J43" s="25"/>
      <c r="K43" s="25"/>
      <c r="L43" s="25"/>
      <c r="M43" s="25"/>
      <c r="N43" s="25"/>
    </row>
    <row r="44" spans="1:14" x14ac:dyDescent="0.2">
      <c r="A44" s="26"/>
      <c r="B44" s="25"/>
      <c r="C44" s="50">
        <v>826019.67</v>
      </c>
      <c r="D44" s="25"/>
      <c r="E44" s="38">
        <v>0</v>
      </c>
      <c r="F44" s="35">
        <f>E44</f>
        <v>0</v>
      </c>
      <c r="G44" s="30">
        <v>0.21</v>
      </c>
      <c r="H44" s="35">
        <f t="shared" ref="H44:H60" si="6">F44*G44</f>
        <v>0</v>
      </c>
      <c r="I44" s="25"/>
      <c r="J44" s="25"/>
      <c r="K44" s="25"/>
      <c r="L44" s="25"/>
      <c r="M44" s="25"/>
      <c r="N44" s="25"/>
    </row>
    <row r="45" spans="1:14" x14ac:dyDescent="0.2">
      <c r="A45" s="26"/>
      <c r="B45" s="25"/>
      <c r="C45" s="50">
        <f>21052017.182-(265688.84/2)</f>
        <v>20919172.761999998</v>
      </c>
      <c r="D45" s="25"/>
      <c r="E45" s="38">
        <v>92716.59</v>
      </c>
      <c r="F45" s="35">
        <f t="shared" ref="F45:F60" si="7">E45</f>
        <v>92716.59</v>
      </c>
      <c r="G45" s="30">
        <v>0.21</v>
      </c>
      <c r="H45" s="35">
        <f t="shared" si="6"/>
        <v>19470.483899999999</v>
      </c>
      <c r="I45" s="25"/>
      <c r="J45" s="25"/>
      <c r="K45" s="25"/>
      <c r="L45" s="25"/>
      <c r="M45" s="25"/>
      <c r="N45" s="25"/>
    </row>
    <row r="46" spans="1:14" x14ac:dyDescent="0.2">
      <c r="A46" s="26"/>
      <c r="B46" s="25"/>
      <c r="C46" s="50">
        <v>31578025.772999998</v>
      </c>
      <c r="D46" s="25"/>
      <c r="E46" s="38">
        <v>350866.95</v>
      </c>
      <c r="F46" s="35">
        <f t="shared" si="7"/>
        <v>350866.95</v>
      </c>
      <c r="G46" s="30">
        <v>0.21</v>
      </c>
      <c r="H46" s="35">
        <f t="shared" si="6"/>
        <v>73682.059500000003</v>
      </c>
      <c r="I46" s="25"/>
      <c r="J46" s="25"/>
      <c r="K46" s="25"/>
      <c r="L46" s="25"/>
      <c r="M46" s="25"/>
      <c r="N46" s="25"/>
    </row>
    <row r="47" spans="1:14" x14ac:dyDescent="0.2">
      <c r="A47" s="26"/>
      <c r="B47" s="25"/>
      <c r="C47" s="50">
        <v>94801.065000000002</v>
      </c>
      <c r="D47" s="25"/>
      <c r="E47" s="38">
        <v>0</v>
      </c>
      <c r="F47" s="35">
        <f t="shared" si="7"/>
        <v>0</v>
      </c>
      <c r="G47" s="30">
        <v>0.21</v>
      </c>
      <c r="H47" s="35">
        <f t="shared" si="6"/>
        <v>0</v>
      </c>
      <c r="I47" s="25"/>
      <c r="J47" s="25"/>
      <c r="K47" s="25"/>
      <c r="L47" s="25"/>
      <c r="M47" s="25"/>
      <c r="N47" s="25"/>
    </row>
    <row r="48" spans="1:14" x14ac:dyDescent="0.2">
      <c r="A48" s="26"/>
      <c r="B48" s="25"/>
      <c r="C48" s="50">
        <v>94801.065000000002</v>
      </c>
      <c r="D48" s="25"/>
      <c r="E48" s="32">
        <v>451.33</v>
      </c>
      <c r="F48" s="47">
        <f t="shared" si="7"/>
        <v>451.33</v>
      </c>
      <c r="G48" s="30">
        <v>0.21</v>
      </c>
      <c r="H48" s="47">
        <f t="shared" si="6"/>
        <v>94.779299999999992</v>
      </c>
      <c r="I48" s="25"/>
      <c r="J48" s="25"/>
      <c r="K48" s="25"/>
      <c r="L48" s="25"/>
      <c r="M48" s="25"/>
      <c r="N48" s="25"/>
    </row>
    <row r="49" spans="1:14" x14ac:dyDescent="0.2">
      <c r="A49" s="26"/>
      <c r="B49" s="25"/>
      <c r="C49" s="51">
        <v>2766726</v>
      </c>
      <c r="D49" s="36"/>
      <c r="E49" s="32">
        <f>5268.77+27667.26</f>
        <v>32936.03</v>
      </c>
      <c r="F49" s="47">
        <f t="shared" si="7"/>
        <v>32936.03</v>
      </c>
      <c r="G49" s="30">
        <v>0.21</v>
      </c>
      <c r="H49" s="47">
        <f t="shared" si="6"/>
        <v>6916.5662999999995</v>
      </c>
      <c r="I49" s="25"/>
      <c r="J49" s="25"/>
      <c r="K49" s="25"/>
      <c r="L49" s="25"/>
      <c r="M49" s="25"/>
      <c r="N49" s="25"/>
    </row>
    <row r="50" spans="1:14" x14ac:dyDescent="0.2">
      <c r="A50" s="26"/>
      <c r="B50" s="25"/>
      <c r="C50" s="51">
        <v>-1309904</v>
      </c>
      <c r="D50" s="36"/>
      <c r="E50" s="32"/>
      <c r="F50" s="47">
        <f t="shared" si="7"/>
        <v>0</v>
      </c>
      <c r="G50" s="30">
        <v>0.21</v>
      </c>
      <c r="H50" s="47">
        <f t="shared" si="6"/>
        <v>0</v>
      </c>
      <c r="I50" s="25"/>
      <c r="J50" s="25"/>
      <c r="K50" s="25"/>
      <c r="L50" s="25"/>
      <c r="M50" s="25"/>
      <c r="N50" s="25"/>
    </row>
    <row r="51" spans="1:14" x14ac:dyDescent="0.2">
      <c r="A51" s="26"/>
      <c r="B51" s="25"/>
      <c r="C51" s="51">
        <v>-1309904</v>
      </c>
      <c r="D51" s="36"/>
      <c r="E51" s="32">
        <f>-2494.49-13099.04</f>
        <v>-15593.53</v>
      </c>
      <c r="F51" s="47">
        <f t="shared" si="7"/>
        <v>-15593.53</v>
      </c>
      <c r="G51" s="30">
        <v>0.21</v>
      </c>
      <c r="H51" s="47">
        <f t="shared" si="6"/>
        <v>-3274.6413000000002</v>
      </c>
      <c r="I51" s="25"/>
      <c r="J51" s="25"/>
      <c r="K51" s="25"/>
      <c r="L51" s="25"/>
      <c r="M51" s="25"/>
      <c r="N51" s="25"/>
    </row>
    <row r="52" spans="1:14" x14ac:dyDescent="0.2">
      <c r="A52" s="26"/>
      <c r="B52" s="25"/>
      <c r="C52" s="51">
        <v>5205251</v>
      </c>
      <c r="D52" s="36"/>
      <c r="E52" s="32"/>
      <c r="F52" s="47">
        <f t="shared" si="7"/>
        <v>0</v>
      </c>
      <c r="G52" s="30">
        <v>0.21</v>
      </c>
      <c r="H52" s="47">
        <f t="shared" si="6"/>
        <v>0</v>
      </c>
      <c r="I52" s="25"/>
      <c r="J52" s="25"/>
      <c r="K52" s="25"/>
      <c r="L52" s="25"/>
      <c r="M52" s="25"/>
      <c r="N52" s="25"/>
    </row>
    <row r="53" spans="1:14" x14ac:dyDescent="0.2">
      <c r="A53" s="26"/>
      <c r="B53" s="25"/>
      <c r="C53" s="51">
        <v>7681105</v>
      </c>
      <c r="D53" s="36"/>
      <c r="E53" s="32">
        <f>14627.38+76811.05</f>
        <v>91438.430000000008</v>
      </c>
      <c r="F53" s="47">
        <f t="shared" si="7"/>
        <v>91438.430000000008</v>
      </c>
      <c r="G53" s="30">
        <v>0.21</v>
      </c>
      <c r="H53" s="47">
        <f t="shared" si="6"/>
        <v>19202.070299999999</v>
      </c>
      <c r="I53" s="25"/>
      <c r="J53" s="25"/>
      <c r="K53" s="25"/>
      <c r="L53" s="25"/>
      <c r="M53" s="25"/>
      <c r="N53" s="25"/>
    </row>
    <row r="54" spans="1:14" x14ac:dyDescent="0.2">
      <c r="A54" s="26"/>
      <c r="B54" s="25"/>
      <c r="C54" s="51">
        <v>196791</v>
      </c>
      <c r="D54" s="36"/>
      <c r="E54" s="32"/>
      <c r="F54" s="47">
        <f t="shared" si="7"/>
        <v>0</v>
      </c>
      <c r="G54" s="30">
        <v>0.21</v>
      </c>
      <c r="H54" s="47">
        <f t="shared" si="6"/>
        <v>0</v>
      </c>
      <c r="I54" s="25"/>
      <c r="J54" s="25"/>
      <c r="K54" s="25"/>
      <c r="L54" s="25"/>
      <c r="M54" s="25"/>
      <c r="N54" s="25"/>
    </row>
    <row r="55" spans="1:14" x14ac:dyDescent="0.2">
      <c r="A55" s="26"/>
      <c r="B55" s="25"/>
      <c r="C55" s="51">
        <v>196791</v>
      </c>
      <c r="D55" s="36"/>
      <c r="E55" s="32">
        <v>936.89</v>
      </c>
      <c r="F55" s="47">
        <f t="shared" si="7"/>
        <v>936.89</v>
      </c>
      <c r="G55" s="30">
        <v>0.21</v>
      </c>
      <c r="H55" s="47">
        <f t="shared" si="6"/>
        <v>196.74689999999998</v>
      </c>
      <c r="I55" s="25"/>
      <c r="J55" s="25"/>
      <c r="K55" s="25"/>
      <c r="L55" s="25"/>
      <c r="M55" s="25"/>
      <c r="N55" s="25"/>
    </row>
    <row r="56" spans="1:14" x14ac:dyDescent="0.2">
      <c r="A56" s="26"/>
      <c r="B56" s="25"/>
      <c r="C56" s="51">
        <v>3557</v>
      </c>
      <c r="D56" s="36"/>
      <c r="E56" s="32"/>
      <c r="F56" s="47">
        <f t="shared" si="7"/>
        <v>0</v>
      </c>
      <c r="G56" s="30">
        <v>0.21</v>
      </c>
      <c r="H56" s="47">
        <f t="shared" si="6"/>
        <v>0</v>
      </c>
      <c r="I56" s="25"/>
      <c r="J56" s="25"/>
      <c r="K56" s="25"/>
      <c r="L56" s="25"/>
      <c r="M56" s="25"/>
      <c r="N56" s="25"/>
    </row>
    <row r="57" spans="1:14" x14ac:dyDescent="0.2">
      <c r="A57" s="26"/>
      <c r="B57" s="25"/>
      <c r="C57" s="51">
        <v>5335</v>
      </c>
      <c r="D57" s="36"/>
      <c r="E57" s="32">
        <v>27.46</v>
      </c>
      <c r="F57" s="47">
        <f t="shared" si="7"/>
        <v>27.46</v>
      </c>
      <c r="G57" s="30">
        <v>0.21</v>
      </c>
      <c r="H57" s="47">
        <f t="shared" si="6"/>
        <v>5.7666000000000004</v>
      </c>
      <c r="I57" s="25"/>
      <c r="J57" s="25"/>
      <c r="K57" s="25"/>
      <c r="L57" s="25"/>
      <c r="M57" s="25"/>
      <c r="N57" s="25"/>
    </row>
    <row r="58" spans="1:14" x14ac:dyDescent="0.2">
      <c r="A58" s="26"/>
      <c r="B58" s="25"/>
      <c r="C58" s="51">
        <v>704440</v>
      </c>
      <c r="D58" s="36"/>
      <c r="E58" s="32"/>
      <c r="F58" s="47">
        <f t="shared" si="7"/>
        <v>0</v>
      </c>
      <c r="G58" s="30">
        <v>0.21</v>
      </c>
      <c r="H58" s="47">
        <f t="shared" si="6"/>
        <v>0</v>
      </c>
      <c r="I58" s="25"/>
      <c r="J58" s="25"/>
      <c r="K58" s="25"/>
      <c r="L58" s="25"/>
      <c r="M58" s="25"/>
      <c r="N58" s="25"/>
    </row>
    <row r="59" spans="1:14" x14ac:dyDescent="0.2">
      <c r="A59" s="26"/>
      <c r="B59" s="25"/>
      <c r="C59" s="51">
        <v>-100518</v>
      </c>
      <c r="D59" s="36"/>
      <c r="E59" s="32">
        <v>-598.29999999999995</v>
      </c>
      <c r="F59" s="47">
        <f t="shared" si="7"/>
        <v>-598.29999999999995</v>
      </c>
      <c r="G59" s="30">
        <v>0.21</v>
      </c>
      <c r="H59" s="47">
        <f t="shared" si="6"/>
        <v>-125.64299999999999</v>
      </c>
      <c r="I59" s="25"/>
      <c r="J59" s="25"/>
      <c r="K59" s="25"/>
      <c r="L59" s="25"/>
      <c r="M59" s="25"/>
      <c r="N59" s="25"/>
    </row>
    <row r="60" spans="1:14" ht="15" x14ac:dyDescent="0.35">
      <c r="A60" s="26"/>
      <c r="B60" s="25"/>
      <c r="C60" s="51">
        <v>647252</v>
      </c>
      <c r="D60" s="36"/>
      <c r="E60" s="46">
        <f>1377.69+6660.87</f>
        <v>8038.5599999999995</v>
      </c>
      <c r="F60" s="43">
        <f t="shared" si="7"/>
        <v>8038.5599999999995</v>
      </c>
      <c r="G60" s="30">
        <v>0.21</v>
      </c>
      <c r="H60" s="43">
        <f t="shared" si="6"/>
        <v>1688.0975999999998</v>
      </c>
      <c r="I60" s="25"/>
      <c r="J60" s="25"/>
      <c r="K60" s="25"/>
      <c r="L60" s="25"/>
      <c r="M60" s="25"/>
      <c r="N60" s="25"/>
    </row>
    <row r="61" spans="1:14" x14ac:dyDescent="0.2">
      <c r="A61" s="26"/>
      <c r="B61" s="25"/>
      <c r="C61" s="25"/>
      <c r="D61" s="25"/>
      <c r="E61" s="35">
        <f>SUM(E43:E60)</f>
        <v>561220.41</v>
      </c>
      <c r="F61" s="35">
        <f>SUM(F43:F60)</f>
        <v>58254.409999999982</v>
      </c>
      <c r="G61" s="36" t="s">
        <v>27</v>
      </c>
      <c r="H61" s="35">
        <f>SUM(H43:H60)</f>
        <v>12233.426100000008</v>
      </c>
      <c r="I61" s="25"/>
      <c r="J61" s="25"/>
      <c r="K61" s="25"/>
      <c r="L61" s="25"/>
      <c r="M61" s="25"/>
      <c r="N61" s="25"/>
    </row>
    <row r="62" spans="1:14" ht="15" x14ac:dyDescent="0.35">
      <c r="A62" s="26"/>
      <c r="B62" s="25"/>
      <c r="C62" s="25"/>
      <c r="D62" s="25"/>
      <c r="E62" s="25"/>
      <c r="F62" s="25"/>
      <c r="G62" s="36" t="s">
        <v>28</v>
      </c>
      <c r="H62" s="43">
        <f>-H79*0.21</f>
        <v>-5764.6858499999989</v>
      </c>
      <c r="I62" s="25"/>
      <c r="J62" s="25"/>
      <c r="K62" s="25"/>
      <c r="L62" s="25"/>
      <c r="M62" s="25"/>
      <c r="N62" s="25"/>
    </row>
    <row r="63" spans="1:14" x14ac:dyDescent="0.2">
      <c r="A63" s="26"/>
      <c r="B63" s="25"/>
      <c r="C63" s="25"/>
      <c r="D63" s="25"/>
      <c r="E63" s="25"/>
      <c r="F63" s="25"/>
      <c r="G63" s="25"/>
      <c r="H63" s="35">
        <f>H61+H62</f>
        <v>6468.7402500000089</v>
      </c>
      <c r="I63" s="25"/>
      <c r="J63" s="25"/>
      <c r="K63" s="25"/>
      <c r="L63" s="25"/>
      <c r="M63" s="25"/>
      <c r="N63" s="25"/>
    </row>
    <row r="64" spans="1:14" x14ac:dyDescent="0.2">
      <c r="A64" s="26"/>
      <c r="B64" s="25"/>
      <c r="C64" s="25"/>
      <c r="D64" s="25"/>
      <c r="E64" s="25"/>
      <c r="F64" s="25"/>
      <c r="G64" s="25"/>
      <c r="H64" s="35">
        <f>H63-K33</f>
        <v>3640.4200000000028</v>
      </c>
      <c r="I64" s="36" t="s">
        <v>29</v>
      </c>
      <c r="J64" s="25"/>
      <c r="K64" s="25"/>
      <c r="L64" s="25"/>
      <c r="M64" s="25"/>
      <c r="N64" s="25"/>
    </row>
    <row r="65" spans="1:14" x14ac:dyDescent="0.2">
      <c r="A65" s="26"/>
      <c r="B65" s="25"/>
      <c r="C65" s="29" t="s">
        <v>30</v>
      </c>
      <c r="D65" s="39" t="s">
        <v>23</v>
      </c>
      <c r="E65" s="40" t="s">
        <v>31</v>
      </c>
      <c r="F65" s="29" t="s">
        <v>32</v>
      </c>
      <c r="G65" s="30" t="s">
        <v>13</v>
      </c>
      <c r="H65" s="29" t="s">
        <v>33</v>
      </c>
      <c r="I65" s="25"/>
      <c r="J65" s="25"/>
      <c r="K65" s="25"/>
      <c r="L65" s="25"/>
      <c r="M65" s="25"/>
      <c r="N65" s="25"/>
    </row>
    <row r="66" spans="1:14" x14ac:dyDescent="0.2">
      <c r="A66" s="26"/>
      <c r="B66" s="25"/>
      <c r="C66" s="38">
        <v>846667</v>
      </c>
      <c r="D66" s="35">
        <f>D43</f>
        <v>502966</v>
      </c>
      <c r="E66" s="40">
        <v>0</v>
      </c>
      <c r="F66" s="29">
        <f>E66-D66</f>
        <v>-502966</v>
      </c>
      <c r="G66" s="30">
        <v>0.05</v>
      </c>
      <c r="H66" s="29">
        <f>F66*G66</f>
        <v>-25148.300000000003</v>
      </c>
      <c r="I66" s="25"/>
      <c r="J66" s="25"/>
      <c r="K66" s="25"/>
      <c r="L66" s="25"/>
      <c r="M66" s="25"/>
      <c r="N66" s="25"/>
    </row>
    <row r="67" spans="1:14" x14ac:dyDescent="0.2">
      <c r="A67" s="26"/>
      <c r="B67" s="25"/>
      <c r="C67" s="50">
        <v>826019.67</v>
      </c>
      <c r="D67" s="39"/>
      <c r="E67" s="40">
        <v>0</v>
      </c>
      <c r="F67" s="29">
        <f>E67</f>
        <v>0</v>
      </c>
      <c r="G67" s="30">
        <v>0.05</v>
      </c>
      <c r="H67" s="29">
        <f>F67*G67</f>
        <v>0</v>
      </c>
      <c r="I67" s="25"/>
      <c r="J67" s="25"/>
      <c r="K67" s="25"/>
      <c r="L67" s="25"/>
      <c r="M67" s="25"/>
      <c r="N67" s="25"/>
    </row>
    <row r="68" spans="1:14" x14ac:dyDescent="0.2">
      <c r="A68" s="26"/>
      <c r="B68" s="25"/>
      <c r="C68" s="50">
        <f>42104034.364-265688.84</f>
        <v>41838345.523999996</v>
      </c>
      <c r="D68" s="25"/>
      <c r="E68" s="35">
        <v>185433.18</v>
      </c>
      <c r="F68" s="35">
        <f>E68</f>
        <v>185433.18</v>
      </c>
      <c r="G68" s="30">
        <v>0.05</v>
      </c>
      <c r="H68" s="29">
        <f t="shared" ref="H68:H78" si="8">F68*G68</f>
        <v>9271.6589999999997</v>
      </c>
      <c r="I68" s="25"/>
      <c r="J68" s="25"/>
      <c r="K68" s="25"/>
      <c r="L68" s="25"/>
      <c r="M68" s="25"/>
      <c r="N68" s="25"/>
    </row>
    <row r="69" spans="1:14" x14ac:dyDescent="0.2">
      <c r="A69" s="26"/>
      <c r="B69" s="25"/>
      <c r="C69" s="50">
        <v>63156051.545999996</v>
      </c>
      <c r="D69" s="25"/>
      <c r="E69" s="35">
        <v>701733.91</v>
      </c>
      <c r="F69" s="35">
        <f>E69</f>
        <v>701733.91</v>
      </c>
      <c r="G69" s="30">
        <v>0.05</v>
      </c>
      <c r="H69" s="29">
        <f t="shared" si="8"/>
        <v>35086.695500000002</v>
      </c>
      <c r="I69" s="25"/>
      <c r="J69" s="25"/>
      <c r="K69" s="25"/>
      <c r="L69" s="25"/>
      <c r="M69" s="25"/>
      <c r="N69" s="25"/>
    </row>
    <row r="70" spans="1:14" x14ac:dyDescent="0.2">
      <c r="A70" s="26"/>
      <c r="B70" s="25"/>
      <c r="C70" s="50">
        <v>189602.13</v>
      </c>
      <c r="D70" s="25"/>
      <c r="E70" s="47">
        <v>902.66</v>
      </c>
      <c r="F70" s="47">
        <f>E70</f>
        <v>902.66</v>
      </c>
      <c r="G70" s="30">
        <v>0.05</v>
      </c>
      <c r="H70" s="37">
        <f t="shared" si="8"/>
        <v>45.133000000000003</v>
      </c>
      <c r="I70" s="25"/>
      <c r="J70" s="25"/>
      <c r="K70" s="25"/>
      <c r="L70" s="25"/>
      <c r="M70" s="25"/>
      <c r="N70" s="25"/>
    </row>
    <row r="71" spans="1:14" x14ac:dyDescent="0.2">
      <c r="A71" s="26"/>
      <c r="B71" s="25"/>
      <c r="C71" s="51">
        <v>2766726</v>
      </c>
      <c r="D71" s="36"/>
      <c r="E71" s="47">
        <f>5268.77+27667.26</f>
        <v>32936.03</v>
      </c>
      <c r="F71" s="47">
        <f t="shared" ref="F71:F78" si="9">E71</f>
        <v>32936.03</v>
      </c>
      <c r="G71" s="30">
        <v>0.05</v>
      </c>
      <c r="H71" s="37">
        <f t="shared" si="8"/>
        <v>1646.8015</v>
      </c>
      <c r="I71" s="25"/>
      <c r="J71" s="25"/>
      <c r="K71" s="25"/>
      <c r="L71" s="25"/>
      <c r="M71" s="25"/>
      <c r="N71" s="25"/>
    </row>
    <row r="72" spans="1:14" x14ac:dyDescent="0.2">
      <c r="A72" s="26"/>
      <c r="B72" s="25"/>
      <c r="C72" s="51">
        <v>-2619808</v>
      </c>
      <c r="D72" s="36"/>
      <c r="E72" s="47">
        <f>-4988.99-26198.08</f>
        <v>-31187.07</v>
      </c>
      <c r="F72" s="47">
        <f t="shared" si="9"/>
        <v>-31187.07</v>
      </c>
      <c r="G72" s="30">
        <v>0.05</v>
      </c>
      <c r="H72" s="37">
        <f t="shared" si="8"/>
        <v>-1559.3535000000002</v>
      </c>
      <c r="I72" s="25"/>
      <c r="J72" s="25"/>
      <c r="K72" s="25"/>
      <c r="L72" s="25"/>
      <c r="M72" s="25"/>
      <c r="N72" s="25"/>
    </row>
    <row r="73" spans="1:14" x14ac:dyDescent="0.2">
      <c r="A73" s="26"/>
      <c r="B73" s="25"/>
      <c r="C73" s="51">
        <v>12886356</v>
      </c>
      <c r="D73" s="36"/>
      <c r="E73" s="47">
        <f>24539.92+128863.56</f>
        <v>153403.47999999998</v>
      </c>
      <c r="F73" s="47">
        <f t="shared" si="9"/>
        <v>153403.47999999998</v>
      </c>
      <c r="G73" s="30">
        <v>0.05</v>
      </c>
      <c r="H73" s="37">
        <f t="shared" si="8"/>
        <v>7670.1739999999991</v>
      </c>
      <c r="I73" s="25"/>
      <c r="J73" s="25"/>
      <c r="K73" s="25"/>
      <c r="L73" s="25"/>
      <c r="M73" s="25"/>
      <c r="N73" s="25"/>
    </row>
    <row r="74" spans="1:14" x14ac:dyDescent="0.2">
      <c r="A74" s="26"/>
      <c r="B74" s="25"/>
      <c r="C74" s="51">
        <v>393581</v>
      </c>
      <c r="D74" s="36"/>
      <c r="E74" s="47">
        <v>1873.78</v>
      </c>
      <c r="F74" s="47">
        <f t="shared" si="9"/>
        <v>1873.78</v>
      </c>
      <c r="G74" s="30">
        <v>0.05</v>
      </c>
      <c r="H74" s="37">
        <f t="shared" si="8"/>
        <v>93.689000000000007</v>
      </c>
      <c r="I74" s="25"/>
      <c r="J74" s="25"/>
      <c r="K74" s="25"/>
      <c r="L74" s="25"/>
      <c r="M74" s="25"/>
      <c r="N74" s="25"/>
    </row>
    <row r="75" spans="1:14" x14ac:dyDescent="0.2">
      <c r="A75" s="26"/>
      <c r="B75" s="25"/>
      <c r="C75" s="51">
        <v>8892</v>
      </c>
      <c r="D75" s="36"/>
      <c r="E75" s="47">
        <v>45.77</v>
      </c>
      <c r="F75" s="47">
        <f t="shared" si="9"/>
        <v>45.77</v>
      </c>
      <c r="G75" s="30">
        <v>0.05</v>
      </c>
      <c r="H75" s="37">
        <f t="shared" si="8"/>
        <v>2.2885000000000004</v>
      </c>
      <c r="I75" s="25"/>
      <c r="J75" s="25"/>
      <c r="K75" s="25"/>
      <c r="L75" s="25"/>
      <c r="M75" s="25"/>
      <c r="N75" s="25"/>
    </row>
    <row r="76" spans="1:14" x14ac:dyDescent="0.2">
      <c r="A76" s="26"/>
      <c r="B76" s="25"/>
      <c r="C76" s="51">
        <v>704440</v>
      </c>
      <c r="D76" s="36"/>
      <c r="E76" s="47"/>
      <c r="F76" s="47">
        <f t="shared" si="9"/>
        <v>0</v>
      </c>
      <c r="G76" s="30">
        <v>0.05</v>
      </c>
      <c r="H76" s="37">
        <f t="shared" si="8"/>
        <v>0</v>
      </c>
      <c r="I76" s="25"/>
      <c r="J76" s="25"/>
      <c r="K76" s="25"/>
      <c r="L76" s="25"/>
      <c r="M76" s="25"/>
      <c r="N76" s="25"/>
    </row>
    <row r="77" spans="1:14" x14ac:dyDescent="0.2">
      <c r="A77" s="26"/>
      <c r="B77" s="25"/>
      <c r="C77" s="51">
        <v>-100518</v>
      </c>
      <c r="D77" s="36"/>
      <c r="E77" s="47">
        <v>-1196.5999999999999</v>
      </c>
      <c r="F77" s="47">
        <f t="shared" si="9"/>
        <v>-1196.5999999999999</v>
      </c>
      <c r="G77" s="30">
        <v>0.05</v>
      </c>
      <c r="H77" s="37">
        <f t="shared" si="8"/>
        <v>-59.83</v>
      </c>
      <c r="I77" s="25"/>
      <c r="J77" s="25"/>
      <c r="K77" s="25"/>
      <c r="L77" s="25"/>
      <c r="M77" s="25"/>
      <c r="N77" s="25"/>
    </row>
    <row r="78" spans="1:14" ht="15" x14ac:dyDescent="0.35">
      <c r="A78" s="26"/>
      <c r="B78" s="25"/>
      <c r="C78" s="51">
        <v>647252</v>
      </c>
      <c r="D78" s="36"/>
      <c r="E78" s="43">
        <f>1377.69+6660.87</f>
        <v>8038.5599999999995</v>
      </c>
      <c r="F78" s="43">
        <f t="shared" si="9"/>
        <v>8038.5599999999995</v>
      </c>
      <c r="G78" s="30">
        <v>0.05</v>
      </c>
      <c r="H78" s="42">
        <f t="shared" si="8"/>
        <v>401.928</v>
      </c>
      <c r="I78" s="25"/>
      <c r="J78" s="25"/>
      <c r="K78" s="25"/>
      <c r="L78" s="25"/>
      <c r="M78" s="25"/>
      <c r="N78" s="25"/>
    </row>
    <row r="79" spans="1:14" x14ac:dyDescent="0.2">
      <c r="A79" s="26"/>
      <c r="B79" s="25"/>
      <c r="C79" s="25"/>
      <c r="D79" s="25"/>
      <c r="E79" s="35">
        <f>SUM(E66:E78)</f>
        <v>1051983.7000000002</v>
      </c>
      <c r="F79" s="35">
        <f t="shared" ref="F79:H79" si="10">SUM(F66:F78)</f>
        <v>549017.70000000007</v>
      </c>
      <c r="G79" s="35"/>
      <c r="H79" s="35">
        <f t="shared" si="10"/>
        <v>27450.884999999995</v>
      </c>
      <c r="I79" s="25"/>
      <c r="J79" s="25"/>
      <c r="K79" s="25"/>
      <c r="L79" s="25"/>
      <c r="M79" s="25"/>
      <c r="N79" s="25"/>
    </row>
    <row r="80" spans="1:14" x14ac:dyDescent="0.2">
      <c r="A80" s="26"/>
      <c r="B80" s="25"/>
      <c r="C80" s="25"/>
      <c r="D80" s="25"/>
      <c r="E80" s="25"/>
      <c r="F80" s="25"/>
      <c r="G80" s="25"/>
      <c r="H80" s="29">
        <f>H79-L33</f>
        <v>0</v>
      </c>
      <c r="I80" s="25"/>
      <c r="J80" s="25"/>
      <c r="K80" s="25"/>
      <c r="L80" s="25"/>
      <c r="M80" s="25"/>
      <c r="N80" s="25"/>
    </row>
    <row r="81" spans="1:14" x14ac:dyDescent="0.2">
      <c r="A81" s="26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</sheetData>
  <mergeCells count="3">
    <mergeCell ref="A1:N1"/>
    <mergeCell ref="A2:N2"/>
    <mergeCell ref="A3:N3"/>
  </mergeCells>
  <pageMargins left="0.7" right="0.7" top="1.15625" bottom="0.75" header="0.3" footer="0.3"/>
  <pageSetup scale="51" orientation="portrait" r:id="rId1"/>
  <headerFooter>
    <oddHeader>&amp;R&amp;"Times New Roman,Bold"&amp;12Attachment to Response to Question 3
Page 3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EA536-2FCF-475C-A7BC-E0A2DAC25E7B}">
  <dimension ref="A1:P117"/>
  <sheetViews>
    <sheetView zoomScaleNormal="100" workbookViewId="0">
      <selection sqref="A1:N1"/>
    </sheetView>
  </sheetViews>
  <sheetFormatPr defaultRowHeight="12.75" x14ac:dyDescent="0.2"/>
  <cols>
    <col min="1" max="1" width="11.28515625" style="9" customWidth="1"/>
    <col min="2" max="2" width="1.7109375" customWidth="1"/>
    <col min="3" max="3" width="14.140625" customWidth="1"/>
    <col min="4" max="4" width="14.28515625" bestFit="1" customWidth="1"/>
    <col min="5" max="5" width="16.42578125" customWidth="1"/>
    <col min="6" max="6" width="15.285156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85546875" bestFit="1" customWidth="1"/>
    <col min="16" max="16" width="11.28515625" bestFit="1" customWidth="1"/>
  </cols>
  <sheetData>
    <row r="1" spans="1:16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6" x14ac:dyDescent="0.2">
      <c r="A2" s="2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x14ac:dyDescent="0.2">
      <c r="A5" s="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6" x14ac:dyDescent="0.2">
      <c r="A6" s="5" t="s">
        <v>40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6" x14ac:dyDescent="0.2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6" s="8" customFormat="1" ht="38.25" x14ac:dyDescent="0.2">
      <c r="A8" s="27" t="s">
        <v>5</v>
      </c>
      <c r="B8" s="28"/>
      <c r="C8" s="28" t="s">
        <v>6</v>
      </c>
      <c r="D8" s="28" t="s">
        <v>7</v>
      </c>
      <c r="E8" s="28" t="s">
        <v>8</v>
      </c>
      <c r="F8" s="28" t="s">
        <v>9</v>
      </c>
      <c r="G8" s="28" t="s">
        <v>10</v>
      </c>
      <c r="H8" s="28" t="s">
        <v>11</v>
      </c>
      <c r="I8" s="28" t="s">
        <v>12</v>
      </c>
      <c r="J8" s="28" t="s">
        <v>13</v>
      </c>
      <c r="K8" s="28" t="s">
        <v>14</v>
      </c>
      <c r="L8" s="28" t="s">
        <v>15</v>
      </c>
      <c r="M8" s="28" t="s">
        <v>16</v>
      </c>
      <c r="N8" s="28" t="s">
        <v>17</v>
      </c>
    </row>
    <row r="9" spans="1:16" x14ac:dyDescent="0.2">
      <c r="A9" s="26" t="s">
        <v>18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31">
        <v>71027990</v>
      </c>
      <c r="N9" s="25"/>
      <c r="O9" s="13"/>
    </row>
    <row r="10" spans="1:16" x14ac:dyDescent="0.2">
      <c r="A10" s="12">
        <v>43533</v>
      </c>
      <c r="B10" s="25"/>
      <c r="C10" s="29">
        <v>354379709</v>
      </c>
      <c r="D10" s="32">
        <v>727041</v>
      </c>
      <c r="E10" s="32">
        <f>981014.61+135.08</f>
        <v>981149.69</v>
      </c>
      <c r="F10" s="32">
        <f>1893906.17</f>
        <v>1893906.17</v>
      </c>
      <c r="G10" s="29">
        <f>E10-D10</f>
        <v>254108.68999999994</v>
      </c>
      <c r="H10" s="29">
        <f>F10-D10</f>
        <v>1166865.17</v>
      </c>
      <c r="I10" s="30">
        <v>0.21</v>
      </c>
      <c r="J10" s="30">
        <v>0.05</v>
      </c>
      <c r="K10" s="29">
        <f t="shared" ref="K10:K26" si="0">G10*I10-L10*I10</f>
        <v>41110.740614999988</v>
      </c>
      <c r="L10" s="29">
        <f t="shared" ref="L10:L31" si="1">H10*J10</f>
        <v>58343.258499999996</v>
      </c>
      <c r="M10" s="29">
        <f t="shared" ref="M10:M33" si="2">M9+K10+L10</f>
        <v>71127443.99911499</v>
      </c>
      <c r="N10" s="29">
        <v>375397.31</v>
      </c>
      <c r="O10" s="21"/>
      <c r="P10" s="17"/>
    </row>
    <row r="11" spans="1:16" x14ac:dyDescent="0.2">
      <c r="A11" s="12">
        <v>43556</v>
      </c>
      <c r="B11" s="25"/>
      <c r="C11" s="29">
        <v>354379709</v>
      </c>
      <c r="D11" s="32">
        <v>727041</v>
      </c>
      <c r="E11" s="32">
        <f>981014.61+135.08</f>
        <v>981149.69</v>
      </c>
      <c r="F11" s="32">
        <f>1893906.17</f>
        <v>1893906.17</v>
      </c>
      <c r="G11" s="29">
        <f t="shared" ref="G11:G15" si="3">E11-D11</f>
        <v>254108.68999999994</v>
      </c>
      <c r="H11" s="29">
        <f t="shared" ref="H11:H15" si="4">F11-D11</f>
        <v>1166865.17</v>
      </c>
      <c r="I11" s="30">
        <v>0.21</v>
      </c>
      <c r="J11" s="30">
        <v>0.05</v>
      </c>
      <c r="K11" s="29">
        <f t="shared" si="0"/>
        <v>41110.740614999988</v>
      </c>
      <c r="L11" s="29">
        <f t="shared" si="1"/>
        <v>58343.258499999996</v>
      </c>
      <c r="M11" s="29">
        <f t="shared" si="2"/>
        <v>71226897.99822998</v>
      </c>
      <c r="N11" s="29">
        <v>373803.94</v>
      </c>
      <c r="O11" s="21"/>
      <c r="P11" s="17"/>
    </row>
    <row r="12" spans="1:16" x14ac:dyDescent="0.2">
      <c r="A12" s="12">
        <v>43586</v>
      </c>
      <c r="B12" s="25"/>
      <c r="C12" s="29">
        <v>354422224</v>
      </c>
      <c r="D12" s="32">
        <v>1239495</v>
      </c>
      <c r="E12" s="32">
        <f>981014.61+131.63</f>
        <v>981146.24</v>
      </c>
      <c r="F12" s="32">
        <f>1893906.17</f>
        <v>1893906.17</v>
      </c>
      <c r="G12" s="29">
        <f>E12-D12</f>
        <v>-258348.76</v>
      </c>
      <c r="H12" s="29">
        <f>F12-D12</f>
        <v>654411.16999999993</v>
      </c>
      <c r="I12" s="30">
        <v>0.21</v>
      </c>
      <c r="J12" s="30">
        <v>0.05</v>
      </c>
      <c r="K12" s="29">
        <f t="shared" si="0"/>
        <v>-61124.556884999998</v>
      </c>
      <c r="L12" s="29">
        <f t="shared" si="1"/>
        <v>32720.558499999999</v>
      </c>
      <c r="M12" s="29">
        <f t="shared" si="2"/>
        <v>71198493.999844983</v>
      </c>
      <c r="N12" s="29">
        <v>372210.58</v>
      </c>
      <c r="O12" s="22"/>
      <c r="P12" s="17"/>
    </row>
    <row r="13" spans="1:16" x14ac:dyDescent="0.2">
      <c r="A13" s="12">
        <v>43617</v>
      </c>
      <c r="B13" s="25"/>
      <c r="C13" s="29">
        <v>354422224</v>
      </c>
      <c r="D13" s="32">
        <v>1239495</v>
      </c>
      <c r="E13" s="32">
        <f>981014.61+136.38</f>
        <v>981150.99</v>
      </c>
      <c r="F13" s="32">
        <f>1893906.17</f>
        <v>1893906.17</v>
      </c>
      <c r="G13" s="29">
        <f>E13-D13</f>
        <v>-258344.01</v>
      </c>
      <c r="H13" s="29">
        <f>F13-D13</f>
        <v>654411.16999999993</v>
      </c>
      <c r="I13" s="30">
        <v>0.21</v>
      </c>
      <c r="J13" s="30">
        <v>0.05</v>
      </c>
      <c r="K13" s="29">
        <f t="shared" si="0"/>
        <v>-61123.559385</v>
      </c>
      <c r="L13" s="29">
        <f t="shared" si="1"/>
        <v>32720.558499999999</v>
      </c>
      <c r="M13" s="29">
        <f t="shared" si="2"/>
        <v>71170090.998959988</v>
      </c>
      <c r="N13" s="29">
        <v>368413.97</v>
      </c>
      <c r="O13" s="19"/>
      <c r="P13" s="17"/>
    </row>
    <row r="14" spans="1:16" x14ac:dyDescent="0.2">
      <c r="A14" s="12">
        <v>43647</v>
      </c>
      <c r="B14" s="25"/>
      <c r="C14" s="29">
        <v>354275580</v>
      </c>
      <c r="D14" s="32">
        <v>1239201</v>
      </c>
      <c r="E14" s="32">
        <f>979884.43+425.09</f>
        <v>980309.52</v>
      </c>
      <c r="F14" s="32">
        <f>1892775.99</f>
        <v>1892775.99</v>
      </c>
      <c r="G14" s="29">
        <f t="shared" si="3"/>
        <v>-258891.47999999998</v>
      </c>
      <c r="H14" s="29">
        <f t="shared" si="4"/>
        <v>653574.99</v>
      </c>
      <c r="I14" s="30">
        <v>0.21</v>
      </c>
      <c r="J14" s="30">
        <v>0.05</v>
      </c>
      <c r="K14" s="29">
        <f t="shared" si="0"/>
        <v>-61229.748194999993</v>
      </c>
      <c r="L14" s="29">
        <f t="shared" si="1"/>
        <v>32678.749500000002</v>
      </c>
      <c r="M14" s="29">
        <f t="shared" si="2"/>
        <v>71141540.000265002</v>
      </c>
      <c r="N14" s="29">
        <v>365718.98</v>
      </c>
      <c r="O14" s="19"/>
      <c r="P14" s="17"/>
    </row>
    <row r="15" spans="1:16" x14ac:dyDescent="0.2">
      <c r="A15" s="12">
        <v>43678</v>
      </c>
      <c r="B15" s="25"/>
      <c r="C15" s="29">
        <v>354275580</v>
      </c>
      <c r="D15" s="32">
        <v>1238907</v>
      </c>
      <c r="E15" s="32">
        <f>979884.43+75.8</f>
        <v>979960.2300000001</v>
      </c>
      <c r="F15" s="32">
        <f>1892775.9</f>
        <v>1892775.9</v>
      </c>
      <c r="G15" s="29">
        <f t="shared" si="3"/>
        <v>-258946.7699999999</v>
      </c>
      <c r="H15" s="29">
        <f t="shared" si="4"/>
        <v>653868.89999999991</v>
      </c>
      <c r="I15" s="30">
        <v>0.21</v>
      </c>
      <c r="J15" s="30">
        <v>0.05</v>
      </c>
      <c r="K15" s="29">
        <f t="shared" si="0"/>
        <v>-61244.445149999978</v>
      </c>
      <c r="L15" s="29">
        <f t="shared" si="1"/>
        <v>32693.444999999996</v>
      </c>
      <c r="M15" s="29">
        <f t="shared" si="2"/>
        <v>71112989.000114992</v>
      </c>
      <c r="N15" s="29">
        <v>364577.66</v>
      </c>
      <c r="P15" s="17"/>
    </row>
    <row r="16" spans="1:16" x14ac:dyDescent="0.2">
      <c r="A16" s="12">
        <v>43717</v>
      </c>
      <c r="B16" s="25"/>
      <c r="C16" s="29">
        <v>357150327</v>
      </c>
      <c r="D16" s="32">
        <v>1243645</v>
      </c>
      <c r="E16" s="32">
        <f>1284338.06-4147.61</f>
        <v>1280190.45</v>
      </c>
      <c r="F16" s="32">
        <f>1921074.27</f>
        <v>1921074.27</v>
      </c>
      <c r="G16" s="29">
        <f>E16-D16</f>
        <v>36545.449999999953</v>
      </c>
      <c r="H16" s="29">
        <f>F16-D16</f>
        <v>677429.27</v>
      </c>
      <c r="I16" s="30">
        <v>0.21</v>
      </c>
      <c r="J16" s="30">
        <v>0.05</v>
      </c>
      <c r="K16" s="29">
        <f t="shared" si="0"/>
        <v>561.53716499998882</v>
      </c>
      <c r="L16" s="29">
        <f t="shared" si="1"/>
        <v>33871.463500000005</v>
      </c>
      <c r="M16" s="29">
        <f t="shared" si="2"/>
        <v>71147422.000779986</v>
      </c>
      <c r="N16" s="29">
        <v>361872.62</v>
      </c>
    </row>
    <row r="17" spans="1:14" x14ac:dyDescent="0.2">
      <c r="A17" s="12">
        <v>43739</v>
      </c>
      <c r="B17" s="25"/>
      <c r="C17" s="29">
        <v>357150327</v>
      </c>
      <c r="D17" s="32">
        <v>1248382</v>
      </c>
      <c r="E17" s="32">
        <f>1284338.06+1485.15</f>
        <v>1285823.21</v>
      </c>
      <c r="F17" s="32">
        <f>1921074.27</f>
        <v>1921074.27</v>
      </c>
      <c r="G17" s="29">
        <f t="shared" ref="G17:G21" si="5">E17-D17</f>
        <v>37441.209999999963</v>
      </c>
      <c r="H17" s="29">
        <f t="shared" ref="H17:H21" si="6">F17-D17</f>
        <v>672692.27</v>
      </c>
      <c r="I17" s="30">
        <v>0.21</v>
      </c>
      <c r="J17" s="30">
        <v>0.05</v>
      </c>
      <c r="K17" s="29">
        <f t="shared" si="0"/>
        <v>799.3852649999917</v>
      </c>
      <c r="L17" s="29">
        <f t="shared" si="1"/>
        <v>33634.613499999999</v>
      </c>
      <c r="M17" s="29">
        <f t="shared" si="2"/>
        <v>71181855.999544978</v>
      </c>
      <c r="N17" s="35">
        <v>359167.57</v>
      </c>
    </row>
    <row r="18" spans="1:14" x14ac:dyDescent="0.2">
      <c r="A18" s="12">
        <v>43770</v>
      </c>
      <c r="B18" s="25"/>
      <c r="C18" s="29">
        <v>357150327</v>
      </c>
      <c r="D18" s="32">
        <v>1248382</v>
      </c>
      <c r="E18" s="32">
        <f>1284338.06+1485.15</f>
        <v>1285823.21</v>
      </c>
      <c r="F18" s="32">
        <f>1921074.27</f>
        <v>1921074.27</v>
      </c>
      <c r="G18" s="29">
        <f>E18-D18</f>
        <v>37441.209999999963</v>
      </c>
      <c r="H18" s="29">
        <f>F18-D18</f>
        <v>672692.27</v>
      </c>
      <c r="I18" s="30">
        <v>0.21</v>
      </c>
      <c r="J18" s="30">
        <v>0.05</v>
      </c>
      <c r="K18" s="29">
        <f t="shared" si="0"/>
        <v>799.3852649999917</v>
      </c>
      <c r="L18" s="29">
        <f t="shared" si="1"/>
        <v>33634.613499999999</v>
      </c>
      <c r="M18" s="29">
        <f t="shared" si="2"/>
        <v>71216289.99830997</v>
      </c>
      <c r="N18" s="35">
        <v>356462.51</v>
      </c>
    </row>
    <row r="19" spans="1:14" x14ac:dyDescent="0.2">
      <c r="A19" s="12">
        <v>43800</v>
      </c>
      <c r="B19" s="25"/>
      <c r="C19" s="29">
        <v>357150327</v>
      </c>
      <c r="D19" s="32">
        <v>1248382</v>
      </c>
      <c r="E19" s="32">
        <f>1284338.06+1485.15-4</f>
        <v>1285819.21</v>
      </c>
      <c r="F19" s="32">
        <f>1921074.27</f>
        <v>1921074.27</v>
      </c>
      <c r="G19" s="29">
        <f>E19-D19</f>
        <v>37437.209999999963</v>
      </c>
      <c r="H19" s="29">
        <f>F19-D19</f>
        <v>672692.27</v>
      </c>
      <c r="I19" s="30">
        <v>0.21</v>
      </c>
      <c r="J19" s="30">
        <v>0.05</v>
      </c>
      <c r="K19" s="29">
        <f t="shared" si="0"/>
        <v>798.54526499999247</v>
      </c>
      <c r="L19" s="29">
        <f t="shared" si="1"/>
        <v>33634.613499999999</v>
      </c>
      <c r="M19" s="29">
        <f t="shared" si="2"/>
        <v>71250723.157074973</v>
      </c>
      <c r="N19" s="35">
        <v>1542105.3</v>
      </c>
    </row>
    <row r="20" spans="1:14" x14ac:dyDescent="0.2">
      <c r="A20" s="12">
        <v>43831</v>
      </c>
      <c r="B20" s="25"/>
      <c r="C20" s="29">
        <v>357150327</v>
      </c>
      <c r="D20" s="32">
        <v>1248382</v>
      </c>
      <c r="E20" s="32">
        <f>707650.54</f>
        <v>707650.54</v>
      </c>
      <c r="F20" s="32">
        <v>1343624.56</v>
      </c>
      <c r="G20" s="29">
        <f t="shared" si="5"/>
        <v>-540731.46</v>
      </c>
      <c r="H20" s="29">
        <f t="shared" si="6"/>
        <v>95242.560000000056</v>
      </c>
      <c r="I20" s="30">
        <v>0.21</v>
      </c>
      <c r="J20" s="30">
        <v>0.05</v>
      </c>
      <c r="K20" s="29">
        <f t="shared" si="0"/>
        <v>-114553.65347999998</v>
      </c>
      <c r="L20" s="29">
        <f t="shared" si="1"/>
        <v>4762.1280000000033</v>
      </c>
      <c r="M20" s="29">
        <f t="shared" si="2"/>
        <v>71140931.631594986</v>
      </c>
      <c r="N20" s="29">
        <v>1316322.1299999999</v>
      </c>
    </row>
    <row r="21" spans="1:14" x14ac:dyDescent="0.2">
      <c r="A21" s="12">
        <v>43862</v>
      </c>
      <c r="B21" s="25"/>
      <c r="C21" s="29">
        <v>357150327</v>
      </c>
      <c r="D21" s="32">
        <v>1248382</v>
      </c>
      <c r="E21" s="32">
        <f>707650.54</f>
        <v>707650.54</v>
      </c>
      <c r="F21" s="32">
        <v>1343624.56</v>
      </c>
      <c r="G21" s="29">
        <f t="shared" si="5"/>
        <v>-540731.46</v>
      </c>
      <c r="H21" s="29">
        <f t="shared" si="6"/>
        <v>95242.560000000056</v>
      </c>
      <c r="I21" s="30">
        <v>0.21</v>
      </c>
      <c r="J21" s="30">
        <v>0.05</v>
      </c>
      <c r="K21" s="29">
        <f t="shared" si="0"/>
        <v>-114553.65347999998</v>
      </c>
      <c r="L21" s="29">
        <f t="shared" si="1"/>
        <v>4762.1280000000033</v>
      </c>
      <c r="M21" s="29">
        <f t="shared" si="2"/>
        <v>71031140.106114998</v>
      </c>
      <c r="N21" s="29">
        <v>1307522.6399999999</v>
      </c>
    </row>
    <row r="22" spans="1:14" x14ac:dyDescent="0.2">
      <c r="A22" s="12">
        <v>43899</v>
      </c>
      <c r="B22" s="25"/>
      <c r="C22" s="29">
        <v>357150327</v>
      </c>
      <c r="D22" s="32">
        <v>1248382</v>
      </c>
      <c r="E22" s="31">
        <f>707651.49</f>
        <v>707651.49</v>
      </c>
      <c r="F22" s="31">
        <v>1343624.56</v>
      </c>
      <c r="G22" s="29">
        <f>E22-D22</f>
        <v>-540730.51</v>
      </c>
      <c r="H22" s="29">
        <f>F22-D22</f>
        <v>95242.560000000056</v>
      </c>
      <c r="I22" s="30">
        <v>0.21</v>
      </c>
      <c r="J22" s="30">
        <v>0.05</v>
      </c>
      <c r="K22" s="29">
        <f t="shared" si="0"/>
        <v>-114553.45397999999</v>
      </c>
      <c r="L22" s="29">
        <f t="shared" si="1"/>
        <v>4762.1280000000033</v>
      </c>
      <c r="M22" s="29">
        <f t="shared" si="2"/>
        <v>70921348.780135006</v>
      </c>
      <c r="N22" s="29">
        <f>1454575.69-155852.54</f>
        <v>1298723.1499999999</v>
      </c>
    </row>
    <row r="23" spans="1:14" x14ac:dyDescent="0.2">
      <c r="A23" s="12">
        <v>43922</v>
      </c>
      <c r="B23" s="25"/>
      <c r="C23" s="29">
        <v>357150327</v>
      </c>
      <c r="D23" s="32">
        <v>1248382</v>
      </c>
      <c r="E23" s="31">
        <f>707650.54</f>
        <v>707650.54</v>
      </c>
      <c r="F23" s="31">
        <v>1343624.56</v>
      </c>
      <c r="G23" s="29">
        <f t="shared" ref="G23:G27" si="7">E23-D23</f>
        <v>-540731.46</v>
      </c>
      <c r="H23" s="29">
        <f t="shared" ref="H23:H27" si="8">F23-D23</f>
        <v>95242.560000000056</v>
      </c>
      <c r="I23" s="30">
        <v>0.21</v>
      </c>
      <c r="J23" s="30">
        <v>0.05</v>
      </c>
      <c r="K23" s="29">
        <f t="shared" si="0"/>
        <v>-114553.65347999998</v>
      </c>
      <c r="L23" s="29">
        <f t="shared" si="1"/>
        <v>4762.1280000000033</v>
      </c>
      <c r="M23" s="29">
        <f t="shared" si="2"/>
        <v>70811557.254655018</v>
      </c>
      <c r="N23" s="29">
        <f>1444417.58-154493.93</f>
        <v>1289923.6500000001</v>
      </c>
    </row>
    <row r="24" spans="1:14" x14ac:dyDescent="0.2">
      <c r="A24" s="12">
        <v>43952</v>
      </c>
      <c r="B24" s="25"/>
      <c r="C24" s="29">
        <v>364145506</v>
      </c>
      <c r="D24" s="32">
        <v>1261061</v>
      </c>
      <c r="E24" s="32">
        <f>740440.44-10929-165</f>
        <v>729346.44</v>
      </c>
      <c r="F24" s="32">
        <f>1376414.46-10929-165</f>
        <v>1365320.46</v>
      </c>
      <c r="G24" s="29">
        <f>E24-D24</f>
        <v>-531714.56000000006</v>
      </c>
      <c r="H24" s="29">
        <f>F24-D24</f>
        <v>104259.45999999996</v>
      </c>
      <c r="I24" s="30">
        <v>0.21</v>
      </c>
      <c r="J24" s="30">
        <v>0.05</v>
      </c>
      <c r="K24" s="29">
        <f t="shared" si="0"/>
        <v>-112754.78193000001</v>
      </c>
      <c r="L24" s="29">
        <f t="shared" si="1"/>
        <v>5212.9729999999981</v>
      </c>
      <c r="M24" s="29">
        <f t="shared" si="2"/>
        <v>70704015.445725024</v>
      </c>
      <c r="N24" s="37">
        <f>2472934.54-153135.31</f>
        <v>2319799.23</v>
      </c>
    </row>
    <row r="25" spans="1:14" x14ac:dyDescent="0.2">
      <c r="A25" s="12">
        <v>43983</v>
      </c>
      <c r="B25" s="25"/>
      <c r="C25" s="29">
        <v>364145506</v>
      </c>
      <c r="D25" s="32">
        <v>1261061</v>
      </c>
      <c r="E25" s="32">
        <f>740440.44-10929-165</f>
        <v>729346.44</v>
      </c>
      <c r="F25" s="32">
        <f>1376414.46-10929-165</f>
        <v>1365320.46</v>
      </c>
      <c r="G25" s="29">
        <f>E25-D25</f>
        <v>-531714.56000000006</v>
      </c>
      <c r="H25" s="29">
        <f>F25-D25</f>
        <v>104259.45999999996</v>
      </c>
      <c r="I25" s="30">
        <v>0.21</v>
      </c>
      <c r="J25" s="30">
        <v>0.05</v>
      </c>
      <c r="K25" s="29">
        <f t="shared" si="0"/>
        <v>-112754.78193000001</v>
      </c>
      <c r="L25" s="29">
        <f t="shared" si="1"/>
        <v>5212.9729999999981</v>
      </c>
      <c r="M25" s="29">
        <f t="shared" si="2"/>
        <v>70596473.636795029</v>
      </c>
      <c r="N25" s="29">
        <f>2457624.07-151776.69</f>
        <v>2305847.38</v>
      </c>
    </row>
    <row r="26" spans="1:14" x14ac:dyDescent="0.2">
      <c r="A26" s="12">
        <v>44013</v>
      </c>
      <c r="B26" s="25"/>
      <c r="C26" s="29">
        <v>364145506</v>
      </c>
      <c r="D26" s="32">
        <v>1273740.49</v>
      </c>
      <c r="E26" s="32">
        <f>740440+1588</f>
        <v>742028</v>
      </c>
      <c r="F26" s="32">
        <f>1376414.46+1588</f>
        <v>1378002.46</v>
      </c>
      <c r="G26" s="29">
        <f t="shared" si="7"/>
        <v>-531712.49</v>
      </c>
      <c r="H26" s="29">
        <f t="shared" si="8"/>
        <v>104261.96999999997</v>
      </c>
      <c r="I26" s="30">
        <v>0.21</v>
      </c>
      <c r="J26" s="30">
        <v>0.05</v>
      </c>
      <c r="K26" s="29">
        <f t="shared" si="0"/>
        <v>-112754.37358499999</v>
      </c>
      <c r="L26" s="29">
        <f t="shared" si="1"/>
        <v>5213.0984999999991</v>
      </c>
      <c r="M26" s="29">
        <f t="shared" si="2"/>
        <v>70488932.361710027</v>
      </c>
      <c r="N26" s="29">
        <f>2456864.55-150418.08</f>
        <v>2306446.4699999997</v>
      </c>
    </row>
    <row r="27" spans="1:14" x14ac:dyDescent="0.2">
      <c r="A27" s="12">
        <v>44044</v>
      </c>
      <c r="B27" s="25"/>
      <c r="C27" s="29">
        <v>364145506</v>
      </c>
      <c r="D27" s="32">
        <v>1273740</v>
      </c>
      <c r="E27" s="32">
        <f>740440.44+1588</f>
        <v>742028.44</v>
      </c>
      <c r="F27" s="32">
        <f>1376414.46+1588</f>
        <v>1378002.46</v>
      </c>
      <c r="G27" s="29">
        <f t="shared" si="7"/>
        <v>-531711.56000000006</v>
      </c>
      <c r="H27" s="29">
        <f t="shared" si="8"/>
        <v>104262.45999999996</v>
      </c>
      <c r="I27" s="30">
        <v>0.21</v>
      </c>
      <c r="J27" s="30">
        <v>0.05</v>
      </c>
      <c r="K27" s="29">
        <f>G27*I27-L27*I27-93621-93621-37449</f>
        <v>-337445.18342999998</v>
      </c>
      <c r="L27" s="29">
        <f t="shared" si="1"/>
        <v>5213.1229999999987</v>
      </c>
      <c r="M27" s="29">
        <f t="shared" si="2"/>
        <v>70156700.301280022</v>
      </c>
      <c r="N27" s="29">
        <f>2441414.45-149059.47</f>
        <v>2292354.98</v>
      </c>
    </row>
    <row r="28" spans="1:14" x14ac:dyDescent="0.2">
      <c r="A28" s="12">
        <v>44083</v>
      </c>
      <c r="B28" s="25"/>
      <c r="C28" s="29">
        <v>364145506</v>
      </c>
      <c r="D28" s="32">
        <v>1273740</v>
      </c>
      <c r="E28" s="32">
        <f>740440.44+1588</f>
        <v>742028.44</v>
      </c>
      <c r="F28" s="32">
        <f>1376414.46+1588</f>
        <v>1378002.46</v>
      </c>
      <c r="G28" s="29">
        <f>E28-D28</f>
        <v>-531711.56000000006</v>
      </c>
      <c r="H28" s="29">
        <f>F28-D28</f>
        <v>104262.45999999996</v>
      </c>
      <c r="I28" s="30">
        <v>0.21</v>
      </c>
      <c r="J28" s="30">
        <v>0.05</v>
      </c>
      <c r="K28" s="29">
        <f>G28*I28-L28*I28-93621-93621-37449</f>
        <v>-337445.18342999998</v>
      </c>
      <c r="L28" s="29">
        <f t="shared" si="1"/>
        <v>5213.1229999999987</v>
      </c>
      <c r="M28" s="29">
        <f t="shared" si="2"/>
        <v>69824468.240850016</v>
      </c>
      <c r="N28" s="29">
        <f>2425964.35-147700.85</f>
        <v>2278263.5</v>
      </c>
    </row>
    <row r="29" spans="1:14" x14ac:dyDescent="0.2">
      <c r="A29" s="12">
        <v>44105</v>
      </c>
      <c r="B29" s="25"/>
      <c r="C29" s="29">
        <v>364145506</v>
      </c>
      <c r="D29" s="32">
        <v>1273740</v>
      </c>
      <c r="E29" s="32">
        <f>740440.44+1588</f>
        <v>742028.44</v>
      </c>
      <c r="F29" s="32">
        <f>1376414.46+1588</f>
        <v>1378002.46</v>
      </c>
      <c r="G29" s="29">
        <f t="shared" ref="G29:G33" si="9">E29-D29</f>
        <v>-531711.56000000006</v>
      </c>
      <c r="H29" s="29">
        <f t="shared" ref="H29:H33" si="10">F29-D29</f>
        <v>104262.45999999996</v>
      </c>
      <c r="I29" s="30">
        <v>0.21</v>
      </c>
      <c r="J29" s="30">
        <v>0.05</v>
      </c>
      <c r="K29" s="29">
        <f>G29*I29-L29*I29-93621-93621-37449</f>
        <v>-337445.18342999998</v>
      </c>
      <c r="L29" s="29">
        <f t="shared" si="1"/>
        <v>5213.1229999999987</v>
      </c>
      <c r="M29" s="29">
        <f t="shared" si="2"/>
        <v>69492236.180420011</v>
      </c>
      <c r="N29" s="29">
        <f>2418344.37-146342.23</f>
        <v>2272002.14</v>
      </c>
    </row>
    <row r="30" spans="1:14" x14ac:dyDescent="0.2">
      <c r="A30" s="12">
        <v>44136</v>
      </c>
      <c r="B30" s="25"/>
      <c r="C30" s="29">
        <v>364145506</v>
      </c>
      <c r="D30" s="32">
        <v>1273740.49</v>
      </c>
      <c r="E30" s="32">
        <f>740439.9+1586.5</f>
        <v>742026.4</v>
      </c>
      <c r="F30" s="32">
        <f>1376413.9+1586.5</f>
        <v>1378000.4</v>
      </c>
      <c r="G30" s="29">
        <f>E30-D30</f>
        <v>-531714.09</v>
      </c>
      <c r="H30" s="29">
        <f>F30-D30</f>
        <v>104259.90999999992</v>
      </c>
      <c r="I30" s="30">
        <v>0.21</v>
      </c>
      <c r="J30" s="30">
        <v>0.05</v>
      </c>
      <c r="K30" s="29">
        <f>G30*I30-L30*I30-93621-93621-37449</f>
        <v>-337445.68795499997</v>
      </c>
      <c r="L30" s="29">
        <f t="shared" si="1"/>
        <v>5212.9954999999964</v>
      </c>
      <c r="M30" s="29">
        <f t="shared" si="2"/>
        <v>69160003.487965003</v>
      </c>
      <c r="N30" s="29">
        <f>2402837.29-144983.62</f>
        <v>2257853.67</v>
      </c>
    </row>
    <row r="31" spans="1:14" x14ac:dyDescent="0.2">
      <c r="A31" s="12">
        <v>44166</v>
      </c>
      <c r="B31" s="25"/>
      <c r="C31" s="29">
        <v>364145506</v>
      </c>
      <c r="D31" s="32">
        <v>1273740</v>
      </c>
      <c r="E31" s="32">
        <f>740440.44+1588</f>
        <v>742028.44</v>
      </c>
      <c r="F31" s="32">
        <f>1376414.46+1588</f>
        <v>1378002.46</v>
      </c>
      <c r="G31" s="29">
        <f>E31-D31</f>
        <v>-531711.56000000006</v>
      </c>
      <c r="H31" s="29">
        <f>F31-D31</f>
        <v>104262.45999999996</v>
      </c>
      <c r="I31" s="30">
        <v>0.21</v>
      </c>
      <c r="J31" s="30">
        <v>0.05</v>
      </c>
      <c r="K31" s="29">
        <f>G31*I31-L31*I31-93621-93621-37449</f>
        <v>-337445.18342999998</v>
      </c>
      <c r="L31" s="29">
        <f t="shared" si="1"/>
        <v>5213.1229999999987</v>
      </c>
      <c r="M31" s="29">
        <f t="shared" si="2"/>
        <v>68827771.427534997</v>
      </c>
      <c r="N31" s="29">
        <f>2387330.21-143625.01</f>
        <v>2243705.2000000002</v>
      </c>
    </row>
    <row r="32" spans="1:14" x14ac:dyDescent="0.2">
      <c r="A32" s="12">
        <v>44197</v>
      </c>
      <c r="B32" s="25"/>
      <c r="C32" s="29">
        <v>364145506</v>
      </c>
      <c r="D32" s="32">
        <v>1273740</v>
      </c>
      <c r="E32" s="32">
        <f>690312.07</f>
        <v>690312.07</v>
      </c>
      <c r="F32" s="32">
        <f>1270923.01</f>
        <v>1270923.01</v>
      </c>
      <c r="G32" s="29">
        <f t="shared" si="9"/>
        <v>-583427.93000000005</v>
      </c>
      <c r="H32" s="29">
        <f t="shared" si="10"/>
        <v>-2816.9899999999907</v>
      </c>
      <c r="I32" s="30">
        <v>0.21</v>
      </c>
      <c r="J32" s="30">
        <v>0.05</v>
      </c>
      <c r="K32" s="29">
        <f>G32*I32+141*I32-82171.99</f>
        <v>-204662.24530000001</v>
      </c>
      <c r="L32" s="29">
        <f>H32*J32-338.23</f>
        <v>-479.0794999999996</v>
      </c>
      <c r="M32" s="29">
        <f t="shared" si="2"/>
        <v>68622630.102734998</v>
      </c>
      <c r="N32" s="29">
        <f>2474715.55-151200.3</f>
        <v>2323515.25</v>
      </c>
    </row>
    <row r="33" spans="1:14" x14ac:dyDescent="0.2">
      <c r="A33" s="12">
        <v>44228</v>
      </c>
      <c r="B33" s="25"/>
      <c r="C33" s="29">
        <v>369675085</v>
      </c>
      <c r="D33" s="32">
        <v>1283762</v>
      </c>
      <c r="E33" s="54">
        <f>709162.91-9111</f>
        <v>700051.91</v>
      </c>
      <c r="F33" s="54">
        <f>1289773.85-9111</f>
        <v>1280662.8500000001</v>
      </c>
      <c r="G33" s="29">
        <f t="shared" si="9"/>
        <v>-583710.09</v>
      </c>
      <c r="H33" s="29">
        <f t="shared" si="10"/>
        <v>-3099.1499999999069</v>
      </c>
      <c r="I33" s="30">
        <v>0.21</v>
      </c>
      <c r="J33" s="30">
        <v>0.05</v>
      </c>
      <c r="K33" s="29">
        <f>G33*I33+155*I33-82171.99</f>
        <v>-204718.5589</v>
      </c>
      <c r="L33" s="29">
        <f>H33*J33-338.23</f>
        <v>-493.18749999999534</v>
      </c>
      <c r="M33" s="29">
        <f t="shared" si="2"/>
        <v>68417418.356334999</v>
      </c>
      <c r="N33" s="29">
        <f>2266397.04-149841.68</f>
        <v>2116555.36</v>
      </c>
    </row>
    <row r="34" spans="1:14" x14ac:dyDescent="0.2">
      <c r="A34" s="33"/>
      <c r="B34" s="2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x14ac:dyDescent="0.2">
      <c r="A35" s="33"/>
      <c r="B35" s="25"/>
      <c r="C35" s="37" t="s">
        <v>58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">
      <c r="A36" s="33"/>
      <c r="B36" s="2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x14ac:dyDescent="0.2">
      <c r="A37" s="26"/>
      <c r="B37" s="25"/>
      <c r="C37" s="49" t="s">
        <v>41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">
      <c r="A38" s="26"/>
      <c r="B38" s="25"/>
      <c r="C38" s="49" t="s">
        <v>59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">
      <c r="A39" s="26"/>
      <c r="B39" s="25"/>
      <c r="C39" s="49" t="s">
        <v>60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">
      <c r="A40" s="26"/>
      <c r="B40" s="25"/>
      <c r="C40" s="29" t="s">
        <v>21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">
      <c r="A41" s="26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6"/>
      <c r="B42" s="25"/>
      <c r="C42" s="29" t="s">
        <v>22</v>
      </c>
      <c r="D42" s="41" t="s">
        <v>23</v>
      </c>
      <c r="E42" s="40" t="s">
        <v>24</v>
      </c>
      <c r="F42" s="29" t="s">
        <v>25</v>
      </c>
      <c r="G42" s="30" t="s">
        <v>12</v>
      </c>
      <c r="H42" s="29" t="s">
        <v>26</v>
      </c>
      <c r="I42" s="25"/>
      <c r="J42" s="25"/>
      <c r="K42" s="25"/>
      <c r="L42" s="25"/>
      <c r="M42" s="25"/>
      <c r="N42" s="25"/>
    </row>
    <row r="43" spans="1:14" x14ac:dyDescent="0.2">
      <c r="A43" s="26"/>
      <c r="B43" s="25"/>
      <c r="C43" s="32">
        <v>17068.5</v>
      </c>
      <c r="D43" s="32">
        <v>1283762</v>
      </c>
      <c r="E43" s="32"/>
      <c r="F43" s="35">
        <f>E43-D43</f>
        <v>-1283762</v>
      </c>
      <c r="G43" s="30">
        <v>0.21</v>
      </c>
      <c r="H43" s="35">
        <f>F43*G43</f>
        <v>-269590.02</v>
      </c>
      <c r="I43" s="25"/>
      <c r="J43" s="25"/>
      <c r="K43" s="25"/>
      <c r="L43" s="25"/>
      <c r="M43" s="25"/>
      <c r="N43" s="25"/>
    </row>
    <row r="44" spans="1:14" x14ac:dyDescent="0.2">
      <c r="A44" s="26"/>
      <c r="B44" s="25"/>
      <c r="C44" s="32">
        <v>863123.25</v>
      </c>
      <c r="D44" s="25"/>
      <c r="E44" s="34">
        <v>3209.3799512500004</v>
      </c>
      <c r="F44" s="35">
        <f>E44</f>
        <v>3209.3799512500004</v>
      </c>
      <c r="G44" s="30">
        <v>0.21</v>
      </c>
      <c r="H44" s="35">
        <f t="shared" ref="H44:H73" si="11">F44*G44</f>
        <v>673.96978976250011</v>
      </c>
      <c r="I44" s="25"/>
      <c r="J44" s="25"/>
      <c r="K44" s="25"/>
      <c r="L44" s="25"/>
      <c r="M44" s="25"/>
      <c r="N44" s="25"/>
    </row>
    <row r="45" spans="1:14" x14ac:dyDescent="0.2">
      <c r="A45" s="26"/>
      <c r="B45" s="25"/>
      <c r="C45" s="32">
        <v>172624.8</v>
      </c>
      <c r="D45" s="25"/>
      <c r="E45" s="34">
        <v>0</v>
      </c>
      <c r="F45" s="35">
        <f t="shared" ref="F45:F76" si="12">E45</f>
        <v>0</v>
      </c>
      <c r="G45" s="30">
        <v>0.21</v>
      </c>
      <c r="H45" s="35">
        <f t="shared" si="11"/>
        <v>0</v>
      </c>
      <c r="I45" s="25"/>
      <c r="J45" s="25"/>
      <c r="K45" s="25"/>
      <c r="L45" s="25"/>
      <c r="M45" s="25"/>
      <c r="N45" s="25"/>
    </row>
    <row r="46" spans="1:14" x14ac:dyDescent="0.2">
      <c r="A46" s="26"/>
      <c r="B46" s="25"/>
      <c r="C46" s="32">
        <v>115083.20000000001</v>
      </c>
      <c r="D46" s="25"/>
      <c r="E46" s="34">
        <v>427.91769866666669</v>
      </c>
      <c r="F46" s="35">
        <f t="shared" si="12"/>
        <v>427.91769866666669</v>
      </c>
      <c r="G46" s="30">
        <v>0.21</v>
      </c>
      <c r="H46" s="35">
        <f t="shared" si="11"/>
        <v>89.862716720000009</v>
      </c>
      <c r="I46" s="25"/>
      <c r="J46" s="25"/>
      <c r="K46" s="25"/>
      <c r="L46" s="25"/>
      <c r="M46" s="25"/>
      <c r="N46" s="25"/>
    </row>
    <row r="47" spans="1:14" x14ac:dyDescent="0.2">
      <c r="A47" s="26"/>
      <c r="B47" s="25"/>
      <c r="C47" s="32">
        <v>16958769.375</v>
      </c>
      <c r="D47" s="25"/>
      <c r="E47" s="32">
        <v>63906.295928125008</v>
      </c>
      <c r="F47" s="35">
        <f t="shared" si="12"/>
        <v>63906.295928125008</v>
      </c>
      <c r="G47" s="30">
        <v>0.21</v>
      </c>
      <c r="H47" s="35">
        <f t="shared" si="11"/>
        <v>13420.322144906251</v>
      </c>
      <c r="I47" s="25"/>
      <c r="J47" s="25"/>
      <c r="K47" s="25"/>
      <c r="L47" s="25"/>
      <c r="M47" s="25"/>
      <c r="N47" s="25"/>
    </row>
    <row r="48" spans="1:14" x14ac:dyDescent="0.2">
      <c r="A48" s="26"/>
      <c r="B48" s="25"/>
      <c r="C48" s="32">
        <v>3391753.8750000005</v>
      </c>
      <c r="D48" s="25"/>
      <c r="E48" s="32">
        <v>0</v>
      </c>
      <c r="F48" s="35">
        <f t="shared" si="12"/>
        <v>0</v>
      </c>
      <c r="G48" s="30">
        <v>0.21</v>
      </c>
      <c r="H48" s="35">
        <f t="shared" si="11"/>
        <v>0</v>
      </c>
      <c r="I48" s="25"/>
      <c r="J48" s="25"/>
      <c r="K48" s="25"/>
      <c r="L48" s="25"/>
      <c r="M48" s="25"/>
      <c r="N48" s="25"/>
    </row>
    <row r="49" spans="1:14" x14ac:dyDescent="0.2">
      <c r="A49" s="26"/>
      <c r="B49" s="25"/>
      <c r="C49" s="32">
        <v>2261169.2500000005</v>
      </c>
      <c r="D49" s="25"/>
      <c r="E49" s="32">
        <v>8520.8394570833352</v>
      </c>
      <c r="F49" s="35">
        <f t="shared" si="12"/>
        <v>8520.8394570833352</v>
      </c>
      <c r="G49" s="30">
        <v>0.21</v>
      </c>
      <c r="H49" s="35">
        <f t="shared" si="11"/>
        <v>1789.3762859875003</v>
      </c>
      <c r="I49" s="25"/>
      <c r="J49" s="25"/>
      <c r="K49" s="25"/>
      <c r="L49" s="25"/>
      <c r="M49" s="25"/>
      <c r="N49" s="25"/>
    </row>
    <row r="50" spans="1:14" x14ac:dyDescent="0.2">
      <c r="A50" s="26"/>
      <c r="B50" s="25"/>
      <c r="C50" s="32">
        <v>96326943.479999989</v>
      </c>
      <c r="D50" s="25"/>
      <c r="E50" s="32">
        <v>362992.03</v>
      </c>
      <c r="F50" s="35">
        <f t="shared" si="12"/>
        <v>362992.03</v>
      </c>
      <c r="G50" s="30">
        <v>0.21</v>
      </c>
      <c r="H50" s="35">
        <f t="shared" si="11"/>
        <v>76228.326300000001</v>
      </c>
      <c r="I50" s="25"/>
      <c r="J50" s="25"/>
      <c r="K50" s="25"/>
      <c r="L50" s="25"/>
      <c r="M50" s="25"/>
      <c r="N50" s="25"/>
    </row>
    <row r="51" spans="1:14" x14ac:dyDescent="0.2">
      <c r="A51" s="26"/>
      <c r="B51" s="25"/>
      <c r="C51" s="32">
        <v>18955938.995999999</v>
      </c>
      <c r="D51" s="25"/>
      <c r="E51" s="32"/>
      <c r="F51" s="35">
        <f t="shared" si="12"/>
        <v>0</v>
      </c>
      <c r="G51" s="30">
        <v>0.21</v>
      </c>
      <c r="H51" s="35">
        <f t="shared" si="11"/>
        <v>0</v>
      </c>
      <c r="I51" s="25"/>
      <c r="J51" s="25"/>
      <c r="K51" s="25"/>
      <c r="L51" s="25"/>
      <c r="M51" s="25"/>
      <c r="N51" s="25"/>
    </row>
    <row r="52" spans="1:14" x14ac:dyDescent="0.2">
      <c r="A52" s="26"/>
      <c r="B52" s="25"/>
      <c r="C52" s="32">
        <v>12637292.664000001</v>
      </c>
      <c r="D52" s="25"/>
      <c r="E52" s="32">
        <v>47621.53</v>
      </c>
      <c r="F52" s="35">
        <f t="shared" si="12"/>
        <v>47621.53</v>
      </c>
      <c r="G52" s="30">
        <v>0.21</v>
      </c>
      <c r="H52" s="35">
        <f t="shared" si="11"/>
        <v>10000.521299999999</v>
      </c>
      <c r="I52" s="25"/>
      <c r="J52" s="25"/>
      <c r="K52" s="25"/>
      <c r="L52" s="25"/>
      <c r="M52" s="25"/>
      <c r="N52" s="25"/>
    </row>
    <row r="53" spans="1:14" x14ac:dyDescent="0.2">
      <c r="A53" s="26"/>
      <c r="B53" s="25"/>
      <c r="C53" s="32">
        <v>2579539.44</v>
      </c>
      <c r="D53" s="25"/>
      <c r="E53" s="32">
        <v>10507.32</v>
      </c>
      <c r="F53" s="35">
        <f t="shared" si="12"/>
        <v>10507.32</v>
      </c>
      <c r="G53" s="30">
        <v>0.21</v>
      </c>
      <c r="H53" s="35">
        <f t="shared" si="11"/>
        <v>2206.5371999999998</v>
      </c>
      <c r="I53" s="25"/>
      <c r="J53" s="25"/>
      <c r="K53" s="25"/>
      <c r="L53" s="25"/>
      <c r="M53" s="25"/>
      <c r="N53" s="25"/>
    </row>
    <row r="54" spans="1:14" x14ac:dyDescent="0.2">
      <c r="A54" s="26"/>
      <c r="B54" s="25"/>
      <c r="C54" s="32">
        <v>515907.88799999998</v>
      </c>
      <c r="D54" s="25"/>
      <c r="E54" s="32">
        <v>0</v>
      </c>
      <c r="F54" s="35">
        <f t="shared" si="12"/>
        <v>0</v>
      </c>
      <c r="G54" s="30">
        <v>0.21</v>
      </c>
      <c r="H54" s="35">
        <f t="shared" si="11"/>
        <v>0</v>
      </c>
      <c r="I54" s="25"/>
      <c r="J54" s="25"/>
      <c r="K54" s="25"/>
      <c r="L54" s="25"/>
      <c r="M54" s="25"/>
      <c r="N54" s="25"/>
    </row>
    <row r="55" spans="1:14" x14ac:dyDescent="0.2">
      <c r="A55" s="26"/>
      <c r="B55" s="25"/>
      <c r="C55" s="32">
        <v>343938.592</v>
      </c>
      <c r="D55" s="25"/>
      <c r="E55" s="32">
        <v>1400.98</v>
      </c>
      <c r="F55" s="35">
        <f t="shared" si="12"/>
        <v>1400.98</v>
      </c>
      <c r="G55" s="30">
        <v>0.21</v>
      </c>
      <c r="H55" s="35">
        <f t="shared" si="11"/>
        <v>294.20580000000001</v>
      </c>
      <c r="I55" s="25"/>
      <c r="J55" s="25"/>
      <c r="K55" s="25"/>
      <c r="L55" s="25"/>
      <c r="M55" s="25"/>
      <c r="N55" s="25"/>
    </row>
    <row r="56" spans="1:14" x14ac:dyDescent="0.2">
      <c r="A56" s="26"/>
      <c r="B56" s="25"/>
      <c r="C56" s="32">
        <v>3753722.94</v>
      </c>
      <c r="D56" s="25"/>
      <c r="E56" s="32">
        <v>16532.02</v>
      </c>
      <c r="F56" s="35">
        <f t="shared" si="12"/>
        <v>16532.02</v>
      </c>
      <c r="G56" s="30">
        <v>0.21</v>
      </c>
      <c r="H56" s="35">
        <f t="shared" si="11"/>
        <v>3471.7242000000001</v>
      </c>
      <c r="I56" s="25"/>
      <c r="J56" s="25"/>
      <c r="K56" s="25"/>
      <c r="L56" s="25"/>
      <c r="M56" s="25"/>
      <c r="N56" s="25"/>
    </row>
    <row r="57" spans="1:14" x14ac:dyDescent="0.2">
      <c r="A57" s="26"/>
      <c r="B57" s="25"/>
      <c r="C57" s="32">
        <v>750744.58799999999</v>
      </c>
      <c r="D57" s="25"/>
      <c r="E57" s="32">
        <v>6256.2</v>
      </c>
      <c r="F57" s="35">
        <f t="shared" si="12"/>
        <v>6256.2</v>
      </c>
      <c r="G57" s="30">
        <v>0.21</v>
      </c>
      <c r="H57" s="35">
        <f t="shared" si="11"/>
        <v>1313.8019999999999</v>
      </c>
      <c r="I57" s="25"/>
      <c r="J57" s="25"/>
      <c r="K57" s="25"/>
      <c r="L57" s="25"/>
      <c r="M57" s="25"/>
      <c r="N57" s="25"/>
    </row>
    <row r="58" spans="1:14" x14ac:dyDescent="0.2">
      <c r="A58" s="26"/>
      <c r="B58" s="25"/>
      <c r="C58" s="32">
        <v>500496.39199999999</v>
      </c>
      <c r="D58" s="25"/>
      <c r="E58" s="32">
        <v>2204.27</v>
      </c>
      <c r="F58" s="35">
        <f t="shared" si="12"/>
        <v>2204.27</v>
      </c>
      <c r="G58" s="30">
        <v>0.21</v>
      </c>
      <c r="H58" s="35">
        <f t="shared" si="11"/>
        <v>462.89669999999995</v>
      </c>
      <c r="I58" s="25"/>
      <c r="J58" s="25"/>
      <c r="K58" s="25"/>
      <c r="L58" s="25"/>
      <c r="M58" s="25"/>
      <c r="N58" s="25"/>
    </row>
    <row r="59" spans="1:14" x14ac:dyDescent="0.2">
      <c r="A59" s="26"/>
      <c r="B59" s="25"/>
      <c r="C59" s="32">
        <v>-21906.708749999998</v>
      </c>
      <c r="D59" s="25"/>
      <c r="E59" s="32">
        <v>-96.48</v>
      </c>
      <c r="F59" s="35">
        <f t="shared" si="12"/>
        <v>-96.48</v>
      </c>
      <c r="G59" s="30">
        <v>0.21</v>
      </c>
      <c r="H59" s="35">
        <f t="shared" si="11"/>
        <v>-20.2608</v>
      </c>
      <c r="I59" s="25"/>
      <c r="J59" s="25"/>
      <c r="K59" s="25"/>
      <c r="L59" s="25"/>
      <c r="M59" s="25"/>
      <c r="N59" s="25"/>
    </row>
    <row r="60" spans="1:14" x14ac:dyDescent="0.2">
      <c r="A60" s="26"/>
      <c r="B60" s="25"/>
      <c r="C60" s="32">
        <v>-4381.3417499999996</v>
      </c>
      <c r="D60" s="25"/>
      <c r="E60" s="32">
        <v>-54.77</v>
      </c>
      <c r="F60" s="35">
        <f t="shared" si="12"/>
        <v>-54.77</v>
      </c>
      <c r="G60" s="30">
        <v>0.21</v>
      </c>
      <c r="H60" s="35">
        <f t="shared" si="11"/>
        <v>-11.5017</v>
      </c>
      <c r="I60" s="25"/>
      <c r="J60" s="25"/>
      <c r="K60" s="25"/>
      <c r="L60" s="25"/>
      <c r="M60" s="25"/>
      <c r="N60" s="25"/>
    </row>
    <row r="61" spans="1:14" x14ac:dyDescent="0.2">
      <c r="A61" s="26"/>
      <c r="B61" s="25"/>
      <c r="C61" s="32">
        <v>-2920.8945000000003</v>
      </c>
      <c r="D61" s="25"/>
      <c r="E61" s="32">
        <v>-12.86</v>
      </c>
      <c r="F61" s="35">
        <f t="shared" si="12"/>
        <v>-12.86</v>
      </c>
      <c r="G61" s="30">
        <v>0.21</v>
      </c>
      <c r="H61" s="35">
        <f t="shared" si="11"/>
        <v>-2.7005999999999997</v>
      </c>
      <c r="I61" s="25"/>
      <c r="J61" s="25"/>
      <c r="K61" s="25"/>
      <c r="L61" s="25"/>
      <c r="M61" s="25"/>
      <c r="N61" s="25"/>
    </row>
    <row r="62" spans="1:14" x14ac:dyDescent="0.2">
      <c r="A62" s="26"/>
      <c r="B62" s="25"/>
      <c r="C62" s="32">
        <v>29295.040000000001</v>
      </c>
      <c r="D62" s="25"/>
      <c r="E62" s="32">
        <v>129.02000000000001</v>
      </c>
      <c r="F62" s="35">
        <f t="shared" si="12"/>
        <v>129.02000000000001</v>
      </c>
      <c r="G62" s="30">
        <v>0.21</v>
      </c>
      <c r="H62" s="35">
        <f t="shared" si="11"/>
        <v>27.094200000000001</v>
      </c>
      <c r="I62" s="25"/>
      <c r="J62" s="25"/>
      <c r="K62" s="25"/>
      <c r="L62" s="25"/>
      <c r="M62" s="25"/>
      <c r="N62" s="25"/>
    </row>
    <row r="63" spans="1:14" x14ac:dyDescent="0.2">
      <c r="A63" s="26"/>
      <c r="B63" s="25"/>
      <c r="C63" s="32">
        <v>21.04</v>
      </c>
      <c r="D63" s="25"/>
      <c r="E63" s="32"/>
      <c r="F63" s="35">
        <f t="shared" si="12"/>
        <v>0</v>
      </c>
      <c r="G63" s="30">
        <v>0.21</v>
      </c>
      <c r="H63" s="35">
        <f t="shared" si="11"/>
        <v>0</v>
      </c>
      <c r="I63" s="25"/>
      <c r="J63" s="25"/>
      <c r="K63" s="25"/>
      <c r="L63" s="25"/>
      <c r="M63" s="25"/>
      <c r="N63" s="25"/>
    </row>
    <row r="64" spans="1:14" x14ac:dyDescent="0.2">
      <c r="A64" s="26"/>
      <c r="B64" s="25"/>
      <c r="C64" s="32">
        <v>15.78</v>
      </c>
      <c r="D64" s="25"/>
      <c r="E64" s="32">
        <v>0.08</v>
      </c>
      <c r="F64" s="35">
        <f t="shared" si="12"/>
        <v>0.08</v>
      </c>
      <c r="G64" s="30">
        <v>0.21</v>
      </c>
      <c r="H64" s="35">
        <f t="shared" si="11"/>
        <v>1.6799999999999999E-2</v>
      </c>
      <c r="I64" s="25"/>
      <c r="J64" s="25"/>
      <c r="K64" s="25"/>
      <c r="L64" s="25"/>
      <c r="M64" s="25"/>
      <c r="N64" s="25"/>
    </row>
    <row r="65" spans="1:14" x14ac:dyDescent="0.2">
      <c r="A65" s="26"/>
      <c r="B65" s="25"/>
      <c r="C65" s="32">
        <v>3.1559999999999997</v>
      </c>
      <c r="D65" s="25"/>
      <c r="E65" s="32">
        <v>0.05</v>
      </c>
      <c r="F65" s="35">
        <f t="shared" si="12"/>
        <v>0.05</v>
      </c>
      <c r="G65" s="30">
        <v>0.21</v>
      </c>
      <c r="H65" s="35">
        <f t="shared" si="11"/>
        <v>1.0500000000000001E-2</v>
      </c>
      <c r="I65" s="25"/>
      <c r="J65" s="25"/>
      <c r="K65" s="25"/>
      <c r="L65" s="25"/>
      <c r="M65" s="25"/>
      <c r="N65" s="25"/>
    </row>
    <row r="66" spans="1:14" x14ac:dyDescent="0.2">
      <c r="A66" s="26"/>
      <c r="B66" s="25"/>
      <c r="C66" s="32">
        <v>2.1040000000000001</v>
      </c>
      <c r="D66" s="25"/>
      <c r="E66" s="32">
        <v>0.01</v>
      </c>
      <c r="F66" s="47">
        <f t="shared" si="12"/>
        <v>0.01</v>
      </c>
      <c r="G66" s="30">
        <v>0.21</v>
      </c>
      <c r="H66" s="47">
        <f t="shared" si="11"/>
        <v>2.0999999999999999E-3</v>
      </c>
      <c r="I66" s="25"/>
      <c r="J66" s="25"/>
      <c r="K66" s="25"/>
      <c r="L66" s="25"/>
      <c r="M66" s="25"/>
      <c r="N66" s="25"/>
    </row>
    <row r="67" spans="1:14" x14ac:dyDescent="0.2">
      <c r="A67" s="26"/>
      <c r="B67" s="25"/>
      <c r="C67" s="32">
        <v>-14734</v>
      </c>
      <c r="D67" s="25"/>
      <c r="E67" s="32"/>
      <c r="F67" s="47">
        <f t="shared" si="12"/>
        <v>0</v>
      </c>
      <c r="G67" s="30">
        <v>0.21</v>
      </c>
      <c r="H67" s="47">
        <f t="shared" si="11"/>
        <v>0</v>
      </c>
      <c r="I67" s="25"/>
      <c r="J67" s="25"/>
      <c r="K67" s="25"/>
      <c r="L67" s="25"/>
      <c r="M67" s="25"/>
      <c r="N67" s="25"/>
    </row>
    <row r="68" spans="1:14" x14ac:dyDescent="0.2">
      <c r="A68" s="26"/>
      <c r="B68" s="25"/>
      <c r="C68" s="32">
        <v>38967</v>
      </c>
      <c r="D68" s="25"/>
      <c r="E68" s="32">
        <v>92.76</v>
      </c>
      <c r="F68" s="47">
        <f t="shared" si="12"/>
        <v>92.76</v>
      </c>
      <c r="G68" s="30">
        <v>0.21</v>
      </c>
      <c r="H68" s="47">
        <f t="shared" si="11"/>
        <v>19.479600000000001</v>
      </c>
      <c r="I68" s="25"/>
      <c r="J68" s="25"/>
      <c r="K68" s="25"/>
      <c r="L68" s="25"/>
      <c r="M68" s="25"/>
      <c r="N68" s="25"/>
    </row>
    <row r="69" spans="1:14" x14ac:dyDescent="0.2">
      <c r="A69" s="26"/>
      <c r="B69" s="25"/>
      <c r="C69" s="32">
        <v>20762450</v>
      </c>
      <c r="D69" s="25"/>
      <c r="E69" s="32">
        <v>92568.57</v>
      </c>
      <c r="F69" s="47">
        <f t="shared" si="12"/>
        <v>92568.57</v>
      </c>
      <c r="G69" s="30">
        <v>0.21</v>
      </c>
      <c r="H69" s="47">
        <f t="shared" si="11"/>
        <v>19439.399700000002</v>
      </c>
      <c r="I69" s="25"/>
      <c r="J69" s="25"/>
      <c r="K69" s="25"/>
      <c r="L69" s="25"/>
      <c r="M69" s="25"/>
      <c r="N69" s="25"/>
    </row>
    <row r="70" spans="1:14" x14ac:dyDescent="0.2">
      <c r="A70" s="26"/>
      <c r="B70" s="25"/>
      <c r="C70" s="32">
        <v>3989775</v>
      </c>
      <c r="D70" s="25"/>
      <c r="E70" s="32">
        <v>13715.6</v>
      </c>
      <c r="F70" s="47">
        <f t="shared" si="12"/>
        <v>13715.6</v>
      </c>
      <c r="G70" s="30">
        <v>0.21</v>
      </c>
      <c r="H70" s="47">
        <f t="shared" si="11"/>
        <v>2880.2759999999998</v>
      </c>
      <c r="I70" s="25"/>
      <c r="J70" s="25"/>
      <c r="K70" s="25"/>
      <c r="L70" s="25"/>
      <c r="M70" s="25"/>
      <c r="N70" s="25"/>
    </row>
    <row r="71" spans="1:14" x14ac:dyDescent="0.2">
      <c r="A71" s="26"/>
      <c r="B71" s="25"/>
      <c r="C71" s="32">
        <v>1251958</v>
      </c>
      <c r="D71" s="25"/>
      <c r="E71" s="32">
        <v>6966.1</v>
      </c>
      <c r="F71" s="47">
        <f t="shared" si="12"/>
        <v>6966.1</v>
      </c>
      <c r="G71" s="30">
        <v>0.21</v>
      </c>
      <c r="H71" s="47">
        <f t="shared" si="11"/>
        <v>1462.8810000000001</v>
      </c>
      <c r="I71" s="25"/>
      <c r="J71" s="25"/>
      <c r="K71" s="25"/>
      <c r="L71" s="25"/>
      <c r="M71" s="25"/>
      <c r="N71" s="25"/>
    </row>
    <row r="72" spans="1:14" x14ac:dyDescent="0.2">
      <c r="A72" s="26"/>
      <c r="B72" s="25"/>
      <c r="C72" s="32">
        <v>42515</v>
      </c>
      <c r="D72" s="25"/>
      <c r="E72" s="32"/>
      <c r="F72" s="47">
        <f t="shared" si="12"/>
        <v>0</v>
      </c>
      <c r="G72" s="30">
        <v>0.21</v>
      </c>
      <c r="H72" s="47">
        <f t="shared" si="11"/>
        <v>0</v>
      </c>
      <c r="I72" s="25"/>
      <c r="J72" s="25"/>
      <c r="K72" s="25"/>
      <c r="L72" s="25"/>
      <c r="M72" s="25"/>
      <c r="N72" s="25"/>
    </row>
    <row r="73" spans="1:14" x14ac:dyDescent="0.2">
      <c r="A73" s="26"/>
      <c r="B73" s="25"/>
      <c r="C73" s="32">
        <v>-146644</v>
      </c>
      <c r="D73" s="25"/>
      <c r="E73" s="32">
        <v>-1126.49</v>
      </c>
      <c r="F73" s="47">
        <f t="shared" si="12"/>
        <v>-1126.49</v>
      </c>
      <c r="G73" s="30">
        <v>0.21</v>
      </c>
      <c r="H73" s="47">
        <f t="shared" si="11"/>
        <v>-236.56289999999998</v>
      </c>
      <c r="I73" s="25"/>
      <c r="J73" s="25"/>
      <c r="K73" s="25"/>
      <c r="L73" s="25"/>
      <c r="M73" s="25"/>
      <c r="N73" s="25"/>
    </row>
    <row r="74" spans="1:14" x14ac:dyDescent="0.2">
      <c r="A74" s="26"/>
      <c r="B74" s="25"/>
      <c r="C74" s="32">
        <v>2874747</v>
      </c>
      <c r="D74" s="25"/>
      <c r="E74" s="32">
        <v>11510.13</v>
      </c>
      <c r="F74" s="47">
        <f t="shared" si="12"/>
        <v>11510.13</v>
      </c>
      <c r="G74" s="30">
        <v>0.21</v>
      </c>
      <c r="H74" s="47">
        <f>F74*G74</f>
        <v>2417.1272999999997</v>
      </c>
      <c r="I74" s="25"/>
      <c r="J74" s="25"/>
      <c r="K74" s="25"/>
      <c r="L74" s="25"/>
      <c r="M74" s="25"/>
      <c r="N74" s="25"/>
    </row>
    <row r="75" spans="1:14" x14ac:dyDescent="0.2">
      <c r="A75" s="26"/>
      <c r="B75" s="25"/>
      <c r="C75" s="32">
        <v>6995179.2300000004</v>
      </c>
      <c r="D75" s="25"/>
      <c r="E75" s="32">
        <v>43041.57</v>
      </c>
      <c r="F75" s="47">
        <f t="shared" si="12"/>
        <v>43041.57</v>
      </c>
      <c r="G75" s="30">
        <v>0.21</v>
      </c>
      <c r="H75" s="47">
        <f>F75*G75</f>
        <v>9038.7296999999999</v>
      </c>
      <c r="I75" s="25"/>
      <c r="J75" s="25"/>
      <c r="K75" s="25"/>
      <c r="L75" s="25"/>
      <c r="M75" s="25"/>
      <c r="N75" s="25"/>
    </row>
    <row r="76" spans="1:14" ht="15" x14ac:dyDescent="0.35">
      <c r="A76" s="26"/>
      <c r="B76" s="25"/>
      <c r="C76" s="32">
        <v>5529579</v>
      </c>
      <c r="D76" s="25"/>
      <c r="E76" s="46">
        <f>17279.93-5004-2536</f>
        <v>9739.93</v>
      </c>
      <c r="F76" s="43">
        <f t="shared" si="12"/>
        <v>9739.93</v>
      </c>
      <c r="G76" s="30">
        <v>0.21</v>
      </c>
      <c r="H76" s="43">
        <f>F76*G76</f>
        <v>2045.3852999999999</v>
      </c>
      <c r="I76" s="25"/>
      <c r="J76" s="25"/>
      <c r="K76" s="25"/>
      <c r="L76" s="25"/>
      <c r="M76" s="25"/>
      <c r="N76" s="25"/>
    </row>
    <row r="77" spans="1:14" x14ac:dyDescent="0.2">
      <c r="A77" s="26"/>
      <c r="B77" s="25"/>
      <c r="C77" s="25"/>
      <c r="D77" s="25"/>
      <c r="E77" s="35">
        <f>SUM(E43:E76)</f>
        <v>700052.00303512521</v>
      </c>
      <c r="F77" s="35">
        <f>SUM(F43:F76)</f>
        <v>-583709.99696487503</v>
      </c>
      <c r="G77" s="36" t="s">
        <v>27</v>
      </c>
      <c r="H77" s="35">
        <f>SUM(H43:H76)</f>
        <v>-122579.09936262379</v>
      </c>
      <c r="I77" s="25"/>
      <c r="J77" s="25"/>
      <c r="K77" s="25"/>
      <c r="L77" s="25"/>
      <c r="M77" s="25"/>
      <c r="N77" s="25"/>
    </row>
    <row r="78" spans="1:14" ht="15" x14ac:dyDescent="0.35">
      <c r="A78" s="26"/>
      <c r="B78" s="25"/>
      <c r="C78" s="25"/>
      <c r="D78" s="25"/>
      <c r="E78" s="25"/>
      <c r="F78" s="25"/>
      <c r="G78" s="36" t="s">
        <v>28</v>
      </c>
      <c r="H78" s="43">
        <f>-H115*0.21</f>
        <v>32.540129999999458</v>
      </c>
      <c r="I78" s="25"/>
      <c r="J78" s="25"/>
      <c r="K78" s="25"/>
      <c r="L78" s="25"/>
      <c r="M78" s="25"/>
      <c r="N78" s="25"/>
    </row>
    <row r="79" spans="1:14" x14ac:dyDescent="0.2">
      <c r="A79" s="26"/>
      <c r="B79" s="25"/>
      <c r="C79" s="25"/>
      <c r="D79" s="25"/>
      <c r="E79" s="25"/>
      <c r="F79" s="25"/>
      <c r="G79" s="25"/>
      <c r="H79" s="35">
        <f>H77+H78</f>
        <v>-122546.5592326238</v>
      </c>
      <c r="I79" s="25"/>
      <c r="J79" s="25"/>
      <c r="K79" s="25"/>
      <c r="L79" s="25"/>
      <c r="M79" s="25"/>
      <c r="N79" s="25"/>
    </row>
    <row r="80" spans="1:14" x14ac:dyDescent="0.2">
      <c r="A80" s="26"/>
      <c r="B80" s="25"/>
      <c r="C80" s="25"/>
      <c r="D80" s="25"/>
      <c r="E80" s="25"/>
      <c r="F80" s="25"/>
      <c r="G80" s="25"/>
      <c r="H80" s="35">
        <f>H79-K33</f>
        <v>82171.999667376207</v>
      </c>
      <c r="I80" s="36" t="s">
        <v>61</v>
      </c>
      <c r="J80" s="25"/>
      <c r="K80" s="25"/>
      <c r="L80" s="25"/>
      <c r="M80" s="25"/>
      <c r="N80" s="25"/>
    </row>
    <row r="81" spans="1:14" x14ac:dyDescent="0.2">
      <c r="A81" s="26"/>
      <c r="B81" s="25"/>
      <c r="C81" s="29" t="s">
        <v>30</v>
      </c>
      <c r="D81" s="39" t="s">
        <v>23</v>
      </c>
      <c r="E81" s="40" t="s">
        <v>31</v>
      </c>
      <c r="F81" s="29" t="s">
        <v>32</v>
      </c>
      <c r="G81" s="30" t="s">
        <v>13</v>
      </c>
      <c r="H81" s="29" t="s">
        <v>33</v>
      </c>
      <c r="I81" s="25"/>
      <c r="J81" s="25"/>
      <c r="K81" s="25"/>
      <c r="L81" s="25"/>
      <c r="M81" s="25"/>
      <c r="N81" s="25"/>
    </row>
    <row r="82" spans="1:14" x14ac:dyDescent="0.2">
      <c r="A82" s="26"/>
      <c r="B82" s="25"/>
      <c r="C82" s="35">
        <v>34138</v>
      </c>
      <c r="D82" s="35">
        <f>D43</f>
        <v>1283762</v>
      </c>
      <c r="E82" s="35"/>
      <c r="F82" s="35">
        <f>E82-D82</f>
        <v>-1283762</v>
      </c>
      <c r="G82" s="30">
        <v>0.05</v>
      </c>
      <c r="H82" s="35">
        <f>F82*G82</f>
        <v>-64188.100000000006</v>
      </c>
      <c r="I82" s="25"/>
      <c r="J82" s="25"/>
      <c r="K82" s="25"/>
      <c r="L82" s="25"/>
      <c r="M82" s="25"/>
      <c r="N82" s="25"/>
    </row>
    <row r="83" spans="1:14" x14ac:dyDescent="0.2">
      <c r="A83" s="26"/>
      <c r="B83" s="25"/>
      <c r="C83" s="35">
        <v>1726246.5</v>
      </c>
      <c r="D83" s="25"/>
      <c r="E83" s="35">
        <v>6418.76</v>
      </c>
      <c r="F83" s="35">
        <f>E83</f>
        <v>6418.76</v>
      </c>
      <c r="G83" s="30">
        <v>0.05</v>
      </c>
      <c r="H83" s="35">
        <f t="shared" ref="H83:H114" si="13">F83*G83</f>
        <v>320.93800000000005</v>
      </c>
      <c r="I83" s="25"/>
      <c r="J83" s="25"/>
      <c r="K83" s="25"/>
      <c r="L83" s="25"/>
      <c r="M83" s="25"/>
      <c r="N83" s="25"/>
    </row>
    <row r="84" spans="1:14" x14ac:dyDescent="0.2">
      <c r="A84" s="26"/>
      <c r="B84" s="25"/>
      <c r="C84" s="35">
        <v>345249.3</v>
      </c>
      <c r="D84" s="25"/>
      <c r="E84" s="35"/>
      <c r="F84" s="35">
        <f t="shared" ref="F84:F114" si="14">E84</f>
        <v>0</v>
      </c>
      <c r="G84" s="30">
        <v>0.05</v>
      </c>
      <c r="H84" s="35">
        <f t="shared" si="13"/>
        <v>0</v>
      </c>
      <c r="I84" s="25"/>
      <c r="J84" s="25"/>
      <c r="K84" s="25"/>
      <c r="L84" s="25"/>
      <c r="M84" s="25"/>
      <c r="N84" s="25"/>
    </row>
    <row r="85" spans="1:14" x14ac:dyDescent="0.2">
      <c r="A85" s="26"/>
      <c r="B85" s="25"/>
      <c r="C85" s="35">
        <v>230166.2</v>
      </c>
      <c r="D85" s="25"/>
      <c r="E85" s="35">
        <v>855.83</v>
      </c>
      <c r="F85" s="35">
        <f t="shared" si="14"/>
        <v>855.83</v>
      </c>
      <c r="G85" s="30">
        <v>0.05</v>
      </c>
      <c r="H85" s="35">
        <f t="shared" si="13"/>
        <v>42.791500000000006</v>
      </c>
      <c r="I85" s="25"/>
      <c r="J85" s="25"/>
      <c r="K85" s="25"/>
      <c r="L85" s="25"/>
      <c r="M85" s="25"/>
      <c r="N85" s="25"/>
    </row>
    <row r="86" spans="1:14" x14ac:dyDescent="0.2">
      <c r="A86" s="26"/>
      <c r="B86" s="25"/>
      <c r="C86" s="35">
        <v>32248976.25</v>
      </c>
      <c r="D86" s="25"/>
      <c r="E86" s="35">
        <v>121524.89</v>
      </c>
      <c r="F86" s="35">
        <f t="shared" si="14"/>
        <v>121524.89</v>
      </c>
      <c r="G86" s="30">
        <v>0.05</v>
      </c>
      <c r="H86" s="35">
        <f t="shared" si="13"/>
        <v>6076.2445000000007</v>
      </c>
      <c r="I86" s="25"/>
      <c r="J86" s="25"/>
      <c r="K86" s="25"/>
      <c r="L86" s="25"/>
      <c r="M86" s="25"/>
      <c r="N86" s="25"/>
    </row>
    <row r="87" spans="1:14" x14ac:dyDescent="0.2">
      <c r="A87" s="26"/>
      <c r="B87" s="25"/>
      <c r="C87" s="35">
        <v>6449795.25</v>
      </c>
      <c r="D87" s="25"/>
      <c r="E87" s="35"/>
      <c r="F87" s="35">
        <f t="shared" si="14"/>
        <v>0</v>
      </c>
      <c r="G87" s="30">
        <v>0.05</v>
      </c>
      <c r="H87" s="35">
        <f t="shared" si="13"/>
        <v>0</v>
      </c>
      <c r="I87" s="25"/>
      <c r="J87" s="25"/>
      <c r="K87" s="25"/>
      <c r="L87" s="25"/>
      <c r="M87" s="25"/>
      <c r="N87" s="25"/>
    </row>
    <row r="88" spans="1:14" x14ac:dyDescent="0.2">
      <c r="A88" s="26"/>
      <c r="B88" s="25"/>
      <c r="C88" s="35">
        <v>4299863.5</v>
      </c>
      <c r="D88" s="25"/>
      <c r="E88" s="35">
        <v>16203.32</v>
      </c>
      <c r="F88" s="35">
        <f t="shared" si="14"/>
        <v>16203.32</v>
      </c>
      <c r="G88" s="30">
        <v>0.05</v>
      </c>
      <c r="H88" s="35">
        <f t="shared" si="13"/>
        <v>810.16600000000005</v>
      </c>
      <c r="I88" s="25"/>
      <c r="J88" s="25"/>
      <c r="K88" s="25"/>
      <c r="L88" s="25"/>
      <c r="M88" s="25"/>
      <c r="N88" s="25"/>
    </row>
    <row r="89" spans="1:14" x14ac:dyDescent="0.2">
      <c r="A89" s="26"/>
      <c r="B89" s="25"/>
      <c r="C89" s="35">
        <v>192267074.83500001</v>
      </c>
      <c r="D89" s="25"/>
      <c r="E89" s="35">
        <v>724526.43</v>
      </c>
      <c r="F89" s="35">
        <f t="shared" si="14"/>
        <v>724526.43</v>
      </c>
      <c r="G89" s="30">
        <v>0.05</v>
      </c>
      <c r="H89" s="35">
        <f t="shared" si="13"/>
        <v>36226.321500000005</v>
      </c>
      <c r="I89" s="25"/>
      <c r="J89" s="25"/>
      <c r="K89" s="25"/>
      <c r="L89" s="25"/>
      <c r="M89" s="25"/>
      <c r="N89" s="25"/>
    </row>
    <row r="90" spans="1:14" x14ac:dyDescent="0.2">
      <c r="A90" s="26"/>
      <c r="B90" s="25"/>
      <c r="C90" s="35">
        <v>38143965.266999997</v>
      </c>
      <c r="D90" s="25"/>
      <c r="E90" s="35"/>
      <c r="F90" s="35">
        <f t="shared" si="14"/>
        <v>0</v>
      </c>
      <c r="G90" s="30">
        <v>0.05</v>
      </c>
      <c r="H90" s="35">
        <f t="shared" si="13"/>
        <v>0</v>
      </c>
      <c r="I90" s="25"/>
      <c r="J90" s="25"/>
      <c r="K90" s="25"/>
      <c r="L90" s="25"/>
      <c r="M90" s="25"/>
      <c r="N90" s="25"/>
    </row>
    <row r="91" spans="1:14" x14ac:dyDescent="0.2">
      <c r="A91" s="26"/>
      <c r="B91" s="25"/>
      <c r="C91" s="35">
        <v>25429310.178000003</v>
      </c>
      <c r="D91" s="25"/>
      <c r="E91" s="35">
        <v>95826.12</v>
      </c>
      <c r="F91" s="35">
        <f t="shared" si="14"/>
        <v>95826.12</v>
      </c>
      <c r="G91" s="30">
        <v>0.05</v>
      </c>
      <c r="H91" s="35">
        <f t="shared" si="13"/>
        <v>4791.3059999999996</v>
      </c>
      <c r="I91" s="25"/>
      <c r="J91" s="25"/>
      <c r="K91" s="25"/>
      <c r="L91" s="25"/>
      <c r="M91" s="25"/>
      <c r="N91" s="25"/>
    </row>
    <row r="92" spans="1:14" x14ac:dyDescent="0.2">
      <c r="A92" s="26"/>
      <c r="B92" s="25"/>
      <c r="C92" s="35">
        <v>5070051.5025000004</v>
      </c>
      <c r="D92" s="25"/>
      <c r="E92" s="35">
        <v>20652.009999999998</v>
      </c>
      <c r="F92" s="35">
        <f t="shared" si="14"/>
        <v>20652.009999999998</v>
      </c>
      <c r="G92" s="30">
        <v>0.05</v>
      </c>
      <c r="H92" s="35">
        <f t="shared" si="13"/>
        <v>1032.6005</v>
      </c>
      <c r="I92" s="25"/>
      <c r="J92" s="25"/>
      <c r="K92" s="25"/>
      <c r="L92" s="25"/>
      <c r="M92" s="25"/>
      <c r="N92" s="25"/>
    </row>
    <row r="93" spans="1:14" x14ac:dyDescent="0.2">
      <c r="A93" s="26"/>
      <c r="B93" s="25"/>
      <c r="C93" s="35">
        <v>1014010.3005</v>
      </c>
      <c r="D93" s="25"/>
      <c r="E93" s="35">
        <v>0</v>
      </c>
      <c r="F93" s="35">
        <f t="shared" si="14"/>
        <v>0</v>
      </c>
      <c r="G93" s="30">
        <v>0.05</v>
      </c>
      <c r="H93" s="35">
        <f t="shared" si="13"/>
        <v>0</v>
      </c>
      <c r="I93" s="25"/>
      <c r="J93" s="25"/>
      <c r="K93" s="25"/>
      <c r="L93" s="25"/>
      <c r="M93" s="25"/>
      <c r="N93" s="25"/>
    </row>
    <row r="94" spans="1:14" x14ac:dyDescent="0.2">
      <c r="A94" s="26"/>
      <c r="B94" s="25"/>
      <c r="C94" s="35">
        <v>676006.86699999997</v>
      </c>
      <c r="D94" s="25"/>
      <c r="E94" s="35">
        <v>2753.6</v>
      </c>
      <c r="F94" s="35">
        <f t="shared" si="14"/>
        <v>2753.6</v>
      </c>
      <c r="G94" s="30">
        <v>0.05</v>
      </c>
      <c r="H94" s="35">
        <f t="shared" si="13"/>
        <v>137.68</v>
      </c>
      <c r="I94" s="25"/>
      <c r="J94" s="25"/>
      <c r="K94" s="25"/>
      <c r="L94" s="25"/>
      <c r="M94" s="25"/>
      <c r="N94" s="25"/>
    </row>
    <row r="95" spans="1:14" x14ac:dyDescent="0.2">
      <c r="A95" s="26"/>
      <c r="B95" s="25"/>
      <c r="C95" s="35">
        <v>7507445.8799999999</v>
      </c>
      <c r="D95" s="25"/>
      <c r="E95" s="35">
        <v>33064.04</v>
      </c>
      <c r="F95" s="35">
        <f t="shared" si="14"/>
        <v>33064.04</v>
      </c>
      <c r="G95" s="30">
        <v>0.05</v>
      </c>
      <c r="H95" s="35">
        <f t="shared" si="13"/>
        <v>1653.2020000000002</v>
      </c>
      <c r="I95" s="25"/>
      <c r="J95" s="25"/>
      <c r="K95" s="25"/>
      <c r="L95" s="25"/>
      <c r="M95" s="25"/>
      <c r="N95" s="25"/>
    </row>
    <row r="96" spans="1:14" x14ac:dyDescent="0.2">
      <c r="A96" s="26"/>
      <c r="B96" s="25"/>
      <c r="C96" s="35">
        <v>1501489.176</v>
      </c>
      <c r="D96" s="25"/>
      <c r="E96" s="35">
        <v>12512.41</v>
      </c>
      <c r="F96" s="35">
        <f t="shared" si="14"/>
        <v>12512.41</v>
      </c>
      <c r="G96" s="30">
        <v>0.05</v>
      </c>
      <c r="H96" s="35">
        <f t="shared" si="13"/>
        <v>625.62049999999999</v>
      </c>
      <c r="I96" s="25"/>
      <c r="J96" s="25"/>
      <c r="K96" s="25"/>
      <c r="L96" s="25"/>
      <c r="M96" s="25"/>
      <c r="N96" s="25"/>
    </row>
    <row r="97" spans="1:14" x14ac:dyDescent="0.2">
      <c r="A97" s="26"/>
      <c r="B97" s="25"/>
      <c r="C97" s="35">
        <v>1000992.784</v>
      </c>
      <c r="D97" s="25"/>
      <c r="E97" s="35">
        <v>4408.54</v>
      </c>
      <c r="F97" s="35">
        <f t="shared" si="14"/>
        <v>4408.54</v>
      </c>
      <c r="G97" s="30">
        <v>0.05</v>
      </c>
      <c r="H97" s="35">
        <f t="shared" si="13"/>
        <v>220.42700000000002</v>
      </c>
      <c r="I97" s="25"/>
      <c r="J97" s="25"/>
      <c r="K97" s="25"/>
      <c r="L97" s="25"/>
      <c r="M97" s="25"/>
      <c r="N97" s="25"/>
    </row>
    <row r="98" spans="1:14" x14ac:dyDescent="0.2">
      <c r="A98" s="26"/>
      <c r="B98" s="25"/>
      <c r="C98" s="35">
        <v>-43813.417499999996</v>
      </c>
      <c r="D98" s="25"/>
      <c r="E98" s="35">
        <v>-192.96</v>
      </c>
      <c r="F98" s="35">
        <f t="shared" si="14"/>
        <v>-192.96</v>
      </c>
      <c r="G98" s="30">
        <v>0.05</v>
      </c>
      <c r="H98" s="35">
        <f t="shared" si="13"/>
        <v>-9.6480000000000015</v>
      </c>
      <c r="I98" s="25"/>
      <c r="J98" s="25"/>
      <c r="K98" s="25"/>
      <c r="L98" s="25"/>
      <c r="M98" s="25"/>
      <c r="N98" s="25"/>
    </row>
    <row r="99" spans="1:14" x14ac:dyDescent="0.2">
      <c r="A99" s="26"/>
      <c r="B99" s="25"/>
      <c r="C99" s="35">
        <v>-8762.6834999999992</v>
      </c>
      <c r="D99" s="25"/>
      <c r="E99" s="35">
        <v>-109.53</v>
      </c>
      <c r="F99" s="35">
        <f t="shared" si="14"/>
        <v>-109.53</v>
      </c>
      <c r="G99" s="30">
        <v>0.05</v>
      </c>
      <c r="H99" s="35">
        <f t="shared" si="13"/>
        <v>-5.4765000000000006</v>
      </c>
      <c r="I99" s="25"/>
      <c r="J99" s="25"/>
      <c r="K99" s="25"/>
      <c r="L99" s="25"/>
      <c r="M99" s="25"/>
      <c r="N99" s="25"/>
    </row>
    <row r="100" spans="1:14" x14ac:dyDescent="0.2">
      <c r="A100" s="26"/>
      <c r="B100" s="25"/>
      <c r="C100" s="35">
        <v>-5841.7890000000007</v>
      </c>
      <c r="D100" s="25"/>
      <c r="E100" s="35">
        <v>-25.73</v>
      </c>
      <c r="F100" s="35">
        <f t="shared" si="14"/>
        <v>-25.73</v>
      </c>
      <c r="G100" s="30">
        <v>0.05</v>
      </c>
      <c r="H100" s="35">
        <f t="shared" si="13"/>
        <v>-1.2865000000000002</v>
      </c>
      <c r="I100" s="25"/>
      <c r="J100" s="25"/>
      <c r="K100" s="25"/>
      <c r="L100" s="25"/>
      <c r="M100" s="25"/>
      <c r="N100" s="25"/>
    </row>
    <row r="101" spans="1:14" x14ac:dyDescent="0.2">
      <c r="A101" s="26"/>
      <c r="B101" s="25"/>
      <c r="C101" s="35">
        <v>58590.080000000002</v>
      </c>
      <c r="D101" s="25"/>
      <c r="E101" s="35">
        <v>258.04000000000002</v>
      </c>
      <c r="F101" s="35">
        <f t="shared" si="14"/>
        <v>258.04000000000002</v>
      </c>
      <c r="G101" s="30">
        <v>0.05</v>
      </c>
      <c r="H101" s="35">
        <f t="shared" si="13"/>
        <v>12.902000000000001</v>
      </c>
      <c r="I101" s="25"/>
      <c r="J101" s="25"/>
      <c r="K101" s="25"/>
      <c r="L101" s="25"/>
      <c r="M101" s="25"/>
      <c r="N101" s="25"/>
    </row>
    <row r="102" spans="1:14" x14ac:dyDescent="0.2">
      <c r="A102" s="26"/>
      <c r="B102" s="25"/>
      <c r="C102" s="35">
        <v>31.56</v>
      </c>
      <c r="D102" s="25"/>
      <c r="E102" s="35">
        <v>0.15</v>
      </c>
      <c r="F102" s="35">
        <f t="shared" si="14"/>
        <v>0.15</v>
      </c>
      <c r="G102" s="30">
        <v>0.05</v>
      </c>
      <c r="H102" s="35">
        <f t="shared" si="13"/>
        <v>7.4999999999999997E-3</v>
      </c>
      <c r="I102" s="25"/>
      <c r="J102" s="25"/>
      <c r="K102" s="25"/>
      <c r="L102" s="25"/>
      <c r="M102" s="25"/>
      <c r="N102" s="25"/>
    </row>
    <row r="103" spans="1:14" x14ac:dyDescent="0.2">
      <c r="A103" s="26"/>
      <c r="B103" s="25"/>
      <c r="C103" s="35">
        <v>6.3119999999999994</v>
      </c>
      <c r="D103" s="25"/>
      <c r="E103" s="35">
        <v>0.11</v>
      </c>
      <c r="F103" s="35">
        <f t="shared" si="14"/>
        <v>0.11</v>
      </c>
      <c r="G103" s="30">
        <v>0.05</v>
      </c>
      <c r="H103" s="35">
        <f t="shared" si="13"/>
        <v>5.5000000000000005E-3</v>
      </c>
      <c r="I103" s="25"/>
      <c r="J103" s="25"/>
      <c r="K103" s="25"/>
      <c r="L103" s="25"/>
      <c r="M103" s="25"/>
      <c r="N103" s="25"/>
    </row>
    <row r="104" spans="1:14" x14ac:dyDescent="0.2">
      <c r="A104" s="26"/>
      <c r="B104" s="25"/>
      <c r="C104" s="35">
        <v>4.2080000000000002</v>
      </c>
      <c r="D104" s="25"/>
      <c r="E104" s="47">
        <v>0.02</v>
      </c>
      <c r="F104" s="47">
        <f t="shared" si="14"/>
        <v>0.02</v>
      </c>
      <c r="G104" s="30">
        <v>0.05</v>
      </c>
      <c r="H104" s="47">
        <f t="shared" si="13"/>
        <v>1E-3</v>
      </c>
      <c r="I104" s="25"/>
      <c r="J104" s="25"/>
      <c r="K104" s="25"/>
      <c r="L104" s="25"/>
      <c r="M104" s="25"/>
      <c r="N104" s="25"/>
    </row>
    <row r="105" spans="1:14" x14ac:dyDescent="0.2">
      <c r="A105" s="26"/>
      <c r="B105" s="25"/>
      <c r="C105" s="32">
        <v>-14734</v>
      </c>
      <c r="D105" s="25"/>
      <c r="E105" s="47"/>
      <c r="F105" s="47">
        <f t="shared" si="14"/>
        <v>0</v>
      </c>
      <c r="G105" s="30">
        <v>0.05</v>
      </c>
      <c r="H105" s="47">
        <f t="shared" si="13"/>
        <v>0</v>
      </c>
      <c r="I105" s="25"/>
      <c r="J105" s="25"/>
      <c r="K105" s="25"/>
      <c r="L105" s="25"/>
      <c r="M105" s="25"/>
      <c r="N105" s="25"/>
    </row>
    <row r="106" spans="1:14" x14ac:dyDescent="0.2">
      <c r="A106" s="26"/>
      <c r="B106" s="25"/>
      <c r="C106" s="32">
        <v>38967</v>
      </c>
      <c r="D106" s="25"/>
      <c r="E106" s="47">
        <v>185.52</v>
      </c>
      <c r="F106" s="47">
        <f t="shared" si="14"/>
        <v>185.52</v>
      </c>
      <c r="G106" s="30">
        <v>0.05</v>
      </c>
      <c r="H106" s="47">
        <f t="shared" si="13"/>
        <v>9.2760000000000016</v>
      </c>
      <c r="I106" s="25"/>
      <c r="J106" s="25"/>
      <c r="K106" s="25"/>
      <c r="L106" s="25"/>
      <c r="M106" s="25"/>
      <c r="N106" s="25"/>
    </row>
    <row r="107" spans="1:14" x14ac:dyDescent="0.2">
      <c r="A107" s="26"/>
      <c r="B107" s="25"/>
      <c r="C107" s="32">
        <v>20762450</v>
      </c>
      <c r="D107" s="25"/>
      <c r="E107" s="47">
        <v>135925.70000000001</v>
      </c>
      <c r="F107" s="47">
        <f t="shared" si="14"/>
        <v>135925.70000000001</v>
      </c>
      <c r="G107" s="30">
        <v>0.05</v>
      </c>
      <c r="H107" s="47">
        <f t="shared" si="13"/>
        <v>6796.2850000000008</v>
      </c>
      <c r="I107" s="25"/>
      <c r="J107" s="25"/>
      <c r="K107" s="25"/>
      <c r="L107" s="25"/>
      <c r="M107" s="25"/>
      <c r="N107" s="25"/>
    </row>
    <row r="108" spans="1:14" x14ac:dyDescent="0.2">
      <c r="A108" s="26"/>
      <c r="B108" s="25"/>
      <c r="C108" s="32">
        <v>3989775</v>
      </c>
      <c r="D108" s="25"/>
      <c r="E108" s="47">
        <v>27431.200000000001</v>
      </c>
      <c r="F108" s="47">
        <f t="shared" si="14"/>
        <v>27431.200000000001</v>
      </c>
      <c r="G108" s="30">
        <v>0.05</v>
      </c>
      <c r="H108" s="47">
        <f t="shared" si="13"/>
        <v>1371.5600000000002</v>
      </c>
      <c r="I108" s="25"/>
      <c r="J108" s="25"/>
      <c r="K108" s="25"/>
      <c r="L108" s="25"/>
      <c r="M108" s="25"/>
      <c r="N108" s="25"/>
    </row>
    <row r="109" spans="1:14" x14ac:dyDescent="0.2">
      <c r="A109" s="26"/>
      <c r="B109" s="25"/>
      <c r="C109" s="32">
        <v>1251958</v>
      </c>
      <c r="D109" s="25"/>
      <c r="E109" s="47">
        <v>6966.1</v>
      </c>
      <c r="F109" s="47">
        <f t="shared" si="14"/>
        <v>6966.1</v>
      </c>
      <c r="G109" s="30">
        <v>0.05</v>
      </c>
      <c r="H109" s="47">
        <f t="shared" si="13"/>
        <v>348.30500000000006</v>
      </c>
      <c r="I109" s="25"/>
      <c r="J109" s="25"/>
      <c r="K109" s="25"/>
      <c r="L109" s="25"/>
      <c r="M109" s="25"/>
      <c r="N109" s="25"/>
    </row>
    <row r="110" spans="1:14" x14ac:dyDescent="0.2">
      <c r="A110" s="26"/>
      <c r="B110" s="25"/>
      <c r="C110" s="32">
        <v>42515</v>
      </c>
      <c r="D110" s="25"/>
      <c r="E110" s="47"/>
      <c r="F110" s="47">
        <f t="shared" si="14"/>
        <v>0</v>
      </c>
      <c r="G110" s="30">
        <v>0.05</v>
      </c>
      <c r="H110" s="47">
        <f t="shared" si="13"/>
        <v>0</v>
      </c>
      <c r="I110" s="25"/>
      <c r="J110" s="25"/>
      <c r="K110" s="25"/>
      <c r="L110" s="25"/>
      <c r="M110" s="25"/>
      <c r="N110" s="25"/>
    </row>
    <row r="111" spans="1:14" x14ac:dyDescent="0.2">
      <c r="A111" s="26"/>
      <c r="B111" s="25"/>
      <c r="C111" s="32">
        <v>-146644</v>
      </c>
      <c r="D111" s="25"/>
      <c r="E111" s="47">
        <v>-1126.49</v>
      </c>
      <c r="F111" s="47">
        <f t="shared" si="14"/>
        <v>-1126.49</v>
      </c>
      <c r="G111" s="30">
        <v>0.05</v>
      </c>
      <c r="H111" s="47">
        <f t="shared" si="13"/>
        <v>-56.3245</v>
      </c>
      <c r="I111" s="25"/>
      <c r="J111" s="25"/>
      <c r="K111" s="25"/>
      <c r="L111" s="25"/>
      <c r="M111" s="25"/>
      <c r="N111" s="25"/>
    </row>
    <row r="112" spans="1:14" x14ac:dyDescent="0.2">
      <c r="A112" s="26"/>
      <c r="B112" s="25"/>
      <c r="C112" s="32">
        <v>2874747</v>
      </c>
      <c r="D112" s="25"/>
      <c r="E112" s="47">
        <v>19183.54</v>
      </c>
      <c r="F112" s="47">
        <f t="shared" si="14"/>
        <v>19183.54</v>
      </c>
      <c r="G112" s="30">
        <v>0.05</v>
      </c>
      <c r="H112" s="47">
        <f t="shared" si="13"/>
        <v>959.17700000000013</v>
      </c>
      <c r="I112" s="25"/>
      <c r="J112" s="25"/>
      <c r="K112" s="25"/>
      <c r="L112" s="25"/>
      <c r="M112" s="25"/>
      <c r="N112" s="25"/>
    </row>
    <row r="113" spans="1:14" x14ac:dyDescent="0.2">
      <c r="A113" s="26"/>
      <c r="B113" s="25"/>
      <c r="C113" s="32">
        <f>C75</f>
        <v>6995179.2300000004</v>
      </c>
      <c r="D113" s="25"/>
      <c r="E113" s="47">
        <v>43681.39</v>
      </c>
      <c r="F113" s="47">
        <f t="shared" si="14"/>
        <v>43681.39</v>
      </c>
      <c r="G113" s="30">
        <v>0.05</v>
      </c>
      <c r="H113" s="47">
        <f t="shared" si="13"/>
        <v>2184.0695000000001</v>
      </c>
      <c r="I113" s="25"/>
      <c r="J113" s="25"/>
      <c r="K113" s="25"/>
      <c r="L113" s="25"/>
      <c r="M113" s="25"/>
      <c r="N113" s="25"/>
    </row>
    <row r="114" spans="1:14" ht="15" x14ac:dyDescent="0.35">
      <c r="A114" s="26"/>
      <c r="B114" s="25"/>
      <c r="C114" s="32">
        <f>C76</f>
        <v>5529579</v>
      </c>
      <c r="D114" s="25"/>
      <c r="E114" s="43">
        <f>E76</f>
        <v>9739.93</v>
      </c>
      <c r="F114" s="43">
        <f t="shared" si="14"/>
        <v>9739.93</v>
      </c>
      <c r="G114" s="30">
        <v>0.05</v>
      </c>
      <c r="H114" s="43">
        <f t="shared" si="13"/>
        <v>486.99650000000003</v>
      </c>
      <c r="I114" s="25"/>
      <c r="J114" s="25"/>
      <c r="K114" s="25"/>
      <c r="L114" s="25"/>
      <c r="M114" s="25"/>
      <c r="N114" s="25"/>
    </row>
    <row r="115" spans="1:14" x14ac:dyDescent="0.2">
      <c r="A115" s="26"/>
      <c r="B115" s="25"/>
      <c r="C115" s="25"/>
      <c r="D115" s="25"/>
      <c r="E115" s="35">
        <f>SUM(E82:E114)</f>
        <v>1280662.9400000002</v>
      </c>
      <c r="F115" s="35">
        <f>SUM(F82:F114)</f>
        <v>-3099.0599999999249</v>
      </c>
      <c r="G115" s="25"/>
      <c r="H115" s="35">
        <f>SUM(H82:H114)</f>
        <v>-154.95299999999742</v>
      </c>
      <c r="I115" s="25"/>
      <c r="J115" s="25"/>
      <c r="K115" s="25"/>
      <c r="L115" s="25"/>
      <c r="M115" s="25"/>
      <c r="N115" s="25"/>
    </row>
    <row r="116" spans="1:14" x14ac:dyDescent="0.2">
      <c r="A116" s="26"/>
      <c r="B116" s="25"/>
      <c r="C116" s="25"/>
      <c r="D116" s="25"/>
      <c r="E116" s="25"/>
      <c r="F116" s="25"/>
      <c r="G116" s="25"/>
      <c r="H116" s="35">
        <f>H115-L33</f>
        <v>338.23449999999792</v>
      </c>
      <c r="I116" s="36" t="s">
        <v>62</v>
      </c>
      <c r="J116" s="25"/>
      <c r="K116" s="25"/>
      <c r="L116" s="25"/>
      <c r="M116" s="25"/>
      <c r="N116" s="25"/>
    </row>
    <row r="117" spans="1:14" x14ac:dyDescent="0.2">
      <c r="A117" s="26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</sheetData>
  <mergeCells count="1">
    <mergeCell ref="A1:N1"/>
  </mergeCells>
  <pageMargins left="0.7" right="0.7" top="1.15625" bottom="0.75" header="0.3" footer="0.3"/>
  <pageSetup scale="44" orientation="portrait" r:id="rId1"/>
  <headerFooter>
    <oddHeader>&amp;R&amp;"Times New Roman,Bold"&amp;12Attachment to Response to Question 3
Page 4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FD055-ADDF-434F-9214-EA71E6D699B8}">
  <dimension ref="A1:P33"/>
  <sheetViews>
    <sheetView zoomScaleNormal="100" workbookViewId="0">
      <selection sqref="A1:N1"/>
    </sheetView>
  </sheetViews>
  <sheetFormatPr defaultRowHeight="12.75" x14ac:dyDescent="0.2"/>
  <cols>
    <col min="1" max="1" width="11.28515625" style="9" customWidth="1"/>
    <col min="2" max="2" width="1.7109375" customWidth="1"/>
    <col min="3" max="3" width="12.7109375" customWidth="1"/>
    <col min="4" max="4" width="14.28515625" bestFit="1" customWidth="1"/>
    <col min="5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85546875" bestFit="1" customWidth="1"/>
  </cols>
  <sheetData>
    <row r="1" spans="1:16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6" x14ac:dyDescent="0.2">
      <c r="A2" s="2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x14ac:dyDescent="0.2">
      <c r="A5" s="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6" x14ac:dyDescent="0.2">
      <c r="A6" s="5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6" x14ac:dyDescent="0.2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6" s="8" customFormat="1" ht="38.25" x14ac:dyDescent="0.2">
      <c r="A8" s="27" t="s">
        <v>5</v>
      </c>
      <c r="B8" s="28"/>
      <c r="C8" s="28" t="s">
        <v>6</v>
      </c>
      <c r="D8" s="28" t="s">
        <v>7</v>
      </c>
      <c r="E8" s="28" t="s">
        <v>8</v>
      </c>
      <c r="F8" s="28" t="s">
        <v>9</v>
      </c>
      <c r="G8" s="28" t="s">
        <v>10</v>
      </c>
      <c r="H8" s="28" t="s">
        <v>11</v>
      </c>
      <c r="I8" s="28" t="s">
        <v>12</v>
      </c>
      <c r="J8" s="28" t="s">
        <v>13</v>
      </c>
      <c r="K8" s="28" t="s">
        <v>14</v>
      </c>
      <c r="L8" s="28" t="s">
        <v>15</v>
      </c>
      <c r="M8" s="28" t="s">
        <v>16</v>
      </c>
      <c r="N8" s="28" t="s">
        <v>17</v>
      </c>
    </row>
    <row r="9" spans="1:16" x14ac:dyDescent="0.2">
      <c r="A9" s="26" t="s">
        <v>18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31">
        <v>1046428</v>
      </c>
      <c r="N9" s="25"/>
    </row>
    <row r="10" spans="1:16" x14ac:dyDescent="0.2">
      <c r="A10" s="12">
        <v>43533</v>
      </c>
      <c r="B10" s="25"/>
      <c r="C10" s="29">
        <v>9031671</v>
      </c>
      <c r="D10" s="32">
        <v>8705</v>
      </c>
      <c r="E10" s="32">
        <f t="shared" ref="E10:F15" si="0">33534.21</f>
        <v>33534.21</v>
      </c>
      <c r="F10" s="32">
        <f t="shared" si="0"/>
        <v>33534.21</v>
      </c>
      <c r="G10" s="29">
        <f t="shared" ref="G10:G33" si="1">E10-D10</f>
        <v>24829.21</v>
      </c>
      <c r="H10" s="29">
        <f t="shared" ref="H10:H33" si="2">F10-D10</f>
        <v>24829.21</v>
      </c>
      <c r="I10" s="30">
        <v>0.21</v>
      </c>
      <c r="J10" s="30">
        <v>0.05</v>
      </c>
      <c r="K10" s="29">
        <f t="shared" ref="K10:K33" si="3">G10*I10-L10*I10</f>
        <v>4953.4273949999997</v>
      </c>
      <c r="L10" s="29">
        <f t="shared" ref="L10:L33" si="4">H10*J10</f>
        <v>1241.4605000000001</v>
      </c>
      <c r="M10" s="29">
        <f t="shared" ref="M10:M33" si="5">M9+K10+L10</f>
        <v>1052622.8878949999</v>
      </c>
      <c r="N10" s="29">
        <v>0</v>
      </c>
      <c r="O10" s="11"/>
      <c r="P10" s="17"/>
    </row>
    <row r="11" spans="1:16" x14ac:dyDescent="0.2">
      <c r="A11" s="12">
        <v>43556</v>
      </c>
      <c r="B11" s="25"/>
      <c r="C11" s="29">
        <v>9031671</v>
      </c>
      <c r="D11" s="32">
        <v>8705</v>
      </c>
      <c r="E11" s="32">
        <f t="shared" si="0"/>
        <v>33534.21</v>
      </c>
      <c r="F11" s="32">
        <f t="shared" si="0"/>
        <v>33534.21</v>
      </c>
      <c r="G11" s="29">
        <f t="shared" si="1"/>
        <v>24829.21</v>
      </c>
      <c r="H11" s="29">
        <f t="shared" si="2"/>
        <v>24829.21</v>
      </c>
      <c r="I11" s="30">
        <v>0.21</v>
      </c>
      <c r="J11" s="30">
        <v>0.05</v>
      </c>
      <c r="K11" s="29">
        <f t="shared" si="3"/>
        <v>4953.4273949999997</v>
      </c>
      <c r="L11" s="29">
        <f t="shared" si="4"/>
        <v>1241.4605000000001</v>
      </c>
      <c r="M11" s="29">
        <f t="shared" si="5"/>
        <v>1058817.7757899999</v>
      </c>
      <c r="N11" s="29">
        <v>0</v>
      </c>
      <c r="O11" s="11"/>
      <c r="P11" s="17"/>
    </row>
    <row r="12" spans="1:16" x14ac:dyDescent="0.2">
      <c r="A12" s="12">
        <v>43586</v>
      </c>
      <c r="B12" s="25"/>
      <c r="C12" s="29">
        <v>9031671</v>
      </c>
      <c r="D12" s="32">
        <v>11499</v>
      </c>
      <c r="E12" s="32">
        <f t="shared" si="0"/>
        <v>33534.21</v>
      </c>
      <c r="F12" s="32">
        <f t="shared" si="0"/>
        <v>33534.21</v>
      </c>
      <c r="G12" s="29">
        <f t="shared" si="1"/>
        <v>22035.21</v>
      </c>
      <c r="H12" s="29">
        <f t="shared" si="2"/>
        <v>22035.21</v>
      </c>
      <c r="I12" s="30">
        <v>0.21</v>
      </c>
      <c r="J12" s="30">
        <v>0.05</v>
      </c>
      <c r="K12" s="29">
        <f t="shared" si="3"/>
        <v>4396.0243949999995</v>
      </c>
      <c r="L12" s="29">
        <f t="shared" si="4"/>
        <v>1101.7605000000001</v>
      </c>
      <c r="M12" s="29">
        <f t="shared" si="5"/>
        <v>1064315.5606849999</v>
      </c>
      <c r="N12" s="29">
        <v>0</v>
      </c>
      <c r="O12" s="23"/>
      <c r="P12" s="17"/>
    </row>
    <row r="13" spans="1:16" x14ac:dyDescent="0.2">
      <c r="A13" s="12">
        <v>43617</v>
      </c>
      <c r="B13" s="25"/>
      <c r="C13" s="29">
        <v>9031671</v>
      </c>
      <c r="D13" s="32">
        <v>11499</v>
      </c>
      <c r="E13" s="32">
        <f t="shared" si="0"/>
        <v>33534.21</v>
      </c>
      <c r="F13" s="32">
        <f t="shared" si="0"/>
        <v>33534.21</v>
      </c>
      <c r="G13" s="29">
        <f t="shared" si="1"/>
        <v>22035.21</v>
      </c>
      <c r="H13" s="29">
        <f t="shared" si="2"/>
        <v>22035.21</v>
      </c>
      <c r="I13" s="30">
        <v>0.21</v>
      </c>
      <c r="J13" s="30">
        <v>0.05</v>
      </c>
      <c r="K13" s="29">
        <f t="shared" si="3"/>
        <v>4396.0243949999995</v>
      </c>
      <c r="L13" s="29">
        <f t="shared" si="4"/>
        <v>1101.7605000000001</v>
      </c>
      <c r="M13" s="29">
        <f t="shared" si="5"/>
        <v>1069813.34558</v>
      </c>
      <c r="N13" s="29">
        <v>0</v>
      </c>
      <c r="O13" s="23"/>
      <c r="P13" s="17"/>
    </row>
    <row r="14" spans="1:16" x14ac:dyDescent="0.2">
      <c r="A14" s="12">
        <v>43647</v>
      </c>
      <c r="B14" s="25"/>
      <c r="C14" s="29">
        <v>9031671</v>
      </c>
      <c r="D14" s="32">
        <v>11499</v>
      </c>
      <c r="E14" s="32">
        <f t="shared" si="0"/>
        <v>33534.21</v>
      </c>
      <c r="F14" s="32">
        <f t="shared" si="0"/>
        <v>33534.21</v>
      </c>
      <c r="G14" s="29">
        <f t="shared" si="1"/>
        <v>22035.21</v>
      </c>
      <c r="H14" s="29">
        <f t="shared" si="2"/>
        <v>22035.21</v>
      </c>
      <c r="I14" s="30">
        <v>0.21</v>
      </c>
      <c r="J14" s="30">
        <v>0.05</v>
      </c>
      <c r="K14" s="29">
        <f t="shared" si="3"/>
        <v>4396.0243949999995</v>
      </c>
      <c r="L14" s="29">
        <f t="shared" si="4"/>
        <v>1101.7605000000001</v>
      </c>
      <c r="M14" s="29">
        <f t="shared" si="5"/>
        <v>1075311.130475</v>
      </c>
      <c r="N14" s="29">
        <v>0</v>
      </c>
      <c r="O14" s="13"/>
      <c r="P14" s="17"/>
    </row>
    <row r="15" spans="1:16" x14ac:dyDescent="0.2">
      <c r="A15" s="12">
        <v>43678</v>
      </c>
      <c r="B15" s="25"/>
      <c r="C15" s="29">
        <v>9031671</v>
      </c>
      <c r="D15" s="32">
        <v>11499</v>
      </c>
      <c r="E15" s="32">
        <f t="shared" si="0"/>
        <v>33534.21</v>
      </c>
      <c r="F15" s="32">
        <f t="shared" si="0"/>
        <v>33534.21</v>
      </c>
      <c r="G15" s="29">
        <f t="shared" si="1"/>
        <v>22035.21</v>
      </c>
      <c r="H15" s="29">
        <f t="shared" si="2"/>
        <v>22035.21</v>
      </c>
      <c r="I15" s="30">
        <v>0.21</v>
      </c>
      <c r="J15" s="30">
        <v>0.05</v>
      </c>
      <c r="K15" s="29">
        <f t="shared" si="3"/>
        <v>4396.0243949999995</v>
      </c>
      <c r="L15" s="29">
        <f t="shared" si="4"/>
        <v>1101.7605000000001</v>
      </c>
      <c r="M15" s="29">
        <f t="shared" si="5"/>
        <v>1080808.9153700001</v>
      </c>
      <c r="N15" s="29">
        <v>0</v>
      </c>
      <c r="P15" s="17"/>
    </row>
    <row r="16" spans="1:16" x14ac:dyDescent="0.2">
      <c r="A16" s="12">
        <v>43717</v>
      </c>
      <c r="B16" s="25"/>
      <c r="C16" s="29">
        <v>9031671</v>
      </c>
      <c r="D16" s="32">
        <v>11499</v>
      </c>
      <c r="E16" s="32">
        <f>33534.21-2</f>
        <v>33532.21</v>
      </c>
      <c r="F16" s="32">
        <f>33534.21</f>
        <v>33534.21</v>
      </c>
      <c r="G16" s="29">
        <f t="shared" si="1"/>
        <v>22033.21</v>
      </c>
      <c r="H16" s="29">
        <f t="shared" si="2"/>
        <v>22035.21</v>
      </c>
      <c r="I16" s="30">
        <v>0.21</v>
      </c>
      <c r="J16" s="30">
        <v>0.05</v>
      </c>
      <c r="K16" s="29">
        <f t="shared" si="3"/>
        <v>4395.6043949999994</v>
      </c>
      <c r="L16" s="29">
        <f t="shared" si="4"/>
        <v>1101.7605000000001</v>
      </c>
      <c r="M16" s="29">
        <f t="shared" si="5"/>
        <v>1086306.2802650002</v>
      </c>
      <c r="N16" s="29">
        <v>0</v>
      </c>
    </row>
    <row r="17" spans="1:14" x14ac:dyDescent="0.2">
      <c r="A17" s="12">
        <v>43739</v>
      </c>
      <c r="B17" s="25"/>
      <c r="C17" s="29">
        <v>9031671</v>
      </c>
      <c r="D17" s="32">
        <v>11499</v>
      </c>
      <c r="E17" s="32">
        <f>33534.21-2</f>
        <v>33532.21</v>
      </c>
      <c r="F17" s="32">
        <f>33534.21</f>
        <v>33534.21</v>
      </c>
      <c r="G17" s="29">
        <f t="shared" si="1"/>
        <v>22033.21</v>
      </c>
      <c r="H17" s="29">
        <f t="shared" si="2"/>
        <v>22035.21</v>
      </c>
      <c r="I17" s="30">
        <v>0.21</v>
      </c>
      <c r="J17" s="30">
        <v>0.05</v>
      </c>
      <c r="K17" s="29">
        <f t="shared" si="3"/>
        <v>4395.6043949999994</v>
      </c>
      <c r="L17" s="29">
        <f t="shared" si="4"/>
        <v>1101.7605000000001</v>
      </c>
      <c r="M17" s="29">
        <f t="shared" si="5"/>
        <v>1091803.6451600003</v>
      </c>
      <c r="N17" s="29">
        <v>0</v>
      </c>
    </row>
    <row r="18" spans="1:14" x14ac:dyDescent="0.2">
      <c r="A18" s="12">
        <v>43770</v>
      </c>
      <c r="B18" s="25"/>
      <c r="C18" s="29">
        <v>9031671</v>
      </c>
      <c r="D18" s="32">
        <v>11498.5</v>
      </c>
      <c r="E18" s="32">
        <f>33534.21</f>
        <v>33534.21</v>
      </c>
      <c r="F18" s="32">
        <f>33534.21</f>
        <v>33534.21</v>
      </c>
      <c r="G18" s="29">
        <f t="shared" si="1"/>
        <v>22035.71</v>
      </c>
      <c r="H18" s="29">
        <f t="shared" si="2"/>
        <v>22035.71</v>
      </c>
      <c r="I18" s="30">
        <v>0.21</v>
      </c>
      <c r="J18" s="30">
        <v>0.05</v>
      </c>
      <c r="K18" s="29">
        <f t="shared" si="3"/>
        <v>4396.1241449999998</v>
      </c>
      <c r="L18" s="29">
        <f t="shared" si="4"/>
        <v>1101.7855</v>
      </c>
      <c r="M18" s="29">
        <f t="shared" si="5"/>
        <v>1097301.5548050003</v>
      </c>
      <c r="N18" s="29">
        <v>0</v>
      </c>
    </row>
    <row r="19" spans="1:14" x14ac:dyDescent="0.2">
      <c r="A19" s="12">
        <v>43800</v>
      </c>
      <c r="B19" s="25"/>
      <c r="C19" s="29">
        <v>9031671</v>
      </c>
      <c r="D19" s="32">
        <v>11499</v>
      </c>
      <c r="E19" s="32">
        <f>33534.21+4</f>
        <v>33538.21</v>
      </c>
      <c r="F19" s="32">
        <f>33534.21</f>
        <v>33534.21</v>
      </c>
      <c r="G19" s="29">
        <f t="shared" si="1"/>
        <v>22039.21</v>
      </c>
      <c r="H19" s="29">
        <f t="shared" si="2"/>
        <v>22035.21</v>
      </c>
      <c r="I19" s="30">
        <v>0.21</v>
      </c>
      <c r="J19" s="30">
        <v>0.05</v>
      </c>
      <c r="K19" s="29">
        <f t="shared" si="3"/>
        <v>4396.8643949999996</v>
      </c>
      <c r="L19" s="29">
        <f t="shared" si="4"/>
        <v>1101.7605000000001</v>
      </c>
      <c r="M19" s="29">
        <f t="shared" si="5"/>
        <v>1102800.1797000004</v>
      </c>
      <c r="N19" s="29">
        <v>0</v>
      </c>
    </row>
    <row r="20" spans="1:14" x14ac:dyDescent="0.2">
      <c r="A20" s="12">
        <v>43831</v>
      </c>
      <c r="B20" s="25"/>
      <c r="C20" s="29">
        <v>9031671</v>
      </c>
      <c r="D20" s="32">
        <v>11499</v>
      </c>
      <c r="E20" s="32">
        <f>33550.04-4</f>
        <v>33546.04</v>
      </c>
      <c r="F20" s="32">
        <v>33550.04</v>
      </c>
      <c r="G20" s="29">
        <f t="shared" si="1"/>
        <v>22047.040000000001</v>
      </c>
      <c r="H20" s="29">
        <f t="shared" si="2"/>
        <v>22051.040000000001</v>
      </c>
      <c r="I20" s="30">
        <v>0.21</v>
      </c>
      <c r="J20" s="30">
        <v>0.05</v>
      </c>
      <c r="K20" s="29">
        <f t="shared" si="3"/>
        <v>4398.3424799999993</v>
      </c>
      <c r="L20" s="29">
        <f t="shared" si="4"/>
        <v>1102.5520000000001</v>
      </c>
      <c r="M20" s="29">
        <f t="shared" si="5"/>
        <v>1108301.0741800005</v>
      </c>
      <c r="N20" s="29">
        <v>0</v>
      </c>
    </row>
    <row r="21" spans="1:14" x14ac:dyDescent="0.2">
      <c r="A21" s="12">
        <v>43862</v>
      </c>
      <c r="B21" s="25"/>
      <c r="C21" s="29">
        <v>9031671</v>
      </c>
      <c r="D21" s="32">
        <v>11499</v>
      </c>
      <c r="E21" s="32">
        <f>33550.04</f>
        <v>33550.04</v>
      </c>
      <c r="F21" s="32">
        <v>33550.04</v>
      </c>
      <c r="G21" s="29">
        <f t="shared" si="1"/>
        <v>22051.040000000001</v>
      </c>
      <c r="H21" s="29">
        <f t="shared" si="2"/>
        <v>22051.040000000001</v>
      </c>
      <c r="I21" s="30">
        <v>0.21</v>
      </c>
      <c r="J21" s="30">
        <v>0.05</v>
      </c>
      <c r="K21" s="29">
        <f t="shared" si="3"/>
        <v>4399.1824799999995</v>
      </c>
      <c r="L21" s="29">
        <f t="shared" si="4"/>
        <v>1102.5520000000001</v>
      </c>
      <c r="M21" s="29">
        <f t="shared" si="5"/>
        <v>1113802.8086600003</v>
      </c>
      <c r="N21" s="29">
        <v>0</v>
      </c>
    </row>
    <row r="22" spans="1:14" x14ac:dyDescent="0.2">
      <c r="A22" s="12">
        <v>43899</v>
      </c>
      <c r="B22" s="25"/>
      <c r="C22" s="29">
        <v>9031671</v>
      </c>
      <c r="D22" s="32">
        <v>11499</v>
      </c>
      <c r="E22" s="31">
        <f>33550.04</f>
        <v>33550.04</v>
      </c>
      <c r="F22" s="31">
        <v>33550.04</v>
      </c>
      <c r="G22" s="29">
        <f t="shared" si="1"/>
        <v>22051.040000000001</v>
      </c>
      <c r="H22" s="29">
        <f t="shared" si="2"/>
        <v>22051.040000000001</v>
      </c>
      <c r="I22" s="30">
        <v>0.21</v>
      </c>
      <c r="J22" s="30">
        <v>0.05</v>
      </c>
      <c r="K22" s="29">
        <f t="shared" si="3"/>
        <v>4399.1824799999995</v>
      </c>
      <c r="L22" s="29">
        <f t="shared" si="4"/>
        <v>1102.5520000000001</v>
      </c>
      <c r="M22" s="29">
        <f t="shared" si="5"/>
        <v>1119304.5431400002</v>
      </c>
      <c r="N22" s="29">
        <v>0</v>
      </c>
    </row>
    <row r="23" spans="1:14" x14ac:dyDescent="0.2">
      <c r="A23" s="12">
        <v>43922</v>
      </c>
      <c r="B23" s="25"/>
      <c r="C23" s="29">
        <v>9031671</v>
      </c>
      <c r="D23" s="32">
        <v>11499</v>
      </c>
      <c r="E23" s="31">
        <f>33550.04</f>
        <v>33550.04</v>
      </c>
      <c r="F23" s="31">
        <v>33550.04</v>
      </c>
      <c r="G23" s="29">
        <f t="shared" si="1"/>
        <v>22051.040000000001</v>
      </c>
      <c r="H23" s="29">
        <f t="shared" si="2"/>
        <v>22051.040000000001</v>
      </c>
      <c r="I23" s="30">
        <v>0.21</v>
      </c>
      <c r="J23" s="30">
        <v>0.05</v>
      </c>
      <c r="K23" s="29">
        <f t="shared" si="3"/>
        <v>4399.1824799999995</v>
      </c>
      <c r="L23" s="29">
        <f t="shared" si="4"/>
        <v>1102.5520000000001</v>
      </c>
      <c r="M23" s="29">
        <f t="shared" si="5"/>
        <v>1124806.2776200001</v>
      </c>
      <c r="N23" s="29">
        <v>0</v>
      </c>
    </row>
    <row r="24" spans="1:14" x14ac:dyDescent="0.2">
      <c r="A24" s="12">
        <v>43952</v>
      </c>
      <c r="B24" s="25"/>
      <c r="C24" s="29">
        <v>9031671</v>
      </c>
      <c r="D24" s="32">
        <v>11499</v>
      </c>
      <c r="E24" s="31">
        <f>33550.04</f>
        <v>33550.04</v>
      </c>
      <c r="F24" s="31">
        <v>33550.04</v>
      </c>
      <c r="G24" s="29">
        <f t="shared" si="1"/>
        <v>22051.040000000001</v>
      </c>
      <c r="H24" s="29">
        <f t="shared" si="2"/>
        <v>22051.040000000001</v>
      </c>
      <c r="I24" s="30">
        <v>0.21</v>
      </c>
      <c r="J24" s="30">
        <v>0.05</v>
      </c>
      <c r="K24" s="29">
        <f t="shared" si="3"/>
        <v>4399.1824799999995</v>
      </c>
      <c r="L24" s="29">
        <f t="shared" si="4"/>
        <v>1102.5520000000001</v>
      </c>
      <c r="M24" s="29">
        <f t="shared" si="5"/>
        <v>1130308.0120999999</v>
      </c>
      <c r="N24" s="29">
        <v>0</v>
      </c>
    </row>
    <row r="25" spans="1:14" x14ac:dyDescent="0.2">
      <c r="A25" s="12">
        <v>43983</v>
      </c>
      <c r="B25" s="25"/>
      <c r="C25" s="29">
        <v>9031671</v>
      </c>
      <c r="D25" s="32">
        <v>11499</v>
      </c>
      <c r="E25" s="31">
        <f>-5981464.14-12538</f>
        <v>-5994002.1399999997</v>
      </c>
      <c r="F25" s="31">
        <v>0</v>
      </c>
      <c r="G25" s="29">
        <f t="shared" si="1"/>
        <v>-6005501.1399999997</v>
      </c>
      <c r="H25" s="29">
        <f t="shared" si="2"/>
        <v>-11499</v>
      </c>
      <c r="I25" s="30">
        <v>0.21</v>
      </c>
      <c r="J25" s="30">
        <v>0.05</v>
      </c>
      <c r="K25" s="29">
        <f t="shared" si="3"/>
        <v>-1261034.4998999999</v>
      </c>
      <c r="L25" s="29">
        <f t="shared" si="4"/>
        <v>-574.95000000000005</v>
      </c>
      <c r="M25" s="29">
        <f t="shared" si="5"/>
        <v>-131301.43780000001</v>
      </c>
      <c r="N25" s="29">
        <v>0</v>
      </c>
    </row>
    <row r="26" spans="1:14" x14ac:dyDescent="0.2">
      <c r="A26" s="12">
        <v>44013</v>
      </c>
      <c r="B26" s="25"/>
      <c r="C26" s="29">
        <v>9031671</v>
      </c>
      <c r="D26" s="32">
        <v>11499</v>
      </c>
      <c r="E26" s="31">
        <f>33550.04+4</f>
        <v>33554.04</v>
      </c>
      <c r="F26" s="31">
        <v>33550.04</v>
      </c>
      <c r="G26" s="29">
        <f t="shared" si="1"/>
        <v>22055.040000000001</v>
      </c>
      <c r="H26" s="29">
        <f t="shared" si="2"/>
        <v>22051.040000000001</v>
      </c>
      <c r="I26" s="30">
        <v>0.21</v>
      </c>
      <c r="J26" s="30">
        <v>0.05</v>
      </c>
      <c r="K26" s="29">
        <f t="shared" si="3"/>
        <v>4400.0224799999996</v>
      </c>
      <c r="L26" s="29">
        <f t="shared" si="4"/>
        <v>1102.5520000000001</v>
      </c>
      <c r="M26" s="29">
        <f t="shared" si="5"/>
        <v>-125798.86332000002</v>
      </c>
      <c r="N26" s="29">
        <v>0</v>
      </c>
    </row>
    <row r="27" spans="1:14" x14ac:dyDescent="0.2">
      <c r="A27" s="12">
        <v>44044</v>
      </c>
      <c r="B27" s="25"/>
      <c r="C27" s="29">
        <v>9031671</v>
      </c>
      <c r="D27" s="32">
        <v>11499</v>
      </c>
      <c r="E27" s="31">
        <f>33550.04-4</f>
        <v>33546.04</v>
      </c>
      <c r="F27" s="31">
        <v>33550.04</v>
      </c>
      <c r="G27" s="29">
        <f t="shared" si="1"/>
        <v>22047.040000000001</v>
      </c>
      <c r="H27" s="29">
        <f t="shared" si="2"/>
        <v>22051.040000000001</v>
      </c>
      <c r="I27" s="30">
        <v>0.21</v>
      </c>
      <c r="J27" s="30">
        <v>0.05</v>
      </c>
      <c r="K27" s="29">
        <f t="shared" si="3"/>
        <v>4398.3424799999993</v>
      </c>
      <c r="L27" s="29">
        <f t="shared" si="4"/>
        <v>1102.5520000000001</v>
      </c>
      <c r="M27" s="29">
        <f t="shared" si="5"/>
        <v>-120297.96884000002</v>
      </c>
      <c r="N27" s="29">
        <v>0</v>
      </c>
    </row>
    <row r="28" spans="1:14" x14ac:dyDescent="0.2">
      <c r="A28" s="12">
        <v>44083</v>
      </c>
      <c r="B28" s="25"/>
      <c r="C28" s="29">
        <v>9031671</v>
      </c>
      <c r="D28" s="32">
        <v>11499</v>
      </c>
      <c r="E28" s="31">
        <v>33550.04</v>
      </c>
      <c r="F28" s="31">
        <v>33550.04</v>
      </c>
      <c r="G28" s="29">
        <f t="shared" si="1"/>
        <v>22051.040000000001</v>
      </c>
      <c r="H28" s="29">
        <f t="shared" si="2"/>
        <v>22051.040000000001</v>
      </c>
      <c r="I28" s="30">
        <v>0.21</v>
      </c>
      <c r="J28" s="30">
        <v>0.05</v>
      </c>
      <c r="K28" s="29">
        <f t="shared" si="3"/>
        <v>4399.1824799999995</v>
      </c>
      <c r="L28" s="29">
        <f t="shared" si="4"/>
        <v>1102.5520000000001</v>
      </c>
      <c r="M28" s="29">
        <f t="shared" si="5"/>
        <v>-114796.23436000002</v>
      </c>
      <c r="N28" s="29">
        <v>0</v>
      </c>
    </row>
    <row r="29" spans="1:14" x14ac:dyDescent="0.2">
      <c r="A29" s="12">
        <v>44105</v>
      </c>
      <c r="B29" s="25"/>
      <c r="C29" s="29">
        <v>9031671</v>
      </c>
      <c r="D29" s="32">
        <v>11499</v>
      </c>
      <c r="E29" s="31">
        <f>33550.04+4</f>
        <v>33554.04</v>
      </c>
      <c r="F29" s="31">
        <v>33550.04</v>
      </c>
      <c r="G29" s="29">
        <f t="shared" si="1"/>
        <v>22055.040000000001</v>
      </c>
      <c r="H29" s="29">
        <f t="shared" si="2"/>
        <v>22051.040000000001</v>
      </c>
      <c r="I29" s="30">
        <v>0.21</v>
      </c>
      <c r="J29" s="30">
        <v>0.05</v>
      </c>
      <c r="K29" s="29">
        <f t="shared" si="3"/>
        <v>4400.0224799999996</v>
      </c>
      <c r="L29" s="29">
        <f t="shared" si="4"/>
        <v>1102.5520000000001</v>
      </c>
      <c r="M29" s="29">
        <f t="shared" si="5"/>
        <v>-109293.65988000002</v>
      </c>
      <c r="N29" s="29">
        <v>0</v>
      </c>
    </row>
    <row r="30" spans="1:14" x14ac:dyDescent="0.2">
      <c r="A30" s="12">
        <v>44136</v>
      </c>
      <c r="B30" s="25"/>
      <c r="C30" s="29">
        <v>9031671</v>
      </c>
      <c r="D30" s="32">
        <v>11499</v>
      </c>
      <c r="E30" s="31">
        <f>33550.04-4</f>
        <v>33546.04</v>
      </c>
      <c r="F30" s="31">
        <v>33550.04</v>
      </c>
      <c r="G30" s="29">
        <f t="shared" si="1"/>
        <v>22047.040000000001</v>
      </c>
      <c r="H30" s="29">
        <f t="shared" si="2"/>
        <v>22051.040000000001</v>
      </c>
      <c r="I30" s="30">
        <v>0.21</v>
      </c>
      <c r="J30" s="30">
        <v>0.05</v>
      </c>
      <c r="K30" s="29">
        <f t="shared" si="3"/>
        <v>4398.3424799999993</v>
      </c>
      <c r="L30" s="29">
        <f t="shared" si="4"/>
        <v>1102.5520000000001</v>
      </c>
      <c r="M30" s="29">
        <f t="shared" si="5"/>
        <v>-103792.76540000003</v>
      </c>
      <c r="N30" s="29">
        <v>0</v>
      </c>
    </row>
    <row r="31" spans="1:14" x14ac:dyDescent="0.2">
      <c r="A31" s="12">
        <v>44166</v>
      </c>
      <c r="B31" s="25"/>
      <c r="C31" s="29">
        <v>9031671</v>
      </c>
      <c r="D31" s="32">
        <v>11499</v>
      </c>
      <c r="E31" s="31">
        <f>33550.04-2</f>
        <v>33548.04</v>
      </c>
      <c r="F31" s="31">
        <v>33550.04</v>
      </c>
      <c r="G31" s="29">
        <f t="shared" si="1"/>
        <v>22049.040000000001</v>
      </c>
      <c r="H31" s="29">
        <f t="shared" si="2"/>
        <v>22051.040000000001</v>
      </c>
      <c r="I31" s="30">
        <v>0.21</v>
      </c>
      <c r="J31" s="30">
        <v>0.05</v>
      </c>
      <c r="K31" s="29">
        <f t="shared" si="3"/>
        <v>4398.7624799999994</v>
      </c>
      <c r="L31" s="29">
        <f t="shared" si="4"/>
        <v>1102.5520000000001</v>
      </c>
      <c r="M31" s="29">
        <f t="shared" si="5"/>
        <v>-98291.450920000032</v>
      </c>
      <c r="N31" s="29">
        <v>0</v>
      </c>
    </row>
    <row r="32" spans="1:14" x14ac:dyDescent="0.2">
      <c r="A32" s="12">
        <v>44197</v>
      </c>
      <c r="B32" s="25"/>
      <c r="C32" s="29">
        <v>9031671</v>
      </c>
      <c r="D32" s="32">
        <v>11499</v>
      </c>
      <c r="E32" s="31">
        <f>33579.22</f>
        <v>33579.22</v>
      </c>
      <c r="F32" s="31">
        <f>33579.22</f>
        <v>33579.22</v>
      </c>
      <c r="G32" s="29">
        <f t="shared" si="1"/>
        <v>22080.22</v>
      </c>
      <c r="H32" s="29">
        <f t="shared" si="2"/>
        <v>22080.22</v>
      </c>
      <c r="I32" s="30">
        <v>0.21</v>
      </c>
      <c r="J32" s="30">
        <v>0.05</v>
      </c>
      <c r="K32" s="29">
        <f t="shared" si="3"/>
        <v>4405.00389</v>
      </c>
      <c r="L32" s="29">
        <f t="shared" si="4"/>
        <v>1104.0110000000002</v>
      </c>
      <c r="M32" s="29">
        <f t="shared" si="5"/>
        <v>-92782.436030000041</v>
      </c>
      <c r="N32" s="29">
        <v>0</v>
      </c>
    </row>
    <row r="33" spans="1:14" x14ac:dyDescent="0.2">
      <c r="A33" s="12">
        <v>44228</v>
      </c>
      <c r="B33" s="25"/>
      <c r="C33" s="29">
        <v>9031671</v>
      </c>
      <c r="D33" s="32">
        <v>11499</v>
      </c>
      <c r="E33" s="31">
        <f>33579.22</f>
        <v>33579.22</v>
      </c>
      <c r="F33" s="31">
        <f>33579.22</f>
        <v>33579.22</v>
      </c>
      <c r="G33" s="29">
        <f t="shared" si="1"/>
        <v>22080.22</v>
      </c>
      <c r="H33" s="29">
        <f t="shared" si="2"/>
        <v>22080.22</v>
      </c>
      <c r="I33" s="30">
        <v>0.21</v>
      </c>
      <c r="J33" s="30">
        <v>0.05</v>
      </c>
      <c r="K33" s="29">
        <f t="shared" si="3"/>
        <v>4405.00389</v>
      </c>
      <c r="L33" s="29">
        <f t="shared" si="4"/>
        <v>1104.0110000000002</v>
      </c>
      <c r="M33" s="29">
        <f t="shared" si="5"/>
        <v>-87273.421140000049</v>
      </c>
      <c r="N33" s="29">
        <v>0</v>
      </c>
    </row>
  </sheetData>
  <mergeCells count="1">
    <mergeCell ref="A1:N1"/>
  </mergeCells>
  <pageMargins left="0.7" right="0.7" top="1.15625" bottom="0.75" header="0.3" footer="0.3"/>
  <pageSetup scale="52" orientation="portrait" r:id="rId1"/>
  <headerFooter>
    <oddHeader>&amp;R&amp;"Times New Roman,Bold"&amp;12Attachment to Response to Question 3
Page 5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9E83A-D3A6-4567-AA9F-20A0B4351956}">
  <dimension ref="A1:P67"/>
  <sheetViews>
    <sheetView zoomScaleNormal="100" workbookViewId="0">
      <selection sqref="A1:N1"/>
    </sheetView>
  </sheetViews>
  <sheetFormatPr defaultRowHeight="12.75" x14ac:dyDescent="0.2"/>
  <cols>
    <col min="1" max="1" width="11.28515625" style="9" customWidth="1"/>
    <col min="2" max="2" width="1.7109375" customWidth="1"/>
    <col min="3" max="3" width="14" customWidth="1"/>
    <col min="4" max="4" width="14.28515625" bestFit="1" customWidth="1"/>
    <col min="5" max="5" width="17.140625" customWidth="1"/>
    <col min="6" max="6" width="15.285156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bestFit="1" customWidth="1"/>
  </cols>
  <sheetData>
    <row r="1" spans="1:16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6" x14ac:dyDescent="0.2">
      <c r="A2" s="2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x14ac:dyDescent="0.2">
      <c r="A5" s="4" t="s">
        <v>3</v>
      </c>
    </row>
    <row r="6" spans="1:16" x14ac:dyDescent="0.2">
      <c r="A6" s="5" t="s">
        <v>43</v>
      </c>
    </row>
    <row r="8" spans="1:16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6" x14ac:dyDescent="0.2">
      <c r="A9" s="9" t="s">
        <v>18</v>
      </c>
      <c r="M9" s="10">
        <v>727694</v>
      </c>
    </row>
    <row r="10" spans="1:16" x14ac:dyDescent="0.2">
      <c r="A10" s="12">
        <v>43533</v>
      </c>
      <c r="C10" s="13">
        <v>5154734</v>
      </c>
      <c r="D10" s="14">
        <v>7754</v>
      </c>
      <c r="E10" s="14">
        <f>10059.62</f>
        <v>10059.620000000001</v>
      </c>
      <c r="F10" s="14">
        <f>19010.31</f>
        <v>19010.310000000001</v>
      </c>
      <c r="G10" s="13">
        <f t="shared" ref="G10:G20" si="0">E10-D10</f>
        <v>2305.6200000000008</v>
      </c>
      <c r="H10" s="13">
        <f t="shared" ref="H10:H33" si="1">F10-D10</f>
        <v>11256.310000000001</v>
      </c>
      <c r="I10" s="15">
        <v>0.21</v>
      </c>
      <c r="J10" s="15">
        <v>0.05</v>
      </c>
      <c r="K10" s="13">
        <f t="shared" ref="K10:K33" si="2">G10*I10-L10*I10</f>
        <v>365.98894500000011</v>
      </c>
      <c r="L10" s="13">
        <f t="shared" ref="L10:L33" si="3">H10*J10</f>
        <v>562.81550000000004</v>
      </c>
      <c r="M10" s="13">
        <f t="shared" ref="M10:M33" si="4">M9+K10+L10</f>
        <v>728622.80444500002</v>
      </c>
      <c r="N10" s="13">
        <v>0</v>
      </c>
      <c r="O10" s="11"/>
      <c r="P10" s="17"/>
    </row>
    <row r="11" spans="1:16" x14ac:dyDescent="0.2">
      <c r="A11" s="12">
        <v>43556</v>
      </c>
      <c r="C11" s="13">
        <v>66431266</v>
      </c>
      <c r="D11" s="14">
        <v>68265</v>
      </c>
      <c r="E11" s="14">
        <f>(2886652.35-63340)*0+2167504.17+665800</f>
        <v>2833304.17</v>
      </c>
      <c r="F11" s="14">
        <f>(274329.19-3000)*0+210499.47+7720</f>
        <v>218219.47</v>
      </c>
      <c r="G11" s="13">
        <f t="shared" si="0"/>
        <v>2765039.17</v>
      </c>
      <c r="H11" s="13">
        <f t="shared" si="1"/>
        <v>149954.47</v>
      </c>
      <c r="I11" s="15">
        <v>0.21</v>
      </c>
      <c r="J11" s="15">
        <v>0.05</v>
      </c>
      <c r="K11" s="13">
        <f t="shared" si="2"/>
        <v>579083.70376499998</v>
      </c>
      <c r="L11" s="13">
        <f t="shared" si="3"/>
        <v>7497.7235000000001</v>
      </c>
      <c r="M11" s="13">
        <f t="shared" si="4"/>
        <v>1315204.2317100002</v>
      </c>
      <c r="N11" s="13">
        <v>0</v>
      </c>
      <c r="O11" s="11"/>
      <c r="P11" s="17"/>
    </row>
    <row r="12" spans="1:16" x14ac:dyDescent="0.2">
      <c r="A12" s="12">
        <v>43586</v>
      </c>
      <c r="C12" s="13">
        <v>67001710</v>
      </c>
      <c r="D12" s="14">
        <v>118939</v>
      </c>
      <c r="E12" s="14">
        <f>(2886652.35-63340)*0+2167504.17+665800+71405</f>
        <v>2904709.17</v>
      </c>
      <c r="F12" s="14">
        <f>(274329.19-3000)*0+210499.47+7720+2600</f>
        <v>220819.47</v>
      </c>
      <c r="G12" s="13">
        <f t="shared" si="0"/>
        <v>2785770.17</v>
      </c>
      <c r="H12" s="13">
        <f t="shared" si="1"/>
        <v>101880.47</v>
      </c>
      <c r="I12" s="15">
        <v>0.21</v>
      </c>
      <c r="J12" s="15">
        <v>0.05</v>
      </c>
      <c r="K12" s="13">
        <f t="shared" si="2"/>
        <v>583941.990765</v>
      </c>
      <c r="L12" s="13">
        <f t="shared" si="3"/>
        <v>5094.0235000000002</v>
      </c>
      <c r="M12" s="13">
        <f t="shared" si="4"/>
        <v>1904240.2459750001</v>
      </c>
      <c r="N12" s="13">
        <v>0</v>
      </c>
      <c r="O12" s="23"/>
      <c r="P12" s="17"/>
    </row>
    <row r="13" spans="1:16" x14ac:dyDescent="0.2">
      <c r="A13" s="12">
        <v>43617</v>
      </c>
      <c r="C13" s="13">
        <v>67001710</v>
      </c>
      <c r="D13" s="14">
        <v>118939</v>
      </c>
      <c r="E13" s="14">
        <f>(2886652.35-63340)*0+2167504.17+665800+71405-4</f>
        <v>2904705.17</v>
      </c>
      <c r="F13" s="14">
        <f>(274329.19-3000)*0+210499.47+7720+2600</f>
        <v>220819.47</v>
      </c>
      <c r="G13" s="13">
        <f t="shared" si="0"/>
        <v>2785766.17</v>
      </c>
      <c r="H13" s="13">
        <f t="shared" si="1"/>
        <v>101880.47</v>
      </c>
      <c r="I13" s="15">
        <v>0.21</v>
      </c>
      <c r="J13" s="15">
        <v>0.05</v>
      </c>
      <c r="K13" s="13">
        <f t="shared" si="2"/>
        <v>583941.15076500003</v>
      </c>
      <c r="L13" s="13">
        <f t="shared" si="3"/>
        <v>5094.0235000000002</v>
      </c>
      <c r="M13" s="13">
        <f t="shared" si="4"/>
        <v>2493275.4202400004</v>
      </c>
      <c r="N13" s="13">
        <v>0</v>
      </c>
      <c r="O13" s="23"/>
      <c r="P13" s="17"/>
    </row>
    <row r="14" spans="1:16" x14ac:dyDescent="0.2">
      <c r="A14" s="12">
        <v>43647</v>
      </c>
      <c r="C14" s="13">
        <v>67001710</v>
      </c>
      <c r="D14" s="14">
        <v>118939</v>
      </c>
      <c r="E14" s="14">
        <f>(2886652.35-63340)*0+2167504.17+665800+71405-4-1</f>
        <v>2904704.17</v>
      </c>
      <c r="F14" s="14">
        <f>(274329.19-3000)*0+210499.47+7720+2600</f>
        <v>220819.47</v>
      </c>
      <c r="G14" s="13">
        <f t="shared" si="0"/>
        <v>2785765.17</v>
      </c>
      <c r="H14" s="13">
        <f t="shared" si="1"/>
        <v>101880.47</v>
      </c>
      <c r="I14" s="15">
        <v>0.21</v>
      </c>
      <c r="J14" s="15">
        <v>0.05</v>
      </c>
      <c r="K14" s="13">
        <f t="shared" si="2"/>
        <v>583940.94076499995</v>
      </c>
      <c r="L14" s="13">
        <f t="shared" si="3"/>
        <v>5094.0235000000002</v>
      </c>
      <c r="M14" s="13">
        <f t="shared" si="4"/>
        <v>3082310.3845050004</v>
      </c>
      <c r="N14" s="13">
        <v>0</v>
      </c>
      <c r="O14" s="13"/>
      <c r="P14" s="17"/>
    </row>
    <row r="15" spans="1:16" x14ac:dyDescent="0.2">
      <c r="A15" s="12">
        <v>43678</v>
      </c>
      <c r="C15" s="13">
        <v>67001710</v>
      </c>
      <c r="D15" s="14">
        <v>118939</v>
      </c>
      <c r="E15" s="14">
        <f>(2886652.35-63340)*0+2167504.17+665800+71405-4-1</f>
        <v>2904704.17</v>
      </c>
      <c r="F15" s="14">
        <f>(274329.19-3000)*0+210499.47+7720+2600</f>
        <v>220819.47</v>
      </c>
      <c r="G15" s="13">
        <f t="shared" si="0"/>
        <v>2785765.17</v>
      </c>
      <c r="H15" s="13">
        <f t="shared" si="1"/>
        <v>101880.47</v>
      </c>
      <c r="I15" s="15">
        <v>0.21</v>
      </c>
      <c r="J15" s="15">
        <v>0.05</v>
      </c>
      <c r="K15" s="13">
        <f t="shared" si="2"/>
        <v>583940.94076499995</v>
      </c>
      <c r="L15" s="13">
        <f t="shared" si="3"/>
        <v>5094.0235000000002</v>
      </c>
      <c r="M15" s="13">
        <f t="shared" si="4"/>
        <v>3671345.3487700005</v>
      </c>
      <c r="N15" s="13">
        <v>0</v>
      </c>
      <c r="P15" s="17"/>
    </row>
    <row r="16" spans="1:16" x14ac:dyDescent="0.2">
      <c r="A16" s="12">
        <v>43717</v>
      </c>
      <c r="B16" s="25"/>
      <c r="C16" s="29">
        <v>67001710</v>
      </c>
      <c r="D16" s="32">
        <v>118939</v>
      </c>
      <c r="E16" s="32">
        <f>2886652.35+7991.83</f>
        <v>2894644.18</v>
      </c>
      <c r="F16" s="32">
        <f>274329.19</f>
        <v>274329.19</v>
      </c>
      <c r="G16" s="29">
        <f t="shared" si="0"/>
        <v>2775705.18</v>
      </c>
      <c r="H16" s="29">
        <f t="shared" si="1"/>
        <v>155390.19</v>
      </c>
      <c r="I16" s="30">
        <v>0.21</v>
      </c>
      <c r="J16" s="30">
        <v>0.05</v>
      </c>
      <c r="K16" s="29">
        <f t="shared" si="2"/>
        <v>581266.49080499995</v>
      </c>
      <c r="L16" s="29">
        <f t="shared" si="3"/>
        <v>7769.5095000000001</v>
      </c>
      <c r="M16" s="29">
        <f t="shared" si="4"/>
        <v>4260381.3490749998</v>
      </c>
      <c r="N16" s="29">
        <v>0</v>
      </c>
    </row>
    <row r="17" spans="1:14" x14ac:dyDescent="0.2">
      <c r="A17" s="12">
        <v>43739</v>
      </c>
      <c r="B17" s="25"/>
      <c r="C17" s="29">
        <v>67001710</v>
      </c>
      <c r="D17" s="32">
        <v>118939.49</v>
      </c>
      <c r="E17" s="32">
        <f>2886652.35+7991.83-4</f>
        <v>2894640.18</v>
      </c>
      <c r="F17" s="32">
        <f>274329.19</f>
        <v>274329.19</v>
      </c>
      <c r="G17" s="29">
        <f t="shared" si="0"/>
        <v>2775700.69</v>
      </c>
      <c r="H17" s="29">
        <f t="shared" si="1"/>
        <v>155389.70000000001</v>
      </c>
      <c r="I17" s="30">
        <v>0.21</v>
      </c>
      <c r="J17" s="30">
        <v>0.05</v>
      </c>
      <c r="K17" s="29">
        <f t="shared" si="2"/>
        <v>581265.55304999999</v>
      </c>
      <c r="L17" s="29">
        <f t="shared" si="3"/>
        <v>7769.4850000000006</v>
      </c>
      <c r="M17" s="29">
        <f t="shared" si="4"/>
        <v>4849416.3871250004</v>
      </c>
      <c r="N17" s="29">
        <v>0</v>
      </c>
    </row>
    <row r="18" spans="1:14" x14ac:dyDescent="0.2">
      <c r="A18" s="12">
        <v>43770</v>
      </c>
      <c r="B18" s="25"/>
      <c r="C18" s="29">
        <v>67001710</v>
      </c>
      <c r="D18" s="32">
        <v>118939.49</v>
      </c>
      <c r="E18" s="32">
        <f>2886652.35+7991.83-4</f>
        <v>2894640.18</v>
      </c>
      <c r="F18" s="32">
        <f>274329.19</f>
        <v>274329.19</v>
      </c>
      <c r="G18" s="29">
        <f t="shared" si="0"/>
        <v>2775700.69</v>
      </c>
      <c r="H18" s="29">
        <f t="shared" si="1"/>
        <v>155389.70000000001</v>
      </c>
      <c r="I18" s="30">
        <v>0.21</v>
      </c>
      <c r="J18" s="30">
        <v>0.05</v>
      </c>
      <c r="K18" s="29">
        <f t="shared" si="2"/>
        <v>581265.55304999999</v>
      </c>
      <c r="L18" s="29">
        <f t="shared" si="3"/>
        <v>7769.4850000000006</v>
      </c>
      <c r="M18" s="29">
        <f t="shared" si="4"/>
        <v>5438451.4251750009</v>
      </c>
      <c r="N18" s="29">
        <v>0</v>
      </c>
    </row>
    <row r="19" spans="1:14" x14ac:dyDescent="0.2">
      <c r="A19" s="12">
        <v>43800</v>
      </c>
      <c r="B19" s="25"/>
      <c r="C19" s="29">
        <v>67210831</v>
      </c>
      <c r="D19" s="32">
        <v>119128</v>
      </c>
      <c r="E19" s="32">
        <f>2894494.4+7988.22</f>
        <v>2902482.62</v>
      </c>
      <c r="F19" s="32">
        <f>282171.25</f>
        <v>282171.25</v>
      </c>
      <c r="G19" s="29">
        <f t="shared" si="0"/>
        <v>2783354.62</v>
      </c>
      <c r="H19" s="29">
        <f t="shared" si="1"/>
        <v>163043.25</v>
      </c>
      <c r="I19" s="30">
        <v>0.21</v>
      </c>
      <c r="J19" s="30">
        <v>0.05</v>
      </c>
      <c r="K19" s="29">
        <f t="shared" si="2"/>
        <v>582792.51607499993</v>
      </c>
      <c r="L19" s="29">
        <f t="shared" si="3"/>
        <v>8152.1625000000004</v>
      </c>
      <c r="M19" s="29">
        <f t="shared" si="4"/>
        <v>6029396.1037500007</v>
      </c>
      <c r="N19" s="29">
        <v>0</v>
      </c>
    </row>
    <row r="20" spans="1:14" x14ac:dyDescent="0.2">
      <c r="A20" s="12">
        <v>43831</v>
      </c>
      <c r="B20" s="25"/>
      <c r="C20" s="29">
        <v>93459222</v>
      </c>
      <c r="D20" s="32">
        <v>143050</v>
      </c>
      <c r="E20" s="32">
        <f>755729.88-21753</f>
        <v>733976.88</v>
      </c>
      <c r="F20" s="32">
        <f>469499.6-21753</f>
        <v>447746.6</v>
      </c>
      <c r="G20" s="29">
        <f t="shared" si="0"/>
        <v>590926.88</v>
      </c>
      <c r="H20" s="29">
        <f t="shared" si="1"/>
        <v>304696.59999999998</v>
      </c>
      <c r="I20" s="30">
        <v>0.21</v>
      </c>
      <c r="J20" s="30">
        <v>0.05</v>
      </c>
      <c r="K20" s="29">
        <f t="shared" si="2"/>
        <v>120895.3305</v>
      </c>
      <c r="L20" s="29">
        <f t="shared" si="3"/>
        <v>15234.83</v>
      </c>
      <c r="M20" s="29">
        <f t="shared" si="4"/>
        <v>6165526.2642500009</v>
      </c>
      <c r="N20" s="29">
        <v>0</v>
      </c>
    </row>
    <row r="21" spans="1:14" x14ac:dyDescent="0.2">
      <c r="A21" s="12">
        <v>43862</v>
      </c>
      <c r="B21" s="25"/>
      <c r="C21" s="29">
        <v>93459222</v>
      </c>
      <c r="D21" s="32">
        <v>166873</v>
      </c>
      <c r="E21" s="32">
        <f>755730+2070</f>
        <v>757800</v>
      </c>
      <c r="F21" s="32">
        <f>469500+2070</f>
        <v>471570</v>
      </c>
      <c r="G21" s="29">
        <f>E21-D21</f>
        <v>590927</v>
      </c>
      <c r="H21" s="29">
        <f t="shared" si="1"/>
        <v>304697</v>
      </c>
      <c r="I21" s="30">
        <v>0.21</v>
      </c>
      <c r="J21" s="30">
        <v>0.05</v>
      </c>
      <c r="K21" s="29">
        <f t="shared" si="2"/>
        <v>120895.3515</v>
      </c>
      <c r="L21" s="29">
        <f t="shared" si="3"/>
        <v>15234.85</v>
      </c>
      <c r="M21" s="29">
        <f t="shared" si="4"/>
        <v>6301656.4657500004</v>
      </c>
      <c r="N21" s="29">
        <v>0</v>
      </c>
    </row>
    <row r="22" spans="1:14" x14ac:dyDescent="0.2">
      <c r="A22" s="12">
        <v>43899</v>
      </c>
      <c r="B22" s="25"/>
      <c r="C22" s="29">
        <v>93459222</v>
      </c>
      <c r="D22" s="32">
        <v>166783.49</v>
      </c>
      <c r="E22" s="32">
        <f>755730+1975.8</f>
        <v>757705.8</v>
      </c>
      <c r="F22" s="32">
        <f>469500+1975.8</f>
        <v>471475.8</v>
      </c>
      <c r="G22" s="29">
        <f t="shared" ref="G22:G33" si="5">E22-D22</f>
        <v>590922.31000000006</v>
      </c>
      <c r="H22" s="29">
        <f t="shared" si="1"/>
        <v>304692.31</v>
      </c>
      <c r="I22" s="30">
        <v>0.21</v>
      </c>
      <c r="J22" s="30">
        <v>0.05</v>
      </c>
      <c r="K22" s="29">
        <f t="shared" si="2"/>
        <v>120894.415845</v>
      </c>
      <c r="L22" s="29">
        <f t="shared" si="3"/>
        <v>15234.6155</v>
      </c>
      <c r="M22" s="29">
        <f t="shared" si="4"/>
        <v>6437785.4970950009</v>
      </c>
      <c r="N22" s="29">
        <v>0</v>
      </c>
    </row>
    <row r="23" spans="1:14" x14ac:dyDescent="0.2">
      <c r="A23" s="12">
        <v>43922</v>
      </c>
      <c r="B23" s="25"/>
      <c r="C23" s="29">
        <v>93460623</v>
      </c>
      <c r="D23" s="32">
        <v>166784</v>
      </c>
      <c r="E23" s="32">
        <f>755730+2073-235+146</f>
        <v>757714</v>
      </c>
      <c r="F23" s="32">
        <f>469500+2073-235+146</f>
        <v>471484</v>
      </c>
      <c r="G23" s="29">
        <f t="shared" si="5"/>
        <v>590930</v>
      </c>
      <c r="H23" s="29">
        <f t="shared" si="1"/>
        <v>304700</v>
      </c>
      <c r="I23" s="30">
        <v>0.21</v>
      </c>
      <c r="J23" s="30">
        <v>0.05</v>
      </c>
      <c r="K23" s="29">
        <f t="shared" si="2"/>
        <v>120895.94999999998</v>
      </c>
      <c r="L23" s="29">
        <f t="shared" si="3"/>
        <v>15235</v>
      </c>
      <c r="M23" s="29">
        <f t="shared" si="4"/>
        <v>6573916.4470950011</v>
      </c>
      <c r="N23" s="29">
        <v>0</v>
      </c>
    </row>
    <row r="24" spans="1:14" x14ac:dyDescent="0.2">
      <c r="A24" s="12">
        <v>43952</v>
      </c>
      <c r="B24" s="25"/>
      <c r="C24" s="29">
        <v>93477016</v>
      </c>
      <c r="D24" s="32">
        <v>166785.49</v>
      </c>
      <c r="E24" s="32">
        <f>755730+2073-235+143</f>
        <v>757711</v>
      </c>
      <c r="F24" s="32">
        <f>469500+2073-235+143</f>
        <v>471481</v>
      </c>
      <c r="G24" s="29">
        <f t="shared" si="5"/>
        <v>590925.51</v>
      </c>
      <c r="H24" s="29">
        <f t="shared" si="1"/>
        <v>304695.51</v>
      </c>
      <c r="I24" s="30">
        <v>0.21</v>
      </c>
      <c r="J24" s="30">
        <v>0.05</v>
      </c>
      <c r="K24" s="29">
        <f t="shared" si="2"/>
        <v>120895.05424499999</v>
      </c>
      <c r="L24" s="29">
        <f t="shared" si="3"/>
        <v>15234.775500000002</v>
      </c>
      <c r="M24" s="29">
        <f t="shared" si="4"/>
        <v>6710046.2768400013</v>
      </c>
      <c r="N24" s="29">
        <v>0</v>
      </c>
    </row>
    <row r="25" spans="1:14" x14ac:dyDescent="0.2">
      <c r="A25" s="12">
        <v>43983</v>
      </c>
      <c r="B25" s="25"/>
      <c r="C25" s="29">
        <v>93477016</v>
      </c>
      <c r="D25" s="32">
        <v>166785</v>
      </c>
      <c r="E25" s="32">
        <f>755730+2073-235+145</f>
        <v>757713</v>
      </c>
      <c r="F25" s="32">
        <f>469500+2073-235+145</f>
        <v>471483</v>
      </c>
      <c r="G25" s="29">
        <f t="shared" si="5"/>
        <v>590928</v>
      </c>
      <c r="H25" s="29">
        <f t="shared" si="1"/>
        <v>304698</v>
      </c>
      <c r="I25" s="30">
        <v>0.21</v>
      </c>
      <c r="J25" s="30">
        <v>0.05</v>
      </c>
      <c r="K25" s="29">
        <f t="shared" si="2"/>
        <v>120895.55099999999</v>
      </c>
      <c r="L25" s="29">
        <f t="shared" si="3"/>
        <v>15234.900000000001</v>
      </c>
      <c r="M25" s="29">
        <f t="shared" si="4"/>
        <v>6846176.7278400017</v>
      </c>
      <c r="N25" s="29">
        <v>0</v>
      </c>
    </row>
    <row r="26" spans="1:14" x14ac:dyDescent="0.2">
      <c r="A26" s="12">
        <v>44013</v>
      </c>
      <c r="B26" s="25"/>
      <c r="C26" s="29">
        <v>93477016</v>
      </c>
      <c r="D26" s="32">
        <v>166785</v>
      </c>
      <c r="E26" s="32">
        <f>755730+2073-235+145</f>
        <v>757713</v>
      </c>
      <c r="F26" s="32">
        <f>469500+2073-235+145</f>
        <v>471483</v>
      </c>
      <c r="G26" s="29">
        <f t="shared" si="5"/>
        <v>590928</v>
      </c>
      <c r="H26" s="29">
        <f t="shared" si="1"/>
        <v>304698</v>
      </c>
      <c r="I26" s="30">
        <v>0.21</v>
      </c>
      <c r="J26" s="30">
        <v>0.05</v>
      </c>
      <c r="K26" s="29">
        <f t="shared" si="2"/>
        <v>120895.55099999999</v>
      </c>
      <c r="L26" s="29">
        <f t="shared" si="3"/>
        <v>15234.900000000001</v>
      </c>
      <c r="M26" s="29">
        <f t="shared" si="4"/>
        <v>6982307.178840002</v>
      </c>
      <c r="N26" s="29">
        <v>0</v>
      </c>
    </row>
    <row r="27" spans="1:14" x14ac:dyDescent="0.2">
      <c r="A27" s="12">
        <v>44044</v>
      </c>
      <c r="B27" s="25"/>
      <c r="C27" s="29">
        <v>93477016</v>
      </c>
      <c r="D27" s="32">
        <v>166785</v>
      </c>
      <c r="E27" s="32">
        <f>755730+2073-235+145</f>
        <v>757713</v>
      </c>
      <c r="F27" s="32">
        <f>469500+2073-235+145</f>
        <v>471483</v>
      </c>
      <c r="G27" s="29">
        <f t="shared" si="5"/>
        <v>590928</v>
      </c>
      <c r="H27" s="29">
        <f t="shared" si="1"/>
        <v>304698</v>
      </c>
      <c r="I27" s="30">
        <v>0.21</v>
      </c>
      <c r="J27" s="30">
        <v>0.05</v>
      </c>
      <c r="K27" s="29">
        <f t="shared" si="2"/>
        <v>120895.55099999999</v>
      </c>
      <c r="L27" s="29">
        <f t="shared" si="3"/>
        <v>15234.900000000001</v>
      </c>
      <c r="M27" s="29">
        <f t="shared" si="4"/>
        <v>7118437.6298400024</v>
      </c>
      <c r="N27" s="29">
        <v>0</v>
      </c>
    </row>
    <row r="28" spans="1:14" x14ac:dyDescent="0.2">
      <c r="A28" s="12">
        <v>44083</v>
      </c>
      <c r="B28" s="25"/>
      <c r="C28" s="29">
        <v>93477016</v>
      </c>
      <c r="D28" s="32">
        <v>166785</v>
      </c>
      <c r="E28" s="31">
        <f>755735.72+1981</f>
        <v>757716.72</v>
      </c>
      <c r="F28" s="31">
        <f>469505.44+1981</f>
        <v>471486.44</v>
      </c>
      <c r="G28" s="29">
        <f t="shared" si="5"/>
        <v>590931.72</v>
      </c>
      <c r="H28" s="29">
        <f t="shared" si="1"/>
        <v>304701.44</v>
      </c>
      <c r="I28" s="30">
        <v>0.21</v>
      </c>
      <c r="J28" s="30">
        <v>0.05</v>
      </c>
      <c r="K28" s="29">
        <f t="shared" si="2"/>
        <v>120896.29607999999</v>
      </c>
      <c r="L28" s="29">
        <f t="shared" si="3"/>
        <v>15235.072</v>
      </c>
      <c r="M28" s="29">
        <f t="shared" si="4"/>
        <v>7254568.9979200019</v>
      </c>
      <c r="N28" s="29">
        <v>0</v>
      </c>
    </row>
    <row r="29" spans="1:14" x14ac:dyDescent="0.2">
      <c r="A29" s="12">
        <v>44105</v>
      </c>
      <c r="B29" s="25"/>
      <c r="C29" s="29">
        <v>95983913</v>
      </c>
      <c r="D29" s="32">
        <v>169052</v>
      </c>
      <c r="E29" s="32">
        <f>787071.93+467</f>
        <v>787538.93</v>
      </c>
      <c r="F29" s="32">
        <f>500841.64+467</f>
        <v>501308.64</v>
      </c>
      <c r="G29" s="29">
        <f t="shared" si="5"/>
        <v>618486.93000000005</v>
      </c>
      <c r="H29" s="29">
        <f t="shared" si="1"/>
        <v>332256.64000000001</v>
      </c>
      <c r="I29" s="30">
        <v>0.21</v>
      </c>
      <c r="J29" s="30">
        <v>0.05</v>
      </c>
      <c r="K29" s="29">
        <f t="shared" si="2"/>
        <v>126393.56058</v>
      </c>
      <c r="L29" s="29">
        <f t="shared" si="3"/>
        <v>16612.832000000002</v>
      </c>
      <c r="M29" s="29">
        <f t="shared" si="4"/>
        <v>7397575.3905000025</v>
      </c>
      <c r="N29" s="29">
        <v>0</v>
      </c>
    </row>
    <row r="30" spans="1:14" x14ac:dyDescent="0.2">
      <c r="A30" s="12">
        <v>44136</v>
      </c>
      <c r="B30" s="25"/>
      <c r="C30" s="29">
        <v>95983913</v>
      </c>
      <c r="D30" s="32">
        <v>171318</v>
      </c>
      <c r="E30" s="32">
        <f>787071.93+2730</f>
        <v>789801.93</v>
      </c>
      <c r="F30" s="32">
        <f>500841.64+2730</f>
        <v>503571.64</v>
      </c>
      <c r="G30" s="29">
        <f t="shared" si="5"/>
        <v>618483.93000000005</v>
      </c>
      <c r="H30" s="29">
        <f t="shared" si="1"/>
        <v>332253.64</v>
      </c>
      <c r="I30" s="30">
        <v>0.21</v>
      </c>
      <c r="J30" s="30">
        <v>0.05</v>
      </c>
      <c r="K30" s="29">
        <f t="shared" si="2"/>
        <v>126392.96208</v>
      </c>
      <c r="L30" s="29">
        <f t="shared" si="3"/>
        <v>16612.682000000001</v>
      </c>
      <c r="M30" s="29">
        <f t="shared" si="4"/>
        <v>7540581.0345800025</v>
      </c>
      <c r="N30" s="29">
        <v>0</v>
      </c>
    </row>
    <row r="31" spans="1:14" x14ac:dyDescent="0.2">
      <c r="A31" s="12">
        <v>44166</v>
      </c>
      <c r="B31" s="25"/>
      <c r="C31" s="29">
        <v>95983913</v>
      </c>
      <c r="D31" s="32">
        <v>171317.5</v>
      </c>
      <c r="E31" s="32">
        <f>787072.4+2733.5</f>
        <v>789805.9</v>
      </c>
      <c r="F31" s="32">
        <f>500842.4+2733.5</f>
        <v>503575.9</v>
      </c>
      <c r="G31" s="29">
        <f t="shared" si="5"/>
        <v>618488.4</v>
      </c>
      <c r="H31" s="29">
        <f t="shared" si="1"/>
        <v>332258.40000000002</v>
      </c>
      <c r="I31" s="30">
        <v>0.21</v>
      </c>
      <c r="J31" s="30">
        <v>0.05</v>
      </c>
      <c r="K31" s="29">
        <f t="shared" si="2"/>
        <v>126393.8508</v>
      </c>
      <c r="L31" s="29">
        <f t="shared" si="3"/>
        <v>16612.920000000002</v>
      </c>
      <c r="M31" s="29">
        <f t="shared" si="4"/>
        <v>7683587.8053800026</v>
      </c>
      <c r="N31" s="29">
        <v>0</v>
      </c>
    </row>
    <row r="32" spans="1:14" x14ac:dyDescent="0.2">
      <c r="A32" s="12">
        <v>44197</v>
      </c>
      <c r="B32" s="25"/>
      <c r="C32" s="29">
        <v>95983913</v>
      </c>
      <c r="D32" s="32">
        <v>171318</v>
      </c>
      <c r="E32" s="32">
        <f>354189.43</f>
        <v>354189.43</v>
      </c>
      <c r="F32" s="32">
        <f>531377.02</f>
        <v>531377.02</v>
      </c>
      <c r="G32" s="29">
        <f t="shared" si="5"/>
        <v>182871.43</v>
      </c>
      <c r="H32" s="29">
        <f t="shared" si="1"/>
        <v>360059.02</v>
      </c>
      <c r="I32" s="30">
        <v>0.21</v>
      </c>
      <c r="J32" s="30">
        <v>0.05</v>
      </c>
      <c r="K32" s="29">
        <f t="shared" si="2"/>
        <v>34622.380590000001</v>
      </c>
      <c r="L32" s="29">
        <f t="shared" si="3"/>
        <v>18002.951000000001</v>
      </c>
      <c r="M32" s="29">
        <f t="shared" si="4"/>
        <v>7736213.1369700031</v>
      </c>
      <c r="N32" s="29">
        <v>0</v>
      </c>
    </row>
    <row r="33" spans="1:14" x14ac:dyDescent="0.2">
      <c r="A33" s="12">
        <v>44228</v>
      </c>
      <c r="B33" s="25"/>
      <c r="C33" s="29">
        <v>95983913</v>
      </c>
      <c r="D33" s="32">
        <v>171318</v>
      </c>
      <c r="E33" s="32">
        <f>354189.43</f>
        <v>354189.43</v>
      </c>
      <c r="F33" s="32">
        <f>531377.02</f>
        <v>531377.02</v>
      </c>
      <c r="G33" s="29">
        <f t="shared" si="5"/>
        <v>182871.43</v>
      </c>
      <c r="H33" s="29">
        <f t="shared" si="1"/>
        <v>360059.02</v>
      </c>
      <c r="I33" s="30">
        <v>0.21</v>
      </c>
      <c r="J33" s="30">
        <v>0.05</v>
      </c>
      <c r="K33" s="29">
        <f t="shared" si="2"/>
        <v>34622.380590000001</v>
      </c>
      <c r="L33" s="29">
        <f t="shared" si="3"/>
        <v>18002.951000000001</v>
      </c>
      <c r="M33" s="29">
        <f t="shared" si="4"/>
        <v>7788838.4685600037</v>
      </c>
      <c r="N33" s="29">
        <v>0</v>
      </c>
    </row>
    <row r="34" spans="1:14" x14ac:dyDescent="0.2">
      <c r="A34" s="33"/>
      <c r="B34" s="2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x14ac:dyDescent="0.2">
      <c r="A35" s="33"/>
      <c r="B35" s="25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">
      <c r="A36" s="33"/>
      <c r="B36" s="2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x14ac:dyDescent="0.2">
      <c r="A37" s="26"/>
      <c r="B37" s="25"/>
      <c r="C37" s="49" t="s">
        <v>44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">
      <c r="A38" s="26"/>
      <c r="B38" s="25"/>
      <c r="C38" s="49" t="s">
        <v>59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">
      <c r="A39" s="26"/>
      <c r="B39" s="25"/>
      <c r="C39" s="49" t="s">
        <v>60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">
      <c r="A40" s="26"/>
      <c r="B40" s="25"/>
      <c r="C40" s="29" t="s">
        <v>21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">
      <c r="A41" s="26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6"/>
      <c r="B42" s="25"/>
      <c r="C42" s="29" t="s">
        <v>22</v>
      </c>
      <c r="D42" s="41" t="s">
        <v>23</v>
      </c>
      <c r="E42" s="40" t="s">
        <v>24</v>
      </c>
      <c r="F42" s="29" t="s">
        <v>25</v>
      </c>
      <c r="G42" s="30" t="s">
        <v>12</v>
      </c>
      <c r="H42" s="29" t="s">
        <v>26</v>
      </c>
      <c r="I42" s="25"/>
      <c r="J42" s="25"/>
      <c r="K42" s="25"/>
      <c r="L42" s="25"/>
      <c r="M42" s="25"/>
      <c r="N42" s="25"/>
    </row>
    <row r="43" spans="1:14" x14ac:dyDescent="0.2">
      <c r="A43" s="26"/>
      <c r="B43" s="25"/>
      <c r="C43" s="29">
        <v>1880068.145</v>
      </c>
      <c r="D43" s="29">
        <v>171318</v>
      </c>
      <c r="E43" s="29">
        <v>7658.14</v>
      </c>
      <c r="F43" s="29">
        <f>E43-D43</f>
        <v>-163659.85999999999</v>
      </c>
      <c r="G43" s="30">
        <v>0.21</v>
      </c>
      <c r="H43" s="29">
        <f>F43*G43</f>
        <v>-34368.570599999999</v>
      </c>
      <c r="I43" s="25"/>
      <c r="J43" s="25"/>
      <c r="K43" s="25"/>
      <c r="L43" s="25"/>
      <c r="M43" s="25"/>
      <c r="N43" s="25"/>
    </row>
    <row r="44" spans="1:14" x14ac:dyDescent="0.2">
      <c r="A44" s="26"/>
      <c r="B44" s="25"/>
      <c r="C44" s="29">
        <v>184335</v>
      </c>
      <c r="D44" s="29"/>
      <c r="E44" s="29">
        <v>948.87</v>
      </c>
      <c r="F44" s="29">
        <f t="shared" ref="F44:F51" si="6">E44-D44</f>
        <v>948.87</v>
      </c>
      <c r="G44" s="30">
        <v>0.21</v>
      </c>
      <c r="H44" s="29">
        <f t="shared" ref="H44:H51" si="7">F44*G44</f>
        <v>199.2627</v>
      </c>
      <c r="I44" s="25"/>
      <c r="J44" s="25"/>
      <c r="K44" s="25"/>
      <c r="L44" s="25"/>
      <c r="M44" s="25"/>
      <c r="N44" s="25"/>
    </row>
    <row r="45" spans="1:14" x14ac:dyDescent="0.2">
      <c r="A45" s="26"/>
      <c r="B45" s="25"/>
      <c r="C45" s="29">
        <v>36765919</v>
      </c>
      <c r="D45" s="29"/>
      <c r="E45" s="29">
        <v>204571.7</v>
      </c>
      <c r="F45" s="29">
        <f t="shared" si="6"/>
        <v>204571.7</v>
      </c>
      <c r="G45" s="30">
        <v>0.21</v>
      </c>
      <c r="H45" s="29">
        <f t="shared" si="7"/>
        <v>42960.057000000001</v>
      </c>
      <c r="I45" s="25"/>
      <c r="J45" s="25"/>
      <c r="K45" s="25"/>
      <c r="L45" s="25"/>
      <c r="M45" s="25"/>
      <c r="N45" s="25"/>
    </row>
    <row r="46" spans="1:14" x14ac:dyDescent="0.2">
      <c r="A46" s="26"/>
      <c r="B46" s="25"/>
      <c r="C46" s="29">
        <v>570444</v>
      </c>
      <c r="D46" s="29"/>
      <c r="E46" s="29"/>
      <c r="F46" s="29">
        <f t="shared" si="6"/>
        <v>0</v>
      </c>
      <c r="G46" s="30">
        <v>0.21</v>
      </c>
      <c r="H46" s="29">
        <f t="shared" si="7"/>
        <v>0</v>
      </c>
      <c r="I46" s="25"/>
      <c r="J46" s="25"/>
      <c r="K46" s="25"/>
      <c r="L46" s="25"/>
      <c r="M46" s="25"/>
      <c r="N46" s="25"/>
    </row>
    <row r="47" spans="1:14" x14ac:dyDescent="0.2">
      <c r="A47" s="26"/>
      <c r="B47" s="25"/>
      <c r="C47" s="29">
        <v>209122</v>
      </c>
      <c r="D47" s="29"/>
      <c r="E47" s="29">
        <v>1163.5899999999999</v>
      </c>
      <c r="F47" s="29">
        <f t="shared" si="6"/>
        <v>1163.5899999999999</v>
      </c>
      <c r="G47" s="30">
        <v>0.21</v>
      </c>
      <c r="H47" s="29">
        <f t="shared" si="7"/>
        <v>244.35389999999998</v>
      </c>
      <c r="I47" s="25"/>
      <c r="J47" s="25"/>
      <c r="K47" s="25"/>
      <c r="L47" s="25"/>
      <c r="M47" s="25"/>
      <c r="N47" s="25"/>
    </row>
    <row r="48" spans="1:14" x14ac:dyDescent="0.2">
      <c r="A48" s="26"/>
      <c r="B48" s="25"/>
      <c r="C48" s="29">
        <v>5510178</v>
      </c>
      <c r="D48" s="29"/>
      <c r="E48" s="29"/>
      <c r="F48" s="29">
        <f t="shared" si="6"/>
        <v>0</v>
      </c>
      <c r="G48" s="30">
        <v>0.21</v>
      </c>
      <c r="H48" s="29">
        <f t="shared" si="7"/>
        <v>0</v>
      </c>
      <c r="I48" s="25"/>
      <c r="J48" s="25"/>
      <c r="K48" s="25"/>
      <c r="L48" s="25"/>
      <c r="M48" s="25"/>
      <c r="N48" s="25"/>
    </row>
    <row r="49" spans="1:14" x14ac:dyDescent="0.2">
      <c r="A49" s="26"/>
      <c r="B49" s="25"/>
      <c r="C49" s="29">
        <v>20738213</v>
      </c>
      <c r="D49" s="29"/>
      <c r="E49" s="37">
        <v>124757.63</v>
      </c>
      <c r="F49" s="37">
        <f t="shared" si="6"/>
        <v>124757.63</v>
      </c>
      <c r="G49" s="30">
        <v>0.21</v>
      </c>
      <c r="H49" s="37">
        <f t="shared" si="7"/>
        <v>26199.102299999999</v>
      </c>
      <c r="I49" s="25"/>
      <c r="J49" s="25"/>
      <c r="K49" s="25"/>
      <c r="L49" s="25"/>
      <c r="M49" s="25"/>
      <c r="N49" s="25"/>
    </row>
    <row r="50" spans="1:14" x14ac:dyDescent="0.2">
      <c r="A50" s="26"/>
      <c r="B50" s="25"/>
      <c r="C50" s="29">
        <v>1400</v>
      </c>
      <c r="D50" s="29"/>
      <c r="E50" s="37">
        <v>8.42</v>
      </c>
      <c r="F50" s="37">
        <f t="shared" si="6"/>
        <v>8.42</v>
      </c>
      <c r="G50" s="30">
        <v>0.21</v>
      </c>
      <c r="H50" s="37">
        <f t="shared" si="7"/>
        <v>1.7682</v>
      </c>
      <c r="I50" s="25"/>
      <c r="J50" s="25"/>
      <c r="K50" s="25"/>
      <c r="L50" s="25"/>
      <c r="M50" s="25"/>
      <c r="N50" s="25"/>
    </row>
    <row r="51" spans="1:14" ht="15" x14ac:dyDescent="0.35">
      <c r="A51" s="26"/>
      <c r="B51" s="25"/>
      <c r="C51" s="29">
        <v>2506896</v>
      </c>
      <c r="D51" s="29"/>
      <c r="E51" s="42">
        <v>15081.07</v>
      </c>
      <c r="F51" s="42">
        <f t="shared" si="6"/>
        <v>15081.07</v>
      </c>
      <c r="G51" s="30">
        <v>0.21</v>
      </c>
      <c r="H51" s="42">
        <f t="shared" si="7"/>
        <v>3167.0246999999999</v>
      </c>
      <c r="I51" s="25"/>
      <c r="J51" s="25"/>
      <c r="K51" s="25"/>
      <c r="L51" s="25"/>
      <c r="M51" s="25"/>
      <c r="N51" s="25"/>
    </row>
    <row r="52" spans="1:14" x14ac:dyDescent="0.2">
      <c r="A52" s="26"/>
      <c r="B52" s="25"/>
      <c r="C52" s="29"/>
      <c r="D52" s="29"/>
      <c r="E52" s="29">
        <f>SUM(E43:E51)</f>
        <v>354189.42000000004</v>
      </c>
      <c r="F52" s="29">
        <f>SUM(F43:F51)</f>
        <v>182871.42000000004</v>
      </c>
      <c r="G52" s="52" t="s">
        <v>27</v>
      </c>
      <c r="H52" s="29">
        <f>SUM(H43:H51)</f>
        <v>38402.998200000002</v>
      </c>
      <c r="I52" s="25"/>
      <c r="J52" s="25"/>
      <c r="K52" s="25"/>
      <c r="L52" s="25"/>
      <c r="M52" s="25"/>
      <c r="N52" s="25"/>
    </row>
    <row r="53" spans="1:14" ht="15" x14ac:dyDescent="0.35">
      <c r="A53" s="26"/>
      <c r="B53" s="25"/>
      <c r="C53" s="25"/>
      <c r="D53" s="25"/>
      <c r="E53" s="25"/>
      <c r="F53" s="25"/>
      <c r="G53" s="36" t="s">
        <v>28</v>
      </c>
      <c r="H53" s="42">
        <f>-H65*0.21</f>
        <v>-3780.6196049999999</v>
      </c>
      <c r="I53" s="25"/>
      <c r="J53" s="25"/>
      <c r="K53" s="25"/>
      <c r="L53" s="25"/>
      <c r="M53" s="25"/>
      <c r="N53" s="25"/>
    </row>
    <row r="54" spans="1:14" x14ac:dyDescent="0.2">
      <c r="A54" s="26"/>
      <c r="B54" s="25"/>
      <c r="C54" s="25"/>
      <c r="D54" s="25"/>
      <c r="E54" s="25"/>
      <c r="F54" s="25"/>
      <c r="G54" s="25"/>
      <c r="H54" s="29">
        <f>H52+H53</f>
        <v>34622.378595000002</v>
      </c>
      <c r="I54" s="25"/>
      <c r="J54" s="25"/>
      <c r="K54" s="25"/>
      <c r="L54" s="25"/>
      <c r="M54" s="25"/>
      <c r="N54" s="25"/>
    </row>
    <row r="55" spans="1:14" x14ac:dyDescent="0.2">
      <c r="A55" s="26"/>
      <c r="B55" s="25"/>
      <c r="C55" s="25"/>
      <c r="D55" s="25"/>
      <c r="E55" s="25"/>
      <c r="F55" s="25"/>
      <c r="G55" s="25"/>
      <c r="H55" s="29">
        <f>H54-K33</f>
        <v>-1.9949999987147748E-3</v>
      </c>
      <c r="I55" s="25"/>
      <c r="J55" s="25"/>
      <c r="K55" s="25"/>
      <c r="L55" s="25"/>
      <c r="M55" s="25"/>
      <c r="N55" s="25"/>
    </row>
    <row r="56" spans="1:14" x14ac:dyDescent="0.2">
      <c r="A56" s="26"/>
      <c r="B56" s="25"/>
      <c r="C56" s="29" t="s">
        <v>30</v>
      </c>
      <c r="D56" s="39" t="s">
        <v>23</v>
      </c>
      <c r="E56" s="40" t="s">
        <v>31</v>
      </c>
      <c r="F56" s="29" t="s">
        <v>32</v>
      </c>
      <c r="G56" s="30" t="s">
        <v>13</v>
      </c>
      <c r="H56" s="29" t="s">
        <v>33</v>
      </c>
      <c r="I56" s="25"/>
      <c r="J56" s="25"/>
      <c r="K56" s="25"/>
      <c r="L56" s="25"/>
      <c r="M56" s="25"/>
      <c r="N56" s="25"/>
    </row>
    <row r="57" spans="1:14" x14ac:dyDescent="0.2">
      <c r="A57" s="26"/>
      <c r="B57" s="25"/>
      <c r="C57" s="29">
        <v>3760136.29</v>
      </c>
      <c r="D57" s="29">
        <f>D43</f>
        <v>171318</v>
      </c>
      <c r="E57" s="29">
        <v>15316.29</v>
      </c>
      <c r="F57" s="29">
        <f>E57-D57</f>
        <v>-156001.71</v>
      </c>
      <c r="G57" s="30">
        <v>0.05</v>
      </c>
      <c r="H57" s="29">
        <f>F57*G57</f>
        <v>-7800.0855000000001</v>
      </c>
      <c r="I57" s="25"/>
      <c r="J57" s="25"/>
      <c r="K57" s="25"/>
      <c r="L57" s="25"/>
      <c r="M57" s="25"/>
      <c r="N57" s="25"/>
    </row>
    <row r="58" spans="1:14" x14ac:dyDescent="0.2">
      <c r="A58" s="26"/>
      <c r="B58" s="25"/>
      <c r="C58" s="29">
        <v>184335</v>
      </c>
      <c r="D58" s="29"/>
      <c r="E58" s="29">
        <v>948.87</v>
      </c>
      <c r="F58" s="29">
        <f t="shared" ref="F58:F64" si="8">E58-D58</f>
        <v>948.87</v>
      </c>
      <c r="G58" s="30">
        <v>0.05</v>
      </c>
      <c r="H58" s="29">
        <f t="shared" ref="H58:H64" si="9">F58*G58</f>
        <v>47.4435</v>
      </c>
      <c r="I58" s="25"/>
      <c r="J58" s="25"/>
      <c r="K58" s="25"/>
      <c r="L58" s="25"/>
      <c r="M58" s="25"/>
      <c r="N58" s="25"/>
    </row>
    <row r="59" spans="1:14" x14ac:dyDescent="0.2">
      <c r="A59" s="26"/>
      <c r="B59" s="25"/>
      <c r="C59" s="53">
        <f>(27564587.34+33711944.07)</f>
        <v>61276531.409999996</v>
      </c>
      <c r="D59" s="29"/>
      <c r="E59" s="29">
        <v>340952.83</v>
      </c>
      <c r="F59" s="29">
        <f t="shared" si="8"/>
        <v>340952.83</v>
      </c>
      <c r="G59" s="30">
        <v>0.05</v>
      </c>
      <c r="H59" s="29">
        <f t="shared" si="9"/>
        <v>17047.641500000002</v>
      </c>
      <c r="I59" s="25"/>
      <c r="J59" s="25"/>
      <c r="K59" s="25"/>
      <c r="L59" s="25"/>
      <c r="M59" s="25"/>
      <c r="N59" s="25"/>
    </row>
    <row r="60" spans="1:14" x14ac:dyDescent="0.2">
      <c r="A60" s="26"/>
      <c r="B60" s="25"/>
      <c r="C60" s="53">
        <f>C46</f>
        <v>570444</v>
      </c>
      <c r="D60" s="29"/>
      <c r="E60" s="29"/>
      <c r="F60" s="29">
        <f t="shared" si="8"/>
        <v>0</v>
      </c>
      <c r="G60" s="30">
        <v>0.05</v>
      </c>
      <c r="H60" s="29">
        <f t="shared" si="9"/>
        <v>0</v>
      </c>
      <c r="I60" s="25"/>
      <c r="J60" s="25"/>
      <c r="K60" s="25"/>
      <c r="L60" s="25"/>
      <c r="M60" s="25"/>
      <c r="N60" s="25"/>
    </row>
    <row r="61" spans="1:14" x14ac:dyDescent="0.2">
      <c r="A61" s="26"/>
      <c r="B61" s="25"/>
      <c r="C61" s="29">
        <f>C47</f>
        <v>209122</v>
      </c>
      <c r="D61" s="29"/>
      <c r="E61" s="29">
        <v>1163.5899999999999</v>
      </c>
      <c r="F61" s="29">
        <f t="shared" si="8"/>
        <v>1163.5899999999999</v>
      </c>
      <c r="G61" s="30">
        <v>0.05</v>
      </c>
      <c r="H61" s="29">
        <f t="shared" si="9"/>
        <v>58.179499999999997</v>
      </c>
      <c r="I61" s="25"/>
      <c r="J61" s="25"/>
      <c r="K61" s="25"/>
      <c r="L61" s="25"/>
      <c r="M61" s="25"/>
      <c r="N61" s="25"/>
    </row>
    <row r="62" spans="1:14" x14ac:dyDescent="0.2">
      <c r="A62" s="26"/>
      <c r="B62" s="25"/>
      <c r="C62" s="29">
        <f>C48+C49</f>
        <v>26248391</v>
      </c>
      <c r="D62" s="29"/>
      <c r="E62" s="37">
        <v>157905.94</v>
      </c>
      <c r="F62" s="37">
        <f t="shared" si="8"/>
        <v>157905.94</v>
      </c>
      <c r="G62" s="30">
        <v>0.05</v>
      </c>
      <c r="H62" s="37">
        <f t="shared" si="9"/>
        <v>7895.2970000000005</v>
      </c>
      <c r="I62" s="25"/>
      <c r="J62" s="25"/>
      <c r="K62" s="25"/>
      <c r="L62" s="25"/>
      <c r="M62" s="25"/>
      <c r="N62" s="25"/>
    </row>
    <row r="63" spans="1:14" x14ac:dyDescent="0.2">
      <c r="A63" s="26"/>
      <c r="B63" s="25"/>
      <c r="C63" s="29">
        <f>C50</f>
        <v>1400</v>
      </c>
      <c r="D63" s="29"/>
      <c r="E63" s="37">
        <v>8.42</v>
      </c>
      <c r="F63" s="37">
        <f t="shared" si="8"/>
        <v>8.42</v>
      </c>
      <c r="G63" s="30">
        <v>0.05</v>
      </c>
      <c r="H63" s="37">
        <f t="shared" si="9"/>
        <v>0.42100000000000004</v>
      </c>
      <c r="I63" s="25"/>
      <c r="J63" s="25"/>
      <c r="K63" s="25"/>
      <c r="L63" s="25"/>
      <c r="M63" s="25"/>
      <c r="N63" s="25"/>
    </row>
    <row r="64" spans="1:14" ht="15" x14ac:dyDescent="0.35">
      <c r="A64" s="26"/>
      <c r="B64" s="25"/>
      <c r="C64" s="29">
        <f>C51</f>
        <v>2506896</v>
      </c>
      <c r="D64" s="29"/>
      <c r="E64" s="42">
        <v>15081.07</v>
      </c>
      <c r="F64" s="42">
        <f t="shared" si="8"/>
        <v>15081.07</v>
      </c>
      <c r="G64" s="30">
        <v>0.05</v>
      </c>
      <c r="H64" s="42">
        <f t="shared" si="9"/>
        <v>754.05349999999999</v>
      </c>
      <c r="I64" s="25"/>
      <c r="J64" s="25"/>
      <c r="K64" s="25"/>
      <c r="L64" s="25"/>
      <c r="M64" s="25"/>
      <c r="N64" s="25"/>
    </row>
    <row r="65" spans="1:14" x14ac:dyDescent="0.2">
      <c r="A65" s="26"/>
      <c r="B65" s="25"/>
      <c r="C65" s="29"/>
      <c r="D65" s="29"/>
      <c r="E65" s="29">
        <f>SUM(E57:E64)</f>
        <v>531377.01</v>
      </c>
      <c r="F65" s="29">
        <f>SUM(F57:F64)</f>
        <v>360059.01</v>
      </c>
      <c r="G65" s="52"/>
      <c r="H65" s="29">
        <f>SUM(H57:H64)</f>
        <v>18002.950499999999</v>
      </c>
      <c r="I65" s="25"/>
      <c r="J65" s="25"/>
      <c r="K65" s="25"/>
      <c r="L65" s="25"/>
      <c r="M65" s="25"/>
      <c r="N65" s="25"/>
    </row>
    <row r="66" spans="1:14" x14ac:dyDescent="0.2">
      <c r="A66" s="26"/>
      <c r="B66" s="25"/>
      <c r="C66" s="25"/>
      <c r="D66" s="25"/>
      <c r="E66" s="25"/>
      <c r="F66" s="25"/>
      <c r="G66" s="25"/>
      <c r="H66" s="29">
        <f>H65-L33</f>
        <v>-5.0000000192085281E-4</v>
      </c>
      <c r="I66" s="25"/>
      <c r="J66" s="25"/>
      <c r="K66" s="25"/>
      <c r="L66" s="25"/>
      <c r="M66" s="25"/>
      <c r="N66" s="25"/>
    </row>
    <row r="67" spans="1:14" x14ac:dyDescent="0.2">
      <c r="A67" s="26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</sheetData>
  <mergeCells count="1">
    <mergeCell ref="A1:N1"/>
  </mergeCells>
  <pageMargins left="0.7" right="0.7" top="1.15625" bottom="0.75" header="0.3" footer="0.3"/>
  <pageSetup scale="50" orientation="portrait" r:id="rId1"/>
  <headerFooter>
    <oddHeader>&amp;R&amp;"Times New Roman,Bold"&amp;12Attachment to Response to Question 3
Page 6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55C3D-8AD1-452B-9C5A-9F3C55EEE849}">
  <dimension ref="A1:P54"/>
  <sheetViews>
    <sheetView zoomScaleNormal="100" workbookViewId="0">
      <selection sqref="A1:N1"/>
    </sheetView>
  </sheetViews>
  <sheetFormatPr defaultRowHeight="12.75" x14ac:dyDescent="0.2"/>
  <cols>
    <col min="1" max="1" width="11.28515625" style="9" customWidth="1"/>
    <col min="2" max="2" width="1.7109375" customWidth="1"/>
    <col min="3" max="3" width="14.7109375" customWidth="1"/>
    <col min="4" max="4" width="14.28515625" bestFit="1" customWidth="1"/>
    <col min="5" max="5" width="16.7109375" customWidth="1"/>
    <col min="6" max="6" width="1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bestFit="1" customWidth="1"/>
  </cols>
  <sheetData>
    <row r="1" spans="1:16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6" x14ac:dyDescent="0.2">
      <c r="A2" s="2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x14ac:dyDescent="0.2">
      <c r="A5" s="4" t="s">
        <v>3</v>
      </c>
    </row>
    <row r="6" spans="1:16" x14ac:dyDescent="0.2">
      <c r="A6" s="5" t="s">
        <v>45</v>
      </c>
    </row>
    <row r="8" spans="1:16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6" x14ac:dyDescent="0.2">
      <c r="A9" s="9" t="s">
        <v>18</v>
      </c>
      <c r="M9" s="10">
        <v>880458</v>
      </c>
    </row>
    <row r="10" spans="1:16" x14ac:dyDescent="0.2">
      <c r="A10" s="12">
        <v>43533</v>
      </c>
      <c r="C10" s="13">
        <v>4193823</v>
      </c>
      <c r="D10" s="14">
        <v>8033</v>
      </c>
      <c r="E10" s="14">
        <f t="shared" ref="E10:E15" si="0">7859.38</f>
        <v>7859.38</v>
      </c>
      <c r="F10" s="14">
        <f>15718.77</f>
        <v>15718.77</v>
      </c>
      <c r="G10" s="13">
        <f t="shared" ref="G10:G33" si="1">E10-D10</f>
        <v>-173.61999999999989</v>
      </c>
      <c r="H10" s="13">
        <f t="shared" ref="H10:H33" si="2">F10-D10</f>
        <v>7685.77</v>
      </c>
      <c r="I10" s="15">
        <v>0.21</v>
      </c>
      <c r="J10" s="15">
        <v>0.05</v>
      </c>
      <c r="K10" s="13">
        <f t="shared" ref="K10:K33" si="3">G10*I10-L10*I10</f>
        <v>-117.16078499999998</v>
      </c>
      <c r="L10" s="13">
        <f t="shared" ref="L10:L33" si="4">H10*J10</f>
        <v>384.28850000000006</v>
      </c>
      <c r="M10" s="13">
        <f t="shared" ref="M10:M33" si="5">M9+K10+L10</f>
        <v>880725.12771500007</v>
      </c>
      <c r="N10" s="13">
        <v>0</v>
      </c>
      <c r="O10" s="20"/>
      <c r="P10" s="17"/>
    </row>
    <row r="11" spans="1:16" x14ac:dyDescent="0.2">
      <c r="A11" s="12">
        <v>43556</v>
      </c>
      <c r="C11" s="13">
        <v>4193823</v>
      </c>
      <c r="D11" s="14">
        <v>8033</v>
      </c>
      <c r="E11" s="14">
        <f t="shared" si="0"/>
        <v>7859.38</v>
      </c>
      <c r="F11" s="14">
        <f>15718.77</f>
        <v>15718.77</v>
      </c>
      <c r="G11" s="13">
        <f t="shared" si="1"/>
        <v>-173.61999999999989</v>
      </c>
      <c r="H11" s="13">
        <f t="shared" si="2"/>
        <v>7685.77</v>
      </c>
      <c r="I11" s="15">
        <v>0.21</v>
      </c>
      <c r="J11" s="15">
        <v>0.05</v>
      </c>
      <c r="K11" s="13">
        <f t="shared" si="3"/>
        <v>-117.16078499999998</v>
      </c>
      <c r="L11" s="13">
        <f t="shared" si="4"/>
        <v>384.28850000000006</v>
      </c>
      <c r="M11" s="13">
        <f t="shared" si="5"/>
        <v>880992.25543000014</v>
      </c>
      <c r="N11" s="13">
        <v>0</v>
      </c>
      <c r="O11" s="16"/>
      <c r="P11" s="17"/>
    </row>
    <row r="12" spans="1:16" x14ac:dyDescent="0.2">
      <c r="A12" s="12">
        <v>43586</v>
      </c>
      <c r="C12" s="13">
        <v>4193823</v>
      </c>
      <c r="D12" s="14">
        <v>7332</v>
      </c>
      <c r="E12" s="14">
        <f t="shared" si="0"/>
        <v>7859.38</v>
      </c>
      <c r="F12" s="14">
        <v>15718.77</v>
      </c>
      <c r="G12" s="13">
        <f t="shared" si="1"/>
        <v>527.38000000000011</v>
      </c>
      <c r="H12" s="13">
        <f t="shared" si="2"/>
        <v>8386.77</v>
      </c>
      <c r="I12" s="15">
        <v>0.21</v>
      </c>
      <c r="J12" s="15">
        <v>0.05</v>
      </c>
      <c r="K12" s="13">
        <f t="shared" si="3"/>
        <v>22.688715000000016</v>
      </c>
      <c r="L12" s="13">
        <f t="shared" si="4"/>
        <v>419.33850000000007</v>
      </c>
      <c r="M12" s="13">
        <f t="shared" si="5"/>
        <v>881434.28264500014</v>
      </c>
      <c r="N12" s="13">
        <v>0</v>
      </c>
      <c r="O12" s="11"/>
      <c r="P12" s="17"/>
    </row>
    <row r="13" spans="1:16" x14ac:dyDescent="0.2">
      <c r="A13" s="12">
        <v>43617</v>
      </c>
      <c r="C13" s="13">
        <v>4193823</v>
      </c>
      <c r="D13" s="14">
        <v>7332</v>
      </c>
      <c r="E13" s="14">
        <f t="shared" si="0"/>
        <v>7859.38</v>
      </c>
      <c r="F13" s="14">
        <f t="shared" ref="F13:F19" si="6">15718.77</f>
        <v>15718.77</v>
      </c>
      <c r="G13" s="13">
        <f t="shared" si="1"/>
        <v>527.38000000000011</v>
      </c>
      <c r="H13" s="13">
        <f t="shared" si="2"/>
        <v>8386.77</v>
      </c>
      <c r="I13" s="15">
        <v>0.21</v>
      </c>
      <c r="J13" s="15">
        <v>0.05</v>
      </c>
      <c r="K13" s="13">
        <f t="shared" si="3"/>
        <v>22.688715000000016</v>
      </c>
      <c r="L13" s="13">
        <f t="shared" si="4"/>
        <v>419.33850000000007</v>
      </c>
      <c r="M13" s="13">
        <f t="shared" si="5"/>
        <v>881876.30986000015</v>
      </c>
      <c r="N13" s="13">
        <v>0</v>
      </c>
      <c r="O13" s="19"/>
      <c r="P13" s="17"/>
    </row>
    <row r="14" spans="1:16" x14ac:dyDescent="0.2">
      <c r="A14" s="12">
        <v>43647</v>
      </c>
      <c r="C14" s="13">
        <v>4193823</v>
      </c>
      <c r="D14" s="14">
        <v>7332</v>
      </c>
      <c r="E14" s="14">
        <f t="shared" si="0"/>
        <v>7859.38</v>
      </c>
      <c r="F14" s="14">
        <f t="shared" si="6"/>
        <v>15718.77</v>
      </c>
      <c r="G14" s="13">
        <f t="shared" si="1"/>
        <v>527.38000000000011</v>
      </c>
      <c r="H14" s="13">
        <f t="shared" si="2"/>
        <v>8386.77</v>
      </c>
      <c r="I14" s="15">
        <v>0.21</v>
      </c>
      <c r="J14" s="15">
        <v>0.05</v>
      </c>
      <c r="K14" s="13">
        <f t="shared" si="3"/>
        <v>22.688715000000016</v>
      </c>
      <c r="L14" s="13">
        <f t="shared" si="4"/>
        <v>419.33850000000007</v>
      </c>
      <c r="M14" s="13">
        <f t="shared" si="5"/>
        <v>882318.33707500016</v>
      </c>
      <c r="N14" s="13">
        <v>0</v>
      </c>
      <c r="O14" s="19"/>
      <c r="P14" s="17"/>
    </row>
    <row r="15" spans="1:16" x14ac:dyDescent="0.2">
      <c r="A15" s="12">
        <v>43678</v>
      </c>
      <c r="C15" s="13">
        <v>4193823</v>
      </c>
      <c r="D15" s="14">
        <v>7332</v>
      </c>
      <c r="E15" s="14">
        <f t="shared" si="0"/>
        <v>7859.38</v>
      </c>
      <c r="F15" s="14">
        <f t="shared" si="6"/>
        <v>15718.77</v>
      </c>
      <c r="G15" s="13">
        <f t="shared" si="1"/>
        <v>527.38000000000011</v>
      </c>
      <c r="H15" s="13">
        <f t="shared" si="2"/>
        <v>8386.77</v>
      </c>
      <c r="I15" s="15">
        <v>0.21</v>
      </c>
      <c r="J15" s="15">
        <v>0.05</v>
      </c>
      <c r="K15" s="13">
        <f t="shared" si="3"/>
        <v>22.688715000000016</v>
      </c>
      <c r="L15" s="13">
        <f t="shared" si="4"/>
        <v>419.33850000000007</v>
      </c>
      <c r="M15" s="13">
        <f t="shared" si="5"/>
        <v>882760.36429000017</v>
      </c>
      <c r="N15" s="13">
        <v>0</v>
      </c>
      <c r="P15" s="17"/>
    </row>
    <row r="16" spans="1:16" x14ac:dyDescent="0.2">
      <c r="A16" s="12">
        <v>43717</v>
      </c>
      <c r="B16" s="25"/>
      <c r="C16" s="29">
        <v>4193823</v>
      </c>
      <c r="D16" s="32">
        <v>7332</v>
      </c>
      <c r="E16" s="32">
        <f>7859.38</f>
        <v>7859.38</v>
      </c>
      <c r="F16" s="32">
        <f t="shared" si="6"/>
        <v>15718.77</v>
      </c>
      <c r="G16" s="29">
        <f t="shared" si="1"/>
        <v>527.38000000000011</v>
      </c>
      <c r="H16" s="29">
        <f t="shared" si="2"/>
        <v>8386.77</v>
      </c>
      <c r="I16" s="30">
        <v>0.21</v>
      </c>
      <c r="J16" s="30">
        <v>0.05</v>
      </c>
      <c r="K16" s="29">
        <f t="shared" si="3"/>
        <v>22.688715000000016</v>
      </c>
      <c r="L16" s="29">
        <f t="shared" si="4"/>
        <v>419.33850000000007</v>
      </c>
      <c r="M16" s="29">
        <f t="shared" si="5"/>
        <v>883202.39150500018</v>
      </c>
      <c r="N16" s="29">
        <v>0</v>
      </c>
    </row>
    <row r="17" spans="1:14" x14ac:dyDescent="0.2">
      <c r="A17" s="12">
        <v>43739</v>
      </c>
      <c r="B17" s="25"/>
      <c r="C17" s="29">
        <v>4193823</v>
      </c>
      <c r="D17" s="32">
        <v>7332</v>
      </c>
      <c r="E17" s="32">
        <f>7859.38</f>
        <v>7859.38</v>
      </c>
      <c r="F17" s="32">
        <f t="shared" si="6"/>
        <v>15718.77</v>
      </c>
      <c r="G17" s="29">
        <f t="shared" si="1"/>
        <v>527.38000000000011</v>
      </c>
      <c r="H17" s="29">
        <f t="shared" si="2"/>
        <v>8386.77</v>
      </c>
      <c r="I17" s="30">
        <v>0.21</v>
      </c>
      <c r="J17" s="30">
        <v>0.05</v>
      </c>
      <c r="K17" s="29">
        <f t="shared" si="3"/>
        <v>22.688715000000016</v>
      </c>
      <c r="L17" s="29">
        <f t="shared" si="4"/>
        <v>419.33850000000007</v>
      </c>
      <c r="M17" s="29">
        <f t="shared" si="5"/>
        <v>883644.41872000019</v>
      </c>
      <c r="N17" s="29">
        <v>0</v>
      </c>
    </row>
    <row r="18" spans="1:14" x14ac:dyDescent="0.2">
      <c r="A18" s="12">
        <v>43770</v>
      </c>
      <c r="B18" s="25"/>
      <c r="C18" s="29">
        <v>4193823</v>
      </c>
      <c r="D18" s="32">
        <v>7332.49</v>
      </c>
      <c r="E18" s="32">
        <f>7859-3</f>
        <v>7856</v>
      </c>
      <c r="F18" s="32">
        <f>15715.5</f>
        <v>15715.5</v>
      </c>
      <c r="G18" s="29">
        <f t="shared" si="1"/>
        <v>523.51000000000022</v>
      </c>
      <c r="H18" s="29">
        <f t="shared" si="2"/>
        <v>8383.01</v>
      </c>
      <c r="I18" s="30">
        <v>0.21</v>
      </c>
      <c r="J18" s="30">
        <v>0.05</v>
      </c>
      <c r="K18" s="29">
        <f t="shared" si="3"/>
        <v>21.915495000000035</v>
      </c>
      <c r="L18" s="29">
        <f t="shared" si="4"/>
        <v>419.15050000000002</v>
      </c>
      <c r="M18" s="29">
        <f t="shared" si="5"/>
        <v>884085.48471500014</v>
      </c>
      <c r="N18" s="29">
        <v>0</v>
      </c>
    </row>
    <row r="19" spans="1:14" x14ac:dyDescent="0.2">
      <c r="A19" s="12">
        <v>43800</v>
      </c>
      <c r="B19" s="25"/>
      <c r="C19" s="29">
        <v>4193823</v>
      </c>
      <c r="D19" s="32">
        <v>7332</v>
      </c>
      <c r="E19" s="32">
        <f>7859.38-3</f>
        <v>7856.38</v>
      </c>
      <c r="F19" s="32">
        <f t="shared" si="6"/>
        <v>15718.77</v>
      </c>
      <c r="G19" s="29">
        <f t="shared" si="1"/>
        <v>524.38000000000011</v>
      </c>
      <c r="H19" s="29">
        <f t="shared" si="2"/>
        <v>8386.77</v>
      </c>
      <c r="I19" s="30">
        <v>0.21</v>
      </c>
      <c r="J19" s="30">
        <v>0.05</v>
      </c>
      <c r="K19" s="29">
        <f t="shared" si="3"/>
        <v>22.058715000000007</v>
      </c>
      <c r="L19" s="29">
        <f t="shared" si="4"/>
        <v>419.33850000000007</v>
      </c>
      <c r="M19" s="29">
        <f t="shared" si="5"/>
        <v>884526.88193000015</v>
      </c>
      <c r="N19" s="29">
        <v>0</v>
      </c>
    </row>
    <row r="20" spans="1:14" x14ac:dyDescent="0.2">
      <c r="A20" s="12">
        <v>43831</v>
      </c>
      <c r="B20" s="25"/>
      <c r="C20" s="29">
        <v>4193823</v>
      </c>
      <c r="D20" s="32">
        <v>7332</v>
      </c>
      <c r="E20" s="32">
        <f>7767.66+4</f>
        <v>7771.66</v>
      </c>
      <c r="F20" s="32">
        <v>15535.33</v>
      </c>
      <c r="G20" s="29">
        <f t="shared" si="1"/>
        <v>439.65999999999985</v>
      </c>
      <c r="H20" s="29">
        <f t="shared" si="2"/>
        <v>8203.33</v>
      </c>
      <c r="I20" s="30">
        <v>0.21</v>
      </c>
      <c r="J20" s="30">
        <v>0.05</v>
      </c>
      <c r="K20" s="29">
        <f t="shared" si="3"/>
        <v>6.1936349999999578</v>
      </c>
      <c r="L20" s="29">
        <f t="shared" si="4"/>
        <v>410.16650000000004</v>
      </c>
      <c r="M20" s="29">
        <f t="shared" si="5"/>
        <v>884943.24206500023</v>
      </c>
      <c r="N20" s="29">
        <v>0</v>
      </c>
    </row>
    <row r="21" spans="1:14" x14ac:dyDescent="0.2">
      <c r="A21" s="12">
        <v>43862</v>
      </c>
      <c r="B21" s="25"/>
      <c r="C21" s="29">
        <v>4193823</v>
      </c>
      <c r="D21" s="32">
        <v>7332</v>
      </c>
      <c r="E21" s="32">
        <f>7767.66-2</f>
        <v>7765.66</v>
      </c>
      <c r="F21" s="32">
        <v>15535.33</v>
      </c>
      <c r="G21" s="29">
        <f t="shared" si="1"/>
        <v>433.65999999999985</v>
      </c>
      <c r="H21" s="29">
        <f t="shared" si="2"/>
        <v>8203.33</v>
      </c>
      <c r="I21" s="30">
        <v>0.21</v>
      </c>
      <c r="J21" s="30">
        <v>0.05</v>
      </c>
      <c r="K21" s="29">
        <f t="shared" si="3"/>
        <v>4.9336349999999527</v>
      </c>
      <c r="L21" s="29">
        <f t="shared" si="4"/>
        <v>410.16650000000004</v>
      </c>
      <c r="M21" s="29">
        <f t="shared" si="5"/>
        <v>885358.3422000003</v>
      </c>
      <c r="N21" s="29">
        <v>0</v>
      </c>
    </row>
    <row r="22" spans="1:14" x14ac:dyDescent="0.2">
      <c r="A22" s="12">
        <v>43899</v>
      </c>
      <c r="B22" s="25"/>
      <c r="C22" s="29">
        <v>4193823</v>
      </c>
      <c r="D22" s="32">
        <v>7332</v>
      </c>
      <c r="E22" s="31">
        <f>7767.66</f>
        <v>7767.66</v>
      </c>
      <c r="F22" s="31">
        <v>15535.33</v>
      </c>
      <c r="G22" s="29">
        <f t="shared" si="1"/>
        <v>435.65999999999985</v>
      </c>
      <c r="H22" s="29">
        <f t="shared" si="2"/>
        <v>8203.33</v>
      </c>
      <c r="I22" s="30">
        <v>0.21</v>
      </c>
      <c r="J22" s="30">
        <v>0.05</v>
      </c>
      <c r="K22" s="29">
        <f t="shared" si="3"/>
        <v>5.3536349999999544</v>
      </c>
      <c r="L22" s="29">
        <f t="shared" si="4"/>
        <v>410.16650000000004</v>
      </c>
      <c r="M22" s="29">
        <f t="shared" si="5"/>
        <v>885773.8623350003</v>
      </c>
      <c r="N22" s="29">
        <v>0</v>
      </c>
    </row>
    <row r="23" spans="1:14" x14ac:dyDescent="0.2">
      <c r="A23" s="12">
        <v>43922</v>
      </c>
      <c r="B23" s="25"/>
      <c r="C23" s="29">
        <v>4193823</v>
      </c>
      <c r="D23" s="32">
        <v>7332</v>
      </c>
      <c r="E23" s="31">
        <f>7767.66</f>
        <v>7767.66</v>
      </c>
      <c r="F23" s="31">
        <v>15535.33</v>
      </c>
      <c r="G23" s="29">
        <f t="shared" si="1"/>
        <v>435.65999999999985</v>
      </c>
      <c r="H23" s="29">
        <f t="shared" si="2"/>
        <v>8203.33</v>
      </c>
      <c r="I23" s="30">
        <v>0.21</v>
      </c>
      <c r="J23" s="30">
        <v>0.05</v>
      </c>
      <c r="K23" s="29">
        <f t="shared" si="3"/>
        <v>5.3536349999999544</v>
      </c>
      <c r="L23" s="29">
        <f t="shared" si="4"/>
        <v>410.16650000000004</v>
      </c>
      <c r="M23" s="29">
        <f t="shared" si="5"/>
        <v>886189.3824700003</v>
      </c>
      <c r="N23" s="29">
        <v>0</v>
      </c>
    </row>
    <row r="24" spans="1:14" x14ac:dyDescent="0.2">
      <c r="A24" s="12">
        <v>43952</v>
      </c>
      <c r="B24" s="25"/>
      <c r="C24" s="29">
        <v>4193823</v>
      </c>
      <c r="D24" s="32">
        <v>7332</v>
      </c>
      <c r="E24" s="31">
        <f>7767.66-2</f>
        <v>7765.66</v>
      </c>
      <c r="F24" s="31">
        <v>15535.33</v>
      </c>
      <c r="G24" s="29">
        <f t="shared" si="1"/>
        <v>433.65999999999985</v>
      </c>
      <c r="H24" s="29">
        <f t="shared" si="2"/>
        <v>8203.33</v>
      </c>
      <c r="I24" s="30">
        <v>0.21</v>
      </c>
      <c r="J24" s="30">
        <v>0.05</v>
      </c>
      <c r="K24" s="29">
        <f t="shared" si="3"/>
        <v>4.9336349999999527</v>
      </c>
      <c r="L24" s="29">
        <f t="shared" si="4"/>
        <v>410.16650000000004</v>
      </c>
      <c r="M24" s="29">
        <f t="shared" si="5"/>
        <v>886604.48260500038</v>
      </c>
      <c r="N24" s="29">
        <v>0</v>
      </c>
    </row>
    <row r="25" spans="1:14" x14ac:dyDescent="0.2">
      <c r="A25" s="12">
        <v>43983</v>
      </c>
      <c r="B25" s="25"/>
      <c r="C25" s="29">
        <v>4193823</v>
      </c>
      <c r="D25" s="32">
        <v>7332</v>
      </c>
      <c r="E25" s="31">
        <f>7767.66</f>
        <v>7767.66</v>
      </c>
      <c r="F25" s="31">
        <v>15535.33</v>
      </c>
      <c r="G25" s="29">
        <f t="shared" si="1"/>
        <v>435.65999999999985</v>
      </c>
      <c r="H25" s="29">
        <f t="shared" si="2"/>
        <v>8203.33</v>
      </c>
      <c r="I25" s="30">
        <v>0.21</v>
      </c>
      <c r="J25" s="30">
        <v>0.05</v>
      </c>
      <c r="K25" s="29">
        <f t="shared" si="3"/>
        <v>5.3536349999999544</v>
      </c>
      <c r="L25" s="29">
        <f t="shared" si="4"/>
        <v>410.16650000000004</v>
      </c>
      <c r="M25" s="29">
        <f t="shared" si="5"/>
        <v>887020.00274000037</v>
      </c>
      <c r="N25" s="29">
        <v>0</v>
      </c>
    </row>
    <row r="26" spans="1:14" x14ac:dyDescent="0.2">
      <c r="A26" s="12">
        <v>44013</v>
      </c>
      <c r="B26" s="25"/>
      <c r="C26" s="29">
        <v>4193823</v>
      </c>
      <c r="D26" s="32">
        <v>7332.49</v>
      </c>
      <c r="E26" s="31">
        <f>7767.5</f>
        <v>7767.5</v>
      </c>
      <c r="F26" s="31">
        <v>15535.33</v>
      </c>
      <c r="G26" s="29">
        <f t="shared" si="1"/>
        <v>435.01000000000022</v>
      </c>
      <c r="H26" s="29">
        <f t="shared" si="2"/>
        <v>8202.84</v>
      </c>
      <c r="I26" s="30">
        <v>0.21</v>
      </c>
      <c r="J26" s="30">
        <v>0.05</v>
      </c>
      <c r="K26" s="29">
        <f t="shared" si="3"/>
        <v>5.2222800000000262</v>
      </c>
      <c r="L26" s="29">
        <f t="shared" si="4"/>
        <v>410.14200000000005</v>
      </c>
      <c r="M26" s="29">
        <f t="shared" si="5"/>
        <v>887435.36702000035</v>
      </c>
      <c r="N26" s="29">
        <v>0</v>
      </c>
    </row>
    <row r="27" spans="1:14" x14ac:dyDescent="0.2">
      <c r="A27" s="12">
        <v>44044</v>
      </c>
      <c r="B27" s="25"/>
      <c r="C27" s="29">
        <v>4193823</v>
      </c>
      <c r="D27" s="32">
        <v>7332</v>
      </c>
      <c r="E27" s="31">
        <f>7767.66</f>
        <v>7767.66</v>
      </c>
      <c r="F27" s="31">
        <v>15535.33</v>
      </c>
      <c r="G27" s="29">
        <f t="shared" si="1"/>
        <v>435.65999999999985</v>
      </c>
      <c r="H27" s="29">
        <f t="shared" si="2"/>
        <v>8203.33</v>
      </c>
      <c r="I27" s="30">
        <v>0.21</v>
      </c>
      <c r="J27" s="30">
        <v>0.05</v>
      </c>
      <c r="K27" s="29">
        <f t="shared" si="3"/>
        <v>5.3536349999999544</v>
      </c>
      <c r="L27" s="29">
        <f t="shared" si="4"/>
        <v>410.16650000000004</v>
      </c>
      <c r="M27" s="29">
        <f t="shared" si="5"/>
        <v>887850.88715500035</v>
      </c>
      <c r="N27" s="29">
        <v>0</v>
      </c>
    </row>
    <row r="28" spans="1:14" x14ac:dyDescent="0.2">
      <c r="A28" s="12">
        <v>44083</v>
      </c>
      <c r="B28" s="25"/>
      <c r="C28" s="29">
        <v>4193823</v>
      </c>
      <c r="D28" s="32">
        <v>7332</v>
      </c>
      <c r="E28" s="31">
        <f>7767.66-2.48</f>
        <v>7765.18</v>
      </c>
      <c r="F28" s="31">
        <v>15535.33</v>
      </c>
      <c r="G28" s="29">
        <f t="shared" si="1"/>
        <v>433.18000000000029</v>
      </c>
      <c r="H28" s="29">
        <f t="shared" si="2"/>
        <v>8203.33</v>
      </c>
      <c r="I28" s="30">
        <v>0.21</v>
      </c>
      <c r="J28" s="30">
        <v>0.05</v>
      </c>
      <c r="K28" s="29">
        <f t="shared" si="3"/>
        <v>4.8328350000000455</v>
      </c>
      <c r="L28" s="29">
        <f t="shared" si="4"/>
        <v>410.16650000000004</v>
      </c>
      <c r="M28" s="29">
        <f t="shared" si="5"/>
        <v>888265.88649000041</v>
      </c>
      <c r="N28" s="29">
        <v>0</v>
      </c>
    </row>
    <row r="29" spans="1:14" x14ac:dyDescent="0.2">
      <c r="A29" s="12">
        <v>44105</v>
      </c>
      <c r="B29" s="25"/>
      <c r="C29" s="29">
        <v>4193823</v>
      </c>
      <c r="D29" s="32">
        <v>7332</v>
      </c>
      <c r="E29" s="31">
        <f>7767.66-2.48</f>
        <v>7765.18</v>
      </c>
      <c r="F29" s="31">
        <v>15535.33</v>
      </c>
      <c r="G29" s="29">
        <f t="shared" si="1"/>
        <v>433.18000000000029</v>
      </c>
      <c r="H29" s="29">
        <f t="shared" si="2"/>
        <v>8203.33</v>
      </c>
      <c r="I29" s="30">
        <v>0.21</v>
      </c>
      <c r="J29" s="30">
        <v>0.05</v>
      </c>
      <c r="K29" s="29">
        <f t="shared" si="3"/>
        <v>4.8328350000000455</v>
      </c>
      <c r="L29" s="29">
        <f t="shared" si="4"/>
        <v>410.16650000000004</v>
      </c>
      <c r="M29" s="29">
        <f t="shared" si="5"/>
        <v>888680.88582500047</v>
      </c>
      <c r="N29" s="29">
        <v>0</v>
      </c>
    </row>
    <row r="30" spans="1:14" x14ac:dyDescent="0.2">
      <c r="A30" s="12">
        <v>44136</v>
      </c>
      <c r="B30" s="25"/>
      <c r="C30" s="29">
        <v>4193823</v>
      </c>
      <c r="D30" s="32">
        <v>7331.5</v>
      </c>
      <c r="E30" s="31">
        <f>7767.66</f>
        <v>7767.66</v>
      </c>
      <c r="F30" s="31">
        <f>15535.33</f>
        <v>15535.33</v>
      </c>
      <c r="G30" s="29">
        <f t="shared" si="1"/>
        <v>436.15999999999985</v>
      </c>
      <c r="H30" s="29">
        <f t="shared" si="2"/>
        <v>8203.83</v>
      </c>
      <c r="I30" s="30">
        <v>0.21</v>
      </c>
      <c r="J30" s="30">
        <v>0.05</v>
      </c>
      <c r="K30" s="29">
        <f t="shared" si="3"/>
        <v>5.4533849999999688</v>
      </c>
      <c r="L30" s="29">
        <f t="shared" si="4"/>
        <v>410.19150000000002</v>
      </c>
      <c r="M30" s="29">
        <f t="shared" si="5"/>
        <v>889096.53071000043</v>
      </c>
      <c r="N30" s="29">
        <v>0</v>
      </c>
    </row>
    <row r="31" spans="1:14" x14ac:dyDescent="0.2">
      <c r="A31" s="12">
        <v>44166</v>
      </c>
      <c r="B31" s="25"/>
      <c r="C31" s="29">
        <v>4193823</v>
      </c>
      <c r="D31" s="32">
        <v>7332</v>
      </c>
      <c r="E31" s="31">
        <f>7767.66</f>
        <v>7767.66</v>
      </c>
      <c r="F31" s="31">
        <f>15535.33</f>
        <v>15535.33</v>
      </c>
      <c r="G31" s="29">
        <f t="shared" si="1"/>
        <v>435.65999999999985</v>
      </c>
      <c r="H31" s="29">
        <f t="shared" si="2"/>
        <v>8203.33</v>
      </c>
      <c r="I31" s="30">
        <v>0.21</v>
      </c>
      <c r="J31" s="30">
        <v>0.05</v>
      </c>
      <c r="K31" s="29">
        <f t="shared" si="3"/>
        <v>5.3536349999999544</v>
      </c>
      <c r="L31" s="29">
        <f t="shared" si="4"/>
        <v>410.16650000000004</v>
      </c>
      <c r="M31" s="29">
        <f t="shared" si="5"/>
        <v>889512.05084500043</v>
      </c>
      <c r="N31" s="29">
        <v>0</v>
      </c>
    </row>
    <row r="32" spans="1:14" x14ac:dyDescent="0.2">
      <c r="A32" s="12">
        <v>44197</v>
      </c>
      <c r="B32" s="25"/>
      <c r="C32" s="29">
        <v>4193823</v>
      </c>
      <c r="D32" s="32">
        <v>7332</v>
      </c>
      <c r="E32" s="31">
        <f>7780.04</f>
        <v>7780.04</v>
      </c>
      <c r="F32" s="31">
        <f>15560.08</f>
        <v>15560.08</v>
      </c>
      <c r="G32" s="29">
        <f t="shared" si="1"/>
        <v>448.03999999999996</v>
      </c>
      <c r="H32" s="29">
        <f t="shared" si="2"/>
        <v>8228.08</v>
      </c>
      <c r="I32" s="30">
        <v>0.21</v>
      </c>
      <c r="J32" s="30">
        <v>0.05</v>
      </c>
      <c r="K32" s="29">
        <f t="shared" si="3"/>
        <v>7.6935599999999909</v>
      </c>
      <c r="L32" s="29">
        <f t="shared" si="4"/>
        <v>411.404</v>
      </c>
      <c r="M32" s="29">
        <f t="shared" si="5"/>
        <v>889931.14840500045</v>
      </c>
      <c r="N32" s="29">
        <v>0</v>
      </c>
    </row>
    <row r="33" spans="1:14" x14ac:dyDescent="0.2">
      <c r="A33" s="12">
        <v>44228</v>
      </c>
      <c r="B33" s="25"/>
      <c r="C33" s="29">
        <v>4193823</v>
      </c>
      <c r="D33" s="32">
        <v>7332</v>
      </c>
      <c r="E33" s="31">
        <f>7780.04</f>
        <v>7780.04</v>
      </c>
      <c r="F33" s="31">
        <f>15560.08</f>
        <v>15560.08</v>
      </c>
      <c r="G33" s="29">
        <f t="shared" si="1"/>
        <v>448.03999999999996</v>
      </c>
      <c r="H33" s="29">
        <f t="shared" si="2"/>
        <v>8228.08</v>
      </c>
      <c r="I33" s="30">
        <v>0.21</v>
      </c>
      <c r="J33" s="30">
        <v>0.05</v>
      </c>
      <c r="K33" s="29">
        <f t="shared" si="3"/>
        <v>7.6935599999999909</v>
      </c>
      <c r="L33" s="29">
        <f t="shared" si="4"/>
        <v>411.404</v>
      </c>
      <c r="M33" s="29">
        <f t="shared" si="5"/>
        <v>890350.24596500047</v>
      </c>
      <c r="N33" s="29">
        <v>0</v>
      </c>
    </row>
    <row r="34" spans="1:14" x14ac:dyDescent="0.2">
      <c r="A34" s="33"/>
      <c r="B34" s="2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x14ac:dyDescent="0.2">
      <c r="A35" s="33"/>
      <c r="B35" s="25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">
      <c r="A36" s="33"/>
      <c r="B36" s="2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x14ac:dyDescent="0.2">
      <c r="A37" s="26"/>
      <c r="B37" s="25"/>
      <c r="C37" s="49" t="s">
        <v>46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">
      <c r="A38" s="26"/>
      <c r="B38" s="25"/>
      <c r="C38" s="49" t="s">
        <v>59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">
      <c r="A39" s="26"/>
      <c r="B39" s="25"/>
      <c r="C39" s="49" t="s">
        <v>60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">
      <c r="A40" s="26"/>
      <c r="B40" s="25"/>
      <c r="C40" s="29" t="s">
        <v>21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">
      <c r="A41" s="26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6"/>
      <c r="B42" s="25"/>
      <c r="C42" s="29" t="s">
        <v>22</v>
      </c>
      <c r="D42" s="41" t="s">
        <v>23</v>
      </c>
      <c r="E42" s="40" t="s">
        <v>24</v>
      </c>
      <c r="F42" s="29" t="s">
        <v>25</v>
      </c>
      <c r="G42" s="30" t="s">
        <v>12</v>
      </c>
      <c r="H42" s="29" t="s">
        <v>26</v>
      </c>
      <c r="I42" s="25"/>
      <c r="J42" s="25"/>
      <c r="K42" s="25"/>
      <c r="L42" s="25"/>
      <c r="M42" s="25"/>
      <c r="N42" s="25"/>
    </row>
    <row r="43" spans="1:14" x14ac:dyDescent="0.2">
      <c r="A43" s="26"/>
      <c r="B43" s="25"/>
      <c r="C43" s="29">
        <v>2139710</v>
      </c>
      <c r="D43" s="29">
        <v>7332</v>
      </c>
      <c r="E43" s="29">
        <v>7954.37</v>
      </c>
      <c r="F43" s="29">
        <f>E43-D43</f>
        <v>622.36999999999989</v>
      </c>
      <c r="G43" s="30">
        <v>0.21</v>
      </c>
      <c r="H43" s="29">
        <f>F43*G43</f>
        <v>130.69769999999997</v>
      </c>
      <c r="I43" s="25"/>
      <c r="J43" s="25"/>
      <c r="K43" s="25"/>
      <c r="L43" s="25"/>
      <c r="M43" s="25"/>
      <c r="N43" s="25"/>
    </row>
    <row r="44" spans="1:14" ht="15" x14ac:dyDescent="0.35">
      <c r="A44" s="26"/>
      <c r="B44" s="25"/>
      <c r="C44" s="29">
        <v>-42798.530000000028</v>
      </c>
      <c r="D44" s="29"/>
      <c r="E44" s="42">
        <v>-174.33</v>
      </c>
      <c r="F44" s="42">
        <f>E44</f>
        <v>-174.33</v>
      </c>
      <c r="G44" s="30">
        <v>0.21</v>
      </c>
      <c r="H44" s="42">
        <f>F44*G44</f>
        <v>-36.609300000000005</v>
      </c>
      <c r="I44" s="25"/>
      <c r="J44" s="25"/>
      <c r="K44" s="25"/>
      <c r="L44" s="25"/>
      <c r="M44" s="25"/>
      <c r="N44" s="25"/>
    </row>
    <row r="45" spans="1:14" x14ac:dyDescent="0.2">
      <c r="A45" s="26"/>
      <c r="B45" s="25"/>
      <c r="C45" s="25"/>
      <c r="D45" s="25"/>
      <c r="E45" s="29">
        <f>E43+E44</f>
        <v>7780.04</v>
      </c>
      <c r="F45" s="29">
        <f>F43+F44</f>
        <v>448.03999999999985</v>
      </c>
      <c r="G45" s="36" t="s">
        <v>27</v>
      </c>
      <c r="H45" s="29">
        <f>H43+H44</f>
        <v>94.088399999999965</v>
      </c>
      <c r="I45" s="25"/>
      <c r="J45" s="25"/>
      <c r="K45" s="25"/>
      <c r="L45" s="25"/>
      <c r="M45" s="25"/>
      <c r="N45" s="25"/>
    </row>
    <row r="46" spans="1:14" ht="15" x14ac:dyDescent="0.35">
      <c r="A46" s="26"/>
      <c r="B46" s="25"/>
      <c r="C46" s="25"/>
      <c r="D46" s="25"/>
      <c r="E46" s="25"/>
      <c r="F46" s="25"/>
      <c r="G46" s="36" t="s">
        <v>28</v>
      </c>
      <c r="H46" s="42">
        <f>-H52*0.21</f>
        <v>-86.394734999999997</v>
      </c>
      <c r="I46" s="25"/>
      <c r="J46" s="25"/>
      <c r="K46" s="25"/>
      <c r="L46" s="25"/>
      <c r="M46" s="25"/>
      <c r="N46" s="25"/>
    </row>
    <row r="47" spans="1:14" x14ac:dyDescent="0.2">
      <c r="A47" s="26"/>
      <c r="B47" s="25"/>
      <c r="C47" s="25"/>
      <c r="D47" s="25"/>
      <c r="E47" s="25"/>
      <c r="F47" s="25"/>
      <c r="G47" s="25"/>
      <c r="H47" s="29">
        <f>H45+H46</f>
        <v>7.6936649999999673</v>
      </c>
      <c r="I47" s="25"/>
      <c r="J47" s="25"/>
      <c r="K47" s="25"/>
      <c r="L47" s="25"/>
      <c r="M47" s="25"/>
      <c r="N47" s="25"/>
    </row>
    <row r="48" spans="1:14" x14ac:dyDescent="0.2">
      <c r="A48" s="26"/>
      <c r="B48" s="25"/>
      <c r="C48" s="25"/>
      <c r="D48" s="25"/>
      <c r="E48" s="25"/>
      <c r="F48" s="25"/>
      <c r="G48" s="25"/>
      <c r="H48" s="29">
        <f>H47-K33</f>
        <v>1.0499999997648501E-4</v>
      </c>
      <c r="I48" s="25"/>
      <c r="J48" s="25"/>
      <c r="K48" s="25"/>
      <c r="L48" s="25"/>
      <c r="M48" s="25"/>
      <c r="N48" s="25"/>
    </row>
    <row r="49" spans="1:14" x14ac:dyDescent="0.2">
      <c r="A49" s="26"/>
      <c r="B49" s="25"/>
      <c r="C49" s="29" t="s">
        <v>30</v>
      </c>
      <c r="D49" s="39" t="s">
        <v>23</v>
      </c>
      <c r="E49" s="40" t="s">
        <v>31</v>
      </c>
      <c r="F49" s="29" t="s">
        <v>32</v>
      </c>
      <c r="G49" s="30" t="s">
        <v>13</v>
      </c>
      <c r="H49" s="29" t="s">
        <v>33</v>
      </c>
      <c r="I49" s="25"/>
      <c r="J49" s="25"/>
      <c r="K49" s="25"/>
      <c r="L49" s="25"/>
      <c r="M49" s="25"/>
      <c r="N49" s="25"/>
    </row>
    <row r="50" spans="1:14" x14ac:dyDescent="0.2">
      <c r="A50" s="26"/>
      <c r="B50" s="25"/>
      <c r="C50" s="29">
        <v>4279420</v>
      </c>
      <c r="D50" s="29">
        <f>D43</f>
        <v>7332</v>
      </c>
      <c r="E50" s="29">
        <v>15908.74</v>
      </c>
      <c r="F50" s="29">
        <f>E50-D50</f>
        <v>8576.74</v>
      </c>
      <c r="G50" s="30">
        <v>0.05</v>
      </c>
      <c r="H50" s="29">
        <f>F50*G50</f>
        <v>428.83699999999999</v>
      </c>
      <c r="I50" s="25"/>
      <c r="J50" s="25"/>
      <c r="K50" s="25"/>
      <c r="L50" s="25"/>
      <c r="M50" s="25"/>
      <c r="N50" s="25"/>
    </row>
    <row r="51" spans="1:14" ht="15" x14ac:dyDescent="0.35">
      <c r="A51" s="26"/>
      <c r="B51" s="25"/>
      <c r="C51" s="29">
        <v>-85597.060000000056</v>
      </c>
      <c r="D51" s="29"/>
      <c r="E51" s="42">
        <v>-348.67</v>
      </c>
      <c r="F51" s="42">
        <f>E51</f>
        <v>-348.67</v>
      </c>
      <c r="G51" s="30">
        <v>0.05</v>
      </c>
      <c r="H51" s="42">
        <f>F51*G51</f>
        <v>-17.433500000000002</v>
      </c>
      <c r="I51" s="25"/>
      <c r="J51" s="25"/>
      <c r="K51" s="25"/>
      <c r="L51" s="25"/>
      <c r="M51" s="25"/>
      <c r="N51" s="25"/>
    </row>
    <row r="52" spans="1:14" x14ac:dyDescent="0.2">
      <c r="A52" s="26"/>
      <c r="B52" s="25"/>
      <c r="C52" s="25"/>
      <c r="D52" s="25"/>
      <c r="E52" s="29">
        <f>E50+E51</f>
        <v>15560.07</v>
      </c>
      <c r="F52" s="29">
        <f>F50+F51</f>
        <v>8228.07</v>
      </c>
      <c r="G52" s="25"/>
      <c r="H52" s="29">
        <f>H50+H51</f>
        <v>411.40350000000001</v>
      </c>
      <c r="I52" s="25"/>
      <c r="J52" s="25"/>
      <c r="K52" s="25"/>
      <c r="L52" s="25"/>
      <c r="M52" s="25"/>
      <c r="N52" s="25"/>
    </row>
    <row r="53" spans="1:14" x14ac:dyDescent="0.2">
      <c r="A53" s="26"/>
      <c r="B53" s="25"/>
      <c r="C53" s="25"/>
      <c r="D53" s="25"/>
      <c r="E53" s="25"/>
      <c r="F53" s="25"/>
      <c r="G53" s="25"/>
      <c r="H53" s="29">
        <f>H52-L33</f>
        <v>-4.9999999998817657E-4</v>
      </c>
      <c r="I53" s="25"/>
      <c r="J53" s="25"/>
      <c r="K53" s="25"/>
      <c r="L53" s="25"/>
      <c r="M53" s="25"/>
      <c r="N53" s="25"/>
    </row>
    <row r="54" spans="1:14" x14ac:dyDescent="0.2">
      <c r="A54" s="2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</sheetData>
  <mergeCells count="1">
    <mergeCell ref="A1:N1"/>
  </mergeCells>
  <pageMargins left="0.7" right="0.7" top="1.15625" bottom="0.75" header="0.3" footer="0.3"/>
  <pageSetup scale="50" orientation="portrait" r:id="rId1"/>
  <headerFooter>
    <oddHeader>&amp;R&amp;"Times New Roman,Bold"&amp;12Attachment to Response to Question 3
Page 7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FC840-D0BE-4133-9933-162204F581CE}">
  <dimension ref="A1:Q62"/>
  <sheetViews>
    <sheetView zoomScaleNormal="100" workbookViewId="0">
      <selection sqref="A1:N1"/>
    </sheetView>
  </sheetViews>
  <sheetFormatPr defaultRowHeight="12.75" x14ac:dyDescent="0.2"/>
  <cols>
    <col min="1" max="1" width="11.28515625" style="9" customWidth="1"/>
    <col min="2" max="2" width="1.7109375" customWidth="1"/>
    <col min="3" max="3" width="14.42578125" customWidth="1"/>
    <col min="4" max="4" width="14.28515625" bestFit="1" customWidth="1"/>
    <col min="5" max="5" width="17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  <col min="17" max="17" width="11.42578125" bestFit="1" customWidth="1"/>
  </cols>
  <sheetData>
    <row r="1" spans="1:17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7" x14ac:dyDescent="0.2">
      <c r="A2" s="2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7" x14ac:dyDescent="0.2">
      <c r="A5" s="4" t="s">
        <v>37</v>
      </c>
    </row>
    <row r="6" spans="1:17" x14ac:dyDescent="0.2">
      <c r="A6" s="5" t="s">
        <v>47</v>
      </c>
    </row>
    <row r="8" spans="1:17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7" x14ac:dyDescent="0.2">
      <c r="A9" s="9" t="s">
        <v>18</v>
      </c>
      <c r="M9" s="10">
        <v>20497538</v>
      </c>
    </row>
    <row r="10" spans="1:17" x14ac:dyDescent="0.2">
      <c r="A10" s="12">
        <v>43533</v>
      </c>
      <c r="C10" s="13">
        <v>84655448</v>
      </c>
      <c r="D10" s="14">
        <v>186947</v>
      </c>
      <c r="E10" s="14">
        <f>503470.04</f>
        <v>503470.04</v>
      </c>
      <c r="F10" s="14">
        <f>1006940.07</f>
        <v>1006940.07</v>
      </c>
      <c r="G10" s="13">
        <f>E10-D10</f>
        <v>316523.03999999998</v>
      </c>
      <c r="H10" s="13">
        <f>F10-D10</f>
        <v>819993.07</v>
      </c>
      <c r="I10" s="15">
        <v>0.21</v>
      </c>
      <c r="J10" s="15">
        <v>0.05</v>
      </c>
      <c r="K10" s="13">
        <f t="shared" ref="K10:K31" si="0">G10*I10-L10*I10</f>
        <v>57859.911164999998</v>
      </c>
      <c r="L10" s="13">
        <f t="shared" ref="L10:L31" si="1">H10*J10</f>
        <v>40999.6535</v>
      </c>
      <c r="M10" s="13">
        <f t="shared" ref="M10:M33" si="2">M9+K10+L10</f>
        <v>20596397.564664997</v>
      </c>
      <c r="N10" s="13">
        <v>58411.76</v>
      </c>
      <c r="P10" s="11"/>
      <c r="Q10" s="17"/>
    </row>
    <row r="11" spans="1:17" x14ac:dyDescent="0.2">
      <c r="A11" s="12">
        <v>43556</v>
      </c>
      <c r="C11" s="13">
        <v>84655448</v>
      </c>
      <c r="D11" s="14">
        <v>186947</v>
      </c>
      <c r="E11" s="14">
        <f>503470.04</f>
        <v>503470.04</v>
      </c>
      <c r="F11" s="14">
        <f>1006940.07</f>
        <v>1006940.07</v>
      </c>
      <c r="G11" s="13">
        <f t="shared" ref="G11:G15" si="3">E11-D11</f>
        <v>316523.03999999998</v>
      </c>
      <c r="H11" s="13">
        <f t="shared" ref="H11:H15" si="4">F11-D11</f>
        <v>819993.07</v>
      </c>
      <c r="I11" s="15">
        <v>0.21</v>
      </c>
      <c r="J11" s="15">
        <v>0.05</v>
      </c>
      <c r="K11" s="13">
        <f t="shared" si="0"/>
        <v>57859.911164999998</v>
      </c>
      <c r="L11" s="13">
        <f t="shared" si="1"/>
        <v>40999.6535</v>
      </c>
      <c r="M11" s="13">
        <f t="shared" si="2"/>
        <v>20695257.129329994</v>
      </c>
      <c r="N11" s="13">
        <v>58154.04</v>
      </c>
      <c r="O11" s="13">
        <f>1598189-M12</f>
        <v>-19150896.999019992</v>
      </c>
      <c r="P11" s="11"/>
      <c r="Q11" s="17"/>
    </row>
    <row r="12" spans="1:17" x14ac:dyDescent="0.2">
      <c r="A12" s="12">
        <v>43586</v>
      </c>
      <c r="C12" s="13">
        <v>85126581</v>
      </c>
      <c r="D12" s="14">
        <v>367850</v>
      </c>
      <c r="E12" s="14">
        <f>504169.58-333.01</f>
        <v>503836.57</v>
      </c>
      <c r="F12" s="14">
        <f t="shared" ref="F12:F19" si="5">1007639.62</f>
        <v>1007639.62</v>
      </c>
      <c r="G12" s="13">
        <f t="shared" si="3"/>
        <v>135986.57</v>
      </c>
      <c r="H12" s="13">
        <f t="shared" si="4"/>
        <v>639789.62</v>
      </c>
      <c r="I12" s="15">
        <v>0.21</v>
      </c>
      <c r="J12" s="15">
        <v>0.05</v>
      </c>
      <c r="K12" s="13">
        <f t="shared" si="0"/>
        <v>21839.38869</v>
      </c>
      <c r="L12" s="13">
        <f t="shared" si="1"/>
        <v>31989.481</v>
      </c>
      <c r="M12" s="13">
        <f t="shared" si="2"/>
        <v>20749085.999019992</v>
      </c>
      <c r="N12" s="13">
        <v>87230.5</v>
      </c>
      <c r="O12" s="11">
        <f>+O11/0.389</f>
        <v>-49231097.683856018</v>
      </c>
      <c r="Q12" s="17"/>
    </row>
    <row r="13" spans="1:17" x14ac:dyDescent="0.2">
      <c r="A13" s="12">
        <v>43617</v>
      </c>
      <c r="C13" s="13">
        <v>85126581</v>
      </c>
      <c r="D13" s="14">
        <v>368172</v>
      </c>
      <c r="E13" s="14">
        <f>504169.58+45.42</f>
        <v>504215</v>
      </c>
      <c r="F13" s="14">
        <f t="shared" si="5"/>
        <v>1007639.62</v>
      </c>
      <c r="G13" s="13">
        <f t="shared" si="3"/>
        <v>136043</v>
      </c>
      <c r="H13" s="13">
        <f t="shared" si="4"/>
        <v>639467.62</v>
      </c>
      <c r="I13" s="15">
        <v>0.21</v>
      </c>
      <c r="J13" s="15">
        <v>0.05</v>
      </c>
      <c r="K13" s="13">
        <f t="shared" si="0"/>
        <v>21854.619989999999</v>
      </c>
      <c r="L13" s="13">
        <f t="shared" si="1"/>
        <v>31973.381000000001</v>
      </c>
      <c r="M13" s="13">
        <f t="shared" si="2"/>
        <v>20802914.000009991</v>
      </c>
      <c r="N13" s="13">
        <v>86314.64</v>
      </c>
      <c r="O13" s="13">
        <f>1923738-M14</f>
        <v>-18933004.840999991</v>
      </c>
      <c r="Q13" s="17"/>
    </row>
    <row r="14" spans="1:17" x14ac:dyDescent="0.2">
      <c r="A14" s="12">
        <v>43647</v>
      </c>
      <c r="C14" s="13">
        <v>85126581</v>
      </c>
      <c r="D14" s="14">
        <v>368172</v>
      </c>
      <c r="E14" s="14">
        <f>504169.58+45.42+4</f>
        <v>504219</v>
      </c>
      <c r="F14" s="14">
        <f t="shared" si="5"/>
        <v>1007639.62</v>
      </c>
      <c r="G14" s="13">
        <f t="shared" si="3"/>
        <v>136047</v>
      </c>
      <c r="H14" s="13">
        <f t="shared" si="4"/>
        <v>639467.62</v>
      </c>
      <c r="I14" s="15">
        <v>0.21</v>
      </c>
      <c r="J14" s="15">
        <v>0.05</v>
      </c>
      <c r="K14" s="13">
        <f t="shared" si="0"/>
        <v>21855.459989999999</v>
      </c>
      <c r="L14" s="13">
        <f t="shared" si="1"/>
        <v>31973.381000000001</v>
      </c>
      <c r="M14" s="13">
        <f t="shared" si="2"/>
        <v>20856742.840999991</v>
      </c>
      <c r="N14" s="13">
        <v>85645.8</v>
      </c>
      <c r="O14" s="11">
        <f>+O13/0.389</f>
        <v>-48670963.601542391</v>
      </c>
      <c r="Q14" s="17"/>
    </row>
    <row r="15" spans="1:17" x14ac:dyDescent="0.2">
      <c r="A15" s="12">
        <v>43678</v>
      </c>
      <c r="C15" s="13">
        <v>85126581</v>
      </c>
      <c r="D15" s="14">
        <v>368172</v>
      </c>
      <c r="E15" s="14">
        <f>504169.58+46</f>
        <v>504215.58</v>
      </c>
      <c r="F15" s="14">
        <f t="shared" si="5"/>
        <v>1007639.62</v>
      </c>
      <c r="G15" s="13">
        <f t="shared" si="3"/>
        <v>136043.58000000002</v>
      </c>
      <c r="H15" s="13">
        <f t="shared" si="4"/>
        <v>639467.62</v>
      </c>
      <c r="I15" s="15">
        <v>0.21</v>
      </c>
      <c r="J15" s="15">
        <v>0.05</v>
      </c>
      <c r="K15" s="13">
        <f t="shared" si="0"/>
        <v>21854.741790000004</v>
      </c>
      <c r="L15" s="13">
        <f t="shared" si="1"/>
        <v>31973.381000000001</v>
      </c>
      <c r="M15" s="13">
        <f t="shared" si="2"/>
        <v>20910570.963789992</v>
      </c>
      <c r="N15" s="13">
        <v>84976.95</v>
      </c>
      <c r="O15" s="13">
        <f>+M15-2105354</f>
        <v>18805216.963789992</v>
      </c>
      <c r="Q15" s="17"/>
    </row>
    <row r="16" spans="1:17" x14ac:dyDescent="0.2">
      <c r="A16" s="12">
        <v>43717</v>
      </c>
      <c r="B16" s="25"/>
      <c r="C16" s="29">
        <v>85126581</v>
      </c>
      <c r="D16" s="32">
        <v>368172</v>
      </c>
      <c r="E16" s="32">
        <f>504169.58+45.42</f>
        <v>504215</v>
      </c>
      <c r="F16" s="32">
        <f t="shared" si="5"/>
        <v>1007639.62</v>
      </c>
      <c r="G16" s="29">
        <f>E16-D16</f>
        <v>136043</v>
      </c>
      <c r="H16" s="29">
        <f>F16-D16</f>
        <v>639467.62</v>
      </c>
      <c r="I16" s="30">
        <v>0.21</v>
      </c>
      <c r="J16" s="30">
        <v>0.05</v>
      </c>
      <c r="K16" s="29">
        <f t="shared" si="0"/>
        <v>21854.619989999999</v>
      </c>
      <c r="L16" s="29">
        <f t="shared" si="1"/>
        <v>31973.381000000001</v>
      </c>
      <c r="M16" s="29">
        <f t="shared" si="2"/>
        <v>20964398.964779992</v>
      </c>
      <c r="N16" s="29">
        <v>84308.1</v>
      </c>
      <c r="O16" s="17">
        <f>+O15/0.389</f>
        <v>48342460.061156787</v>
      </c>
    </row>
    <row r="17" spans="1:14" x14ac:dyDescent="0.2">
      <c r="A17" s="12">
        <v>43739</v>
      </c>
      <c r="B17" s="25"/>
      <c r="C17" s="29">
        <v>85126581</v>
      </c>
      <c r="D17" s="32">
        <v>368172</v>
      </c>
      <c r="E17" s="32">
        <f>504169.58+45.42+4</f>
        <v>504219</v>
      </c>
      <c r="F17" s="32">
        <f t="shared" si="5"/>
        <v>1007639.62</v>
      </c>
      <c r="G17" s="29">
        <f t="shared" ref="G17:G21" si="6">E17-D17</f>
        <v>136047</v>
      </c>
      <c r="H17" s="29">
        <f t="shared" ref="H17:H21" si="7">F17-D17</f>
        <v>639467.62</v>
      </c>
      <c r="I17" s="30">
        <v>0.21</v>
      </c>
      <c r="J17" s="30">
        <v>0.05</v>
      </c>
      <c r="K17" s="29">
        <f t="shared" si="0"/>
        <v>21855.459989999999</v>
      </c>
      <c r="L17" s="29">
        <f t="shared" si="1"/>
        <v>31973.381000000001</v>
      </c>
      <c r="M17" s="29">
        <f t="shared" si="2"/>
        <v>21018227.805769991</v>
      </c>
      <c r="N17" s="29">
        <v>83639.259999999995</v>
      </c>
    </row>
    <row r="18" spans="1:14" x14ac:dyDescent="0.2">
      <c r="A18" s="12">
        <v>43770</v>
      </c>
      <c r="B18" s="25"/>
      <c r="C18" s="29">
        <v>85126581</v>
      </c>
      <c r="D18" s="32">
        <v>368172</v>
      </c>
      <c r="E18" s="32">
        <f>504169.58+45.42</f>
        <v>504215</v>
      </c>
      <c r="F18" s="32">
        <f t="shared" si="5"/>
        <v>1007639.62</v>
      </c>
      <c r="G18" s="29">
        <f t="shared" si="6"/>
        <v>136043</v>
      </c>
      <c r="H18" s="29">
        <f t="shared" si="7"/>
        <v>639467.62</v>
      </c>
      <c r="I18" s="30">
        <v>0.21</v>
      </c>
      <c r="J18" s="30">
        <v>0.05</v>
      </c>
      <c r="K18" s="29">
        <f t="shared" si="0"/>
        <v>21854.619989999999</v>
      </c>
      <c r="L18" s="29">
        <f t="shared" si="1"/>
        <v>31973.381000000001</v>
      </c>
      <c r="M18" s="29">
        <f t="shared" si="2"/>
        <v>21072055.806759991</v>
      </c>
      <c r="N18" s="29">
        <v>82970.41</v>
      </c>
    </row>
    <row r="19" spans="1:14" x14ac:dyDescent="0.2">
      <c r="A19" s="12">
        <v>43800</v>
      </c>
      <c r="B19" s="25"/>
      <c r="C19" s="29">
        <v>85126581</v>
      </c>
      <c r="D19" s="32">
        <v>368172</v>
      </c>
      <c r="E19" s="32">
        <f>504169.58+45.42+4</f>
        <v>504219</v>
      </c>
      <c r="F19" s="32">
        <f t="shared" si="5"/>
        <v>1007639.62</v>
      </c>
      <c r="G19" s="29">
        <f t="shared" si="6"/>
        <v>136047</v>
      </c>
      <c r="H19" s="29">
        <f t="shared" si="7"/>
        <v>639467.62</v>
      </c>
      <c r="I19" s="30">
        <v>0.21</v>
      </c>
      <c r="J19" s="30">
        <v>0.05</v>
      </c>
      <c r="K19" s="29">
        <f t="shared" si="0"/>
        <v>21855.459989999999</v>
      </c>
      <c r="L19" s="29">
        <f t="shared" si="1"/>
        <v>31973.381000000001</v>
      </c>
      <c r="M19" s="29">
        <f t="shared" si="2"/>
        <v>21125884.64774999</v>
      </c>
      <c r="N19" s="29">
        <v>82301.56</v>
      </c>
    </row>
    <row r="20" spans="1:14" x14ac:dyDescent="0.2">
      <c r="A20" s="12">
        <v>43831</v>
      </c>
      <c r="B20" s="25"/>
      <c r="C20" s="29">
        <v>85126581</v>
      </c>
      <c r="D20" s="32">
        <v>368172</v>
      </c>
      <c r="E20" s="32">
        <f>462015-4</f>
        <v>462011</v>
      </c>
      <c r="F20" s="32">
        <v>923132.21</v>
      </c>
      <c r="G20" s="29">
        <f t="shared" si="6"/>
        <v>93839</v>
      </c>
      <c r="H20" s="29">
        <f t="shared" si="7"/>
        <v>554960.21</v>
      </c>
      <c r="I20" s="30">
        <v>0.21</v>
      </c>
      <c r="J20" s="30">
        <v>0.05</v>
      </c>
      <c r="K20" s="29">
        <f t="shared" si="0"/>
        <v>13879.107795</v>
      </c>
      <c r="L20" s="29">
        <f t="shared" si="1"/>
        <v>27748.0105</v>
      </c>
      <c r="M20" s="29">
        <f t="shared" si="2"/>
        <v>21167511.766044989</v>
      </c>
      <c r="N20" s="29">
        <v>87964.78</v>
      </c>
    </row>
    <row r="21" spans="1:14" x14ac:dyDescent="0.2">
      <c r="A21" s="12">
        <v>43862</v>
      </c>
      <c r="B21" s="25"/>
      <c r="C21" s="29">
        <v>85126581</v>
      </c>
      <c r="D21" s="32">
        <v>368172</v>
      </c>
      <c r="E21" s="32">
        <f t="shared" ref="E21:E26" si="8">462015</f>
        <v>462015</v>
      </c>
      <c r="F21" s="32">
        <v>923132.21</v>
      </c>
      <c r="G21" s="29">
        <f t="shared" si="6"/>
        <v>93843</v>
      </c>
      <c r="H21" s="29">
        <f t="shared" si="7"/>
        <v>554960.21</v>
      </c>
      <c r="I21" s="30">
        <v>0.21</v>
      </c>
      <c r="J21" s="30">
        <v>0.05</v>
      </c>
      <c r="K21" s="29">
        <f t="shared" si="0"/>
        <v>13879.947795</v>
      </c>
      <c r="L21" s="29">
        <f t="shared" si="1"/>
        <v>27748.0105</v>
      </c>
      <c r="M21" s="29">
        <f t="shared" si="2"/>
        <v>21209139.724339988</v>
      </c>
      <c r="N21" s="29">
        <v>87295.94</v>
      </c>
    </row>
    <row r="22" spans="1:14" x14ac:dyDescent="0.2">
      <c r="A22" s="12">
        <v>43899</v>
      </c>
      <c r="B22" s="25"/>
      <c r="C22" s="29">
        <v>85126581</v>
      </c>
      <c r="D22" s="32">
        <v>368172</v>
      </c>
      <c r="E22" s="31">
        <f t="shared" si="8"/>
        <v>462015</v>
      </c>
      <c r="F22" s="31">
        <v>923132.21</v>
      </c>
      <c r="G22" s="29">
        <f>E22-D22</f>
        <v>93843</v>
      </c>
      <c r="H22" s="29">
        <f>F22-D22</f>
        <v>554960.21</v>
      </c>
      <c r="I22" s="30">
        <v>0.21</v>
      </c>
      <c r="J22" s="30">
        <v>0.05</v>
      </c>
      <c r="K22" s="29">
        <f t="shared" si="0"/>
        <v>13879.947795</v>
      </c>
      <c r="L22" s="29">
        <f t="shared" si="1"/>
        <v>27748.0105</v>
      </c>
      <c r="M22" s="29">
        <f t="shared" si="2"/>
        <v>21250767.682634987</v>
      </c>
      <c r="N22" s="29">
        <f>56174.04+30453.04</f>
        <v>86627.08</v>
      </c>
    </row>
    <row r="23" spans="1:14" x14ac:dyDescent="0.2">
      <c r="A23" s="12">
        <v>43922</v>
      </c>
      <c r="B23" s="25"/>
      <c r="C23" s="29">
        <v>85126581</v>
      </c>
      <c r="D23" s="32">
        <v>368172</v>
      </c>
      <c r="E23" s="31">
        <f t="shared" si="8"/>
        <v>462015</v>
      </c>
      <c r="F23" s="31">
        <v>923132.21</v>
      </c>
      <c r="G23" s="29">
        <f t="shared" ref="G23:G27" si="9">E23-D23</f>
        <v>93843</v>
      </c>
      <c r="H23" s="29">
        <f t="shared" ref="H23:H27" si="10">F23-D23</f>
        <v>554960.21</v>
      </c>
      <c r="I23" s="30">
        <v>0.21</v>
      </c>
      <c r="J23" s="30">
        <v>0.05</v>
      </c>
      <c r="K23" s="29">
        <f t="shared" si="0"/>
        <v>13879.947795</v>
      </c>
      <c r="L23" s="29">
        <f t="shared" si="1"/>
        <v>27748.0105</v>
      </c>
      <c r="M23" s="29">
        <f t="shared" si="2"/>
        <v>21292395.640929986</v>
      </c>
      <c r="N23" s="29">
        <f>55669.31+30288.93</f>
        <v>85958.239999999991</v>
      </c>
    </row>
    <row r="24" spans="1:14" x14ac:dyDescent="0.2">
      <c r="A24" s="12">
        <v>43952</v>
      </c>
      <c r="B24" s="25"/>
      <c r="C24" s="29">
        <v>85126581</v>
      </c>
      <c r="D24" s="32">
        <v>368172</v>
      </c>
      <c r="E24" s="31">
        <f t="shared" si="8"/>
        <v>462015</v>
      </c>
      <c r="F24" s="31">
        <v>923132.21</v>
      </c>
      <c r="G24" s="29">
        <f t="shared" si="9"/>
        <v>93843</v>
      </c>
      <c r="H24" s="29">
        <f t="shared" si="10"/>
        <v>554960.21</v>
      </c>
      <c r="I24" s="30">
        <v>0.21</v>
      </c>
      <c r="J24" s="30">
        <v>0.05</v>
      </c>
      <c r="K24" s="29">
        <f t="shared" si="0"/>
        <v>13879.947795</v>
      </c>
      <c r="L24" s="29">
        <f t="shared" si="1"/>
        <v>27748.0105</v>
      </c>
      <c r="M24" s="29">
        <f t="shared" si="2"/>
        <v>21334023.599224985</v>
      </c>
      <c r="N24" s="29">
        <f>55164.58+30124.82</f>
        <v>85289.4</v>
      </c>
    </row>
    <row r="25" spans="1:14" x14ac:dyDescent="0.2">
      <c r="A25" s="12">
        <v>43983</v>
      </c>
      <c r="B25" s="25"/>
      <c r="C25" s="29">
        <v>85126581</v>
      </c>
      <c r="D25" s="32">
        <v>368172</v>
      </c>
      <c r="E25" s="31">
        <f t="shared" si="8"/>
        <v>462015</v>
      </c>
      <c r="F25" s="31">
        <v>923132.21</v>
      </c>
      <c r="G25" s="29">
        <f t="shared" si="9"/>
        <v>93843</v>
      </c>
      <c r="H25" s="29">
        <f t="shared" si="10"/>
        <v>554960.21</v>
      </c>
      <c r="I25" s="30">
        <v>0.21</v>
      </c>
      <c r="J25" s="30">
        <v>0.05</v>
      </c>
      <c r="K25" s="29">
        <f t="shared" si="0"/>
        <v>13879.947795</v>
      </c>
      <c r="L25" s="29">
        <f t="shared" si="1"/>
        <v>27748.0105</v>
      </c>
      <c r="M25" s="29">
        <f t="shared" si="2"/>
        <v>21375651.557519984</v>
      </c>
      <c r="N25" s="29">
        <f>54659.84+29960.7</f>
        <v>84620.54</v>
      </c>
    </row>
    <row r="26" spans="1:14" x14ac:dyDescent="0.2">
      <c r="A26" s="12">
        <v>44013</v>
      </c>
      <c r="B26" s="25"/>
      <c r="C26" s="29">
        <v>85126581</v>
      </c>
      <c r="D26" s="32">
        <v>368172</v>
      </c>
      <c r="E26" s="31">
        <f t="shared" si="8"/>
        <v>462015</v>
      </c>
      <c r="F26" s="31">
        <v>923132.21</v>
      </c>
      <c r="G26" s="29">
        <f t="shared" si="9"/>
        <v>93843</v>
      </c>
      <c r="H26" s="29">
        <f t="shared" si="10"/>
        <v>554960.21</v>
      </c>
      <c r="I26" s="30">
        <v>0.21</v>
      </c>
      <c r="J26" s="30">
        <v>0.05</v>
      </c>
      <c r="K26" s="29">
        <f t="shared" si="0"/>
        <v>13879.947795</v>
      </c>
      <c r="L26" s="29">
        <f t="shared" si="1"/>
        <v>27748.0105</v>
      </c>
      <c r="M26" s="29">
        <f t="shared" si="2"/>
        <v>21417279.515814982</v>
      </c>
      <c r="N26" s="29">
        <f>54155.11+29796.59</f>
        <v>83951.7</v>
      </c>
    </row>
    <row r="27" spans="1:14" x14ac:dyDescent="0.2">
      <c r="A27" s="12">
        <v>44044</v>
      </c>
      <c r="B27" s="25"/>
      <c r="C27" s="29">
        <v>85126581</v>
      </c>
      <c r="D27" s="32">
        <v>368172</v>
      </c>
      <c r="E27" s="31">
        <f>462015-2</f>
        <v>462013</v>
      </c>
      <c r="F27" s="31">
        <v>923132.21</v>
      </c>
      <c r="G27" s="29">
        <f t="shared" si="9"/>
        <v>93841</v>
      </c>
      <c r="H27" s="29">
        <f t="shared" si="10"/>
        <v>554960.21</v>
      </c>
      <c r="I27" s="30">
        <v>0.21</v>
      </c>
      <c r="J27" s="30">
        <v>0.05</v>
      </c>
      <c r="K27" s="29">
        <f t="shared" si="0"/>
        <v>13879.527795000002</v>
      </c>
      <c r="L27" s="29">
        <f t="shared" si="1"/>
        <v>27748.0105</v>
      </c>
      <c r="M27" s="29">
        <f t="shared" si="2"/>
        <v>21458907.054109983</v>
      </c>
      <c r="N27" s="29">
        <f>53650.38+29632.47</f>
        <v>83282.850000000006</v>
      </c>
    </row>
    <row r="28" spans="1:14" x14ac:dyDescent="0.2">
      <c r="A28" s="12">
        <v>44083</v>
      </c>
      <c r="B28" s="25"/>
      <c r="C28" s="29">
        <v>85126581</v>
      </c>
      <c r="D28" s="32">
        <v>368172</v>
      </c>
      <c r="E28" s="31">
        <v>462015</v>
      </c>
      <c r="F28" s="31">
        <v>923132.21</v>
      </c>
      <c r="G28" s="29">
        <f>E28-D28</f>
        <v>93843</v>
      </c>
      <c r="H28" s="29">
        <f>F28-D28</f>
        <v>554960.21</v>
      </c>
      <c r="I28" s="30">
        <v>0.21</v>
      </c>
      <c r="J28" s="30">
        <v>0.05</v>
      </c>
      <c r="K28" s="29">
        <f t="shared" si="0"/>
        <v>13879.947795</v>
      </c>
      <c r="L28" s="29">
        <f t="shared" si="1"/>
        <v>27748.0105</v>
      </c>
      <c r="M28" s="29">
        <f t="shared" si="2"/>
        <v>21500535.012404982</v>
      </c>
      <c r="N28" s="29">
        <f>53145.64+29468.36</f>
        <v>82614</v>
      </c>
    </row>
    <row r="29" spans="1:14" x14ac:dyDescent="0.2">
      <c r="A29" s="12">
        <v>44105</v>
      </c>
      <c r="B29" s="25"/>
      <c r="C29" s="29">
        <v>85126581</v>
      </c>
      <c r="D29" s="32">
        <v>368172</v>
      </c>
      <c r="E29" s="31">
        <v>462015</v>
      </c>
      <c r="F29" s="31">
        <v>923132.21</v>
      </c>
      <c r="G29" s="29">
        <f t="shared" ref="G29:G33" si="11">E29-D29</f>
        <v>93843</v>
      </c>
      <c r="H29" s="29">
        <f t="shared" ref="H29:H33" si="12">F29-D29</f>
        <v>554960.21</v>
      </c>
      <c r="I29" s="30">
        <v>0.21</v>
      </c>
      <c r="J29" s="30">
        <v>0.05</v>
      </c>
      <c r="K29" s="29">
        <f t="shared" si="0"/>
        <v>13879.947795</v>
      </c>
      <c r="L29" s="29">
        <f t="shared" si="1"/>
        <v>27748.0105</v>
      </c>
      <c r="M29" s="29">
        <f t="shared" si="2"/>
        <v>21542162.970699981</v>
      </c>
      <c r="N29" s="29">
        <f>52640.91+29304.25</f>
        <v>81945.16</v>
      </c>
    </row>
    <row r="30" spans="1:14" x14ac:dyDescent="0.2">
      <c r="A30" s="12">
        <v>44136</v>
      </c>
      <c r="B30" s="25"/>
      <c r="C30" s="29">
        <v>85126581</v>
      </c>
      <c r="D30" s="32">
        <v>368172</v>
      </c>
      <c r="E30" s="31">
        <v>462015</v>
      </c>
      <c r="F30" s="31">
        <v>923132.21</v>
      </c>
      <c r="G30" s="29">
        <f t="shared" si="11"/>
        <v>93843</v>
      </c>
      <c r="H30" s="29">
        <f t="shared" si="12"/>
        <v>554960.21</v>
      </c>
      <c r="I30" s="30">
        <v>0.21</v>
      </c>
      <c r="J30" s="30">
        <v>0.05</v>
      </c>
      <c r="K30" s="29">
        <f t="shared" si="0"/>
        <v>13879.947795</v>
      </c>
      <c r="L30" s="29">
        <f t="shared" si="1"/>
        <v>27748.0105</v>
      </c>
      <c r="M30" s="29">
        <f t="shared" si="2"/>
        <v>21583790.92899498</v>
      </c>
      <c r="N30" s="29">
        <f>52136.18+29140.13</f>
        <v>81276.31</v>
      </c>
    </row>
    <row r="31" spans="1:14" x14ac:dyDescent="0.2">
      <c r="A31" s="12">
        <v>44166</v>
      </c>
      <c r="B31" s="25"/>
      <c r="C31" s="29">
        <v>86967565</v>
      </c>
      <c r="D31" s="32">
        <v>371570</v>
      </c>
      <c r="E31" s="31">
        <f>520926.9</f>
        <v>520926.9</v>
      </c>
      <c r="F31" s="31">
        <v>982044.12</v>
      </c>
      <c r="G31" s="29">
        <f t="shared" si="11"/>
        <v>149356.90000000002</v>
      </c>
      <c r="H31" s="29">
        <f t="shared" si="12"/>
        <v>610474.12</v>
      </c>
      <c r="I31" s="30">
        <v>0.21</v>
      </c>
      <c r="J31" s="30">
        <v>0.05</v>
      </c>
      <c r="K31" s="29">
        <f t="shared" si="0"/>
        <v>24954.970740000004</v>
      </c>
      <c r="L31" s="29">
        <f t="shared" si="1"/>
        <v>30523.706000000002</v>
      </c>
      <c r="M31" s="29">
        <f t="shared" si="2"/>
        <v>21639269.605734982</v>
      </c>
      <c r="N31" s="29">
        <f>51631.44+28976.02</f>
        <v>80607.460000000006</v>
      </c>
    </row>
    <row r="32" spans="1:14" x14ac:dyDescent="0.2">
      <c r="A32" s="12">
        <v>44197</v>
      </c>
      <c r="B32" s="25"/>
      <c r="C32" s="29">
        <v>86697565</v>
      </c>
      <c r="D32" s="32">
        <v>374967</v>
      </c>
      <c r="E32" s="31">
        <f>66031.46</f>
        <v>66031.460000000006</v>
      </c>
      <c r="F32" s="31">
        <f>121781.76</f>
        <v>121781.75999999999</v>
      </c>
      <c r="G32" s="29">
        <f t="shared" si="11"/>
        <v>-308935.53999999998</v>
      </c>
      <c r="H32" s="29">
        <f t="shared" si="12"/>
        <v>-253185.24</v>
      </c>
      <c r="I32" s="30">
        <v>0.21</v>
      </c>
      <c r="J32" s="30">
        <v>0.05</v>
      </c>
      <c r="K32" s="29">
        <f>G32*I32+12659*I32-36819.5</f>
        <v>-99037.573399999994</v>
      </c>
      <c r="L32" s="29">
        <f>H32*J32-1460.18</f>
        <v>-14119.442000000001</v>
      </c>
      <c r="M32" s="29">
        <f t="shared" si="2"/>
        <v>21526112.590334982</v>
      </c>
      <c r="N32" s="29">
        <f>54430.45+31346.41</f>
        <v>85776.86</v>
      </c>
    </row>
    <row r="33" spans="1:14" x14ac:dyDescent="0.2">
      <c r="A33" s="12">
        <v>44228</v>
      </c>
      <c r="B33" s="25"/>
      <c r="C33" s="29">
        <v>86697565</v>
      </c>
      <c r="D33" s="32">
        <v>374967</v>
      </c>
      <c r="E33" s="31">
        <f>66031.46</f>
        <v>66031.460000000006</v>
      </c>
      <c r="F33" s="31">
        <f>121781.76</f>
        <v>121781.75999999999</v>
      </c>
      <c r="G33" s="29">
        <f t="shared" si="11"/>
        <v>-308935.53999999998</v>
      </c>
      <c r="H33" s="29">
        <f t="shared" si="12"/>
        <v>-253185.24</v>
      </c>
      <c r="I33" s="30">
        <v>0.21</v>
      </c>
      <c r="J33" s="30">
        <v>0.05</v>
      </c>
      <c r="K33" s="29">
        <f>G33*I33+12659*I33-36819.5</f>
        <v>-99037.573399999994</v>
      </c>
      <c r="L33" s="29">
        <f>H33*J33-1460.18</f>
        <v>-14119.442000000001</v>
      </c>
      <c r="M33" s="29">
        <f t="shared" si="2"/>
        <v>21412955.574934982</v>
      </c>
      <c r="N33" s="29">
        <f>53925.71+31182.3</f>
        <v>85108.01</v>
      </c>
    </row>
    <row r="34" spans="1:14" x14ac:dyDescent="0.2">
      <c r="A34" s="33"/>
      <c r="B34" s="2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x14ac:dyDescent="0.2">
      <c r="A35" s="33"/>
      <c r="B35" s="25"/>
      <c r="C35" s="37" t="s">
        <v>58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">
      <c r="A36" s="33"/>
      <c r="B36" s="2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x14ac:dyDescent="0.2">
      <c r="A37" s="26"/>
      <c r="B37" s="25"/>
      <c r="C37" s="49" t="s">
        <v>48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">
      <c r="A38" s="26"/>
      <c r="B38" s="25"/>
      <c r="C38" s="49" t="s">
        <v>59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">
      <c r="A39" s="26"/>
      <c r="B39" s="25"/>
      <c r="C39" s="49" t="s">
        <v>60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">
      <c r="A40" s="26"/>
      <c r="B40" s="25"/>
      <c r="C40" s="29" t="s">
        <v>21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">
      <c r="A41" s="26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6"/>
      <c r="B42" s="25"/>
      <c r="C42" s="29" t="s">
        <v>22</v>
      </c>
      <c r="D42" s="41" t="s">
        <v>23</v>
      </c>
      <c r="E42" s="40" t="s">
        <v>24</v>
      </c>
      <c r="F42" s="29" t="s">
        <v>25</v>
      </c>
      <c r="G42" s="30" t="s">
        <v>12</v>
      </c>
      <c r="H42" s="29" t="s">
        <v>26</v>
      </c>
      <c r="I42" s="25"/>
      <c r="J42" s="25"/>
      <c r="K42" s="25"/>
      <c r="L42" s="25"/>
      <c r="M42" s="25"/>
      <c r="N42" s="25"/>
    </row>
    <row r="43" spans="1:14" x14ac:dyDescent="0.2">
      <c r="A43" s="26"/>
      <c r="B43" s="25"/>
      <c r="C43" s="29">
        <v>17445568.128000002</v>
      </c>
      <c r="D43" s="29">
        <v>374967</v>
      </c>
      <c r="E43" s="29">
        <v>71061.61</v>
      </c>
      <c r="F43" s="29">
        <f>E43-D43</f>
        <v>-303905.39</v>
      </c>
      <c r="G43" s="30">
        <v>0.21</v>
      </c>
      <c r="H43" s="29">
        <f>F43*G43</f>
        <v>-63820.1319</v>
      </c>
      <c r="I43" s="25"/>
      <c r="J43" s="25"/>
      <c r="K43" s="25"/>
      <c r="L43" s="25"/>
      <c r="M43" s="25"/>
      <c r="N43" s="25"/>
    </row>
    <row r="44" spans="1:14" x14ac:dyDescent="0.2">
      <c r="A44" s="26"/>
      <c r="B44" s="25"/>
      <c r="C44" s="29">
        <v>26168352.191999998</v>
      </c>
      <c r="D44" s="29"/>
      <c r="E44" s="29"/>
      <c r="F44" s="29">
        <f t="shared" ref="F44:F48" si="13">E44-D44</f>
        <v>0</v>
      </c>
      <c r="G44" s="30">
        <v>0.21</v>
      </c>
      <c r="H44" s="29">
        <f t="shared" ref="H44:H48" si="14">F44*G44</f>
        <v>0</v>
      </c>
      <c r="I44" s="25"/>
      <c r="J44" s="25"/>
      <c r="K44" s="25"/>
      <c r="L44" s="25"/>
      <c r="M44" s="25"/>
      <c r="N44" s="25"/>
    </row>
    <row r="45" spans="1:14" x14ac:dyDescent="0.2">
      <c r="A45" s="26"/>
      <c r="B45" s="25"/>
      <c r="C45" s="29">
        <v>-1286197</v>
      </c>
      <c r="D45" s="29"/>
      <c r="E45" s="29">
        <f>-2449.35-12861.97</f>
        <v>-15311.32</v>
      </c>
      <c r="F45" s="29">
        <f t="shared" si="13"/>
        <v>-15311.32</v>
      </c>
      <c r="G45" s="30">
        <v>0.21</v>
      </c>
      <c r="H45" s="29">
        <f t="shared" si="14"/>
        <v>-3215.3771999999999</v>
      </c>
      <c r="I45" s="25"/>
      <c r="J45" s="25"/>
      <c r="K45" s="25"/>
      <c r="L45" s="25"/>
      <c r="M45" s="25"/>
      <c r="N45" s="25"/>
    </row>
    <row r="46" spans="1:14" x14ac:dyDescent="0.2">
      <c r="A46" s="26"/>
      <c r="B46" s="25"/>
      <c r="C46" s="29">
        <v>149237</v>
      </c>
      <c r="D46" s="29"/>
      <c r="E46" s="29">
        <v>830.38</v>
      </c>
      <c r="F46" s="29">
        <f t="shared" si="13"/>
        <v>830.38</v>
      </c>
      <c r="G46" s="30">
        <v>0.21</v>
      </c>
      <c r="H46" s="29">
        <f t="shared" si="14"/>
        <v>174.37979999999999</v>
      </c>
      <c r="I46" s="25"/>
      <c r="J46" s="25"/>
      <c r="K46" s="25"/>
      <c r="L46" s="25"/>
      <c r="M46" s="25"/>
      <c r="N46" s="25"/>
    </row>
    <row r="47" spans="1:14" x14ac:dyDescent="0.2">
      <c r="A47" s="26"/>
      <c r="B47" s="25"/>
      <c r="C47" s="29">
        <v>321897</v>
      </c>
      <c r="D47" s="29"/>
      <c r="E47" s="37">
        <v>0</v>
      </c>
      <c r="F47" s="37">
        <f t="shared" si="13"/>
        <v>0</v>
      </c>
      <c r="G47" s="30">
        <v>0.21</v>
      </c>
      <c r="H47" s="37">
        <f t="shared" si="14"/>
        <v>0</v>
      </c>
      <c r="I47" s="25"/>
      <c r="J47" s="25"/>
      <c r="K47" s="25"/>
      <c r="L47" s="25"/>
      <c r="M47" s="25"/>
      <c r="N47" s="25"/>
    </row>
    <row r="48" spans="1:14" ht="15" x14ac:dyDescent="0.35">
      <c r="A48" s="26"/>
      <c r="B48" s="25"/>
      <c r="C48" s="29">
        <f>1570984.08</f>
        <v>1570984.08</v>
      </c>
      <c r="D48" s="29"/>
      <c r="E48" s="42">
        <v>9450.7800000000007</v>
      </c>
      <c r="F48" s="42">
        <f t="shared" si="13"/>
        <v>9450.7800000000007</v>
      </c>
      <c r="G48" s="30">
        <v>0.21</v>
      </c>
      <c r="H48" s="42">
        <f t="shared" si="14"/>
        <v>1984.6638</v>
      </c>
      <c r="I48" s="25"/>
      <c r="J48" s="25"/>
      <c r="K48" s="25"/>
      <c r="L48" s="25"/>
      <c r="M48" s="25"/>
      <c r="N48" s="25"/>
    </row>
    <row r="49" spans="1:14" x14ac:dyDescent="0.2">
      <c r="A49" s="26"/>
      <c r="B49" s="25"/>
      <c r="C49" s="25"/>
      <c r="D49" s="25"/>
      <c r="E49" s="29">
        <f>SUM(E43:E48)</f>
        <v>66031.45</v>
      </c>
      <c r="F49" s="29">
        <f>SUM(F43:F48)</f>
        <v>-308935.55</v>
      </c>
      <c r="G49" s="36" t="s">
        <v>27</v>
      </c>
      <c r="H49" s="29">
        <f>SUM(H43:H48)</f>
        <v>-64876.465499999998</v>
      </c>
      <c r="I49" s="25"/>
      <c r="J49" s="25"/>
      <c r="K49" s="25"/>
      <c r="L49" s="25"/>
      <c r="M49" s="25"/>
      <c r="N49" s="25"/>
    </row>
    <row r="50" spans="1:14" ht="15" x14ac:dyDescent="0.35">
      <c r="A50" s="26"/>
      <c r="B50" s="25"/>
      <c r="C50" s="25"/>
      <c r="D50" s="25"/>
      <c r="E50" s="25"/>
      <c r="F50" s="25"/>
      <c r="G50" s="36" t="s">
        <v>28</v>
      </c>
      <c r="H50" s="42">
        <f>-H60*0.21</f>
        <v>2658.4449149999996</v>
      </c>
      <c r="I50" s="25"/>
      <c r="J50" s="25"/>
      <c r="K50" s="25"/>
      <c r="L50" s="25"/>
      <c r="M50" s="25"/>
      <c r="N50" s="25"/>
    </row>
    <row r="51" spans="1:14" x14ac:dyDescent="0.2">
      <c r="A51" s="26"/>
      <c r="B51" s="25"/>
      <c r="C51" s="25"/>
      <c r="D51" s="25"/>
      <c r="E51" s="25"/>
      <c r="F51" s="25"/>
      <c r="G51" s="25"/>
      <c r="H51" s="29">
        <f>H49+H50</f>
        <v>-62218.020584999998</v>
      </c>
      <c r="I51" s="25"/>
      <c r="J51" s="25"/>
      <c r="K51" s="25"/>
      <c r="L51" s="25"/>
      <c r="M51" s="25"/>
      <c r="N51" s="25"/>
    </row>
    <row r="52" spans="1:14" x14ac:dyDescent="0.2">
      <c r="A52" s="26"/>
      <c r="B52" s="25"/>
      <c r="C52" s="25"/>
      <c r="D52" s="25"/>
      <c r="E52" s="25"/>
      <c r="F52" s="25"/>
      <c r="G52" s="25"/>
      <c r="H52" s="29">
        <f>H51-K33</f>
        <v>36819.552814999995</v>
      </c>
      <c r="I52" s="36" t="s">
        <v>61</v>
      </c>
      <c r="J52" s="25"/>
      <c r="K52" s="25"/>
      <c r="L52" s="25"/>
      <c r="M52" s="25"/>
      <c r="N52" s="25"/>
    </row>
    <row r="53" spans="1:14" x14ac:dyDescent="0.2">
      <c r="A53" s="26"/>
      <c r="B53" s="25"/>
      <c r="C53" s="29" t="s">
        <v>30</v>
      </c>
      <c r="D53" s="39" t="s">
        <v>23</v>
      </c>
      <c r="E53" s="40" t="s">
        <v>31</v>
      </c>
      <c r="F53" s="29" t="s">
        <v>32</v>
      </c>
      <c r="G53" s="30" t="s">
        <v>13</v>
      </c>
      <c r="H53" s="29" t="s">
        <v>33</v>
      </c>
      <c r="I53" s="25"/>
      <c r="J53" s="25"/>
      <c r="K53" s="25"/>
      <c r="L53" s="25"/>
      <c r="M53" s="25"/>
      <c r="N53" s="25"/>
    </row>
    <row r="54" spans="1:14" x14ac:dyDescent="0.2">
      <c r="A54" s="26"/>
      <c r="B54" s="25"/>
      <c r="C54" s="29">
        <v>34891136.256000005</v>
      </c>
      <c r="D54" s="29">
        <f>D43</f>
        <v>374967</v>
      </c>
      <c r="E54" s="29">
        <v>142123.23000000001</v>
      </c>
      <c r="F54" s="29">
        <f>E54-D54</f>
        <v>-232843.77</v>
      </c>
      <c r="G54" s="30">
        <v>0.05</v>
      </c>
      <c r="H54" s="29">
        <f>F54*G54</f>
        <v>-11642.1885</v>
      </c>
      <c r="I54" s="25"/>
      <c r="J54" s="25"/>
      <c r="K54" s="25"/>
      <c r="L54" s="25"/>
      <c r="M54" s="25"/>
      <c r="N54" s="25"/>
    </row>
    <row r="55" spans="1:14" x14ac:dyDescent="0.2">
      <c r="A55" s="26"/>
      <c r="B55" s="25"/>
      <c r="C55" s="29">
        <v>52336704.383999996</v>
      </c>
      <c r="D55" s="29"/>
      <c r="E55" s="37"/>
      <c r="F55" s="37">
        <f>E55</f>
        <v>0</v>
      </c>
      <c r="G55" s="52">
        <v>0.05</v>
      </c>
      <c r="H55" s="29">
        <f t="shared" ref="H55:H59" si="15">F55*G55</f>
        <v>0</v>
      </c>
      <c r="I55" s="25"/>
      <c r="J55" s="25"/>
      <c r="K55" s="25"/>
      <c r="L55" s="25"/>
      <c r="M55" s="25"/>
      <c r="N55" s="25"/>
    </row>
    <row r="56" spans="1:14" x14ac:dyDescent="0.2">
      <c r="A56" s="26"/>
      <c r="B56" s="25"/>
      <c r="C56" s="29">
        <v>-2572393</v>
      </c>
      <c r="D56" s="29"/>
      <c r="E56" s="37">
        <f>-4898.69-25723.93</f>
        <v>-30622.62</v>
      </c>
      <c r="F56" s="37">
        <f t="shared" ref="F56:F59" si="16">E56</f>
        <v>-30622.62</v>
      </c>
      <c r="G56" s="52">
        <v>0.05</v>
      </c>
      <c r="H56" s="29">
        <f t="shared" si="15"/>
        <v>-1531.1310000000001</v>
      </c>
      <c r="I56" s="25"/>
      <c r="J56" s="25"/>
      <c r="K56" s="25"/>
      <c r="L56" s="25"/>
      <c r="M56" s="25"/>
      <c r="N56" s="25"/>
    </row>
    <row r="57" spans="1:14" x14ac:dyDescent="0.2">
      <c r="A57" s="26"/>
      <c r="B57" s="25"/>
      <c r="C57" s="29">
        <v>149237</v>
      </c>
      <c r="D57" s="29"/>
      <c r="E57" s="37">
        <v>830.38</v>
      </c>
      <c r="F57" s="37">
        <f t="shared" si="16"/>
        <v>830.38</v>
      </c>
      <c r="G57" s="52">
        <v>0.05</v>
      </c>
      <c r="H57" s="29">
        <f t="shared" si="15"/>
        <v>41.519000000000005</v>
      </c>
      <c r="I57" s="25"/>
      <c r="J57" s="25"/>
      <c r="K57" s="25"/>
      <c r="L57" s="25"/>
      <c r="M57" s="25"/>
      <c r="N57" s="25"/>
    </row>
    <row r="58" spans="1:14" x14ac:dyDescent="0.2">
      <c r="A58" s="26"/>
      <c r="B58" s="25"/>
      <c r="C58" s="29">
        <v>321897</v>
      </c>
      <c r="D58" s="29"/>
      <c r="E58" s="37">
        <v>0</v>
      </c>
      <c r="F58" s="37">
        <f t="shared" si="16"/>
        <v>0</v>
      </c>
      <c r="G58" s="52">
        <v>0.05</v>
      </c>
      <c r="H58" s="37">
        <f t="shared" si="15"/>
        <v>0</v>
      </c>
      <c r="I58" s="25"/>
      <c r="J58" s="25"/>
      <c r="K58" s="25"/>
      <c r="L58" s="25"/>
      <c r="M58" s="25"/>
      <c r="N58" s="25"/>
    </row>
    <row r="59" spans="1:14" ht="15" x14ac:dyDescent="0.35">
      <c r="A59" s="26"/>
      <c r="B59" s="25"/>
      <c r="C59" s="29">
        <f>C48</f>
        <v>1570984.08</v>
      </c>
      <c r="D59" s="29"/>
      <c r="E59" s="42">
        <v>9450.7800000000007</v>
      </c>
      <c r="F59" s="42">
        <f t="shared" si="16"/>
        <v>9450.7800000000007</v>
      </c>
      <c r="G59" s="52">
        <v>0.05</v>
      </c>
      <c r="H59" s="42">
        <f t="shared" si="15"/>
        <v>472.53900000000004</v>
      </c>
      <c r="I59" s="25"/>
      <c r="J59" s="25"/>
      <c r="K59" s="25"/>
      <c r="L59" s="25"/>
      <c r="M59" s="25"/>
      <c r="N59" s="25"/>
    </row>
    <row r="60" spans="1:14" x14ac:dyDescent="0.2">
      <c r="A60" s="26"/>
      <c r="B60" s="25"/>
      <c r="C60" s="25"/>
      <c r="D60" s="25"/>
      <c r="E60" s="29">
        <f>SUM(E54:E59)</f>
        <v>121781.77000000002</v>
      </c>
      <c r="F60" s="29">
        <f>SUM(F54:F59)</f>
        <v>-253185.23</v>
      </c>
      <c r="G60" s="25"/>
      <c r="H60" s="29">
        <f>SUM(H54:H59)</f>
        <v>-12659.261499999999</v>
      </c>
      <c r="I60" s="25"/>
      <c r="J60" s="25"/>
      <c r="K60" s="25"/>
      <c r="L60" s="25"/>
      <c r="M60" s="25"/>
      <c r="N60" s="25"/>
    </row>
    <row r="61" spans="1:14" x14ac:dyDescent="0.2">
      <c r="A61" s="26"/>
      <c r="B61" s="25"/>
      <c r="C61" s="25"/>
      <c r="D61" s="25"/>
      <c r="E61" s="25"/>
      <c r="F61" s="25"/>
      <c r="G61" s="25"/>
      <c r="H61" s="29">
        <f>H60-L33</f>
        <v>1460.1805000000022</v>
      </c>
      <c r="I61" s="36" t="s">
        <v>62</v>
      </c>
      <c r="J61" s="25"/>
      <c r="K61" s="25"/>
      <c r="L61" s="25"/>
      <c r="M61" s="25"/>
      <c r="N61" s="25"/>
    </row>
    <row r="62" spans="1:14" x14ac:dyDescent="0.2">
      <c r="A62" s="26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</sheetData>
  <mergeCells count="1">
    <mergeCell ref="A1:N1"/>
  </mergeCells>
  <pageMargins left="0.7" right="0.7" top="1.15625" bottom="0.75" header="0.3" footer="0.3"/>
  <pageSetup scale="50" orientation="portrait" r:id="rId1"/>
  <headerFooter>
    <oddHeader>&amp;R&amp;"Times New Roman,Bold"&amp;12Attachment to Response to Question 3
Page 8 of 14
Clements</oddHeader>
    <oddFooter>&amp;L_x000D_&amp;1#&amp;"Calibri"&amp;14&amp;K000000 Business Use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4EBE5-CFFE-4A56-8F83-59620CAA6896}">
  <dimension ref="A1:Q105"/>
  <sheetViews>
    <sheetView zoomScaleNormal="100" workbookViewId="0">
      <selection sqref="A1:N1"/>
    </sheetView>
  </sheetViews>
  <sheetFormatPr defaultRowHeight="12.75" x14ac:dyDescent="0.2"/>
  <cols>
    <col min="1" max="1" width="11.28515625" style="9" customWidth="1"/>
    <col min="2" max="2" width="1.7109375" customWidth="1"/>
    <col min="3" max="3" width="13.42578125" customWidth="1"/>
    <col min="4" max="4" width="14.28515625" bestFit="1" customWidth="1"/>
    <col min="5" max="5" width="17.140625" customWidth="1"/>
    <col min="6" max="6" width="16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  <col min="17" max="17" width="12.42578125" bestFit="1" customWidth="1"/>
  </cols>
  <sheetData>
    <row r="1" spans="1:17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7" x14ac:dyDescent="0.2">
      <c r="A2" s="2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7" x14ac:dyDescent="0.2">
      <c r="A5" s="4" t="s">
        <v>37</v>
      </c>
    </row>
    <row r="6" spans="1:17" x14ac:dyDescent="0.2">
      <c r="A6" s="5" t="s">
        <v>49</v>
      </c>
    </row>
    <row r="8" spans="1:17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7" x14ac:dyDescent="0.2">
      <c r="A9" s="9" t="s">
        <v>18</v>
      </c>
      <c r="M9" s="10">
        <v>152699852</v>
      </c>
    </row>
    <row r="10" spans="1:17" x14ac:dyDescent="0.2">
      <c r="A10" s="12">
        <v>43533</v>
      </c>
      <c r="C10" s="13">
        <v>648975198</v>
      </c>
      <c r="D10" s="14">
        <v>1269171</v>
      </c>
      <c r="E10" s="14">
        <f>3138668.67+3.27</f>
        <v>3138671.94</v>
      </c>
      <c r="F10" s="14">
        <f>6229520.42</f>
        <v>6229520.4199999999</v>
      </c>
      <c r="G10" s="13">
        <f>E10-D10</f>
        <v>1869500.94</v>
      </c>
      <c r="H10" s="13">
        <f>F10-D10</f>
        <v>4960349.42</v>
      </c>
      <c r="I10" s="15">
        <v>0.21</v>
      </c>
      <c r="J10" s="15">
        <v>0.05</v>
      </c>
      <c r="K10" s="13">
        <f t="shared" ref="K10:K31" si="0">G10*I10-L10*I10</f>
        <v>340511.52848999994</v>
      </c>
      <c r="L10" s="13">
        <f t="shared" ref="L10:L33" si="1">H10*J10</f>
        <v>248017.47100000002</v>
      </c>
      <c r="M10" s="13">
        <f t="shared" ref="M10:M33" si="2">M9+K10+L10</f>
        <v>153288380.99948999</v>
      </c>
      <c r="N10" s="13">
        <v>0</v>
      </c>
      <c r="P10" s="11"/>
      <c r="Q10" s="17"/>
    </row>
    <row r="11" spans="1:17" x14ac:dyDescent="0.2">
      <c r="A11" s="12">
        <v>43556</v>
      </c>
      <c r="C11" s="13">
        <v>650658137</v>
      </c>
      <c r="D11" s="14">
        <v>1270994</v>
      </c>
      <c r="E11" s="14">
        <f>3145680.91-1923.94</f>
        <v>3143756.97</v>
      </c>
      <c r="F11" s="14">
        <v>6236532.6699999999</v>
      </c>
      <c r="G11" s="13">
        <f t="shared" ref="G11:G15" si="3">E11-D11</f>
        <v>1872762.9700000002</v>
      </c>
      <c r="H11" s="13">
        <f t="shared" ref="H11:H15" si="4">F11-D11</f>
        <v>4965538.67</v>
      </c>
      <c r="I11" s="15">
        <v>0.21</v>
      </c>
      <c r="J11" s="15">
        <v>0.05</v>
      </c>
      <c r="K11" s="13">
        <f t="shared" si="0"/>
        <v>341142.06766500004</v>
      </c>
      <c r="L11" s="13">
        <f t="shared" si="1"/>
        <v>248276.93350000001</v>
      </c>
      <c r="M11" s="13">
        <f t="shared" si="2"/>
        <v>153877800.000655</v>
      </c>
      <c r="N11" s="13">
        <v>0</v>
      </c>
      <c r="O11" s="13">
        <f>1598189-M12</f>
        <v>-152581795.000635</v>
      </c>
      <c r="P11" s="11"/>
      <c r="Q11" s="17"/>
    </row>
    <row r="12" spans="1:17" x14ac:dyDescent="0.2">
      <c r="A12" s="12">
        <v>43586</v>
      </c>
      <c r="C12" s="13">
        <v>651204237</v>
      </c>
      <c r="D12" s="14">
        <v>2370827</v>
      </c>
      <c r="E12" s="14">
        <f>3090785.34+237.6</f>
        <v>3091022.94</v>
      </c>
      <c r="F12" s="14">
        <f>6192165.04</f>
        <v>6192165.04</v>
      </c>
      <c r="G12" s="13">
        <f t="shared" si="3"/>
        <v>720195.94</v>
      </c>
      <c r="H12" s="13">
        <f t="shared" si="4"/>
        <v>3821338.04</v>
      </c>
      <c r="I12" s="15">
        <v>0.21</v>
      </c>
      <c r="J12" s="15">
        <v>0.05</v>
      </c>
      <c r="K12" s="13">
        <f t="shared" si="0"/>
        <v>111117.09797999999</v>
      </c>
      <c r="L12" s="13">
        <f t="shared" si="1"/>
        <v>191066.902</v>
      </c>
      <c r="M12" s="13">
        <f t="shared" si="2"/>
        <v>154179984.000635</v>
      </c>
      <c r="N12" s="13">
        <v>0</v>
      </c>
      <c r="O12" s="11">
        <f>+O11/0.389</f>
        <v>-392241118.25356036</v>
      </c>
      <c r="Q12" s="17"/>
    </row>
    <row r="13" spans="1:17" x14ac:dyDescent="0.2">
      <c r="A13" s="12">
        <v>43617</v>
      </c>
      <c r="C13" s="13">
        <v>651204237</v>
      </c>
      <c r="D13" s="14">
        <v>2370827</v>
      </c>
      <c r="E13" s="14">
        <f>3090785.34+242.36</f>
        <v>3091027.6999999997</v>
      </c>
      <c r="F13" s="14">
        <f>6192165.04</f>
        <v>6192165.04</v>
      </c>
      <c r="G13" s="13">
        <f t="shared" si="3"/>
        <v>720200.69999999972</v>
      </c>
      <c r="H13" s="13">
        <f t="shared" si="4"/>
        <v>3821338.04</v>
      </c>
      <c r="I13" s="15">
        <v>0.21</v>
      </c>
      <c r="J13" s="15">
        <v>0.05</v>
      </c>
      <c r="K13" s="13">
        <f t="shared" si="0"/>
        <v>111118.09757999994</v>
      </c>
      <c r="L13" s="13">
        <f t="shared" si="1"/>
        <v>191066.902</v>
      </c>
      <c r="M13" s="13">
        <f t="shared" si="2"/>
        <v>154482169.00021499</v>
      </c>
      <c r="N13" s="13">
        <v>0</v>
      </c>
      <c r="O13" s="13">
        <f>1923738-M14</f>
        <v>-152860850.99919498</v>
      </c>
      <c r="Q13" s="17"/>
    </row>
    <row r="14" spans="1:17" x14ac:dyDescent="0.2">
      <c r="A14" s="12">
        <v>43647</v>
      </c>
      <c r="C14" s="13">
        <v>651384768</v>
      </c>
      <c r="D14" s="14">
        <v>2371206</v>
      </c>
      <c r="E14" s="14">
        <f>3092423.93-135.11</f>
        <v>3092288.8200000003</v>
      </c>
      <c r="F14" s="14">
        <f>6193803.64</f>
        <v>6193803.6399999997</v>
      </c>
      <c r="G14" s="13">
        <f t="shared" si="3"/>
        <v>721082.8200000003</v>
      </c>
      <c r="H14" s="13">
        <f t="shared" si="4"/>
        <v>3822597.6399999997</v>
      </c>
      <c r="I14" s="15">
        <v>0.21</v>
      </c>
      <c r="J14" s="15">
        <v>0.05</v>
      </c>
      <c r="K14" s="13">
        <f t="shared" si="0"/>
        <v>111290.11698000006</v>
      </c>
      <c r="L14" s="13">
        <f t="shared" si="1"/>
        <v>191129.88199999998</v>
      </c>
      <c r="M14" s="13">
        <f t="shared" si="2"/>
        <v>154784588.99919498</v>
      </c>
      <c r="N14" s="13">
        <v>0</v>
      </c>
      <c r="O14" s="11">
        <f>+O13/0.389</f>
        <v>-392958485.85911304</v>
      </c>
      <c r="Q14" s="17"/>
    </row>
    <row r="15" spans="1:17" x14ac:dyDescent="0.2">
      <c r="A15" s="12">
        <v>43678</v>
      </c>
      <c r="C15" s="13">
        <v>651384768</v>
      </c>
      <c r="D15" s="14">
        <v>2371584</v>
      </c>
      <c r="E15" s="14">
        <f>3092423.93+303</f>
        <v>3092726.93</v>
      </c>
      <c r="F15" s="14">
        <f>6193803.64+50</f>
        <v>6193853.6399999997</v>
      </c>
      <c r="G15" s="13">
        <f t="shared" si="3"/>
        <v>721142.93000000017</v>
      </c>
      <c r="H15" s="13">
        <f t="shared" si="4"/>
        <v>3822269.6399999997</v>
      </c>
      <c r="I15" s="15">
        <v>0.21</v>
      </c>
      <c r="J15" s="15">
        <v>0.05</v>
      </c>
      <c r="K15" s="13">
        <f t="shared" si="0"/>
        <v>111306.18408000004</v>
      </c>
      <c r="L15" s="13">
        <f t="shared" si="1"/>
        <v>191113.48199999999</v>
      </c>
      <c r="M15" s="13">
        <f t="shared" si="2"/>
        <v>155087008.66527498</v>
      </c>
      <c r="N15" s="13">
        <v>0</v>
      </c>
      <c r="O15" s="13">
        <f>+M15-2105354</f>
        <v>152981654.66527498</v>
      </c>
      <c r="Q15" s="17"/>
    </row>
    <row r="16" spans="1:17" x14ac:dyDescent="0.2">
      <c r="A16" s="12">
        <v>43717</v>
      </c>
      <c r="B16" s="25"/>
      <c r="C16" s="29">
        <v>651384768</v>
      </c>
      <c r="D16" s="32">
        <v>2371584</v>
      </c>
      <c r="E16" s="32">
        <f>3092423.93+318.76</f>
        <v>3092742.69</v>
      </c>
      <c r="F16" s="32">
        <f>6193803.64</f>
        <v>6193803.6399999997</v>
      </c>
      <c r="G16" s="29">
        <f>E16-D16</f>
        <v>721158.69</v>
      </c>
      <c r="H16" s="29">
        <f>F16-D16</f>
        <v>3822219.6399999997</v>
      </c>
      <c r="I16" s="30">
        <v>0.21</v>
      </c>
      <c r="J16" s="30">
        <v>0.05</v>
      </c>
      <c r="K16" s="29">
        <f t="shared" si="0"/>
        <v>111310.01867999998</v>
      </c>
      <c r="L16" s="29">
        <f t="shared" si="1"/>
        <v>191110.98199999999</v>
      </c>
      <c r="M16" s="29">
        <f t="shared" si="2"/>
        <v>155389429.66595498</v>
      </c>
      <c r="N16" s="29">
        <v>0</v>
      </c>
      <c r="O16" s="17">
        <f>+O15/0.389</f>
        <v>393269035.12924159</v>
      </c>
    </row>
    <row r="17" spans="1:14" x14ac:dyDescent="0.2">
      <c r="A17" s="12">
        <v>43739</v>
      </c>
      <c r="B17" s="25"/>
      <c r="C17" s="29">
        <v>651384768</v>
      </c>
      <c r="D17" s="32">
        <v>2371584</v>
      </c>
      <c r="E17" s="32">
        <f>3092423.93+318.76-4</f>
        <v>3092738.69</v>
      </c>
      <c r="F17" s="32">
        <f>6193803.64</f>
        <v>6193803.6399999997</v>
      </c>
      <c r="G17" s="29">
        <f t="shared" ref="G17:G21" si="5">E17-D17</f>
        <v>721154.69</v>
      </c>
      <c r="H17" s="29">
        <f t="shared" ref="H17:H21" si="6">F17-D17</f>
        <v>3822219.6399999997</v>
      </c>
      <c r="I17" s="30">
        <v>0.21</v>
      </c>
      <c r="J17" s="30">
        <v>0.05</v>
      </c>
      <c r="K17" s="29">
        <f t="shared" si="0"/>
        <v>111309.17867999998</v>
      </c>
      <c r="L17" s="29">
        <f t="shared" si="1"/>
        <v>191110.98199999999</v>
      </c>
      <c r="M17" s="29">
        <f t="shared" si="2"/>
        <v>155691849.82663497</v>
      </c>
      <c r="N17" s="29">
        <v>0</v>
      </c>
    </row>
    <row r="18" spans="1:14" x14ac:dyDescent="0.2">
      <c r="A18" s="12">
        <v>43770</v>
      </c>
      <c r="B18" s="25"/>
      <c r="C18" s="29">
        <v>651384768</v>
      </c>
      <c r="D18" s="32">
        <v>2371584</v>
      </c>
      <c r="E18" s="32">
        <f>3092423.93+318.76-4</f>
        <v>3092738.69</v>
      </c>
      <c r="F18" s="32">
        <f>6193803.64</f>
        <v>6193803.6399999997</v>
      </c>
      <c r="G18" s="29">
        <f t="shared" si="5"/>
        <v>721154.69</v>
      </c>
      <c r="H18" s="29">
        <f t="shared" si="6"/>
        <v>3822219.6399999997</v>
      </c>
      <c r="I18" s="30">
        <v>0.21</v>
      </c>
      <c r="J18" s="30">
        <v>0.05</v>
      </c>
      <c r="K18" s="29">
        <f t="shared" si="0"/>
        <v>111309.17867999998</v>
      </c>
      <c r="L18" s="29">
        <f t="shared" si="1"/>
        <v>191110.98199999999</v>
      </c>
      <c r="M18" s="29">
        <f t="shared" si="2"/>
        <v>155994269.98731497</v>
      </c>
      <c r="N18" s="29">
        <v>0</v>
      </c>
    </row>
    <row r="19" spans="1:14" x14ac:dyDescent="0.2">
      <c r="A19" s="12">
        <v>43800</v>
      </c>
      <c r="B19" s="25"/>
      <c r="C19" s="29">
        <v>651384768</v>
      </c>
      <c r="D19" s="32">
        <v>2371584</v>
      </c>
      <c r="E19" s="32">
        <f>3092423.93+318.76-2</f>
        <v>3092740.69</v>
      </c>
      <c r="F19" s="32">
        <f>6193803.64</f>
        <v>6193803.6399999997</v>
      </c>
      <c r="G19" s="29">
        <f t="shared" si="5"/>
        <v>721156.69</v>
      </c>
      <c r="H19" s="29">
        <f t="shared" si="6"/>
        <v>3822219.6399999997</v>
      </c>
      <c r="I19" s="30">
        <v>0.21</v>
      </c>
      <c r="J19" s="30">
        <v>0.05</v>
      </c>
      <c r="K19" s="29">
        <f t="shared" si="0"/>
        <v>111309.59868</v>
      </c>
      <c r="L19" s="29">
        <f t="shared" si="1"/>
        <v>191110.98199999999</v>
      </c>
      <c r="M19" s="29">
        <f t="shared" si="2"/>
        <v>156296690.56799495</v>
      </c>
      <c r="N19" s="29">
        <v>0</v>
      </c>
    </row>
    <row r="20" spans="1:14" x14ac:dyDescent="0.2">
      <c r="A20" s="12">
        <v>43831</v>
      </c>
      <c r="B20" s="25"/>
      <c r="C20" s="29">
        <v>651384768</v>
      </c>
      <c r="D20" s="32">
        <v>2371584</v>
      </c>
      <c r="E20" s="32">
        <f>2561471.75</f>
        <v>2561471.75</v>
      </c>
      <c r="F20" s="32">
        <v>5066744.3899999997</v>
      </c>
      <c r="G20" s="29">
        <f t="shared" si="5"/>
        <v>189887.75</v>
      </c>
      <c r="H20" s="29">
        <f t="shared" si="6"/>
        <v>2695160.3899999997</v>
      </c>
      <c r="I20" s="30">
        <v>0.21</v>
      </c>
      <c r="J20" s="30">
        <v>0.05</v>
      </c>
      <c r="K20" s="29">
        <f t="shared" si="0"/>
        <v>11577.243405000001</v>
      </c>
      <c r="L20" s="29">
        <f t="shared" si="1"/>
        <v>134758.01949999999</v>
      </c>
      <c r="M20" s="29">
        <f t="shared" si="2"/>
        <v>156443025.83089995</v>
      </c>
      <c r="N20" s="29">
        <v>0</v>
      </c>
    </row>
    <row r="21" spans="1:14" x14ac:dyDescent="0.2">
      <c r="A21" s="12">
        <v>43862</v>
      </c>
      <c r="B21" s="25"/>
      <c r="C21" s="29">
        <v>651384768</v>
      </c>
      <c r="D21" s="32">
        <v>2371584</v>
      </c>
      <c r="E21" s="32">
        <f>2561471.75</f>
        <v>2561471.75</v>
      </c>
      <c r="F21" s="32">
        <v>5066744.3899999997</v>
      </c>
      <c r="G21" s="29">
        <f t="shared" si="5"/>
        <v>189887.75</v>
      </c>
      <c r="H21" s="29">
        <f t="shared" si="6"/>
        <v>2695160.3899999997</v>
      </c>
      <c r="I21" s="30">
        <v>0.21</v>
      </c>
      <c r="J21" s="30">
        <v>0.05</v>
      </c>
      <c r="K21" s="29">
        <f t="shared" si="0"/>
        <v>11577.243405000001</v>
      </c>
      <c r="L21" s="29">
        <f t="shared" si="1"/>
        <v>134758.01949999999</v>
      </c>
      <c r="M21" s="29">
        <f t="shared" si="2"/>
        <v>156589361.09380496</v>
      </c>
      <c r="N21" s="29">
        <v>0</v>
      </c>
    </row>
    <row r="22" spans="1:14" x14ac:dyDescent="0.2">
      <c r="A22" s="12">
        <v>43899</v>
      </c>
      <c r="B22" s="25"/>
      <c r="C22" s="29">
        <v>651384768</v>
      </c>
      <c r="D22" s="32">
        <v>2371584</v>
      </c>
      <c r="E22" s="31">
        <f>2561471.75+3</f>
        <v>2561474.75</v>
      </c>
      <c r="F22" s="31">
        <v>5066744.3899999997</v>
      </c>
      <c r="G22" s="29">
        <f>E22-D22</f>
        <v>189890.75</v>
      </c>
      <c r="H22" s="29">
        <f>F22-D22</f>
        <v>2695160.3899999997</v>
      </c>
      <c r="I22" s="30">
        <v>0.21</v>
      </c>
      <c r="J22" s="30">
        <v>0.05</v>
      </c>
      <c r="K22" s="29">
        <f t="shared" si="0"/>
        <v>11577.873404999998</v>
      </c>
      <c r="L22" s="29">
        <f t="shared" si="1"/>
        <v>134758.01949999999</v>
      </c>
      <c r="M22" s="29">
        <f t="shared" si="2"/>
        <v>156735696.98670995</v>
      </c>
      <c r="N22" s="29">
        <v>0</v>
      </c>
    </row>
    <row r="23" spans="1:14" x14ac:dyDescent="0.2">
      <c r="A23" s="12">
        <v>43922</v>
      </c>
      <c r="B23" s="25"/>
      <c r="C23" s="29">
        <v>651384768</v>
      </c>
      <c r="D23" s="32">
        <v>2371584</v>
      </c>
      <c r="E23" s="31">
        <f>2561471.75</f>
        <v>2561471.75</v>
      </c>
      <c r="F23" s="31">
        <v>5066744.3899999997</v>
      </c>
      <c r="G23" s="29">
        <f t="shared" ref="G23:G27" si="7">E23-D23</f>
        <v>189887.75</v>
      </c>
      <c r="H23" s="29">
        <f t="shared" ref="H23:H27" si="8">F23-D23</f>
        <v>2695160.3899999997</v>
      </c>
      <c r="I23" s="30">
        <v>0.21</v>
      </c>
      <c r="J23" s="30">
        <v>0.05</v>
      </c>
      <c r="K23" s="29">
        <f t="shared" si="0"/>
        <v>11577.243405000001</v>
      </c>
      <c r="L23" s="29">
        <f t="shared" si="1"/>
        <v>134758.01949999999</v>
      </c>
      <c r="M23" s="29">
        <f t="shared" si="2"/>
        <v>156882032.24961495</v>
      </c>
      <c r="N23" s="29">
        <v>0</v>
      </c>
    </row>
    <row r="24" spans="1:14" x14ac:dyDescent="0.2">
      <c r="A24" s="12">
        <v>43952</v>
      </c>
      <c r="B24" s="25"/>
      <c r="C24" s="29">
        <v>651384768</v>
      </c>
      <c r="D24" s="32">
        <v>2371584.4900000002</v>
      </c>
      <c r="E24" s="31">
        <f>2561471.75</f>
        <v>2561471.75</v>
      </c>
      <c r="F24" s="31">
        <v>5066744.3899999997</v>
      </c>
      <c r="G24" s="29">
        <f t="shared" si="7"/>
        <v>189887.25999999978</v>
      </c>
      <c r="H24" s="29">
        <f t="shared" si="8"/>
        <v>2695159.8999999994</v>
      </c>
      <c r="I24" s="30">
        <v>0.21</v>
      </c>
      <c r="J24" s="30">
        <v>0.05</v>
      </c>
      <c r="K24" s="29">
        <f t="shared" si="0"/>
        <v>11577.145649999959</v>
      </c>
      <c r="L24" s="29">
        <f t="shared" si="1"/>
        <v>134757.99499999997</v>
      </c>
      <c r="M24" s="29">
        <f t="shared" si="2"/>
        <v>157028367.39026496</v>
      </c>
      <c r="N24" s="29">
        <v>0</v>
      </c>
    </row>
    <row r="25" spans="1:14" x14ac:dyDescent="0.2">
      <c r="A25" s="12">
        <v>43983</v>
      </c>
      <c r="B25" s="25"/>
      <c r="C25" s="29">
        <v>651384768</v>
      </c>
      <c r="D25" s="32">
        <v>2371584.4900000002</v>
      </c>
      <c r="E25" s="31">
        <f>2561471.75-2</f>
        <v>2561469.75</v>
      </c>
      <c r="F25" s="31">
        <v>5066744.3899999997</v>
      </c>
      <c r="G25" s="29">
        <f t="shared" si="7"/>
        <v>189885.25999999978</v>
      </c>
      <c r="H25" s="29">
        <f t="shared" si="8"/>
        <v>2695159.8999999994</v>
      </c>
      <c r="I25" s="30">
        <v>0.21</v>
      </c>
      <c r="J25" s="30">
        <v>0.05</v>
      </c>
      <c r="K25" s="29">
        <f t="shared" si="0"/>
        <v>11576.72564999996</v>
      </c>
      <c r="L25" s="29">
        <f t="shared" si="1"/>
        <v>134757.99499999997</v>
      </c>
      <c r="M25" s="29">
        <f t="shared" si="2"/>
        <v>157174702.11091498</v>
      </c>
      <c r="N25" s="29">
        <v>0</v>
      </c>
    </row>
    <row r="26" spans="1:14" x14ac:dyDescent="0.2">
      <c r="A26" s="12">
        <v>44013</v>
      </c>
      <c r="B26" s="25"/>
      <c r="C26" s="29">
        <v>651384768</v>
      </c>
      <c r="D26" s="32">
        <v>2371583.5</v>
      </c>
      <c r="E26" s="31">
        <f>2561474.49</f>
        <v>2561474.4900000002</v>
      </c>
      <c r="F26" s="31">
        <v>5066744.49</v>
      </c>
      <c r="G26" s="29">
        <f t="shared" si="7"/>
        <v>189890.99000000022</v>
      </c>
      <c r="H26" s="29">
        <f t="shared" si="8"/>
        <v>2695160.99</v>
      </c>
      <c r="I26" s="30">
        <v>0.21</v>
      </c>
      <c r="J26" s="30">
        <v>0.05</v>
      </c>
      <c r="K26" s="29">
        <f t="shared" si="0"/>
        <v>11577.917505000041</v>
      </c>
      <c r="L26" s="29">
        <f t="shared" si="1"/>
        <v>134758.04950000002</v>
      </c>
      <c r="M26" s="29">
        <f t="shared" si="2"/>
        <v>157321038.07791996</v>
      </c>
      <c r="N26" s="29">
        <v>27967.57</v>
      </c>
    </row>
    <row r="27" spans="1:14" x14ac:dyDescent="0.2">
      <c r="A27" s="12">
        <v>44044</v>
      </c>
      <c r="B27" s="25"/>
      <c r="C27" s="29">
        <v>651231856</v>
      </c>
      <c r="D27" s="32">
        <v>2371307.4900000002</v>
      </c>
      <c r="E27" s="32">
        <f>2560420.48+149.49</f>
        <v>2560569.9700000002</v>
      </c>
      <c r="F27" s="32">
        <f>5065693.12</f>
        <v>5065693.12</v>
      </c>
      <c r="G27" s="29">
        <f t="shared" si="7"/>
        <v>189262.47999999998</v>
      </c>
      <c r="H27" s="29">
        <f t="shared" si="8"/>
        <v>2694385.63</v>
      </c>
      <c r="I27" s="30">
        <v>0.21</v>
      </c>
      <c r="J27" s="30">
        <v>0.05</v>
      </c>
      <c r="K27" s="29">
        <f t="shared" si="0"/>
        <v>11454.071684999995</v>
      </c>
      <c r="L27" s="29">
        <f t="shared" si="1"/>
        <v>134719.28150000001</v>
      </c>
      <c r="M27" s="29">
        <f t="shared" si="2"/>
        <v>157467211.43110496</v>
      </c>
      <c r="N27" s="29">
        <v>27810.75</v>
      </c>
    </row>
    <row r="28" spans="1:14" x14ac:dyDescent="0.2">
      <c r="A28" s="12">
        <v>44083</v>
      </c>
      <c r="B28" s="25"/>
      <c r="C28" s="29">
        <v>651231856</v>
      </c>
      <c r="D28" s="32">
        <v>2371030</v>
      </c>
      <c r="E28" s="31">
        <f>2560420.48-177.11</f>
        <v>2560243.37</v>
      </c>
      <c r="F28" s="31">
        <v>5065693.12</v>
      </c>
      <c r="G28" s="29">
        <f>E28-D28</f>
        <v>189213.37000000011</v>
      </c>
      <c r="H28" s="29">
        <f>F28-D28</f>
        <v>2694663.12</v>
      </c>
      <c r="I28" s="30">
        <v>0.21</v>
      </c>
      <c r="J28" s="30">
        <v>0.05</v>
      </c>
      <c r="K28" s="29">
        <f t="shared" si="0"/>
        <v>11440.844940000017</v>
      </c>
      <c r="L28" s="29">
        <f t="shared" si="1"/>
        <v>134733.15600000002</v>
      </c>
      <c r="M28" s="29">
        <f t="shared" si="2"/>
        <v>157613385.43204495</v>
      </c>
      <c r="N28" s="29">
        <f>27653.92</f>
        <v>27653.919999999998</v>
      </c>
    </row>
    <row r="29" spans="1:14" x14ac:dyDescent="0.2">
      <c r="A29" s="12">
        <v>44105</v>
      </c>
      <c r="B29" s="25"/>
      <c r="C29" s="29">
        <v>651231856</v>
      </c>
      <c r="D29" s="32">
        <v>2371030</v>
      </c>
      <c r="E29" s="31">
        <f>2560420.48-177.11</f>
        <v>2560243.37</v>
      </c>
      <c r="F29" s="31">
        <v>5065693.12</v>
      </c>
      <c r="G29" s="29">
        <f t="shared" ref="G29:G33" si="9">E29-D29</f>
        <v>189213.37000000011</v>
      </c>
      <c r="H29" s="29">
        <f t="shared" ref="H29:H33" si="10">F29-D29</f>
        <v>2694663.12</v>
      </c>
      <c r="I29" s="30">
        <v>0.21</v>
      </c>
      <c r="J29" s="30">
        <v>0.05</v>
      </c>
      <c r="K29" s="29">
        <f t="shared" si="0"/>
        <v>11440.844940000017</v>
      </c>
      <c r="L29" s="29">
        <f t="shared" si="1"/>
        <v>134733.15600000002</v>
      </c>
      <c r="M29" s="29">
        <f t="shared" si="2"/>
        <v>157759559.43298495</v>
      </c>
      <c r="N29" s="29">
        <f>27497.1</f>
        <v>27497.1</v>
      </c>
    </row>
    <row r="30" spans="1:14" x14ac:dyDescent="0.2">
      <c r="A30" s="12">
        <v>44136</v>
      </c>
      <c r="B30" s="25"/>
      <c r="C30" s="29">
        <v>652862504</v>
      </c>
      <c r="D30" s="32">
        <v>2373435</v>
      </c>
      <c r="E30" s="31">
        <f>2590899.55-1498.46</f>
        <v>2589401.09</v>
      </c>
      <c r="F30" s="31">
        <f>5096172.19</f>
        <v>5096172.1900000004</v>
      </c>
      <c r="G30" s="29">
        <f t="shared" si="9"/>
        <v>215966.08999999985</v>
      </c>
      <c r="H30" s="29">
        <f t="shared" si="10"/>
        <v>2722737.1900000004</v>
      </c>
      <c r="I30" s="30">
        <v>0.21</v>
      </c>
      <c r="J30" s="30">
        <v>0.05</v>
      </c>
      <c r="K30" s="29">
        <f t="shared" si="0"/>
        <v>16764.138404999965</v>
      </c>
      <c r="L30" s="29">
        <f t="shared" si="1"/>
        <v>136136.85950000002</v>
      </c>
      <c r="M30" s="29">
        <f t="shared" si="2"/>
        <v>157912460.43088993</v>
      </c>
      <c r="N30" s="29">
        <f>27340.27</f>
        <v>27340.27</v>
      </c>
    </row>
    <row r="31" spans="1:14" x14ac:dyDescent="0.2">
      <c r="A31" s="12">
        <v>44166</v>
      </c>
      <c r="B31" s="25"/>
      <c r="C31" s="29">
        <v>652863061</v>
      </c>
      <c r="D31" s="32">
        <v>2375841</v>
      </c>
      <c r="E31" s="31">
        <f>2590920.46+1363.84</f>
        <v>2592284.2999999998</v>
      </c>
      <c r="F31" s="31">
        <v>5096193.0999999996</v>
      </c>
      <c r="G31" s="29">
        <f t="shared" si="9"/>
        <v>216443.29999999981</v>
      </c>
      <c r="H31" s="29">
        <f t="shared" si="10"/>
        <v>2720352.0999999996</v>
      </c>
      <c r="I31" s="30">
        <v>0.21</v>
      </c>
      <c r="J31" s="30">
        <v>0.05</v>
      </c>
      <c r="K31" s="29">
        <f t="shared" si="0"/>
        <v>16889.395949999962</v>
      </c>
      <c r="L31" s="29">
        <f t="shared" si="1"/>
        <v>136017.60499999998</v>
      </c>
      <c r="M31" s="29">
        <f t="shared" si="2"/>
        <v>158065367.43183991</v>
      </c>
      <c r="N31" s="29">
        <f>27183.45</f>
        <v>27183.45</v>
      </c>
    </row>
    <row r="32" spans="1:14" x14ac:dyDescent="0.2">
      <c r="A32" s="12">
        <v>44197</v>
      </c>
      <c r="B32" s="25"/>
      <c r="C32" s="29">
        <v>652863061</v>
      </c>
      <c r="D32" s="32">
        <v>2375842</v>
      </c>
      <c r="E32" s="31">
        <f>1899880.91</f>
        <v>1899880.91</v>
      </c>
      <c r="F32" s="31">
        <f>3738967.32</f>
        <v>3738967.32</v>
      </c>
      <c r="G32" s="29">
        <f t="shared" si="9"/>
        <v>-475961.09000000008</v>
      </c>
      <c r="H32" s="29">
        <f t="shared" si="10"/>
        <v>1363125.3199999998</v>
      </c>
      <c r="I32" s="30">
        <v>0.21</v>
      </c>
      <c r="J32" s="30">
        <v>0.05</v>
      </c>
      <c r="K32" s="29">
        <f>G32*I32-L32*I32-83989.87</f>
        <v>-198254.51475999999</v>
      </c>
      <c r="L32" s="29">
        <f t="shared" si="1"/>
        <v>68156.265999999989</v>
      </c>
      <c r="M32" s="29">
        <f t="shared" si="2"/>
        <v>157935269.18307993</v>
      </c>
      <c r="N32" s="29">
        <v>28210.83</v>
      </c>
    </row>
    <row r="33" spans="1:14" x14ac:dyDescent="0.2">
      <c r="A33" s="12">
        <v>44228</v>
      </c>
      <c r="B33" s="25"/>
      <c r="C33" s="29">
        <v>652863061</v>
      </c>
      <c r="D33" s="32">
        <v>2375842</v>
      </c>
      <c r="E33" s="31">
        <f>1899880.91</f>
        <v>1899880.91</v>
      </c>
      <c r="F33" s="31">
        <f>3738967.32</f>
        <v>3738967.32</v>
      </c>
      <c r="G33" s="29">
        <f t="shared" si="9"/>
        <v>-475961.09000000008</v>
      </c>
      <c r="H33" s="29">
        <f t="shared" si="10"/>
        <v>1363125.3199999998</v>
      </c>
      <c r="I33" s="30">
        <v>0.21</v>
      </c>
      <c r="J33" s="30">
        <v>0.05</v>
      </c>
      <c r="K33" s="29">
        <f>G33*I33-L33*I33-83989.87</f>
        <v>-198254.51475999999</v>
      </c>
      <c r="L33" s="29">
        <f t="shared" si="1"/>
        <v>68156.265999999989</v>
      </c>
      <c r="M33" s="29">
        <f t="shared" si="2"/>
        <v>157805170.93431994</v>
      </c>
      <c r="N33" s="29">
        <f>28054+43730.18</f>
        <v>71784.179999999993</v>
      </c>
    </row>
    <row r="34" spans="1:14" x14ac:dyDescent="0.2">
      <c r="A34" s="33"/>
      <c r="B34" s="2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x14ac:dyDescent="0.2">
      <c r="A35" s="33"/>
      <c r="B35" s="25"/>
      <c r="C35" s="37" t="s">
        <v>35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">
      <c r="A36" s="33"/>
      <c r="B36" s="2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x14ac:dyDescent="0.2">
      <c r="A37" s="26"/>
      <c r="B37" s="25"/>
      <c r="C37" s="49" t="s">
        <v>50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">
      <c r="A38" s="26"/>
      <c r="B38" s="25"/>
      <c r="C38" s="49" t="s">
        <v>59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">
      <c r="A39" s="26"/>
      <c r="B39" s="25"/>
      <c r="C39" s="49" t="s">
        <v>60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">
      <c r="A40" s="26"/>
      <c r="B40" s="25"/>
      <c r="C40" s="29" t="s">
        <v>21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">
      <c r="A41" s="26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6"/>
      <c r="B42" s="25"/>
      <c r="C42" s="29" t="s">
        <v>22</v>
      </c>
      <c r="D42" s="41" t="s">
        <v>23</v>
      </c>
      <c r="E42" s="40" t="s">
        <v>24</v>
      </c>
      <c r="F42" s="29" t="s">
        <v>25</v>
      </c>
      <c r="G42" s="30" t="s">
        <v>12</v>
      </c>
      <c r="H42" s="29" t="s">
        <v>26</v>
      </c>
      <c r="I42" s="25"/>
      <c r="J42" s="25"/>
      <c r="K42" s="25"/>
      <c r="L42" s="25"/>
      <c r="M42" s="25"/>
      <c r="N42" s="25"/>
    </row>
    <row r="43" spans="1:14" x14ac:dyDescent="0.2">
      <c r="A43" s="26"/>
      <c r="B43" s="25"/>
      <c r="C43" s="29">
        <v>1707678.0000000002</v>
      </c>
      <c r="D43" s="29">
        <v>2375842</v>
      </c>
      <c r="E43" s="29">
        <v>6349.72</v>
      </c>
      <c r="F43" s="29">
        <f>E43-D43</f>
        <v>-2369492.2799999998</v>
      </c>
      <c r="G43" s="30">
        <v>0.21</v>
      </c>
      <c r="H43" s="29">
        <f>F43*G43</f>
        <v>-497593.37879999995</v>
      </c>
      <c r="I43" s="25"/>
      <c r="J43" s="25"/>
      <c r="K43" s="25"/>
      <c r="L43" s="25"/>
      <c r="M43" s="25"/>
      <c r="N43" s="25"/>
    </row>
    <row r="44" spans="1:14" x14ac:dyDescent="0.2">
      <c r="A44" s="26"/>
      <c r="B44" s="25"/>
      <c r="C44" s="29">
        <v>2561517</v>
      </c>
      <c r="D44" s="25"/>
      <c r="E44" s="29"/>
      <c r="F44" s="29">
        <f>E44</f>
        <v>0</v>
      </c>
      <c r="G44" s="30">
        <v>0.21</v>
      </c>
      <c r="H44" s="29">
        <f t="shared" ref="H44:H70" si="11">F44*G44</f>
        <v>0</v>
      </c>
      <c r="I44" s="25"/>
      <c r="J44" s="25"/>
      <c r="K44" s="25"/>
      <c r="L44" s="25"/>
      <c r="M44" s="25"/>
      <c r="N44" s="25"/>
    </row>
    <row r="45" spans="1:14" x14ac:dyDescent="0.2">
      <c r="A45" s="26"/>
      <c r="B45" s="25"/>
      <c r="C45" s="29">
        <v>30650265</v>
      </c>
      <c r="D45" s="25"/>
      <c r="E45" s="29">
        <v>115500.42</v>
      </c>
      <c r="F45" s="29">
        <f t="shared" ref="F45:F70" si="12">E45</f>
        <v>115500.42</v>
      </c>
      <c r="G45" s="30">
        <v>0.21</v>
      </c>
      <c r="H45" s="29">
        <f t="shared" si="11"/>
        <v>24255.088199999998</v>
      </c>
      <c r="I45" s="25"/>
      <c r="J45" s="25"/>
      <c r="K45" s="25"/>
      <c r="L45" s="25"/>
      <c r="M45" s="25"/>
      <c r="N45" s="25"/>
    </row>
    <row r="46" spans="1:14" x14ac:dyDescent="0.2">
      <c r="A46" s="26"/>
      <c r="B46" s="25"/>
      <c r="C46" s="29">
        <v>45975398</v>
      </c>
      <c r="D46" s="25"/>
      <c r="E46" s="29">
        <v>228052.57</v>
      </c>
      <c r="F46" s="29">
        <f t="shared" si="12"/>
        <v>228052.57</v>
      </c>
      <c r="G46" s="30">
        <v>0.21</v>
      </c>
      <c r="H46" s="29">
        <f t="shared" si="11"/>
        <v>47891.039700000001</v>
      </c>
      <c r="I46" s="25"/>
      <c r="J46" s="25"/>
      <c r="K46" s="25"/>
      <c r="L46" s="25"/>
      <c r="M46" s="25"/>
      <c r="N46" s="25"/>
    </row>
    <row r="47" spans="1:14" x14ac:dyDescent="0.2">
      <c r="A47" s="26"/>
      <c r="B47" s="25"/>
      <c r="C47" s="29">
        <v>27464567.032000002</v>
      </c>
      <c r="D47" s="25"/>
      <c r="E47" s="29">
        <v>103495.64</v>
      </c>
      <c r="F47" s="29">
        <f t="shared" si="12"/>
        <v>103495.64</v>
      </c>
      <c r="G47" s="30">
        <v>0.21</v>
      </c>
      <c r="H47" s="29">
        <f t="shared" si="11"/>
        <v>21734.0844</v>
      </c>
      <c r="I47" s="25"/>
      <c r="J47" s="25"/>
      <c r="K47" s="25"/>
      <c r="L47" s="25"/>
      <c r="M47" s="25"/>
      <c r="N47" s="25"/>
    </row>
    <row r="48" spans="1:14" x14ac:dyDescent="0.2">
      <c r="A48" s="26"/>
      <c r="B48" s="25"/>
      <c r="C48" s="29">
        <v>41196850.548</v>
      </c>
      <c r="D48" s="25"/>
      <c r="E48" s="29">
        <v>449568.81</v>
      </c>
      <c r="F48" s="29">
        <f t="shared" si="12"/>
        <v>449568.81</v>
      </c>
      <c r="G48" s="30">
        <v>0.21</v>
      </c>
      <c r="H48" s="29">
        <f t="shared" si="11"/>
        <v>94409.450100000002</v>
      </c>
      <c r="I48" s="25"/>
      <c r="J48" s="25"/>
      <c r="K48" s="25"/>
      <c r="L48" s="25"/>
      <c r="M48" s="25"/>
      <c r="N48" s="25"/>
    </row>
    <row r="49" spans="1:14" x14ac:dyDescent="0.2">
      <c r="A49" s="26"/>
      <c r="B49" s="25"/>
      <c r="C49" s="29">
        <v>8604879.8300000001</v>
      </c>
      <c r="D49" s="25"/>
      <c r="E49" s="29">
        <v>35050.54</v>
      </c>
      <c r="F49" s="29">
        <f t="shared" si="12"/>
        <v>35050.54</v>
      </c>
      <c r="G49" s="30">
        <v>0.21</v>
      </c>
      <c r="H49" s="29">
        <f t="shared" si="11"/>
        <v>7360.6134000000002</v>
      </c>
      <c r="I49" s="25"/>
      <c r="J49" s="25"/>
      <c r="K49" s="25"/>
      <c r="L49" s="25"/>
      <c r="M49" s="25"/>
      <c r="N49" s="25"/>
    </row>
    <row r="50" spans="1:14" x14ac:dyDescent="0.2">
      <c r="A50" s="26"/>
      <c r="B50" s="25"/>
      <c r="C50" s="29">
        <v>3423604.6119999997</v>
      </c>
      <c r="D50" s="25"/>
      <c r="E50" s="29">
        <v>13945.48</v>
      </c>
      <c r="F50" s="29">
        <f t="shared" si="12"/>
        <v>13945.48</v>
      </c>
      <c r="G50" s="30">
        <v>0.21</v>
      </c>
      <c r="H50" s="29">
        <f t="shared" si="11"/>
        <v>2928.5508</v>
      </c>
      <c r="I50" s="25"/>
      <c r="J50" s="25"/>
      <c r="K50" s="25"/>
      <c r="L50" s="25"/>
      <c r="M50" s="25"/>
      <c r="N50" s="25"/>
    </row>
    <row r="51" spans="1:14" x14ac:dyDescent="0.2">
      <c r="A51" s="26"/>
      <c r="B51" s="25"/>
      <c r="C51" s="29">
        <v>5135406.9179999996</v>
      </c>
      <c r="D51" s="25"/>
      <c r="E51" s="29">
        <v>61135.8</v>
      </c>
      <c r="F51" s="29">
        <f t="shared" si="12"/>
        <v>61135.8</v>
      </c>
      <c r="G51" s="30">
        <v>0.21</v>
      </c>
      <c r="H51" s="29">
        <f t="shared" si="11"/>
        <v>12838.518</v>
      </c>
      <c r="I51" s="25"/>
      <c r="J51" s="25"/>
      <c r="K51" s="25"/>
      <c r="L51" s="25"/>
      <c r="M51" s="25"/>
      <c r="N51" s="25"/>
    </row>
    <row r="52" spans="1:14" x14ac:dyDescent="0.2">
      <c r="A52" s="26"/>
      <c r="B52" s="25"/>
      <c r="C52" s="29">
        <v>16610.338</v>
      </c>
      <c r="D52" s="25"/>
      <c r="E52" s="29">
        <v>67.66</v>
      </c>
      <c r="F52" s="29">
        <f t="shared" si="12"/>
        <v>67.66</v>
      </c>
      <c r="G52" s="30">
        <v>0.21</v>
      </c>
      <c r="H52" s="29">
        <f t="shared" si="11"/>
        <v>14.208599999999999</v>
      </c>
      <c r="I52" s="25"/>
      <c r="J52" s="25"/>
      <c r="K52" s="25"/>
      <c r="L52" s="25"/>
      <c r="M52" s="25"/>
      <c r="N52" s="25"/>
    </row>
    <row r="53" spans="1:14" x14ac:dyDescent="0.2">
      <c r="A53" s="26"/>
      <c r="B53" s="25"/>
      <c r="C53" s="29">
        <v>24915.507000000001</v>
      </c>
      <c r="D53" s="25"/>
      <c r="E53" s="29">
        <v>296.61</v>
      </c>
      <c r="F53" s="29">
        <f t="shared" si="12"/>
        <v>296.61</v>
      </c>
      <c r="G53" s="30">
        <v>0.21</v>
      </c>
      <c r="H53" s="29">
        <f t="shared" si="11"/>
        <v>62.2881</v>
      </c>
      <c r="I53" s="25"/>
      <c r="J53" s="25"/>
      <c r="K53" s="25"/>
      <c r="L53" s="25"/>
      <c r="M53" s="25"/>
      <c r="N53" s="25"/>
    </row>
    <row r="54" spans="1:14" x14ac:dyDescent="0.2">
      <c r="A54" s="26"/>
      <c r="B54" s="25"/>
      <c r="C54" s="29">
        <v>31061870.714000002</v>
      </c>
      <c r="D54" s="25"/>
      <c r="E54" s="29">
        <v>126525.35</v>
      </c>
      <c r="F54" s="29">
        <f t="shared" si="12"/>
        <v>126525.35</v>
      </c>
      <c r="G54" s="30">
        <v>0.21</v>
      </c>
      <c r="H54" s="29">
        <f t="shared" si="11"/>
        <v>26570.323499999999</v>
      </c>
      <c r="I54" s="25"/>
      <c r="J54" s="25"/>
      <c r="K54" s="25"/>
      <c r="L54" s="25"/>
      <c r="M54" s="25"/>
      <c r="N54" s="25"/>
    </row>
    <row r="55" spans="1:14" x14ac:dyDescent="0.2">
      <c r="A55" s="26"/>
      <c r="B55" s="25"/>
      <c r="C55" s="29">
        <v>46592806.070999995</v>
      </c>
      <c r="D55" s="25"/>
      <c r="E55" s="29"/>
      <c r="F55" s="29">
        <f t="shared" si="12"/>
        <v>0</v>
      </c>
      <c r="G55" s="30">
        <v>0.21</v>
      </c>
      <c r="H55" s="29">
        <f t="shared" si="11"/>
        <v>0</v>
      </c>
      <c r="I55" s="25"/>
      <c r="J55" s="25"/>
      <c r="K55" s="25"/>
      <c r="L55" s="25"/>
      <c r="M55" s="25"/>
      <c r="N55" s="25"/>
    </row>
    <row r="56" spans="1:14" x14ac:dyDescent="0.2">
      <c r="A56" s="26"/>
      <c r="B56" s="25"/>
      <c r="C56" s="29">
        <v>1219848.1800000002</v>
      </c>
      <c r="D56" s="25"/>
      <c r="E56" s="29">
        <v>4968.8500000000004</v>
      </c>
      <c r="F56" s="29">
        <f t="shared" si="12"/>
        <v>4968.8500000000004</v>
      </c>
      <c r="G56" s="30">
        <v>0.21</v>
      </c>
      <c r="H56" s="29">
        <f t="shared" si="11"/>
        <v>1043.4585</v>
      </c>
      <c r="I56" s="25"/>
      <c r="J56" s="25"/>
      <c r="K56" s="25"/>
      <c r="L56" s="25"/>
      <c r="M56" s="25"/>
      <c r="N56" s="25"/>
    </row>
    <row r="57" spans="1:14" x14ac:dyDescent="0.2">
      <c r="A57" s="26"/>
      <c r="B57" s="25"/>
      <c r="C57" s="29">
        <v>2523999.9120000005</v>
      </c>
      <c r="D57" s="25"/>
      <c r="E57" s="29">
        <v>10281.09</v>
      </c>
      <c r="F57" s="29">
        <f t="shared" si="12"/>
        <v>10281.09</v>
      </c>
      <c r="G57" s="30">
        <v>0.21</v>
      </c>
      <c r="H57" s="29">
        <f t="shared" si="11"/>
        <v>2159.0288999999998</v>
      </c>
      <c r="I57" s="25"/>
      <c r="J57" s="25"/>
      <c r="K57" s="25"/>
      <c r="L57" s="25"/>
      <c r="M57" s="25"/>
      <c r="N57" s="25"/>
    </row>
    <row r="58" spans="1:14" x14ac:dyDescent="0.2">
      <c r="A58" s="26"/>
      <c r="B58" s="25"/>
      <c r="C58" s="29">
        <v>3785999.8679999998</v>
      </c>
      <c r="D58" s="25"/>
      <c r="E58" s="29">
        <v>45071.426999999996</v>
      </c>
      <c r="F58" s="29">
        <f t="shared" si="12"/>
        <v>45071.426999999996</v>
      </c>
      <c r="G58" s="30">
        <v>0.21</v>
      </c>
      <c r="H58" s="29">
        <f t="shared" si="11"/>
        <v>9464.9996699999992</v>
      </c>
      <c r="I58" s="25"/>
      <c r="J58" s="25"/>
      <c r="K58" s="25"/>
      <c r="L58" s="25"/>
      <c r="M58" s="25"/>
      <c r="N58" s="25"/>
    </row>
    <row r="59" spans="1:14" x14ac:dyDescent="0.2">
      <c r="A59" s="26"/>
      <c r="B59" s="25"/>
      <c r="C59" s="29">
        <v>25974568.388</v>
      </c>
      <c r="D59" s="25"/>
      <c r="E59" s="29">
        <v>105803.08</v>
      </c>
      <c r="F59" s="29">
        <f t="shared" si="12"/>
        <v>105803.08</v>
      </c>
      <c r="G59" s="30">
        <v>0.21</v>
      </c>
      <c r="H59" s="29">
        <f t="shared" si="11"/>
        <v>22218.646799999999</v>
      </c>
      <c r="I59" s="25"/>
      <c r="J59" s="25"/>
      <c r="K59" s="25"/>
      <c r="L59" s="25"/>
      <c r="M59" s="25"/>
      <c r="N59" s="25"/>
    </row>
    <row r="60" spans="1:14" x14ac:dyDescent="0.2">
      <c r="A60" s="26"/>
      <c r="B60" s="25"/>
      <c r="C60" s="29">
        <v>38961852.581999995</v>
      </c>
      <c r="D60" s="25"/>
      <c r="E60" s="29">
        <v>463831.5783571428</v>
      </c>
      <c r="F60" s="29">
        <f t="shared" si="12"/>
        <v>463831.5783571428</v>
      </c>
      <c r="G60" s="30">
        <v>0.21</v>
      </c>
      <c r="H60" s="29">
        <f t="shared" si="11"/>
        <v>97404.631454999981</v>
      </c>
      <c r="I60" s="25"/>
      <c r="J60" s="25"/>
      <c r="K60" s="25"/>
      <c r="L60" s="25"/>
      <c r="M60" s="25"/>
      <c r="N60" s="25"/>
    </row>
    <row r="61" spans="1:14" x14ac:dyDescent="0.2">
      <c r="A61" s="26"/>
      <c r="B61" s="25"/>
      <c r="C61" s="29">
        <v>2779050.4420000003</v>
      </c>
      <c r="D61" s="25"/>
      <c r="E61" s="29">
        <v>12239.4</v>
      </c>
      <c r="F61" s="29">
        <f t="shared" si="12"/>
        <v>12239.4</v>
      </c>
      <c r="G61" s="30">
        <v>0.21</v>
      </c>
      <c r="H61" s="29">
        <f t="shared" si="11"/>
        <v>2570.2739999999999</v>
      </c>
      <c r="I61" s="25"/>
      <c r="J61" s="25"/>
      <c r="K61" s="25"/>
      <c r="L61" s="25"/>
      <c r="M61" s="25"/>
      <c r="N61" s="25"/>
    </row>
    <row r="62" spans="1:14" x14ac:dyDescent="0.2">
      <c r="A62" s="26"/>
      <c r="B62" s="25"/>
      <c r="C62" s="29">
        <v>4168575.6630000002</v>
      </c>
      <c r="D62" s="25"/>
      <c r="E62" s="37">
        <v>49625.9</v>
      </c>
      <c r="F62" s="37">
        <f t="shared" si="12"/>
        <v>49625.9</v>
      </c>
      <c r="G62" s="52">
        <v>0.21</v>
      </c>
      <c r="H62" s="37">
        <f t="shared" si="11"/>
        <v>10421.439</v>
      </c>
      <c r="I62" s="25"/>
      <c r="J62" s="25"/>
      <c r="K62" s="25"/>
      <c r="L62" s="25"/>
      <c r="M62" s="25"/>
      <c r="N62" s="25"/>
    </row>
    <row r="63" spans="1:14" x14ac:dyDescent="0.2">
      <c r="A63" s="26"/>
      <c r="B63" s="25"/>
      <c r="C63" s="29">
        <v>2382156</v>
      </c>
      <c r="D63" s="25"/>
      <c r="E63" s="37">
        <f>4904.86+23821.56</f>
        <v>28726.420000000002</v>
      </c>
      <c r="F63" s="37">
        <f t="shared" si="12"/>
        <v>28726.420000000002</v>
      </c>
      <c r="G63" s="52">
        <v>0.21</v>
      </c>
      <c r="H63" s="37">
        <f t="shared" si="11"/>
        <v>6032.5482000000002</v>
      </c>
      <c r="I63" s="25"/>
      <c r="J63" s="25"/>
      <c r="K63" s="25"/>
      <c r="L63" s="25"/>
      <c r="M63" s="25"/>
      <c r="N63" s="25"/>
    </row>
    <row r="64" spans="1:14" x14ac:dyDescent="0.2">
      <c r="A64" s="26"/>
      <c r="B64" s="25"/>
      <c r="C64" s="29">
        <v>2137779</v>
      </c>
      <c r="D64" s="25"/>
      <c r="E64" s="37">
        <f>4401.69+54.49+15230.93</f>
        <v>19687.11</v>
      </c>
      <c r="F64" s="37">
        <f t="shared" si="12"/>
        <v>19687.11</v>
      </c>
      <c r="G64" s="52">
        <v>0.21</v>
      </c>
      <c r="H64" s="37">
        <f t="shared" si="11"/>
        <v>4134.2930999999999</v>
      </c>
      <c r="I64" s="25"/>
      <c r="J64" s="25"/>
      <c r="K64" s="25"/>
      <c r="L64" s="25"/>
      <c r="M64" s="25"/>
      <c r="N64" s="25"/>
    </row>
    <row r="65" spans="1:14" x14ac:dyDescent="0.2">
      <c r="A65" s="26"/>
      <c r="B65" s="25"/>
      <c r="C65" s="29">
        <v>1682939</v>
      </c>
      <c r="D65" s="25"/>
      <c r="E65" s="37">
        <v>9364.15</v>
      </c>
      <c r="F65" s="37">
        <f t="shared" si="12"/>
        <v>9364.15</v>
      </c>
      <c r="G65" s="52">
        <v>0.21</v>
      </c>
      <c r="H65" s="37">
        <f t="shared" si="11"/>
        <v>1966.4714999999999</v>
      </c>
      <c r="I65" s="25"/>
      <c r="J65" s="25"/>
      <c r="K65" s="25"/>
      <c r="L65" s="25"/>
      <c r="M65" s="25"/>
      <c r="N65" s="25"/>
    </row>
    <row r="66" spans="1:14" x14ac:dyDescent="0.2">
      <c r="A66" s="26"/>
      <c r="B66" s="25"/>
      <c r="C66" s="29">
        <v>1069488</v>
      </c>
      <c r="D66" s="25"/>
      <c r="E66" s="37">
        <v>0</v>
      </c>
      <c r="F66" s="37">
        <f t="shared" si="12"/>
        <v>0</v>
      </c>
      <c r="G66" s="52">
        <v>0.21</v>
      </c>
      <c r="H66" s="37">
        <f t="shared" si="11"/>
        <v>0</v>
      </c>
      <c r="I66" s="25"/>
      <c r="J66" s="25"/>
      <c r="K66" s="25"/>
      <c r="L66" s="25"/>
      <c r="M66" s="25"/>
      <c r="N66" s="25"/>
    </row>
    <row r="67" spans="1:14" x14ac:dyDescent="0.2">
      <c r="A67" s="26"/>
      <c r="B67" s="25"/>
      <c r="C67" s="29">
        <v>-523388</v>
      </c>
      <c r="D67" s="25"/>
      <c r="E67" s="37">
        <v>-426.39</v>
      </c>
      <c r="F67" s="37">
        <f t="shared" si="12"/>
        <v>-426.39</v>
      </c>
      <c r="G67" s="52">
        <v>0.21</v>
      </c>
      <c r="H67" s="37">
        <f t="shared" si="11"/>
        <v>-89.541899999999998</v>
      </c>
      <c r="I67" s="25"/>
      <c r="J67" s="25"/>
      <c r="K67" s="25"/>
      <c r="L67" s="25"/>
      <c r="M67" s="25"/>
      <c r="N67" s="25"/>
    </row>
    <row r="68" spans="1:14" x14ac:dyDescent="0.2">
      <c r="A68" s="26"/>
      <c r="B68" s="25"/>
      <c r="C68" s="29">
        <v>180531</v>
      </c>
      <c r="D68" s="25"/>
      <c r="E68" s="37">
        <f>401.8+473.23+951.49</f>
        <v>1826.52</v>
      </c>
      <c r="F68" s="37">
        <f t="shared" si="12"/>
        <v>1826.52</v>
      </c>
      <c r="G68" s="52">
        <v>0.21</v>
      </c>
      <c r="H68" s="37">
        <f t="shared" si="11"/>
        <v>383.56919999999997</v>
      </c>
      <c r="I68" s="25"/>
      <c r="J68" s="25"/>
      <c r="K68" s="25"/>
      <c r="L68" s="25"/>
      <c r="M68" s="25"/>
      <c r="N68" s="25"/>
    </row>
    <row r="69" spans="1:14" x14ac:dyDescent="0.2">
      <c r="A69" s="26"/>
      <c r="B69" s="25"/>
      <c r="C69" s="29">
        <v>-152912</v>
      </c>
      <c r="D69" s="25"/>
      <c r="E69" s="37">
        <v>-919.89</v>
      </c>
      <c r="F69" s="37">
        <f t="shared" si="12"/>
        <v>-919.89</v>
      </c>
      <c r="G69" s="52">
        <v>0.21</v>
      </c>
      <c r="H69" s="37">
        <f t="shared" si="11"/>
        <v>-193.17689999999999</v>
      </c>
      <c r="I69" s="25"/>
      <c r="J69" s="25"/>
      <c r="K69" s="25"/>
      <c r="L69" s="25"/>
      <c r="M69" s="25"/>
      <c r="N69" s="25"/>
    </row>
    <row r="70" spans="1:14" ht="15" x14ac:dyDescent="0.35">
      <c r="A70" s="26"/>
      <c r="B70" s="25"/>
      <c r="C70" s="29">
        <f>1630648+558</f>
        <v>1631206</v>
      </c>
      <c r="D70" s="25"/>
      <c r="E70" s="42">
        <f>9809.71+3.35</f>
        <v>9813.06</v>
      </c>
      <c r="F70" s="42">
        <f t="shared" si="12"/>
        <v>9813.06</v>
      </c>
      <c r="G70" s="52">
        <v>0.21</v>
      </c>
      <c r="H70" s="42">
        <f t="shared" si="11"/>
        <v>2060.7426</v>
      </c>
      <c r="I70" s="25"/>
      <c r="J70" s="25"/>
      <c r="K70" s="25"/>
      <c r="L70" s="25"/>
      <c r="M70" s="25"/>
      <c r="N70" s="25"/>
    </row>
    <row r="71" spans="1:14" x14ac:dyDescent="0.2">
      <c r="A71" s="26"/>
      <c r="B71" s="25"/>
      <c r="C71" s="25"/>
      <c r="D71" s="29"/>
      <c r="E71" s="29">
        <f>SUM(E43:E70)</f>
        <v>1899880.9053571431</v>
      </c>
      <c r="F71" s="29">
        <f>SUM(F43:F70)</f>
        <v>-475961.09464285662</v>
      </c>
      <c r="G71" s="36" t="s">
        <v>27</v>
      </c>
      <c r="H71" s="29">
        <f>SUM(H43:H70)</f>
        <v>-99951.829874999952</v>
      </c>
      <c r="I71" s="25"/>
      <c r="J71" s="25"/>
      <c r="K71" s="25"/>
      <c r="L71" s="25"/>
      <c r="M71" s="25"/>
      <c r="N71" s="25"/>
    </row>
    <row r="72" spans="1:14" ht="15" x14ac:dyDescent="0.35">
      <c r="A72" s="26"/>
      <c r="B72" s="25"/>
      <c r="C72" s="25"/>
      <c r="D72" s="25"/>
      <c r="E72" s="25"/>
      <c r="F72" s="25"/>
      <c r="G72" s="36" t="s">
        <v>28</v>
      </c>
      <c r="H72" s="42">
        <f>-H103*0.21</f>
        <v>-14312.815767</v>
      </c>
      <c r="I72" s="25"/>
      <c r="J72" s="25"/>
      <c r="K72" s="25"/>
      <c r="L72" s="25"/>
      <c r="M72" s="25"/>
      <c r="N72" s="25"/>
    </row>
    <row r="73" spans="1:14" x14ac:dyDescent="0.2">
      <c r="A73" s="26"/>
      <c r="B73" s="25"/>
      <c r="C73" s="25"/>
      <c r="D73" s="25"/>
      <c r="E73" s="25"/>
      <c r="F73" s="25"/>
      <c r="G73" s="25"/>
      <c r="H73" s="29">
        <f>H71+H72</f>
        <v>-114264.64564199996</v>
      </c>
      <c r="I73" s="25"/>
      <c r="J73" s="25"/>
      <c r="K73" s="25"/>
      <c r="L73" s="25"/>
      <c r="M73" s="25"/>
      <c r="N73" s="25"/>
    </row>
    <row r="74" spans="1:14" x14ac:dyDescent="0.2">
      <c r="A74" s="26"/>
      <c r="B74" s="25"/>
      <c r="C74" s="25"/>
      <c r="D74" s="25"/>
      <c r="E74" s="25"/>
      <c r="F74" s="25"/>
      <c r="G74" s="25"/>
      <c r="H74" s="29">
        <f>H73-K33</f>
        <v>83989.869118000031</v>
      </c>
      <c r="I74" s="36" t="s">
        <v>61</v>
      </c>
      <c r="J74" s="25"/>
      <c r="K74" s="25"/>
      <c r="L74" s="25"/>
      <c r="M74" s="25"/>
      <c r="N74" s="25"/>
    </row>
    <row r="75" spans="1:14" x14ac:dyDescent="0.2">
      <c r="A75" s="26"/>
      <c r="B75" s="25"/>
      <c r="C75" s="29" t="s">
        <v>30</v>
      </c>
      <c r="D75" s="39" t="s">
        <v>23</v>
      </c>
      <c r="E75" s="40" t="s">
        <v>31</v>
      </c>
      <c r="F75" s="29" t="s">
        <v>32</v>
      </c>
      <c r="G75" s="30" t="s">
        <v>13</v>
      </c>
      <c r="H75" s="29" t="s">
        <v>33</v>
      </c>
      <c r="I75" s="25"/>
      <c r="J75" s="25"/>
      <c r="K75" s="25"/>
      <c r="L75" s="25"/>
      <c r="M75" s="25"/>
      <c r="N75" s="25"/>
    </row>
    <row r="76" spans="1:14" x14ac:dyDescent="0.2">
      <c r="A76" s="26"/>
      <c r="B76" s="25"/>
      <c r="C76" s="29">
        <v>3645863</v>
      </c>
      <c r="D76" s="29">
        <f>D43</f>
        <v>2375842</v>
      </c>
      <c r="E76" s="29">
        <v>13553.5</v>
      </c>
      <c r="F76" s="29">
        <f>E76-D76</f>
        <v>-2362288.5</v>
      </c>
      <c r="G76" s="30">
        <v>0.05</v>
      </c>
      <c r="H76" s="29">
        <f>F76*G76</f>
        <v>-118114.425</v>
      </c>
      <c r="I76" s="25"/>
      <c r="J76" s="25"/>
      <c r="K76" s="25"/>
      <c r="L76" s="25"/>
      <c r="M76" s="25"/>
      <c r="N76" s="25"/>
    </row>
    <row r="77" spans="1:14" x14ac:dyDescent="0.2">
      <c r="A77" s="26"/>
      <c r="B77" s="25"/>
      <c r="C77" s="29">
        <v>3415356</v>
      </c>
      <c r="D77" s="25"/>
      <c r="E77" s="29">
        <v>12699.43</v>
      </c>
      <c r="F77" s="29">
        <f t="shared" ref="F77:F102" si="13">E77-D77</f>
        <v>12699.43</v>
      </c>
      <c r="G77" s="30">
        <v>0.05</v>
      </c>
      <c r="H77" s="29">
        <f t="shared" ref="H77:H102" si="14">F77*G77</f>
        <v>634.97150000000011</v>
      </c>
      <c r="I77" s="25"/>
      <c r="J77" s="25"/>
      <c r="K77" s="25"/>
      <c r="L77" s="25"/>
      <c r="M77" s="25"/>
      <c r="N77" s="25"/>
    </row>
    <row r="78" spans="1:14" x14ac:dyDescent="0.2">
      <c r="A78" s="26"/>
      <c r="B78" s="25"/>
      <c r="C78" s="29">
        <v>5123034</v>
      </c>
      <c r="D78" s="25"/>
      <c r="E78" s="29"/>
      <c r="F78" s="29">
        <f t="shared" si="13"/>
        <v>0</v>
      </c>
      <c r="G78" s="30">
        <v>0.05</v>
      </c>
      <c r="H78" s="29">
        <f t="shared" si="14"/>
        <v>0</v>
      </c>
      <c r="I78" s="25"/>
      <c r="J78" s="25"/>
      <c r="K78" s="25"/>
      <c r="L78" s="25"/>
      <c r="M78" s="25"/>
      <c r="N78" s="25"/>
    </row>
    <row r="79" spans="1:14" x14ac:dyDescent="0.2">
      <c r="A79" s="26"/>
      <c r="B79" s="25"/>
      <c r="C79" s="29">
        <v>61300530.800000004</v>
      </c>
      <c r="D79" s="25"/>
      <c r="E79" s="29">
        <v>231000.83</v>
      </c>
      <c r="F79" s="29">
        <f t="shared" si="13"/>
        <v>231000.83</v>
      </c>
      <c r="G79" s="30">
        <v>0.05</v>
      </c>
      <c r="H79" s="29">
        <f t="shared" si="14"/>
        <v>11550.041499999999</v>
      </c>
      <c r="I79" s="25"/>
      <c r="J79" s="25"/>
      <c r="K79" s="25"/>
      <c r="L79" s="25"/>
      <c r="M79" s="25"/>
      <c r="N79" s="25"/>
    </row>
    <row r="80" spans="1:14" x14ac:dyDescent="0.2">
      <c r="A80" s="26"/>
      <c r="B80" s="25"/>
      <c r="C80" s="29">
        <v>91950796.200000003</v>
      </c>
      <c r="D80" s="25"/>
      <c r="E80" s="29">
        <v>456105.14</v>
      </c>
      <c r="F80" s="29">
        <f t="shared" si="13"/>
        <v>456105.14</v>
      </c>
      <c r="G80" s="30">
        <v>0.05</v>
      </c>
      <c r="H80" s="29">
        <f t="shared" si="14"/>
        <v>22805.257000000001</v>
      </c>
      <c r="I80" s="25"/>
      <c r="J80" s="25"/>
      <c r="K80" s="25"/>
      <c r="L80" s="25"/>
      <c r="M80" s="25"/>
      <c r="N80" s="25"/>
    </row>
    <row r="81" spans="1:14" x14ac:dyDescent="0.2">
      <c r="A81" s="26"/>
      <c r="B81" s="25"/>
      <c r="C81" s="29">
        <v>54929134.064000003</v>
      </c>
      <c r="D81" s="25"/>
      <c r="E81" s="29">
        <v>206991.29</v>
      </c>
      <c r="F81" s="29">
        <f t="shared" si="13"/>
        <v>206991.29</v>
      </c>
      <c r="G81" s="30">
        <v>0.05</v>
      </c>
      <c r="H81" s="29">
        <f t="shared" si="14"/>
        <v>10349.5645</v>
      </c>
      <c r="I81" s="25"/>
      <c r="J81" s="25"/>
      <c r="K81" s="25"/>
      <c r="L81" s="25"/>
      <c r="M81" s="25"/>
      <c r="N81" s="25"/>
    </row>
    <row r="82" spans="1:14" x14ac:dyDescent="0.2">
      <c r="A82" s="26"/>
      <c r="B82" s="25"/>
      <c r="C82" s="29">
        <v>82393701.096000001</v>
      </c>
      <c r="D82" s="25"/>
      <c r="E82" s="29">
        <v>899137.61</v>
      </c>
      <c r="F82" s="29">
        <f t="shared" si="13"/>
        <v>899137.61</v>
      </c>
      <c r="G82" s="30">
        <v>0.05</v>
      </c>
      <c r="H82" s="29">
        <f t="shared" si="14"/>
        <v>44956.880499999999</v>
      </c>
      <c r="I82" s="25"/>
      <c r="J82" s="25"/>
      <c r="K82" s="25"/>
      <c r="L82" s="25"/>
      <c r="M82" s="25"/>
      <c r="N82" s="25"/>
    </row>
    <row r="83" spans="1:14" x14ac:dyDescent="0.2">
      <c r="A83" s="26"/>
      <c r="B83" s="25"/>
      <c r="C83" s="29">
        <v>8604879.8300000001</v>
      </c>
      <c r="D83" s="25"/>
      <c r="E83" s="29">
        <v>35050.54</v>
      </c>
      <c r="F83" s="29">
        <f t="shared" si="13"/>
        <v>35050.54</v>
      </c>
      <c r="G83" s="30">
        <v>0.05</v>
      </c>
      <c r="H83" s="29">
        <f t="shared" si="14"/>
        <v>1752.527</v>
      </c>
      <c r="I83" s="25"/>
      <c r="J83" s="25"/>
      <c r="K83" s="25"/>
      <c r="L83" s="25"/>
      <c r="M83" s="25"/>
      <c r="N83" s="25"/>
    </row>
    <row r="84" spans="1:14" x14ac:dyDescent="0.2">
      <c r="A84" s="26"/>
      <c r="B84" s="25"/>
      <c r="C84" s="29">
        <v>6880429.9000000022</v>
      </c>
      <c r="D84" s="25"/>
      <c r="E84" s="29">
        <v>28026.28</v>
      </c>
      <c r="F84" s="29">
        <f t="shared" si="13"/>
        <v>28026.28</v>
      </c>
      <c r="G84" s="30">
        <v>0.05</v>
      </c>
      <c r="H84" s="29">
        <f t="shared" si="14"/>
        <v>1401.3140000000001</v>
      </c>
      <c r="I84" s="25"/>
      <c r="J84" s="25"/>
      <c r="K84" s="25"/>
      <c r="L84" s="25"/>
      <c r="M84" s="25"/>
      <c r="N84" s="25"/>
    </row>
    <row r="85" spans="1:14" x14ac:dyDescent="0.2">
      <c r="A85" s="26"/>
      <c r="B85" s="25"/>
      <c r="C85" s="29">
        <v>10320644.850000001</v>
      </c>
      <c r="D85" s="25"/>
      <c r="E85" s="29">
        <v>122864.81964285717</v>
      </c>
      <c r="F85" s="29">
        <f t="shared" si="13"/>
        <v>122864.81964285717</v>
      </c>
      <c r="G85" s="30">
        <v>0.05</v>
      </c>
      <c r="H85" s="29">
        <f t="shared" si="14"/>
        <v>6143.2409821428591</v>
      </c>
      <c r="I85" s="25"/>
      <c r="J85" s="25"/>
      <c r="K85" s="25"/>
      <c r="L85" s="25"/>
      <c r="M85" s="25"/>
      <c r="N85" s="25"/>
    </row>
    <row r="86" spans="1:14" x14ac:dyDescent="0.2">
      <c r="A86" s="26"/>
      <c r="B86" s="25"/>
      <c r="C86" s="29">
        <v>62123741.428000003</v>
      </c>
      <c r="D86" s="25"/>
      <c r="E86" s="29">
        <v>253050.71</v>
      </c>
      <c r="F86" s="29">
        <f t="shared" si="13"/>
        <v>253050.71</v>
      </c>
      <c r="G86" s="30">
        <v>0.05</v>
      </c>
      <c r="H86" s="29">
        <f t="shared" si="14"/>
        <v>12652.5355</v>
      </c>
      <c r="I86" s="25"/>
      <c r="J86" s="25"/>
      <c r="K86" s="25"/>
      <c r="L86" s="25"/>
      <c r="M86" s="25"/>
      <c r="N86" s="25"/>
    </row>
    <row r="87" spans="1:14" x14ac:dyDescent="0.2">
      <c r="A87" s="26"/>
      <c r="B87" s="25"/>
      <c r="C87" s="29">
        <v>93185612.14199999</v>
      </c>
      <c r="D87" s="25"/>
      <c r="E87" s="29"/>
      <c r="F87" s="29">
        <f t="shared" si="13"/>
        <v>0</v>
      </c>
      <c r="G87" s="30">
        <v>0.05</v>
      </c>
      <c r="H87" s="29">
        <f t="shared" si="14"/>
        <v>0</v>
      </c>
      <c r="I87" s="25"/>
      <c r="J87" s="25"/>
      <c r="K87" s="25"/>
      <c r="L87" s="25"/>
      <c r="M87" s="25"/>
      <c r="N87" s="25"/>
    </row>
    <row r="88" spans="1:14" x14ac:dyDescent="0.2">
      <c r="A88" s="26"/>
      <c r="B88" s="25"/>
      <c r="C88" s="29">
        <v>1219848.1800000002</v>
      </c>
      <c r="D88" s="25"/>
      <c r="E88" s="29">
        <v>4968.8500000000004</v>
      </c>
      <c r="F88" s="29">
        <f t="shared" si="13"/>
        <v>4968.8500000000004</v>
      </c>
      <c r="G88" s="30">
        <v>0.05</v>
      </c>
      <c r="H88" s="29">
        <f t="shared" si="14"/>
        <v>248.44250000000002</v>
      </c>
      <c r="I88" s="25"/>
      <c r="J88" s="25"/>
      <c r="K88" s="25"/>
      <c r="L88" s="25"/>
      <c r="M88" s="25"/>
      <c r="N88" s="25"/>
    </row>
    <row r="89" spans="1:14" x14ac:dyDescent="0.2">
      <c r="A89" s="26"/>
      <c r="B89" s="25"/>
      <c r="C89" s="29">
        <v>5047999.824000001</v>
      </c>
      <c r="D89" s="25"/>
      <c r="E89" s="29">
        <v>20562.189999999999</v>
      </c>
      <c r="F89" s="29">
        <f t="shared" si="13"/>
        <v>20562.189999999999</v>
      </c>
      <c r="G89" s="30">
        <v>0.05</v>
      </c>
      <c r="H89" s="29">
        <f t="shared" si="14"/>
        <v>1028.1095</v>
      </c>
      <c r="I89" s="25"/>
      <c r="J89" s="25"/>
      <c r="K89" s="25"/>
      <c r="L89" s="25"/>
      <c r="M89" s="25"/>
      <c r="N89" s="25"/>
    </row>
    <row r="90" spans="1:14" x14ac:dyDescent="0.2">
      <c r="A90" s="26"/>
      <c r="B90" s="25"/>
      <c r="C90" s="29">
        <v>7571999.7359999996</v>
      </c>
      <c r="D90" s="25"/>
      <c r="E90" s="29">
        <v>90142.85</v>
      </c>
      <c r="F90" s="29">
        <f t="shared" si="13"/>
        <v>90142.85</v>
      </c>
      <c r="G90" s="30">
        <v>0.05</v>
      </c>
      <c r="H90" s="29">
        <f t="shared" si="14"/>
        <v>4507.1425000000008</v>
      </c>
      <c r="I90" s="25"/>
      <c r="J90" s="25"/>
      <c r="K90" s="25"/>
      <c r="L90" s="25"/>
      <c r="M90" s="25"/>
      <c r="N90" s="25"/>
    </row>
    <row r="91" spans="1:14" x14ac:dyDescent="0.2">
      <c r="A91" s="26"/>
      <c r="B91" s="25"/>
      <c r="C91" s="29">
        <v>51949136.776000001</v>
      </c>
      <c r="D91" s="25"/>
      <c r="E91" s="29">
        <v>211606.15</v>
      </c>
      <c r="F91" s="29">
        <f t="shared" si="13"/>
        <v>211606.15</v>
      </c>
      <c r="G91" s="30">
        <v>0.05</v>
      </c>
      <c r="H91" s="29">
        <f t="shared" si="14"/>
        <v>10580.307500000001</v>
      </c>
      <c r="I91" s="25"/>
      <c r="J91" s="25"/>
      <c r="K91" s="25"/>
      <c r="L91" s="25"/>
      <c r="M91" s="25"/>
      <c r="N91" s="25"/>
    </row>
    <row r="92" spans="1:14" x14ac:dyDescent="0.2">
      <c r="A92" s="26"/>
      <c r="B92" s="25"/>
      <c r="C92" s="29">
        <v>77923705.16399999</v>
      </c>
      <c r="D92" s="25"/>
      <c r="E92" s="29">
        <v>927663.16</v>
      </c>
      <c r="F92" s="29">
        <f t="shared" si="13"/>
        <v>927663.16</v>
      </c>
      <c r="G92" s="30">
        <v>0.05</v>
      </c>
      <c r="H92" s="29">
        <f t="shared" si="14"/>
        <v>46383.158000000003</v>
      </c>
      <c r="I92" s="25"/>
      <c r="J92" s="25"/>
      <c r="K92" s="25"/>
      <c r="L92" s="25"/>
      <c r="M92" s="25"/>
      <c r="N92" s="25"/>
    </row>
    <row r="93" spans="1:14" x14ac:dyDescent="0.2">
      <c r="A93" s="26"/>
      <c r="B93" s="25"/>
      <c r="C93" s="29">
        <v>5558100.8840000005</v>
      </c>
      <c r="D93" s="25"/>
      <c r="E93" s="29">
        <v>24478.799999999999</v>
      </c>
      <c r="F93" s="37">
        <f t="shared" si="13"/>
        <v>24478.799999999999</v>
      </c>
      <c r="G93" s="30">
        <v>0.05</v>
      </c>
      <c r="H93" s="29">
        <f t="shared" si="14"/>
        <v>1223.94</v>
      </c>
      <c r="I93" s="25"/>
      <c r="J93" s="25"/>
      <c r="K93" s="25"/>
      <c r="L93" s="25"/>
      <c r="M93" s="25"/>
      <c r="N93" s="25"/>
    </row>
    <row r="94" spans="1:14" x14ac:dyDescent="0.2">
      <c r="A94" s="26"/>
      <c r="B94" s="25"/>
      <c r="C94" s="29">
        <v>8337151.3260000004</v>
      </c>
      <c r="D94" s="25"/>
      <c r="E94" s="37">
        <v>99251.801500000001</v>
      </c>
      <c r="F94" s="37">
        <f t="shared" si="13"/>
        <v>99251.801500000001</v>
      </c>
      <c r="G94" s="52">
        <v>0.05</v>
      </c>
      <c r="H94" s="37">
        <f t="shared" si="14"/>
        <v>4962.5900750000001</v>
      </c>
      <c r="I94" s="25"/>
      <c r="J94" s="25"/>
      <c r="K94" s="25"/>
      <c r="L94" s="25"/>
      <c r="M94" s="25"/>
      <c r="N94" s="25"/>
    </row>
    <row r="95" spans="1:14" x14ac:dyDescent="0.2">
      <c r="A95" s="26"/>
      <c r="B95" s="25"/>
      <c r="C95" s="29">
        <v>4764312</v>
      </c>
      <c r="D95" s="25"/>
      <c r="E95" s="37">
        <f>9809.72+47643.12</f>
        <v>57452.840000000004</v>
      </c>
      <c r="F95" s="37">
        <f t="shared" si="13"/>
        <v>57452.840000000004</v>
      </c>
      <c r="G95" s="52">
        <v>0.05</v>
      </c>
      <c r="H95" s="37">
        <f t="shared" si="14"/>
        <v>2872.6420000000003</v>
      </c>
      <c r="I95" s="25"/>
      <c r="J95" s="25"/>
      <c r="K95" s="25"/>
      <c r="L95" s="25"/>
      <c r="M95" s="25"/>
      <c r="N95" s="25"/>
    </row>
    <row r="96" spans="1:14" x14ac:dyDescent="0.2">
      <c r="A96" s="26"/>
      <c r="B96" s="25"/>
      <c r="C96" s="29">
        <v>2729220</v>
      </c>
      <c r="D96" s="25"/>
      <c r="E96" s="37">
        <f>5619.46+54.49+19455.5</f>
        <v>25129.45</v>
      </c>
      <c r="F96" s="37">
        <f t="shared" si="13"/>
        <v>25129.45</v>
      </c>
      <c r="G96" s="52">
        <v>0.05</v>
      </c>
      <c r="H96" s="37">
        <f t="shared" si="14"/>
        <v>1256.4725000000001</v>
      </c>
      <c r="I96" s="25"/>
      <c r="J96" s="25"/>
      <c r="K96" s="25"/>
      <c r="L96" s="25"/>
      <c r="M96" s="25"/>
      <c r="N96" s="25"/>
    </row>
    <row r="97" spans="1:14" x14ac:dyDescent="0.2">
      <c r="A97" s="26"/>
      <c r="B97" s="25"/>
      <c r="C97" s="29">
        <v>1682939</v>
      </c>
      <c r="D97" s="25"/>
      <c r="E97" s="37">
        <v>9364.15</v>
      </c>
      <c r="F97" s="37">
        <f t="shared" si="13"/>
        <v>9364.15</v>
      </c>
      <c r="G97" s="52">
        <v>0.05</v>
      </c>
      <c r="H97" s="37">
        <f t="shared" si="14"/>
        <v>468.20749999999998</v>
      </c>
      <c r="I97" s="25"/>
      <c r="J97" s="25"/>
      <c r="K97" s="25"/>
      <c r="L97" s="25"/>
      <c r="M97" s="25"/>
      <c r="N97" s="25"/>
    </row>
    <row r="98" spans="1:14" x14ac:dyDescent="0.2">
      <c r="A98" s="26"/>
      <c r="B98" s="25"/>
      <c r="C98" s="29">
        <v>1069488</v>
      </c>
      <c r="D98" s="25"/>
      <c r="E98" s="37">
        <v>0</v>
      </c>
      <c r="F98" s="37">
        <f t="shared" si="13"/>
        <v>0</v>
      </c>
      <c r="G98" s="52">
        <v>0.05</v>
      </c>
      <c r="H98" s="37">
        <f t="shared" si="14"/>
        <v>0</v>
      </c>
      <c r="I98" s="25"/>
      <c r="J98" s="25"/>
      <c r="K98" s="25"/>
      <c r="L98" s="25"/>
      <c r="M98" s="25"/>
      <c r="N98" s="25"/>
    </row>
    <row r="99" spans="1:14" x14ac:dyDescent="0.2">
      <c r="A99" s="26"/>
      <c r="B99" s="25"/>
      <c r="C99" s="29">
        <v>-523388</v>
      </c>
      <c r="D99" s="25"/>
      <c r="E99" s="37">
        <v>-852.77</v>
      </c>
      <c r="F99" s="37">
        <f t="shared" si="13"/>
        <v>-852.77</v>
      </c>
      <c r="G99" s="52">
        <v>0.05</v>
      </c>
      <c r="H99" s="37">
        <f t="shared" si="14"/>
        <v>-42.638500000000001</v>
      </c>
      <c r="I99" s="25"/>
      <c r="J99" s="25"/>
      <c r="K99" s="25"/>
      <c r="L99" s="25"/>
      <c r="M99" s="25"/>
      <c r="N99" s="25"/>
    </row>
    <row r="100" spans="1:14" x14ac:dyDescent="0.2">
      <c r="A100" s="26"/>
      <c r="B100" s="25"/>
      <c r="C100" s="29">
        <v>180531</v>
      </c>
      <c r="D100" s="25"/>
      <c r="E100" s="37">
        <f>401.8+473.23+951.49</f>
        <v>1826.52</v>
      </c>
      <c r="F100" s="37">
        <f t="shared" si="13"/>
        <v>1826.52</v>
      </c>
      <c r="G100" s="52">
        <v>0.05</v>
      </c>
      <c r="H100" s="37">
        <f t="shared" si="14"/>
        <v>91.326000000000008</v>
      </c>
      <c r="I100" s="25"/>
      <c r="J100" s="25"/>
      <c r="K100" s="25"/>
      <c r="L100" s="25"/>
      <c r="M100" s="25"/>
      <c r="N100" s="25"/>
    </row>
    <row r="101" spans="1:14" x14ac:dyDescent="0.2">
      <c r="A101" s="26"/>
      <c r="B101" s="25"/>
      <c r="C101" s="29">
        <v>-152912</v>
      </c>
      <c r="D101" s="25"/>
      <c r="E101" s="37">
        <v>-919.89</v>
      </c>
      <c r="F101" s="37">
        <f t="shared" si="13"/>
        <v>-919.89</v>
      </c>
      <c r="G101" s="52">
        <v>0.05</v>
      </c>
      <c r="H101" s="37">
        <f t="shared" si="14"/>
        <v>-45.994500000000002</v>
      </c>
      <c r="I101" s="25"/>
      <c r="J101" s="25"/>
      <c r="K101" s="25"/>
      <c r="L101" s="25"/>
      <c r="M101" s="25"/>
      <c r="N101" s="25"/>
    </row>
    <row r="102" spans="1:14" ht="15" x14ac:dyDescent="0.35">
      <c r="A102" s="26"/>
      <c r="B102" s="25"/>
      <c r="C102" s="29">
        <f>C70</f>
        <v>1631206</v>
      </c>
      <c r="D102" s="25"/>
      <c r="E102" s="42">
        <f>9809.71+3.35</f>
        <v>9813.06</v>
      </c>
      <c r="F102" s="42">
        <f t="shared" si="13"/>
        <v>9813.06</v>
      </c>
      <c r="G102" s="52">
        <v>0.05</v>
      </c>
      <c r="H102" s="42">
        <f t="shared" si="14"/>
        <v>490.65300000000002</v>
      </c>
      <c r="I102" s="25"/>
      <c r="J102" s="25"/>
      <c r="K102" s="25"/>
      <c r="L102" s="25"/>
      <c r="M102" s="25"/>
      <c r="N102" s="25"/>
    </row>
    <row r="103" spans="1:14" x14ac:dyDescent="0.2">
      <c r="A103" s="26"/>
      <c r="B103" s="25"/>
      <c r="C103" s="25"/>
      <c r="D103" s="25"/>
      <c r="E103" s="29">
        <f>SUM(E76:E102)</f>
        <v>3738967.3111428572</v>
      </c>
      <c r="F103" s="29">
        <f>SUM(F76:F102)</f>
        <v>1363125.3111428577</v>
      </c>
      <c r="G103" s="25"/>
      <c r="H103" s="29">
        <f>SUM(H76:H102)</f>
        <v>68156.265557142862</v>
      </c>
      <c r="I103" s="25"/>
      <c r="J103" s="25"/>
      <c r="K103" s="25"/>
      <c r="L103" s="25"/>
      <c r="M103" s="25"/>
      <c r="N103" s="25"/>
    </row>
    <row r="104" spans="1:14" x14ac:dyDescent="0.2">
      <c r="A104" s="26"/>
      <c r="B104" s="25"/>
      <c r="C104" s="25"/>
      <c r="D104" s="25"/>
      <c r="E104" s="25"/>
      <c r="F104" s="25"/>
      <c r="G104" s="25"/>
      <c r="H104" s="29">
        <f>H103-L33</f>
        <v>-4.4285712647251785E-4</v>
      </c>
      <c r="I104" s="25"/>
      <c r="J104" s="25"/>
      <c r="K104" s="25"/>
      <c r="L104" s="25"/>
      <c r="M104" s="25"/>
      <c r="N104" s="25"/>
    </row>
    <row r="105" spans="1:14" x14ac:dyDescent="0.2">
      <c r="A105" s="26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</sheetData>
  <mergeCells count="1">
    <mergeCell ref="A1:N1"/>
  </mergeCells>
  <pageMargins left="0.7" right="0.7" top="1.15625" bottom="0.75" header="0.3" footer="0.3"/>
  <pageSetup scale="50" orientation="portrait" r:id="rId1"/>
  <headerFooter>
    <oddHeader>&amp;R&amp;"Times New Roman,Bold"&amp;12Attachment to Response to Question 3
Page 9 of 14
Clements</oddHeader>
    <oddFooter>&amp;L_x000D_&amp;1#&amp;"Calibri"&amp;14&amp;K000000 Business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32" ma:contentTypeDescription="Create a new document." ma:contentTypeScope="" ma:versionID="9202b90fee17b6f8c867726da0d4e789">
  <xsd:schema xmlns:xsd="http://www.w3.org/2001/XMLSchema" xmlns:xs="http://www.w3.org/2001/XMLSchema" xmlns:p="http://schemas.microsoft.com/office/2006/metadata/properties" xmlns:ns1="http://schemas.microsoft.com/sharepoint/v3" xmlns:ns2="65bfb563-8fe2-4d34-a09f-38a217d8feea" xmlns:ns3="http://schemas.microsoft.com/sharepoint/v4" targetNamespace="http://schemas.microsoft.com/office/2006/metadata/properties" ma:root="true" ma:fieldsID="f66fd574be8513941aebec9a583d385e" ns1:_="" ns2:_="" ns3:_="">
    <xsd:import namespace="http://schemas.microsoft.com/sharepoint/v3"/>
    <xsd:import namespace="65bfb563-8fe2-4d34-a09f-38a217d8fee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Fixed NAS FAC/OSS Factor (NFOF)"/>
                    <xsd:enumeration value="Fuel Supply Contracts (FAC)"/>
                    <xsd:enumeration value="Avoided Energy Cost (LQF)"/>
                    <xsd:enumeration value="Municipal WPS Reports (FAC)"/>
                    <xsd:enumeration value="Quarterly Filings (GSC)"/>
                    <xsd:enumeration value="Annual Filing (DSM)"/>
                    <xsd:enumeration value="Annual Filing (GLT/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/GLT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/Requests for Information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– Briefs"/>
          <xsd:enumeration value="07 – Support"/>
          <xsd:enumeration value="08 – Tariffs"/>
          <xsd:enumeration value="09 – Proof of Publication/Certificate of Notice"/>
          <xsd:enumeration value="10 – eFiled/Filed Documents"/>
          <xsd:enumeration value="10.1 – Application"/>
          <xsd:enumeration value="10.2 – Application - As Filed"/>
          <xsd:enumeration value="11 – Talking Points (Internal Use Only)"/>
          <xsd:enumeration value="12 – Data Request Assignments"/>
          <xsd:enumeration value="13 – Review Checklis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Drake, Michael"/>
          <xsd:enumeration value="Fackler, Andrea"/>
          <xsd:enumeration value="Garrett, Chris"/>
          <xsd:enumeration value="Rahn, Derek"/>
          <xsd:enumeration value="Rieth, Tom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1.5 – 1st Data Request/Testimony Support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- Witness E-book"/>
          <xsd:enumeration value="10 – Application"/>
          <xsd:enumeration value="10.1 – Application - As Filed"/>
          <xsd:enumeration value="11 - Talking Points (Internal Use Only)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Billiter, Delbert"/>
          <xsd:enumeration value="Drake, Michael"/>
          <xsd:enumeration value="Fackler, Andrea"/>
          <xsd:enumeration value="Garrett, Christopher"/>
          <xsd:enumeration value="Neal, Susan"/>
          <xsd:enumeration value="Williams, Scott"/>
          <xsd:enumeration value="Multiple"/>
          <xsd:enumeration value="N/A"/>
          <xsd:enumeration value="Rahn, Derek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  <xsd:enumeration value="2020 ECR Plan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2024</Year>
    <Filing_x0020_Case_x0020__x0023_ xmlns="65bfb563-8fe2-4d34-a09f-38a217d8feea" xsi:nil="true"/>
    <Construction_x0020_Monitoring_x0020_Description xmlns="65bfb563-8fe2-4d34-a09f-38a217d8feea" xsi:nil="true"/>
    <Review_x0020_Case_x0020_Doc_x0020_Types xmlns="65bfb563-8fe2-4d34-a09f-38a217d8feea">01.2 – 1st Data Request Attachments</Review_x0020_Case_x0020_Doc_x0020_Types>
    <Status xmlns="65bfb563-8fe2-4d34-a09f-38a217d8feea"/>
    <Filing_x0020_Witness xmlns="65bfb563-8fe2-4d34-a09f-38a217d8feea" xsi:nil="true"/>
    <Filings xmlns="65bfb563-8fe2-4d34-a09f-38a217d8feea" xsi:nil="true"/>
    <IconOverlay xmlns="http://schemas.microsoft.com/sharepoint/v4" xsi:nil="true"/>
    <Document_x0020_Type xmlns="65bfb563-8fe2-4d34-a09f-38a217d8feea">
      <Value>ECR</Value>
    </Document_x0020_Type>
    <Filing_x0020_Type xmlns="65bfb563-8fe2-4d34-a09f-38a217d8feea">
      <Value>Review Cases (ECR/FAC/OST)</Value>
    </Filing_x0020_Type>
    <Construction_x0020_Monitoring xmlns="65bfb563-8fe2-4d34-a09f-38a217d8feea" xsi:nil="true"/>
    <Case_x0020__x0023_ xmlns="65bfb563-8fe2-4d34-a09f-38a217d8feea">2023-00376</Case_x0020__x0023_>
    <Review_x0020_Case_x0020_Expense_x0020_Period xmlns="65bfb563-8fe2-4d34-a09f-38a217d8feea">Mar-Feb (ECR)</Review_x0020_Case_x0020_Expense_x0020_Period>
    <Filing_x0020_Doc_x0020_Types xmlns="65bfb563-8fe2-4d34-a09f-38a217d8feea" xsi:nil="true"/>
    <Company xmlns="65bfb563-8fe2-4d34-a09f-38a217d8feea">
      <Value>KU</Value>
    </Company>
  </documentManagement>
</p:properties>
</file>

<file path=customXml/itemProps1.xml><?xml version="1.0" encoding="utf-8"?>
<ds:datastoreItem xmlns:ds="http://schemas.openxmlformats.org/officeDocument/2006/customXml" ds:itemID="{8A1F5D67-1027-4B3F-85FC-3703D77999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bfb563-8fe2-4d34-a09f-38a217d8fee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8A23DC-8EAC-4A89-88E7-71F9E4A870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652248-1262-4810-B63E-24E846E7C11C}">
  <ds:schemaRefs>
    <ds:schemaRef ds:uri="http://schemas.microsoft.com/office/2006/documentManagement/types"/>
    <ds:schemaRef ds:uri="http://schemas.microsoft.com/office/infopath/2007/PartnerControls"/>
    <ds:schemaRef ds:uri="65bfb563-8fe2-4d34-a09f-38a217d8feea"/>
    <ds:schemaRef ds:uri="http://purl.org/dc/dcmitype/"/>
    <ds:schemaRef ds:uri="http://purl.org/dc/elements/1.1/"/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sharepoint/v4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Project 28</vt:lpstr>
      <vt:lpstr>Project 29</vt:lpstr>
      <vt:lpstr>Project 29_2011 Plan</vt:lpstr>
      <vt:lpstr>Project 30</vt:lpstr>
      <vt:lpstr>Project 31</vt:lpstr>
      <vt:lpstr>Project 32</vt:lpstr>
      <vt:lpstr>Project 33</vt:lpstr>
      <vt:lpstr>Project 34</vt:lpstr>
      <vt:lpstr>Project 35</vt:lpstr>
      <vt:lpstr>Project 37</vt:lpstr>
      <vt:lpstr>Project 38</vt:lpstr>
      <vt:lpstr>Project 40</vt:lpstr>
      <vt:lpstr>Project 41</vt:lpstr>
      <vt:lpstr>Project 42</vt:lpstr>
      <vt:lpstr>'Project 28'!Print_Area</vt:lpstr>
      <vt:lpstr>'Project 29'!Print_Area</vt:lpstr>
      <vt:lpstr>'Project 29_2011 Plan'!Print_Area</vt:lpstr>
      <vt:lpstr>'Project 30'!Print_Area</vt:lpstr>
      <vt:lpstr>'Project 31'!Print_Area</vt:lpstr>
      <vt:lpstr>'Project 32'!Print_Area</vt:lpstr>
      <vt:lpstr>'Project 33'!Print_Area</vt:lpstr>
      <vt:lpstr>'Project 34'!Print_Area</vt:lpstr>
      <vt:lpstr>'Project 35'!Print_Area</vt:lpstr>
      <vt:lpstr>'Project 37'!Print_Area</vt:lpstr>
      <vt:lpstr>'Project 38'!Print_Area</vt:lpstr>
      <vt:lpstr>'Project 41'!Print_Area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Jay Fister</dc:creator>
  <cp:lastModifiedBy>Fackler, Andrea</cp:lastModifiedBy>
  <cp:lastPrinted>2024-02-14T19:56:18Z</cp:lastPrinted>
  <dcterms:created xsi:type="dcterms:W3CDTF">2024-01-26T15:11:58Z</dcterms:created>
  <dcterms:modified xsi:type="dcterms:W3CDTF">2024-02-14T19:56:22Z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c8e74a-db15-49f1-980d-3d74f2e3ff07_Enabled">
    <vt:lpwstr>true</vt:lpwstr>
  </property>
  <property fmtid="{D5CDD505-2E9C-101B-9397-08002B2CF9AE}" pid="3" name="MSIP_Label_e0c8e74a-db15-49f1-980d-3d74f2e3ff07_SetDate">
    <vt:lpwstr>2024-01-26T15:41:21Z</vt:lpwstr>
  </property>
  <property fmtid="{D5CDD505-2E9C-101B-9397-08002B2CF9AE}" pid="4" name="MSIP_Label_e0c8e74a-db15-49f1-980d-3d74f2e3ff07_Method">
    <vt:lpwstr>Privileged</vt:lpwstr>
  </property>
  <property fmtid="{D5CDD505-2E9C-101B-9397-08002B2CF9AE}" pid="5" name="MSIP_Label_e0c8e74a-db15-49f1-980d-3d74f2e3ff07_Name">
    <vt:lpwstr>376d9127-3fad-41bb7-827b-657efc89d923</vt:lpwstr>
  </property>
  <property fmtid="{D5CDD505-2E9C-101B-9397-08002B2CF9AE}" pid="6" name="MSIP_Label_e0c8e74a-db15-49f1-980d-3d74f2e3ff07_SiteId">
    <vt:lpwstr>25b79aa0-07c6-4d65-9c80-df92aacdc157</vt:lpwstr>
  </property>
  <property fmtid="{D5CDD505-2E9C-101B-9397-08002B2CF9AE}" pid="7" name="MSIP_Label_e0c8e74a-db15-49f1-980d-3d74f2e3ff07_ActionId">
    <vt:lpwstr>ddfc6f21-4fed-43e9-9f89-71a44637e1e8</vt:lpwstr>
  </property>
  <property fmtid="{D5CDD505-2E9C-101B-9397-08002B2CF9AE}" pid="8" name="MSIP_Label_e0c8e74a-db15-49f1-980d-3d74f2e3ff07_ContentBits">
    <vt:lpwstr>2</vt:lpwstr>
  </property>
  <property fmtid="{D5CDD505-2E9C-101B-9397-08002B2CF9AE}" pid="9" name="ContentTypeId">
    <vt:lpwstr>0x010100FF510F20E04BCF41BE361D2F61EE6FFA</vt:lpwstr>
  </property>
  <property fmtid="{D5CDD505-2E9C-101B-9397-08002B2CF9AE}" pid="10" name="MSIP_Label_d662fcd2-3ff9-4261-9b26-9dd5808d0bb4_Enabled">
    <vt:lpwstr>true</vt:lpwstr>
  </property>
  <property fmtid="{D5CDD505-2E9C-101B-9397-08002B2CF9AE}" pid="11" name="MSIP_Label_d662fcd2-3ff9-4261-9b26-9dd5808d0bb4_SetDate">
    <vt:lpwstr>2024-02-14T19:56:16Z</vt:lpwstr>
  </property>
  <property fmtid="{D5CDD505-2E9C-101B-9397-08002B2CF9AE}" pid="12" name="MSIP_Label_d662fcd2-3ff9-4261-9b26-9dd5808d0bb4_Method">
    <vt:lpwstr>Privileged</vt:lpwstr>
  </property>
  <property fmtid="{D5CDD505-2E9C-101B-9397-08002B2CF9AE}" pid="13" name="MSIP_Label_d662fcd2-3ff9-4261-9b26-9dd5808d0bb4_Name">
    <vt:lpwstr>d662fcd2-3ff9-4261-9b26-9dd5808d0bb4</vt:lpwstr>
  </property>
  <property fmtid="{D5CDD505-2E9C-101B-9397-08002B2CF9AE}" pid="14" name="MSIP_Label_d662fcd2-3ff9-4261-9b26-9dd5808d0bb4_SiteId">
    <vt:lpwstr>5ee3b0ba-a559-45ee-a69e-6d3e963a3e72</vt:lpwstr>
  </property>
  <property fmtid="{D5CDD505-2E9C-101B-9397-08002B2CF9AE}" pid="15" name="MSIP_Label_d662fcd2-3ff9-4261-9b26-9dd5808d0bb4_ActionId">
    <vt:lpwstr>299cec1c-aca1-449e-a40c-1534917ab13b</vt:lpwstr>
  </property>
  <property fmtid="{D5CDD505-2E9C-101B-9397-08002B2CF9AE}" pid="16" name="MSIP_Label_d662fcd2-3ff9-4261-9b26-9dd5808d0bb4_ContentBits">
    <vt:lpwstr>0</vt:lpwstr>
  </property>
</Properties>
</file>