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2\rates\CN2023\CNs-00375-00376 - L K ECR 2-year review (Sep19-Aug23)\3 - Data Requests and Testimony\KU\0 - efiled 02-14-2024\"/>
    </mc:Choice>
  </mc:AlternateContent>
  <xr:revisionPtr revIDLastSave="0" documentId="13_ncr:1_{5490F52A-9FA2-4CA3-A891-EEF097D97729}" xr6:coauthVersionLast="47" xr6:coauthVersionMax="47" xr10:uidLastSave="{00000000-0000-0000-0000-000000000000}"/>
  <bookViews>
    <workbookView xWindow="-120" yWindow="-120" windowWidth="29040" windowHeight="17025" tabRatio="924" xr2:uid="{00000000-000D-0000-FFFF-FFFF00000000}"/>
  </bookViews>
  <sheets>
    <sheet name="Project 28" sheetId="32" r:id="rId1"/>
    <sheet name="Project 29" sheetId="31" r:id="rId2"/>
    <sheet name="Project 29_2011 Plan" sheetId="38" r:id="rId3"/>
    <sheet name="Project 30" sheetId="35" r:id="rId4"/>
    <sheet name="Project 31" sheetId="28" r:id="rId5"/>
    <sheet name="Project 32" sheetId="36" r:id="rId6"/>
    <sheet name="Project 33" sheetId="33" r:id="rId7"/>
    <sheet name="Project 34" sheetId="37" r:id="rId8"/>
    <sheet name="Project 35" sheetId="29" r:id="rId9"/>
    <sheet name="Project 37" sheetId="40" r:id="rId10"/>
    <sheet name="Project 38" sheetId="41" r:id="rId11"/>
    <sheet name="Project 40" sheetId="42" r:id="rId12"/>
    <sheet name="Project 41" sheetId="39" r:id="rId13"/>
    <sheet name="Project 42" sheetId="43" r:id="rId14"/>
  </sheets>
  <externalReferences>
    <externalReference r:id="rId15"/>
  </externalReferences>
  <definedNames>
    <definedName name="_xlnm.Print_Area" localSheetId="0">'Project 28'!$A$1:$N$59</definedName>
    <definedName name="_xlnm.Print_Area" localSheetId="1">'Project 29'!$A$1:$N$43</definedName>
    <definedName name="_xlnm.Print_Area" localSheetId="2">'Project 29_2011 Plan'!$A$1:$N$62</definedName>
    <definedName name="_xlnm.Print_Area" localSheetId="3">'Project 30'!$A$1:$N$96</definedName>
    <definedName name="_xlnm.Print_Area" localSheetId="4">'Project 31'!$A$1:$N$15</definedName>
    <definedName name="_xlnm.Print_Area" localSheetId="5">'Project 32'!$A$1:$N$46</definedName>
    <definedName name="_xlnm.Print_Area" localSheetId="6">'Project 33'!$A$1:$N$35</definedName>
    <definedName name="_xlnm.Print_Area" localSheetId="7">'Project 34'!$A$1:$N$41</definedName>
    <definedName name="_xlnm.Print_Area" localSheetId="8">'Project 35'!$A$1:$O$84</definedName>
    <definedName name="_xlnm.Print_Area" localSheetId="9">'Project 37'!$A$1:$N$35</definedName>
    <definedName name="_xlnm.Print_Area" localSheetId="10">'Project 38'!$A$1:$N$41</definedName>
    <definedName name="_xlnm.Print_Area" localSheetId="11">'Project 40'!$A$1:$N$15</definedName>
    <definedName name="_xlnm.Print_Area" localSheetId="12">'Project 41'!$A$1:$N$35</definedName>
    <definedName name="_xlnm.Print_Area" localSheetId="13">'Project 42'!$A$1:$N$15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4" i="35" l="1"/>
  <c r="F93" i="35"/>
  <c r="H93" i="35" s="1"/>
  <c r="F92" i="35"/>
  <c r="H92" i="35" s="1"/>
  <c r="F91" i="35"/>
  <c r="H91" i="35" s="1"/>
  <c r="F90" i="35"/>
  <c r="H90" i="35" s="1"/>
  <c r="F89" i="35"/>
  <c r="H89" i="35" s="1"/>
  <c r="F88" i="35"/>
  <c r="H88" i="35" s="1"/>
  <c r="F87" i="35"/>
  <c r="H87" i="35" s="1"/>
  <c r="F86" i="35"/>
  <c r="H86" i="35" s="1"/>
  <c r="F85" i="35"/>
  <c r="H85" i="35" s="1"/>
  <c r="F84" i="35"/>
  <c r="H84" i="35" s="1"/>
  <c r="F83" i="35"/>
  <c r="H83" i="35" s="1"/>
  <c r="F82" i="35"/>
  <c r="H82" i="35" s="1"/>
  <c r="F81" i="35"/>
  <c r="H81" i="35" s="1"/>
  <c r="F80" i="35"/>
  <c r="H80" i="35" s="1"/>
  <c r="F79" i="35"/>
  <c r="H79" i="35" s="1"/>
  <c r="F78" i="35"/>
  <c r="H78" i="35" s="1"/>
  <c r="F77" i="35"/>
  <c r="H77" i="35" s="1"/>
  <c r="F76" i="35"/>
  <c r="H76" i="35" s="1"/>
  <c r="F75" i="35"/>
  <c r="H75" i="35" s="1"/>
  <c r="F74" i="35"/>
  <c r="H74" i="35" s="1"/>
  <c r="F73" i="35"/>
  <c r="H73" i="35" s="1"/>
  <c r="F72" i="35"/>
  <c r="H72" i="35" s="1"/>
  <c r="F71" i="35"/>
  <c r="H71" i="35" s="1"/>
  <c r="F70" i="35"/>
  <c r="H70" i="35" s="1"/>
  <c r="F69" i="35"/>
  <c r="H69" i="35" s="1"/>
  <c r="F68" i="35"/>
  <c r="H68" i="35" s="1"/>
  <c r="F67" i="35"/>
  <c r="H67" i="35" s="1"/>
  <c r="F66" i="35"/>
  <c r="H66" i="35" s="1"/>
  <c r="F65" i="35"/>
  <c r="H65" i="35" s="1"/>
  <c r="F64" i="35"/>
  <c r="H64" i="35" s="1"/>
  <c r="D63" i="35"/>
  <c r="F63" i="35" s="1"/>
  <c r="E57" i="35"/>
  <c r="E58" i="35" s="1"/>
  <c r="F56" i="35"/>
  <c r="H56" i="35" s="1"/>
  <c r="E56" i="35"/>
  <c r="F55" i="35"/>
  <c r="H55" i="35" s="1"/>
  <c r="F54" i="35"/>
  <c r="H54" i="35" s="1"/>
  <c r="H53" i="35"/>
  <c r="F53" i="35"/>
  <c r="H52" i="35"/>
  <c r="F52" i="35"/>
  <c r="F51" i="35"/>
  <c r="H51" i="35" s="1"/>
  <c r="F50" i="35"/>
  <c r="H50" i="35" s="1"/>
  <c r="H49" i="35"/>
  <c r="F49" i="35"/>
  <c r="H48" i="35"/>
  <c r="F48" i="35"/>
  <c r="F47" i="35"/>
  <c r="H47" i="35" s="1"/>
  <c r="F46" i="35"/>
  <c r="H46" i="35" s="1"/>
  <c r="H45" i="35"/>
  <c r="F45" i="35"/>
  <c r="H44" i="35"/>
  <c r="F44" i="35"/>
  <c r="F43" i="35"/>
  <c r="H43" i="35" s="1"/>
  <c r="F42" i="35"/>
  <c r="H42" i="35" s="1"/>
  <c r="H41" i="35"/>
  <c r="F41" i="35"/>
  <c r="H40" i="35"/>
  <c r="F40" i="35"/>
  <c r="F39" i="35"/>
  <c r="H39" i="35" s="1"/>
  <c r="F38" i="35"/>
  <c r="H38" i="35" s="1"/>
  <c r="H37" i="35"/>
  <c r="F37" i="35"/>
  <c r="H36" i="35"/>
  <c r="F36" i="35"/>
  <c r="F35" i="35"/>
  <c r="H35" i="35" s="1"/>
  <c r="F34" i="35"/>
  <c r="H34" i="35" s="1"/>
  <c r="H33" i="35"/>
  <c r="F33" i="35"/>
  <c r="H32" i="35"/>
  <c r="F32" i="35"/>
  <c r="F31" i="35"/>
  <c r="H31" i="35" s="1"/>
  <c r="F30" i="35"/>
  <c r="H30" i="35" s="1"/>
  <c r="H29" i="35"/>
  <c r="F29" i="35"/>
  <c r="H28" i="35"/>
  <c r="F28" i="35"/>
  <c r="F27" i="35"/>
  <c r="H27" i="35" s="1"/>
  <c r="F26" i="35"/>
  <c r="H26" i="35" s="1"/>
  <c r="H25" i="35"/>
  <c r="F25" i="35"/>
  <c r="N15" i="35"/>
  <c r="G15" i="35"/>
  <c r="F15" i="35"/>
  <c r="H15" i="35" s="1"/>
  <c r="L15" i="35" s="1"/>
  <c r="E15" i="35"/>
  <c r="N14" i="35"/>
  <c r="G14" i="35"/>
  <c r="F14" i="35"/>
  <c r="H14" i="35" s="1"/>
  <c r="L14" i="35" s="1"/>
  <c r="E14" i="35"/>
  <c r="N13" i="35"/>
  <c r="G13" i="35"/>
  <c r="F13" i="35"/>
  <c r="H13" i="35" s="1"/>
  <c r="L13" i="35" s="1"/>
  <c r="E13" i="35"/>
  <c r="N12" i="35"/>
  <c r="G12" i="35"/>
  <c r="F12" i="35"/>
  <c r="H12" i="35" s="1"/>
  <c r="L12" i="35" s="1"/>
  <c r="E12" i="35"/>
  <c r="N11" i="35"/>
  <c r="H11" i="35"/>
  <c r="L11" i="35" s="1"/>
  <c r="E11" i="35"/>
  <c r="G11" i="35" s="1"/>
  <c r="K11" i="35" s="1"/>
  <c r="N10" i="35"/>
  <c r="H10" i="35"/>
  <c r="L10" i="35" s="1"/>
  <c r="E10" i="35"/>
  <c r="G10" i="35" s="1"/>
  <c r="K10" i="35" s="1"/>
  <c r="M10" i="35" s="1"/>
  <c r="M11" i="35" s="1"/>
  <c r="F12" i="36"/>
  <c r="E12" i="36"/>
  <c r="F11" i="36"/>
  <c r="E11" i="36"/>
  <c r="F10" i="36"/>
  <c r="E10" i="36"/>
  <c r="K12" i="35" l="1"/>
  <c r="K14" i="35"/>
  <c r="K13" i="35"/>
  <c r="H63" i="35"/>
  <c r="K15" i="35"/>
  <c r="M12" i="35"/>
  <c r="E94" i="35"/>
  <c r="F57" i="35"/>
  <c r="H57" i="35" s="1"/>
  <c r="H58" i="35" s="1"/>
  <c r="F15" i="43"/>
  <c r="E15" i="43"/>
  <c r="E14" i="43"/>
  <c r="F14" i="43"/>
  <c r="F13" i="43"/>
  <c r="E13" i="43"/>
  <c r="F12" i="43"/>
  <c r="E12" i="43"/>
  <c r="E34" i="39"/>
  <c r="F33" i="39"/>
  <c r="H33" i="39" s="1"/>
  <c r="F32" i="39"/>
  <c r="F34" i="39" s="1"/>
  <c r="D32" i="39"/>
  <c r="E27" i="39"/>
  <c r="H26" i="39"/>
  <c r="F26" i="39"/>
  <c r="F25" i="39"/>
  <c r="H25" i="39" s="1"/>
  <c r="H27" i="39" s="1"/>
  <c r="F15" i="42"/>
  <c r="E15" i="42"/>
  <c r="F14" i="42"/>
  <c r="E14" i="42"/>
  <c r="F13" i="42"/>
  <c r="E13" i="42"/>
  <c r="F12" i="42"/>
  <c r="E12" i="42"/>
  <c r="F11" i="42"/>
  <c r="E11" i="42"/>
  <c r="D15" i="42"/>
  <c r="C15" i="42"/>
  <c r="D14" i="42"/>
  <c r="C14" i="42"/>
  <c r="D13" i="42"/>
  <c r="C13" i="42"/>
  <c r="C12" i="42"/>
  <c r="E95" i="35" l="1"/>
  <c r="F94" i="35"/>
  <c r="M13" i="35"/>
  <c r="M14" i="35" s="1"/>
  <c r="M15" i="35" s="1"/>
  <c r="F58" i="35"/>
  <c r="H32" i="39"/>
  <c r="H34" i="39" s="1"/>
  <c r="F27" i="39"/>
  <c r="E40" i="41"/>
  <c r="F39" i="41"/>
  <c r="H39" i="41" s="1"/>
  <c r="F38" i="41"/>
  <c r="H38" i="41" s="1"/>
  <c r="F37" i="41"/>
  <c r="H37" i="41" s="1"/>
  <c r="F36" i="41"/>
  <c r="H36" i="41" s="1"/>
  <c r="D35" i="41"/>
  <c r="F35" i="41" s="1"/>
  <c r="E30" i="41"/>
  <c r="F29" i="41"/>
  <c r="H29" i="41" s="1"/>
  <c r="H28" i="41"/>
  <c r="F28" i="41"/>
  <c r="F27" i="41"/>
  <c r="H27" i="41" s="1"/>
  <c r="F26" i="41"/>
  <c r="H26" i="41" s="1"/>
  <c r="F25" i="41"/>
  <c r="F30" i="41" s="1"/>
  <c r="E26" i="40"/>
  <c r="E27" i="40"/>
  <c r="E34" i="40"/>
  <c r="F33" i="40"/>
  <c r="H33" i="40" s="1"/>
  <c r="D32" i="40"/>
  <c r="F32" i="40" s="1"/>
  <c r="H25" i="40"/>
  <c r="F25" i="40"/>
  <c r="E82" i="29"/>
  <c r="E83" i="29" s="1"/>
  <c r="F51" i="29"/>
  <c r="H51" i="29"/>
  <c r="E52" i="29"/>
  <c r="F81" i="29"/>
  <c r="H81" i="29" s="1"/>
  <c r="F80" i="29"/>
  <c r="H80" i="29" s="1"/>
  <c r="F79" i="29"/>
  <c r="H79" i="29" s="1"/>
  <c r="F78" i="29"/>
  <c r="H78" i="29" s="1"/>
  <c r="F77" i="29"/>
  <c r="H77" i="29" s="1"/>
  <c r="F76" i="29"/>
  <c r="H76" i="29" s="1"/>
  <c r="F75" i="29"/>
  <c r="H75" i="29" s="1"/>
  <c r="F74" i="29"/>
  <c r="H74" i="29" s="1"/>
  <c r="F73" i="29"/>
  <c r="H73" i="29" s="1"/>
  <c r="F72" i="29"/>
  <c r="H72" i="29" s="1"/>
  <c r="F71" i="29"/>
  <c r="H71" i="29" s="1"/>
  <c r="F70" i="29"/>
  <c r="H70" i="29" s="1"/>
  <c r="F69" i="29"/>
  <c r="H69" i="29" s="1"/>
  <c r="F68" i="29"/>
  <c r="H68" i="29" s="1"/>
  <c r="F67" i="29"/>
  <c r="H67" i="29" s="1"/>
  <c r="F66" i="29"/>
  <c r="H66" i="29" s="1"/>
  <c r="F65" i="29"/>
  <c r="H65" i="29" s="1"/>
  <c r="F64" i="29"/>
  <c r="H64" i="29" s="1"/>
  <c r="F63" i="29"/>
  <c r="H63" i="29" s="1"/>
  <c r="H62" i="29"/>
  <c r="F62" i="29"/>
  <c r="F61" i="29"/>
  <c r="H61" i="29" s="1"/>
  <c r="F60" i="29"/>
  <c r="H60" i="29" s="1"/>
  <c r="F59" i="29"/>
  <c r="H59" i="29" s="1"/>
  <c r="F58" i="29"/>
  <c r="H58" i="29" s="1"/>
  <c r="D57" i="29"/>
  <c r="F57" i="29" s="1"/>
  <c r="F50" i="29"/>
  <c r="H50" i="29" s="1"/>
  <c r="F49" i="29"/>
  <c r="H49" i="29" s="1"/>
  <c r="F48" i="29"/>
  <c r="H48" i="29" s="1"/>
  <c r="F47" i="29"/>
  <c r="H47" i="29" s="1"/>
  <c r="H46" i="29"/>
  <c r="F46" i="29"/>
  <c r="F45" i="29"/>
  <c r="H45" i="29" s="1"/>
  <c r="F44" i="29"/>
  <c r="H44" i="29" s="1"/>
  <c r="F43" i="29"/>
  <c r="H43" i="29" s="1"/>
  <c r="F42" i="29"/>
  <c r="H42" i="29" s="1"/>
  <c r="F41" i="29"/>
  <c r="H41" i="29" s="1"/>
  <c r="F40" i="29"/>
  <c r="H40" i="29" s="1"/>
  <c r="F39" i="29"/>
  <c r="H39" i="29" s="1"/>
  <c r="F38" i="29"/>
  <c r="H38" i="29" s="1"/>
  <c r="F37" i="29"/>
  <c r="H37" i="29" s="1"/>
  <c r="F36" i="29"/>
  <c r="H36" i="29" s="1"/>
  <c r="F35" i="29"/>
  <c r="H35" i="29" s="1"/>
  <c r="F34" i="29"/>
  <c r="H34" i="29" s="1"/>
  <c r="F33" i="29"/>
  <c r="H33" i="29" s="1"/>
  <c r="F32" i="29"/>
  <c r="H32" i="29" s="1"/>
  <c r="F31" i="29"/>
  <c r="H31" i="29" s="1"/>
  <c r="F30" i="29"/>
  <c r="H30" i="29" s="1"/>
  <c r="F29" i="29"/>
  <c r="H29" i="29" s="1"/>
  <c r="F28" i="29"/>
  <c r="H28" i="29" s="1"/>
  <c r="F27" i="29"/>
  <c r="H27" i="29" s="1"/>
  <c r="F26" i="29"/>
  <c r="H26" i="29" s="1"/>
  <c r="F25" i="29"/>
  <c r="H25" i="29" s="1"/>
  <c r="N15" i="37"/>
  <c r="N14" i="37"/>
  <c r="N13" i="37"/>
  <c r="N12" i="37"/>
  <c r="N11" i="37"/>
  <c r="N10" i="37"/>
  <c r="E38" i="37"/>
  <c r="E40" i="37" s="1"/>
  <c r="E28" i="37"/>
  <c r="E30" i="37"/>
  <c r="F39" i="37"/>
  <c r="H39" i="37" s="1"/>
  <c r="F37" i="37"/>
  <c r="H37" i="37" s="1"/>
  <c r="F36" i="37"/>
  <c r="H36" i="37" s="1"/>
  <c r="D35" i="37"/>
  <c r="F35" i="37" s="1"/>
  <c r="F29" i="37"/>
  <c r="H29" i="37" s="1"/>
  <c r="F28" i="37"/>
  <c r="H28" i="37" s="1"/>
  <c r="F27" i="37"/>
  <c r="H27" i="37" s="1"/>
  <c r="F26" i="37"/>
  <c r="H26" i="37" s="1"/>
  <c r="F25" i="37"/>
  <c r="H25" i="37" s="1"/>
  <c r="H94" i="35" l="1"/>
  <c r="H95" i="35" s="1"/>
  <c r="F95" i="35"/>
  <c r="H35" i="39"/>
  <c r="H28" i="39"/>
  <c r="H29" i="39" s="1"/>
  <c r="H30" i="39" s="1"/>
  <c r="F40" i="41"/>
  <c r="H35" i="41"/>
  <c r="H40" i="41" s="1"/>
  <c r="H25" i="41"/>
  <c r="H30" i="41" s="1"/>
  <c r="F26" i="40"/>
  <c r="F27" i="40" s="1"/>
  <c r="F34" i="40"/>
  <c r="H32" i="40"/>
  <c r="H34" i="40" s="1"/>
  <c r="F82" i="29"/>
  <c r="F83" i="29" s="1"/>
  <c r="H52" i="29"/>
  <c r="F52" i="29"/>
  <c r="H57" i="29"/>
  <c r="F38" i="37"/>
  <c r="H38" i="37" s="1"/>
  <c r="H30" i="37"/>
  <c r="F40" i="37"/>
  <c r="H35" i="37"/>
  <c r="H40" i="37" s="1"/>
  <c r="F30" i="37"/>
  <c r="H96" i="35" l="1"/>
  <c r="H59" i="35"/>
  <c r="H60" i="35" s="1"/>
  <c r="H61" i="35" s="1"/>
  <c r="H41" i="41"/>
  <c r="H31" i="41"/>
  <c r="H32" i="41"/>
  <c r="H33" i="41" s="1"/>
  <c r="H26" i="40"/>
  <c r="H27" i="40" s="1"/>
  <c r="H29" i="40" s="1"/>
  <c r="H30" i="40" s="1"/>
  <c r="H28" i="40"/>
  <c r="H35" i="40"/>
  <c r="H82" i="29"/>
  <c r="H83" i="29" s="1"/>
  <c r="H53" i="29"/>
  <c r="H54" i="29" s="1"/>
  <c r="H41" i="37"/>
  <c r="H31" i="37"/>
  <c r="H32" i="37"/>
  <c r="H33" i="37" s="1"/>
  <c r="E26" i="33" l="1"/>
  <c r="E27" i="33" s="1"/>
  <c r="E34" i="33"/>
  <c r="H33" i="33"/>
  <c r="F33" i="33"/>
  <c r="D32" i="33"/>
  <c r="F32" i="33" s="1"/>
  <c r="F25" i="33"/>
  <c r="E43" i="36"/>
  <c r="E31" i="36"/>
  <c r="F15" i="36"/>
  <c r="E15" i="36"/>
  <c r="F14" i="36"/>
  <c r="E14" i="36"/>
  <c r="F13" i="36"/>
  <c r="E13" i="36"/>
  <c r="F34" i="33" l="1"/>
  <c r="H32" i="33"/>
  <c r="H34" i="33" s="1"/>
  <c r="H25" i="33"/>
  <c r="F26" i="33"/>
  <c r="H26" i="33" s="1"/>
  <c r="H27" i="33" l="1"/>
  <c r="H35" i="33"/>
  <c r="H28" i="33"/>
  <c r="F27" i="33"/>
  <c r="H29" i="33" l="1"/>
  <c r="H30" i="33" s="1"/>
  <c r="H32" i="36" l="1"/>
  <c r="F32" i="36"/>
  <c r="E45" i="36"/>
  <c r="E44" i="36"/>
  <c r="F44" i="36" s="1"/>
  <c r="E33" i="36"/>
  <c r="C44" i="36"/>
  <c r="C43" i="36"/>
  <c r="F42" i="36"/>
  <c r="H42" i="36" s="1"/>
  <c r="C42" i="36"/>
  <c r="F41" i="36"/>
  <c r="H41" i="36" s="1"/>
  <c r="C41" i="36"/>
  <c r="F40" i="36"/>
  <c r="H40" i="36" s="1"/>
  <c r="C40" i="36"/>
  <c r="F39" i="36"/>
  <c r="H39" i="36" s="1"/>
  <c r="D38" i="36"/>
  <c r="F38" i="36" s="1"/>
  <c r="F30" i="36"/>
  <c r="H30" i="36" s="1"/>
  <c r="F29" i="36"/>
  <c r="H29" i="36" s="1"/>
  <c r="F28" i="36"/>
  <c r="H28" i="36" s="1"/>
  <c r="H27" i="36"/>
  <c r="F27" i="36"/>
  <c r="H26" i="36"/>
  <c r="F26" i="36"/>
  <c r="F25" i="36"/>
  <c r="H44" i="36" l="1"/>
  <c r="F31" i="36"/>
  <c r="F43" i="36"/>
  <c r="H43" i="36" s="1"/>
  <c r="H38" i="36"/>
  <c r="H25" i="36"/>
  <c r="F45" i="36" l="1"/>
  <c r="H31" i="36"/>
  <c r="H33" i="36" s="1"/>
  <c r="F33" i="36"/>
  <c r="H45" i="36"/>
  <c r="H34" i="36" s="1"/>
  <c r="H35" i="36" l="1"/>
  <c r="E42" i="38" l="1"/>
  <c r="E43" i="38"/>
  <c r="E60" i="38"/>
  <c r="F60" i="38" s="1"/>
  <c r="H60" i="38" s="1"/>
  <c r="F59" i="38"/>
  <c r="H59" i="38" s="1"/>
  <c r="H58" i="38"/>
  <c r="F58" i="38"/>
  <c r="H57" i="38"/>
  <c r="F57" i="38"/>
  <c r="F56" i="38"/>
  <c r="H56" i="38" s="1"/>
  <c r="E55" i="38"/>
  <c r="F55" i="38" s="1"/>
  <c r="H55" i="38" s="1"/>
  <c r="F54" i="38"/>
  <c r="H54" i="38" s="1"/>
  <c r="E54" i="38"/>
  <c r="E53" i="38"/>
  <c r="E61" i="38" s="1"/>
  <c r="F52" i="38"/>
  <c r="H52" i="38" s="1"/>
  <c r="F51" i="38"/>
  <c r="H51" i="38" s="1"/>
  <c r="H50" i="38"/>
  <c r="F50" i="38"/>
  <c r="C50" i="38"/>
  <c r="F49" i="38"/>
  <c r="H49" i="38" s="1"/>
  <c r="D48" i="38"/>
  <c r="F48" i="38" s="1"/>
  <c r="F41" i="38"/>
  <c r="H41" i="38" s="1"/>
  <c r="F40" i="38"/>
  <c r="H40" i="38" s="1"/>
  <c r="H39" i="38"/>
  <c r="F39" i="38"/>
  <c r="F38" i="38"/>
  <c r="H38" i="38" s="1"/>
  <c r="F37" i="38"/>
  <c r="H37" i="38" s="1"/>
  <c r="F36" i="38"/>
  <c r="H36" i="38" s="1"/>
  <c r="E35" i="38"/>
  <c r="F35" i="38" s="1"/>
  <c r="H35" i="38" s="1"/>
  <c r="H34" i="38"/>
  <c r="F34" i="38"/>
  <c r="E33" i="38"/>
  <c r="F33" i="38" s="1"/>
  <c r="H33" i="38" s="1"/>
  <c r="H32" i="38"/>
  <c r="F32" i="38"/>
  <c r="F31" i="38"/>
  <c r="H31" i="38" s="1"/>
  <c r="E31" i="38"/>
  <c r="F30" i="38"/>
  <c r="H30" i="38" s="1"/>
  <c r="F29" i="38"/>
  <c r="H29" i="38" s="1"/>
  <c r="F28" i="38"/>
  <c r="H28" i="38" s="1"/>
  <c r="H27" i="38"/>
  <c r="F27" i="38"/>
  <c r="C27" i="38"/>
  <c r="F26" i="38"/>
  <c r="H26" i="38" s="1"/>
  <c r="H25" i="38"/>
  <c r="F25" i="38"/>
  <c r="K15" i="31"/>
  <c r="L15" i="31"/>
  <c r="K14" i="31"/>
  <c r="K13" i="31"/>
  <c r="E12" i="31"/>
  <c r="K11" i="31"/>
  <c r="K10" i="31"/>
  <c r="F42" i="38" l="1"/>
  <c r="H42" i="38" s="1"/>
  <c r="H43" i="38"/>
  <c r="F61" i="38"/>
  <c r="H48" i="38"/>
  <c r="H61" i="38" s="1"/>
  <c r="F53" i="38"/>
  <c r="H53" i="38" s="1"/>
  <c r="F43" i="38" l="1"/>
  <c r="H62" i="38"/>
  <c r="H44" i="38"/>
  <c r="H45" i="38" s="1"/>
  <c r="H46" i="38" s="1"/>
  <c r="E42" i="31" l="1"/>
  <c r="F41" i="31"/>
  <c r="H41" i="31" s="1"/>
  <c r="C41" i="31"/>
  <c r="F40" i="31"/>
  <c r="H40" i="31" s="1"/>
  <c r="C40" i="31"/>
  <c r="F39" i="31"/>
  <c r="H39" i="31" s="1"/>
  <c r="F38" i="31"/>
  <c r="H38" i="31" s="1"/>
  <c r="F37" i="31"/>
  <c r="H37" i="31" s="1"/>
  <c r="F36" i="31"/>
  <c r="H36" i="31" s="1"/>
  <c r="D36" i="31"/>
  <c r="E31" i="31"/>
  <c r="H30" i="31"/>
  <c r="F30" i="31"/>
  <c r="F29" i="31"/>
  <c r="H29" i="31" s="1"/>
  <c r="H28" i="31"/>
  <c r="F28" i="31"/>
  <c r="C28" i="31"/>
  <c r="F27" i="31"/>
  <c r="H27" i="31" s="1"/>
  <c r="C27" i="31"/>
  <c r="F26" i="31"/>
  <c r="H26" i="31" s="1"/>
  <c r="H25" i="31"/>
  <c r="F25" i="31"/>
  <c r="N15" i="32"/>
  <c r="N14" i="32"/>
  <c r="N13" i="32"/>
  <c r="N12" i="32"/>
  <c r="N11" i="32"/>
  <c r="N10" i="32"/>
  <c r="E15" i="31"/>
  <c r="E14" i="31"/>
  <c r="E13" i="31"/>
  <c r="E11" i="31"/>
  <c r="E10" i="31"/>
  <c r="H42" i="32"/>
  <c r="H59" i="32"/>
  <c r="H58" i="32"/>
  <c r="H57" i="32"/>
  <c r="F58" i="32"/>
  <c r="F57" i="32"/>
  <c r="E58" i="32"/>
  <c r="E50" i="32"/>
  <c r="C57" i="32"/>
  <c r="H39" i="32"/>
  <c r="H38" i="32"/>
  <c r="F39" i="32"/>
  <c r="F38" i="32"/>
  <c r="E39" i="32"/>
  <c r="H42" i="31" l="1"/>
  <c r="H31" i="31"/>
  <c r="F31" i="31"/>
  <c r="F42" i="31"/>
  <c r="H43" i="31" l="1"/>
  <c r="H32" i="31"/>
  <c r="H33" i="31" s="1"/>
  <c r="H34" i="31" s="1"/>
  <c r="E15" i="32" l="1"/>
  <c r="E14" i="32"/>
  <c r="E13" i="32"/>
  <c r="E12" i="32"/>
  <c r="E11" i="32"/>
  <c r="E10" i="32"/>
  <c r="E15" i="40"/>
  <c r="E15" i="29"/>
  <c r="E15" i="37"/>
  <c r="E15" i="28"/>
  <c r="E15" i="38"/>
  <c r="E15" i="39" l="1"/>
  <c r="E15" i="41"/>
  <c r="F15" i="29"/>
  <c r="E15" i="33"/>
  <c r="F15" i="38"/>
  <c r="E14" i="28" l="1"/>
  <c r="E14" i="38"/>
  <c r="E14" i="39"/>
  <c r="E14" i="41"/>
  <c r="E14" i="40"/>
  <c r="E14" i="29"/>
  <c r="E14" i="37"/>
  <c r="E14" i="33"/>
  <c r="F14" i="38"/>
  <c r="E13" i="29" l="1"/>
  <c r="E13" i="33"/>
  <c r="E13" i="28"/>
  <c r="E13" i="38"/>
  <c r="E13" i="39" l="1"/>
  <c r="E13" i="41"/>
  <c r="E13" i="40"/>
  <c r="E13" i="37"/>
  <c r="F13" i="38"/>
  <c r="G12" i="43" l="1"/>
  <c r="H12" i="43"/>
  <c r="L12" i="43" s="1"/>
  <c r="H15" i="43"/>
  <c r="L15" i="43" s="1"/>
  <c r="G15" i="43"/>
  <c r="H14" i="43"/>
  <c r="L14" i="43" s="1"/>
  <c r="G14" i="43"/>
  <c r="H13" i="43"/>
  <c r="L13" i="43" s="1"/>
  <c r="G13" i="43"/>
  <c r="H11" i="43"/>
  <c r="L11" i="43" s="1"/>
  <c r="G11" i="43"/>
  <c r="H10" i="43"/>
  <c r="L10" i="43" s="1"/>
  <c r="G10" i="43"/>
  <c r="E12" i="39"/>
  <c r="G12" i="42"/>
  <c r="H12" i="42"/>
  <c r="E12" i="41"/>
  <c r="E12" i="40"/>
  <c r="E12" i="29"/>
  <c r="E12" i="37"/>
  <c r="E12" i="33"/>
  <c r="E12" i="28"/>
  <c r="F12" i="38"/>
  <c r="E12" i="38"/>
  <c r="K15" i="43" l="1"/>
  <c r="K14" i="43"/>
  <c r="K13" i="43"/>
  <c r="K12" i="43"/>
  <c r="K11" i="43"/>
  <c r="K10" i="43"/>
  <c r="M10" i="43" s="1"/>
  <c r="M11" i="43" l="1"/>
  <c r="M12" i="43" s="1"/>
  <c r="O11" i="43" l="1"/>
  <c r="O12" i="43" s="1"/>
  <c r="M13" i="43"/>
  <c r="M14" i="43" l="1"/>
  <c r="M15" i="43" s="1"/>
  <c r="O15" i="43" l="1"/>
  <c r="O16" i="43" s="1"/>
  <c r="O13" i="43"/>
  <c r="O14" i="43" s="1"/>
  <c r="L12" i="42"/>
  <c r="E11" i="29"/>
  <c r="G11" i="42"/>
  <c r="H11" i="42"/>
  <c r="L11" i="42" s="1"/>
  <c r="H15" i="42"/>
  <c r="L15" i="42" s="1"/>
  <c r="G15" i="42"/>
  <c r="H14" i="42"/>
  <c r="L14" i="42" s="1"/>
  <c r="G14" i="42"/>
  <c r="H13" i="42"/>
  <c r="L13" i="42" s="1"/>
  <c r="G13" i="42"/>
  <c r="H10" i="42"/>
  <c r="L10" i="42" s="1"/>
  <c r="G10" i="42"/>
  <c r="E11" i="39"/>
  <c r="E11" i="41"/>
  <c r="E11" i="40"/>
  <c r="E11" i="37"/>
  <c r="E11" i="33"/>
  <c r="E11" i="28"/>
  <c r="F11" i="38"/>
  <c r="E11" i="38"/>
  <c r="E10" i="38"/>
  <c r="F10" i="38"/>
  <c r="K15" i="42" l="1"/>
  <c r="K14" i="42"/>
  <c r="K13" i="42"/>
  <c r="K11" i="42"/>
  <c r="K10" i="42"/>
  <c r="M10" i="42" s="1"/>
  <c r="K12" i="42"/>
  <c r="M11" i="42" l="1"/>
  <c r="M12" i="42" l="1"/>
  <c r="O11" i="42" l="1"/>
  <c r="O12" i="42" s="1"/>
  <c r="M13" i="42"/>
  <c r="M14" i="42" s="1"/>
  <c r="O13" i="42" s="1"/>
  <c r="O14" i="42" s="1"/>
  <c r="M15" i="42" l="1"/>
  <c r="E10" i="39"/>
  <c r="E10" i="41"/>
  <c r="E10" i="40"/>
  <c r="E10" i="29"/>
  <c r="E10" i="37"/>
  <c r="E10" i="33"/>
  <c r="E10" i="28"/>
  <c r="O15" i="42" l="1"/>
  <c r="O16" i="42" s="1"/>
  <c r="F56" i="32"/>
  <c r="H56" i="32" s="1"/>
  <c r="F55" i="32"/>
  <c r="H55" i="32" s="1"/>
  <c r="F54" i="32"/>
  <c r="H54" i="32" s="1"/>
  <c r="F53" i="32"/>
  <c r="H53" i="32" s="1"/>
  <c r="F52" i="32"/>
  <c r="H52" i="32" s="1"/>
  <c r="F51" i="32"/>
  <c r="H51" i="32" s="1"/>
  <c r="F50" i="32"/>
  <c r="H50" i="32" s="1"/>
  <c r="F49" i="32"/>
  <c r="H49" i="32" s="1"/>
  <c r="F48" i="32"/>
  <c r="H48" i="32" s="1"/>
  <c r="F47" i="32"/>
  <c r="H47" i="32" s="1"/>
  <c r="F46" i="32"/>
  <c r="H46" i="32" s="1"/>
  <c r="F45" i="32"/>
  <c r="H45" i="32" s="1"/>
  <c r="D44" i="32"/>
  <c r="F44" i="32" s="1"/>
  <c r="F37" i="32"/>
  <c r="H37" i="32" s="1"/>
  <c r="F36" i="32"/>
  <c r="H36" i="32" s="1"/>
  <c r="F35" i="32"/>
  <c r="H35" i="32" s="1"/>
  <c r="F34" i="32"/>
  <c r="H34" i="32" s="1"/>
  <c r="F33" i="32"/>
  <c r="H33" i="32" s="1"/>
  <c r="F32" i="32"/>
  <c r="H32" i="32" s="1"/>
  <c r="F31" i="32"/>
  <c r="H31" i="32" s="1"/>
  <c r="F30" i="32"/>
  <c r="H30" i="32" s="1"/>
  <c r="F29" i="32"/>
  <c r="H29" i="32" s="1"/>
  <c r="F28" i="32"/>
  <c r="H28" i="32" s="1"/>
  <c r="F27" i="32"/>
  <c r="H27" i="32" s="1"/>
  <c r="C27" i="32"/>
  <c r="F26" i="32"/>
  <c r="H26" i="32" s="1"/>
  <c r="C26" i="32"/>
  <c r="F25" i="32"/>
  <c r="C25" i="32"/>
  <c r="H44" i="32" l="1"/>
  <c r="H25" i="32"/>
  <c r="H40" i="32" l="1"/>
  <c r="H41" i="32" s="1"/>
  <c r="G14" i="41" l="1"/>
  <c r="H15" i="41"/>
  <c r="L15" i="41" s="1"/>
  <c r="G15" i="41"/>
  <c r="H14" i="41"/>
  <c r="L14" i="41" s="1"/>
  <c r="H13" i="41"/>
  <c r="L13" i="41" s="1"/>
  <c r="G13" i="41"/>
  <c r="H12" i="41"/>
  <c r="L12" i="41" s="1"/>
  <c r="G12" i="41"/>
  <c r="H11" i="41"/>
  <c r="L11" i="41" s="1"/>
  <c r="G11" i="41"/>
  <c r="H10" i="41"/>
  <c r="L10" i="41" s="1"/>
  <c r="G10" i="41"/>
  <c r="K13" i="41" l="1"/>
  <c r="K11" i="41"/>
  <c r="K14" i="41"/>
  <c r="K10" i="41"/>
  <c r="M10" i="41" s="1"/>
  <c r="K12" i="41"/>
  <c r="K15" i="41"/>
  <c r="M11" i="41" l="1"/>
  <c r="M12" i="41" l="1"/>
  <c r="M13" i="41" l="1"/>
  <c r="M14" i="41" s="1"/>
  <c r="M15" i="41" s="1"/>
  <c r="H13" i="39"/>
  <c r="L13" i="39" s="1"/>
  <c r="G13" i="39"/>
  <c r="H12" i="39"/>
  <c r="L12" i="39" s="1"/>
  <c r="G12" i="39"/>
  <c r="H11" i="39"/>
  <c r="L11" i="39" s="1"/>
  <c r="G11" i="39"/>
  <c r="H10" i="39"/>
  <c r="L10" i="39" s="1"/>
  <c r="G10" i="39"/>
  <c r="K12" i="39" l="1"/>
  <c r="K10" i="39"/>
  <c r="K11" i="39"/>
  <c r="K13" i="39"/>
  <c r="H15" i="40" l="1"/>
  <c r="L15" i="40" s="1"/>
  <c r="G15" i="40"/>
  <c r="H14" i="40"/>
  <c r="L14" i="40" s="1"/>
  <c r="G14" i="40"/>
  <c r="H13" i="40"/>
  <c r="L13" i="40" s="1"/>
  <c r="G13" i="40"/>
  <c r="H12" i="40"/>
  <c r="L12" i="40" s="1"/>
  <c r="G12" i="40"/>
  <c r="H11" i="40"/>
  <c r="L11" i="40" s="1"/>
  <c r="G11" i="40"/>
  <c r="H10" i="40"/>
  <c r="L10" i="40" s="1"/>
  <c r="G10" i="40"/>
  <c r="K13" i="40" l="1"/>
  <c r="K15" i="40"/>
  <c r="K14" i="40"/>
  <c r="K12" i="40"/>
  <c r="K10" i="40"/>
  <c r="M10" i="40" s="1"/>
  <c r="K11" i="40"/>
  <c r="M10" i="39"/>
  <c r="M11" i="39" l="1"/>
  <c r="M11" i="40"/>
  <c r="M12" i="39" l="1"/>
  <c r="M12" i="40"/>
  <c r="M13" i="39" l="1"/>
  <c r="M13" i="40"/>
  <c r="M14" i="40" l="1"/>
  <c r="M15" i="40" s="1"/>
  <c r="G15" i="39" l="1"/>
  <c r="H15" i="39"/>
  <c r="L15" i="39" s="1"/>
  <c r="H14" i="39"/>
  <c r="L14" i="39" s="1"/>
  <c r="G14" i="39"/>
  <c r="G15" i="29"/>
  <c r="G13" i="29"/>
  <c r="H12" i="29"/>
  <c r="L12" i="29" s="1"/>
  <c r="H10" i="29"/>
  <c r="L10" i="29" s="1"/>
  <c r="G10" i="29"/>
  <c r="G11" i="29"/>
  <c r="H11" i="29"/>
  <c r="L11" i="29" s="1"/>
  <c r="G12" i="29"/>
  <c r="H13" i="29"/>
  <c r="L13" i="29" s="1"/>
  <c r="G14" i="29"/>
  <c r="H14" i="29"/>
  <c r="L14" i="29" s="1"/>
  <c r="H15" i="29"/>
  <c r="L15" i="29" s="1"/>
  <c r="H84" i="29" s="1"/>
  <c r="K14" i="29" l="1"/>
  <c r="K12" i="29"/>
  <c r="K15" i="39"/>
  <c r="K14" i="39"/>
  <c r="K15" i="29"/>
  <c r="H55" i="29" s="1"/>
  <c r="K13" i="29"/>
  <c r="K11" i="29"/>
  <c r="K10" i="29"/>
  <c r="M10" i="29" s="1"/>
  <c r="M14" i="39" l="1"/>
  <c r="M11" i="29"/>
  <c r="G12" i="37"/>
  <c r="H13" i="37"/>
  <c r="L13" i="37" s="1"/>
  <c r="H15" i="37"/>
  <c r="L15" i="37" s="1"/>
  <c r="G11" i="37"/>
  <c r="H11" i="37"/>
  <c r="L11" i="37" s="1"/>
  <c r="H12" i="37"/>
  <c r="L12" i="37" s="1"/>
  <c r="G13" i="37"/>
  <c r="G14" i="37"/>
  <c r="H14" i="37"/>
  <c r="L14" i="37" s="1"/>
  <c r="G15" i="37"/>
  <c r="H10" i="37"/>
  <c r="L10" i="37" s="1"/>
  <c r="G10" i="37"/>
  <c r="G14" i="33"/>
  <c r="G13" i="33"/>
  <c r="G15" i="33"/>
  <c r="G11" i="33"/>
  <c r="H11" i="33"/>
  <c r="L11" i="33" s="1"/>
  <c r="G12" i="33"/>
  <c r="H12" i="33"/>
  <c r="L12" i="33" s="1"/>
  <c r="H13" i="33"/>
  <c r="L13" i="33" s="1"/>
  <c r="H14" i="33"/>
  <c r="L14" i="33" s="1"/>
  <c r="H15" i="33"/>
  <c r="L15" i="33" s="1"/>
  <c r="H10" i="33"/>
  <c r="L10" i="33" s="1"/>
  <c r="G10" i="33"/>
  <c r="G11" i="36"/>
  <c r="H11" i="36"/>
  <c r="L11" i="36" s="1"/>
  <c r="G12" i="36"/>
  <c r="H12" i="36"/>
  <c r="L12" i="36" s="1"/>
  <c r="G13" i="36"/>
  <c r="H13" i="36"/>
  <c r="L13" i="36" s="1"/>
  <c r="G14" i="36"/>
  <c r="H14" i="36"/>
  <c r="L14" i="36" s="1"/>
  <c r="G15" i="36"/>
  <c r="H15" i="36"/>
  <c r="L15" i="36" s="1"/>
  <c r="H46" i="36" s="1"/>
  <c r="H10" i="36"/>
  <c r="L10" i="36" s="1"/>
  <c r="G10" i="36"/>
  <c r="G13" i="28"/>
  <c r="G12" i="28"/>
  <c r="G14" i="28"/>
  <c r="G15" i="28"/>
  <c r="G10" i="28"/>
  <c r="G11" i="28"/>
  <c r="H11" i="28"/>
  <c r="L11" i="28" s="1"/>
  <c r="H12" i="28"/>
  <c r="L12" i="28" s="1"/>
  <c r="H13" i="28"/>
  <c r="L13" i="28" s="1"/>
  <c r="H14" i="28"/>
  <c r="L14" i="28" s="1"/>
  <c r="H15" i="28"/>
  <c r="L15" i="28" s="1"/>
  <c r="H10" i="28"/>
  <c r="L10" i="28" s="1"/>
  <c r="M12" i="29" l="1"/>
  <c r="M15" i="39"/>
  <c r="K14" i="37"/>
  <c r="K11" i="37"/>
  <c r="K11" i="28"/>
  <c r="K10" i="37"/>
  <c r="M10" i="37" s="1"/>
  <c r="K15" i="37"/>
  <c r="K13" i="37"/>
  <c r="K10" i="33"/>
  <c r="M10" i="33" s="1"/>
  <c r="K13" i="33"/>
  <c r="K12" i="33"/>
  <c r="K11" i="33"/>
  <c r="K14" i="36"/>
  <c r="K12" i="36"/>
  <c r="K10" i="36"/>
  <c r="M10" i="36" s="1"/>
  <c r="K15" i="36"/>
  <c r="H36" i="36" s="1"/>
  <c r="K10" i="28"/>
  <c r="K12" i="37"/>
  <c r="K13" i="36"/>
  <c r="K11" i="36"/>
  <c r="K15" i="33"/>
  <c r="K14" i="33"/>
  <c r="K15" i="28"/>
  <c r="K14" i="28"/>
  <c r="K13" i="28"/>
  <c r="K12" i="28"/>
  <c r="G11" i="38"/>
  <c r="H11" i="38"/>
  <c r="L11" i="38" s="1"/>
  <c r="G12" i="38"/>
  <c r="H12" i="38"/>
  <c r="L12" i="38" s="1"/>
  <c r="G13" i="38"/>
  <c r="H13" i="38"/>
  <c r="L13" i="38" s="1"/>
  <c r="G14" i="38"/>
  <c r="H14" i="38"/>
  <c r="L14" i="38" s="1"/>
  <c r="G15" i="38"/>
  <c r="H15" i="38"/>
  <c r="L15" i="38" s="1"/>
  <c r="H10" i="38"/>
  <c r="L10" i="38" s="1"/>
  <c r="G10" i="38"/>
  <c r="G14" i="31"/>
  <c r="H11" i="31"/>
  <c r="L11" i="31" s="1"/>
  <c r="H13" i="31"/>
  <c r="L13" i="31" s="1"/>
  <c r="H15" i="31"/>
  <c r="G11" i="31"/>
  <c r="G12" i="31"/>
  <c r="H12" i="31"/>
  <c r="L12" i="31" s="1"/>
  <c r="G13" i="31"/>
  <c r="H14" i="31"/>
  <c r="L14" i="31" s="1"/>
  <c r="G15" i="31"/>
  <c r="H10" i="31"/>
  <c r="L10" i="31" s="1"/>
  <c r="G10" i="31"/>
  <c r="K12" i="31" l="1"/>
  <c r="M13" i="29"/>
  <c r="K14" i="38"/>
  <c r="M11" i="37"/>
  <c r="M11" i="33"/>
  <c r="M11" i="36"/>
  <c r="M10" i="28"/>
  <c r="K13" i="38"/>
  <c r="K15" i="38"/>
  <c r="K12" i="38"/>
  <c r="K11" i="38"/>
  <c r="K10" i="38"/>
  <c r="M10" i="38" s="1"/>
  <c r="M14" i="29" l="1"/>
  <c r="M12" i="37"/>
  <c r="M12" i="33"/>
  <c r="M12" i="36"/>
  <c r="M11" i="28"/>
  <c r="M11" i="38"/>
  <c r="Q10" i="38"/>
  <c r="Q11" i="38" s="1"/>
  <c r="Q12" i="38" s="1"/>
  <c r="Q13" i="38" s="1"/>
  <c r="Q14" i="38" s="1"/>
  <c r="Q15" i="38" s="1"/>
  <c r="M10" i="31"/>
  <c r="M13" i="33" l="1"/>
  <c r="M14" i="33" s="1"/>
  <c r="M15" i="33" s="1"/>
  <c r="M15" i="29"/>
  <c r="M13" i="37"/>
  <c r="M13" i="36"/>
  <c r="M12" i="28"/>
  <c r="M12" i="38"/>
  <c r="M11" i="31"/>
  <c r="G11" i="32"/>
  <c r="K11" i="32" s="1"/>
  <c r="H11" i="32"/>
  <c r="L11" i="32" s="1"/>
  <c r="G12" i="32"/>
  <c r="K12" i="32" s="1"/>
  <c r="H12" i="32"/>
  <c r="L12" i="32" s="1"/>
  <c r="G13" i="32"/>
  <c r="K13" i="32" s="1"/>
  <c r="H13" i="32"/>
  <c r="L13" i="32" s="1"/>
  <c r="G14" i="32"/>
  <c r="K14" i="32" s="1"/>
  <c r="G15" i="32"/>
  <c r="K15" i="32" s="1"/>
  <c r="H14" i="32"/>
  <c r="L14" i="32" s="1"/>
  <c r="H15" i="32"/>
  <c r="L15" i="32" s="1"/>
  <c r="M13" i="28" l="1"/>
  <c r="M14" i="37"/>
  <c r="M15" i="37" s="1"/>
  <c r="M14" i="36"/>
  <c r="M15" i="36" s="1"/>
  <c r="M13" i="38"/>
  <c r="M12" i="31"/>
  <c r="M14" i="28" l="1"/>
  <c r="M15" i="28" s="1"/>
  <c r="M14" i="38"/>
  <c r="M13" i="31"/>
  <c r="H10" i="32"/>
  <c r="L10" i="32" s="1"/>
  <c r="G10" i="32"/>
  <c r="K10" i="32" s="1"/>
  <c r="M15" i="38" l="1"/>
  <c r="M14" i="31"/>
  <c r="M15" i="31" l="1"/>
  <c r="Q10" i="32"/>
  <c r="Q11" i="32" s="1"/>
  <c r="Q12" i="32" s="1"/>
  <c r="Q13" i="32" s="1"/>
  <c r="Q14" i="32" s="1"/>
  <c r="Q15" i="32" s="1"/>
  <c r="M10" i="32"/>
  <c r="M11" i="32" l="1"/>
  <c r="O11" i="39"/>
  <c r="O12" i="39" s="1"/>
  <c r="M12" i="32" l="1"/>
  <c r="O13" i="39"/>
  <c r="O14" i="39" s="1"/>
  <c r="M13" i="32" l="1"/>
  <c r="O15" i="39"/>
  <c r="O16" i="39" s="1"/>
  <c r="M14" i="32" l="1"/>
  <c r="M15" i="32" s="1"/>
  <c r="O11" i="29"/>
  <c r="O12" i="29" s="1"/>
  <c r="O11" i="37"/>
  <c r="O12" i="37" s="1"/>
  <c r="Q16" i="38" l="1"/>
  <c r="O13" i="29"/>
  <c r="O14" i="29" s="1"/>
  <c r="O15" i="29"/>
  <c r="O16" i="29" s="1"/>
  <c r="O13" i="37"/>
  <c r="O14" i="37" s="1"/>
  <c r="O15" i="37"/>
  <c r="O16" i="37" s="1"/>
</calcChain>
</file>

<file path=xl/sharedStrings.xml><?xml version="1.0" encoding="utf-8"?>
<sst xmlns="http://schemas.openxmlformats.org/spreadsheetml/2006/main" count="481" uniqueCount="66">
  <si>
    <t>Month</t>
  </si>
  <si>
    <t>Plant Balance</t>
  </si>
  <si>
    <t>Book Depreciation</t>
  </si>
  <si>
    <t>Accumulated Deferred Taxes</t>
  </si>
  <si>
    <t>Deferred Taxes on Retirements</t>
  </si>
  <si>
    <t>Kentucky Utilities Company</t>
  </si>
  <si>
    <t>Deferred Tax Calculations</t>
  </si>
  <si>
    <t>Environmental Compliance Plans, by Approved Project</t>
  </si>
  <si>
    <t>Beg Balance</t>
  </si>
  <si>
    <t>Project 31 - Trimble County Ash Treatment Basin (BAP/GSP)</t>
  </si>
  <si>
    <t>2009 - Plan</t>
  </si>
  <si>
    <t xml:space="preserve"> </t>
  </si>
  <si>
    <t>2011 - Plan</t>
  </si>
  <si>
    <t>Project 35 - Ghent Station Air Compliance</t>
  </si>
  <si>
    <t>Project 29 - ATB Expansion at E.W. Brown Station (Phase II)</t>
  </si>
  <si>
    <t>Project 28 - Brown 3 SCR</t>
  </si>
  <si>
    <t>Project 33 - Beneficial Reuse</t>
  </si>
  <si>
    <t>Project 30 - Ghent CCP Storage (Landfill-Phase I)</t>
  </si>
  <si>
    <t>Project 32 - Trimble County CCP Storage (Landfill - Phase I)</t>
  </si>
  <si>
    <t>Project 34 - E.W. Brown Station Air Compliance</t>
  </si>
  <si>
    <t>Project 29 - Brown Landfill (Phase I)</t>
  </si>
  <si>
    <t>2016 - Plan</t>
  </si>
  <si>
    <t>Project 41 - Trimble County New Process Water Systems</t>
  </si>
  <si>
    <t>Fed Tax Depreciation</t>
  </si>
  <si>
    <t>State Tax Depreciation</t>
  </si>
  <si>
    <t>Fed Temporary Difference</t>
  </si>
  <si>
    <t>State Temporary Difference</t>
  </si>
  <si>
    <t>Fed Tax Rate</t>
  </si>
  <si>
    <t>State Tax Rate</t>
  </si>
  <si>
    <t>Fed Deferred Tax</t>
  </si>
  <si>
    <t>State Deferred Tax</t>
  </si>
  <si>
    <t>is computed separately for Federal and State purposes.  Specifically, for Federal taxes, certain assets received 50% bonus</t>
  </si>
  <si>
    <t>is shown below:</t>
  </si>
  <si>
    <t xml:space="preserve">Due to Bonus Depreciation for tax purposes taken on certain components of Project 28, the deferred tax calculation for this project </t>
  </si>
  <si>
    <t>Federal Basis</t>
  </si>
  <si>
    <t>Book Depr.</t>
  </si>
  <si>
    <t>Federal Tax Depr</t>
  </si>
  <si>
    <t>Fed. Difference</t>
  </si>
  <si>
    <t>Fed Def Tax</t>
  </si>
  <si>
    <t>State Basis</t>
  </si>
  <si>
    <t>State Tax Depr</t>
  </si>
  <si>
    <t>St. Difference</t>
  </si>
  <si>
    <t>St Def Tax</t>
  </si>
  <si>
    <t>Subtotal</t>
  </si>
  <si>
    <t>State Offset</t>
  </si>
  <si>
    <t xml:space="preserve">Due to Bonus Depreciation for tax purposes taken on certain components of Project 29 of the 2009 Plan, the deferred tax calculation for this project </t>
  </si>
  <si>
    <t xml:space="preserve">Due to Bonus Depreciation for tax purposes taken on certain components of Project 29 of the 2011 Plan, the deferred tax calculation for this project </t>
  </si>
  <si>
    <t xml:space="preserve">Due to Bonus Depreciation for tax purposes taken on certain components of Project 30, the deferred tax calculation for this project </t>
  </si>
  <si>
    <t xml:space="preserve">Due to Bonus Depreciation for tax purposes taken on certain components of Project 32, the deferred tax calculation for this project </t>
  </si>
  <si>
    <t xml:space="preserve">Due to Bonus Depreciation for tax purposes taken on certain components of Project 34, the deferred tax calculation for this project </t>
  </si>
  <si>
    <t xml:space="preserve">Due to Bonus Depreciation for tax purposes taken on certain components of Project 33, the deferred tax calculation for this project </t>
  </si>
  <si>
    <t xml:space="preserve">Due to Bonus Depreciation for tax purposes taken on certain components of Project 35, the deferred tax calculation for this project </t>
  </si>
  <si>
    <t xml:space="preserve">Due to Bonus Depreciation for tax purposes taken on certain components of Project 41, the deferred tax calculation for this project </t>
  </si>
  <si>
    <t>Project 37 - Ghent 2 WFGD Improvments</t>
  </si>
  <si>
    <t>Project 38 - Supplemental Mercury Control</t>
  </si>
  <si>
    <t>The federal deferred tax column includes an amount for amortization of excess deferred tax amounts.</t>
  </si>
  <si>
    <t>Excess deferred tax amortization</t>
  </si>
  <si>
    <t xml:space="preserve">Due to Bonus Depreciation for tax purposes taken on certain components of Project 38, the deferred tax calculation for this project </t>
  </si>
  <si>
    <t>is computed separately for Federal and State purposes.  Specifically, for Federal taxes, certain assets received 40% or 50% bonus</t>
  </si>
  <si>
    <t>Project 40 - Ghent New Process Water System</t>
  </si>
  <si>
    <t>Project 42 - Brown New Process Water Systems</t>
  </si>
  <si>
    <t>The federal and state deferred tax columns include an amount for amortization of excess deferred tax amounts.</t>
  </si>
  <si>
    <t>depreciation, which reduces the Federal tax basis to 50% of the plant balance.  A sample calculation of deferred taxes for Aug 2020</t>
  </si>
  <si>
    <t>Excess fed deferred tax amortization</t>
  </si>
  <si>
    <t>Excess state deferred tax amortization</t>
  </si>
  <si>
    <t>depreciation, which reduces the Federal tax basis to 40% or 50% of the plant balance.  A sample calculation of deferred taxes for Aug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</si>
</sst>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00%"/>
    <numFmt numFmtId="167" formatCode="_(* #,##0.00_);_(* \(#,##0.00\);_(* &quot;-&quot;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165" fontId="2" fillId="0" borderId="0" xfId="0" applyNumberFormat="1" applyFont="1" applyFill="1" applyAlignment="1"/>
    <xf numFmtId="0" fontId="2" fillId="0" borderId="0" xfId="0" applyFont="1" applyFill="1" applyAlignment="1"/>
    <xf numFmtId="165" fontId="0" fillId="0" borderId="0" xfId="0" applyNumberFormat="1"/>
    <xf numFmtId="165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1" fontId="0" fillId="0" borderId="0" xfId="0" applyNumberFormat="1"/>
    <xf numFmtId="166" fontId="0" fillId="0" borderId="0" xfId="0" applyNumberFormat="1"/>
    <xf numFmtId="165" fontId="3" fillId="0" borderId="0" xfId="0" quotePrefix="1" applyNumberFormat="1" applyFont="1" applyFill="1" applyBorder="1" applyAlignment="1">
      <alignment horizontal="left"/>
    </xf>
    <xf numFmtId="164" fontId="1" fillId="0" borderId="0" xfId="1" applyNumberFormat="1"/>
    <xf numFmtId="165" fontId="2" fillId="0" borderId="0" xfId="0" quotePrefix="1" applyNumberFormat="1" applyFont="1" applyFill="1" applyAlignment="1">
      <alignment horizontal="left"/>
    </xf>
    <xf numFmtId="0" fontId="2" fillId="0" borderId="0" xfId="0" quotePrefix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Alignment="1"/>
    <xf numFmtId="164" fontId="4" fillId="0" borderId="0" xfId="1" applyNumberFormat="1" applyFont="1"/>
    <xf numFmtId="165" fontId="4" fillId="0" borderId="0" xfId="0" applyNumberFormat="1" applyFont="1" applyAlignment="1">
      <alignment horizontal="left"/>
    </xf>
    <xf numFmtId="43" fontId="0" fillId="0" borderId="0" xfId="1" applyFont="1"/>
    <xf numFmtId="43" fontId="0" fillId="0" borderId="0" xfId="0" applyNumberFormat="1"/>
    <xf numFmtId="164" fontId="0" fillId="0" borderId="0" xfId="0" applyNumberFormat="1"/>
    <xf numFmtId="0" fontId="4" fillId="0" borderId="0" xfId="0" applyFont="1"/>
    <xf numFmtId="43" fontId="4" fillId="0" borderId="0" xfId="1" applyFont="1"/>
    <xf numFmtId="41" fontId="4" fillId="0" borderId="0" xfId="0" applyNumberFormat="1" applyFont="1"/>
    <xf numFmtId="164" fontId="0" fillId="0" borderId="0" xfId="1" applyNumberFormat="1" applyFont="1"/>
    <xf numFmtId="41" fontId="0" fillId="0" borderId="0" xfId="0" applyNumberFormat="1" applyFill="1"/>
    <xf numFmtId="164" fontId="1" fillId="0" borderId="0" xfId="1" applyNumberFormat="1" applyFont="1"/>
    <xf numFmtId="41" fontId="1" fillId="0" borderId="0" xfId="0" quotePrefix="1" applyNumberFormat="1" applyFont="1" applyFill="1" applyAlignment="1">
      <alignment horizontal="left"/>
    </xf>
    <xf numFmtId="164" fontId="1" fillId="0" borderId="0" xfId="3" applyNumberFormat="1" applyFont="1" applyFill="1"/>
    <xf numFmtId="43" fontId="1" fillId="0" borderId="0" xfId="3" applyFont="1" applyFill="1"/>
    <xf numFmtId="164" fontId="1" fillId="0" borderId="0" xfId="3" quotePrefix="1" applyNumberFormat="1" applyFont="1" applyFill="1" applyAlignment="1">
      <alignment horizontal="left"/>
    </xf>
    <xf numFmtId="166" fontId="0" fillId="0" borderId="0" xfId="0" applyNumberFormat="1" applyFill="1"/>
    <xf numFmtId="41" fontId="8" fillId="0" borderId="0" xfId="0" applyNumberFormat="1" applyFont="1"/>
    <xf numFmtId="164" fontId="8" fillId="0" borderId="0" xfId="0" applyNumberFormat="1" applyFont="1"/>
    <xf numFmtId="0" fontId="1" fillId="0" borderId="0" xfId="0" applyFont="1"/>
    <xf numFmtId="164" fontId="0" fillId="0" borderId="0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64" fontId="8" fillId="0" borderId="0" xfId="1" applyNumberFormat="1" applyFont="1"/>
    <xf numFmtId="41" fontId="1" fillId="0" borderId="0" xfId="0" applyNumberFormat="1" applyFont="1"/>
    <xf numFmtId="165" fontId="1" fillId="0" borderId="0" xfId="8" applyNumberFormat="1" applyFont="1" applyAlignment="1">
      <alignment horizontal="left"/>
    </xf>
    <xf numFmtId="167" fontId="4" fillId="0" borderId="0" xfId="0" applyNumberFormat="1" applyFont="1"/>
    <xf numFmtId="167" fontId="0" fillId="0" borderId="0" xfId="0" applyNumberFormat="1"/>
    <xf numFmtId="164" fontId="1" fillId="0" borderId="0" xfId="0" applyNumberFormat="1" applyFont="1"/>
    <xf numFmtId="164" fontId="0" fillId="0" borderId="0" xfId="1" applyNumberFormat="1" applyFont="1" applyFill="1" applyBorder="1" applyAlignment="1">
      <alignment horizontal="center"/>
    </xf>
    <xf numFmtId="41" fontId="1" fillId="0" borderId="0" xfId="0" quotePrefix="1" applyNumberFormat="1" applyFont="1" applyAlignment="1">
      <alignment horizontal="left"/>
    </xf>
    <xf numFmtId="37" fontId="0" fillId="0" borderId="0" xfId="0" applyNumberFormat="1"/>
    <xf numFmtId="37" fontId="1" fillId="0" borderId="0" xfId="0" applyNumberFormat="1" applyFont="1"/>
    <xf numFmtId="166" fontId="1" fillId="0" borderId="0" xfId="0" applyNumberFormat="1" applyFont="1"/>
    <xf numFmtId="164" fontId="0" fillId="0" borderId="0" xfId="1" applyNumberFormat="1" applyFont="1" applyFill="1" applyBorder="1"/>
    <xf numFmtId="0" fontId="2" fillId="0" borderId="0" xfId="0" quotePrefix="1" applyFont="1" applyAlignment="1">
      <alignment horizontal="centerContinuous"/>
    </xf>
    <xf numFmtId="0" fontId="2" fillId="0" borderId="0" xfId="0" applyFont="1" applyAlignment="1">
      <alignment horizontal="centerContinuous"/>
    </xf>
    <xf numFmtId="165" fontId="2" fillId="0" borderId="0" xfId="0" applyNumberFormat="1" applyFont="1"/>
    <xf numFmtId="0" fontId="2" fillId="0" borderId="0" xfId="0" applyFont="1"/>
    <xf numFmtId="165" fontId="3" fillId="0" borderId="0" xfId="0" quotePrefix="1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167" fontId="1" fillId="0" borderId="0" xfId="0" applyNumberFormat="1" applyFont="1"/>
    <xf numFmtId="165" fontId="1" fillId="0" borderId="0" xfId="0" applyNumberFormat="1" applyFont="1" applyAlignment="1">
      <alignment horizontal="left"/>
    </xf>
  </cellXfs>
  <cellStyles count="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5" xfId="7" xr:uid="{00000000-0005-0000-0000-000006000000}"/>
    <cellStyle name="Normal" xfId="0" builtinId="0"/>
    <cellStyle name="Normal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ECR\2024\6%20month%20reviews%20Sep%202019%20-%20Aug%202023\KU\CN2023-00376%20-%20KU%20ECR%20DR1%20Attach%20to%20Q3%20-%202020.08revised.xlsx" TargetMode="External"/><Relationship Id="rId1" Type="http://schemas.openxmlformats.org/officeDocument/2006/relationships/externalLinkPath" Target="file:///T:\ECR\2024\6%20month%20reviews%20Sep%202019%20-%20Aug%202023\KU\CN2023-00376%20-%20KU%20ECR%20DR1%20Attach%20to%20Q3%20-%202020.08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ject 28"/>
      <sheetName val="Project 29"/>
      <sheetName val="Project 29_2011 Plan"/>
      <sheetName val="Project 30"/>
      <sheetName val="Project 31"/>
      <sheetName val="Project 32"/>
      <sheetName val="Project 33"/>
      <sheetName val="Project 34"/>
      <sheetName val="Project 35"/>
      <sheetName val="Project 37"/>
      <sheetName val="Project 38"/>
      <sheetName val="Project 40"/>
      <sheetName val="Project 41"/>
      <sheetName val="Project 42"/>
    </sheetNames>
    <sheetDataSet>
      <sheetData sheetId="0">
        <row r="10">
          <cell r="N10">
            <v>155852.53999999998</v>
          </cell>
        </row>
        <row r="11">
          <cell r="N11">
            <v>154493.93000000002</v>
          </cell>
        </row>
        <row r="12">
          <cell r="N12">
            <v>153135.31</v>
          </cell>
        </row>
        <row r="13">
          <cell r="N13">
            <v>151776.68999999997</v>
          </cell>
        </row>
        <row r="14">
          <cell r="N14">
            <v>150418.08000000002</v>
          </cell>
        </row>
        <row r="15">
          <cell r="N15">
            <v>149059.47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Q59"/>
  <sheetViews>
    <sheetView tabSelected="1" zoomScaleNormal="100" workbookViewId="0"/>
  </sheetViews>
  <sheetFormatPr defaultRowHeight="12.75" x14ac:dyDescent="0.2"/>
  <cols>
    <col min="1" max="1" width="13.140625" style="3" customWidth="1"/>
    <col min="2" max="2" width="1.7109375" customWidth="1"/>
    <col min="3" max="3" width="12.7109375" customWidth="1"/>
    <col min="4" max="4" width="14.28515625" bestFit="1" customWidth="1"/>
    <col min="5" max="5" width="15.28515625" customWidth="1"/>
    <col min="6" max="6" width="14.28515625" customWidth="1"/>
    <col min="7" max="7" width="14.28515625" bestFit="1" customWidth="1"/>
    <col min="8" max="9" width="14.28515625" customWidth="1"/>
    <col min="10" max="14" width="12.7109375" customWidth="1"/>
    <col min="15" max="15" width="16.5703125" bestFit="1" customWidth="1"/>
    <col min="16" max="16" width="14.7109375" bestFit="1" customWidth="1"/>
    <col min="17" max="17" width="14" hidden="1" customWidth="1"/>
    <col min="18" max="18" width="14.5703125" bestFit="1" customWidth="1"/>
    <col min="19" max="19" width="15.1406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4"/>
    </row>
    <row r="5" spans="1:17" x14ac:dyDescent="0.2">
      <c r="A5" s="9" t="s">
        <v>10</v>
      </c>
    </row>
    <row r="6" spans="1:17" x14ac:dyDescent="0.2">
      <c r="A6" s="11" t="s">
        <v>15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26421902</v>
      </c>
      <c r="N9" s="23" t="s">
        <v>11</v>
      </c>
      <c r="P9" s="17"/>
    </row>
    <row r="10" spans="1:17" x14ac:dyDescent="0.2">
      <c r="A10" s="38">
        <v>43899</v>
      </c>
      <c r="C10" s="7">
        <v>101398244</v>
      </c>
      <c r="D10" s="15">
        <v>438547</v>
      </c>
      <c r="E10" s="10">
        <f t="shared" ref="E10:E15" si="0">91650.21</f>
        <v>91650.21</v>
      </c>
      <c r="F10" s="10">
        <v>175184.02</v>
      </c>
      <c r="G10" s="15">
        <f t="shared" ref="G10:G15" si="1">E10-D10</f>
        <v>-346896.79</v>
      </c>
      <c r="H10" s="15">
        <f t="shared" ref="H10:H15" si="2">F10-D10</f>
        <v>-263362.98</v>
      </c>
      <c r="I10" s="8">
        <v>0.21</v>
      </c>
      <c r="J10" s="8">
        <v>0.05</v>
      </c>
      <c r="K10" s="15">
        <f>(G10*I10+13168*I10)-15512.6</f>
        <v>-85595.645900000003</v>
      </c>
      <c r="L10" s="15">
        <f>H10*J10-291.07</f>
        <v>-13459.218999999999</v>
      </c>
      <c r="M10" s="7">
        <f>M9+K10+L10</f>
        <v>26322847.1351</v>
      </c>
      <c r="N10" s="7">
        <f>146976.33+8876.21</f>
        <v>155852.53999999998</v>
      </c>
      <c r="O10" s="21"/>
      <c r="P10" s="17"/>
      <c r="Q10" s="19">
        <f>M9+K10+L10</f>
        <v>26322847.1351</v>
      </c>
    </row>
    <row r="11" spans="1:17" x14ac:dyDescent="0.2">
      <c r="A11" s="38">
        <v>43922</v>
      </c>
      <c r="C11" s="7">
        <v>101398244</v>
      </c>
      <c r="D11" s="15">
        <v>438547</v>
      </c>
      <c r="E11" s="10">
        <f t="shared" si="0"/>
        <v>91650.21</v>
      </c>
      <c r="F11" s="10">
        <v>175184.02</v>
      </c>
      <c r="G11" s="15">
        <f t="shared" si="1"/>
        <v>-346896.79</v>
      </c>
      <c r="H11" s="15">
        <f t="shared" si="2"/>
        <v>-263362.98</v>
      </c>
      <c r="I11" s="8">
        <v>0.21</v>
      </c>
      <c r="J11" s="8">
        <v>0.05</v>
      </c>
      <c r="K11" s="15">
        <f>(G11*I11+13168*I11)-15512.6</f>
        <v>-85595.645900000003</v>
      </c>
      <c r="L11" s="15">
        <f>H11*J11-291.07</f>
        <v>-13459.218999999999</v>
      </c>
      <c r="M11" s="7">
        <f t="shared" ref="M11:M15" si="3">M10+K11+L11</f>
        <v>26223792.270199999</v>
      </c>
      <c r="N11" s="7">
        <f>145695.01+8798.92</f>
        <v>154493.93000000002</v>
      </c>
      <c r="O11" s="21"/>
      <c r="P11" s="17"/>
      <c r="Q11" s="19">
        <f>Q10+K11+L11</f>
        <v>26223792.270199999</v>
      </c>
    </row>
    <row r="12" spans="1:17" x14ac:dyDescent="0.2">
      <c r="A12" s="38">
        <v>43952</v>
      </c>
      <c r="C12" s="7">
        <v>101398244</v>
      </c>
      <c r="D12" s="15">
        <v>438547</v>
      </c>
      <c r="E12" s="10">
        <f t="shared" si="0"/>
        <v>91650.21</v>
      </c>
      <c r="F12" s="10">
        <v>175184.02</v>
      </c>
      <c r="G12" s="15">
        <f t="shared" si="1"/>
        <v>-346896.79</v>
      </c>
      <c r="H12" s="15">
        <f t="shared" si="2"/>
        <v>-263362.98</v>
      </c>
      <c r="I12" s="8">
        <v>0.21</v>
      </c>
      <c r="J12" s="8">
        <v>0.05</v>
      </c>
      <c r="K12" s="15">
        <f>(G12*I12+13168*I12)-15512.6</f>
        <v>-85595.645900000003</v>
      </c>
      <c r="L12" s="15">
        <f>H12*J12-291.07</f>
        <v>-13459.218999999999</v>
      </c>
      <c r="M12" s="7">
        <f t="shared" si="3"/>
        <v>26124737.405299999</v>
      </c>
      <c r="N12" s="7">
        <f>144413.68+8721.63</f>
        <v>153135.31</v>
      </c>
      <c r="O12" s="17" t="s">
        <v>11</v>
      </c>
      <c r="P12" s="17" t="s">
        <v>11</v>
      </c>
      <c r="Q12" s="19">
        <f>Q11+K12+L12</f>
        <v>26124737.405299999</v>
      </c>
    </row>
    <row r="13" spans="1:17" x14ac:dyDescent="0.2">
      <c r="A13" s="38">
        <v>43983</v>
      </c>
      <c r="C13" s="7">
        <v>101398244</v>
      </c>
      <c r="D13" s="15">
        <v>438547.49</v>
      </c>
      <c r="E13" s="10">
        <f t="shared" si="0"/>
        <v>91650.21</v>
      </c>
      <c r="F13" s="10">
        <v>175184.02</v>
      </c>
      <c r="G13" s="15">
        <f t="shared" si="1"/>
        <v>-346897.27999999997</v>
      </c>
      <c r="H13" s="15">
        <f t="shared" si="2"/>
        <v>-263363.46999999997</v>
      </c>
      <c r="I13" s="8">
        <v>0.21</v>
      </c>
      <c r="J13" s="8">
        <v>0.05</v>
      </c>
      <c r="K13" s="15">
        <f>(G13*I13+13168*I13)-15512.6</f>
        <v>-85595.748800000001</v>
      </c>
      <c r="L13" s="15">
        <f>H13*J13-291.07</f>
        <v>-13459.243499999999</v>
      </c>
      <c r="M13" s="7">
        <f t="shared" si="3"/>
        <v>26025682.412999999</v>
      </c>
      <c r="N13" s="7">
        <f>143132.36+8644.33</f>
        <v>151776.68999999997</v>
      </c>
      <c r="O13" s="18" t="s">
        <v>11</v>
      </c>
      <c r="P13" s="17" t="s">
        <v>11</v>
      </c>
      <c r="Q13" s="19">
        <f>Q12+K13+L13</f>
        <v>26025682.412999999</v>
      </c>
    </row>
    <row r="14" spans="1:17" x14ac:dyDescent="0.2">
      <c r="A14" s="38">
        <v>44013</v>
      </c>
      <c r="C14" s="7">
        <v>101398244</v>
      </c>
      <c r="D14" s="15">
        <v>438547.19</v>
      </c>
      <c r="E14" s="10">
        <f t="shared" si="0"/>
        <v>91650.21</v>
      </c>
      <c r="F14" s="10">
        <v>175184.02</v>
      </c>
      <c r="G14" s="15">
        <f t="shared" si="1"/>
        <v>-346896.98</v>
      </c>
      <c r="H14" s="15">
        <f t="shared" si="2"/>
        <v>-263363.17000000004</v>
      </c>
      <c r="I14" s="8">
        <v>0.21</v>
      </c>
      <c r="J14" s="8">
        <v>0.05</v>
      </c>
      <c r="K14" s="15">
        <f>(G14*I14+13168*I14)-15512.6</f>
        <v>-85595.685800000007</v>
      </c>
      <c r="L14" s="15">
        <f>H14*J14-291.07</f>
        <v>-13459.228500000003</v>
      </c>
      <c r="M14" s="7">
        <f t="shared" si="3"/>
        <v>25926627.498699997</v>
      </c>
      <c r="N14" s="7">
        <f>141851.04+8567.04</f>
        <v>150418.08000000002</v>
      </c>
      <c r="O14" s="7" t="s">
        <v>11</v>
      </c>
      <c r="P14" s="21"/>
      <c r="Q14" s="19">
        <f>Q13+K14+L14</f>
        <v>25926627.498699997</v>
      </c>
    </row>
    <row r="15" spans="1:17" x14ac:dyDescent="0.2">
      <c r="A15" s="38">
        <v>44044</v>
      </c>
      <c r="C15" s="7">
        <v>101398244</v>
      </c>
      <c r="D15" s="15">
        <v>438547</v>
      </c>
      <c r="E15" s="10">
        <f t="shared" si="0"/>
        <v>91650.21</v>
      </c>
      <c r="F15" s="10">
        <v>175184.02</v>
      </c>
      <c r="G15" s="15">
        <f t="shared" si="1"/>
        <v>-346896.79</v>
      </c>
      <c r="H15" s="15">
        <f t="shared" si="2"/>
        <v>-263362.98</v>
      </c>
      <c r="I15" s="8">
        <v>0.21</v>
      </c>
      <c r="J15" s="8">
        <v>0.05</v>
      </c>
      <c r="K15" s="15">
        <f>(G15*I15+13168*I15)-15512.6-56413.29-56413.29-((56413.29-15512.6)/2)+97</f>
        <v>-218775.57090000002</v>
      </c>
      <c r="L15" s="15">
        <f>H15*J15-291.07-4172.25-4172.25-(4172.25-291.07)</f>
        <v>-25684.898999999998</v>
      </c>
      <c r="M15" s="7">
        <f t="shared" si="3"/>
        <v>25682167.028799996</v>
      </c>
      <c r="N15" s="7">
        <f>140569.72+8489.75</f>
        <v>149059.47</v>
      </c>
      <c r="P15" s="17"/>
      <c r="Q15" s="19">
        <f>Q14+K15+L15</f>
        <v>25682167.028799996</v>
      </c>
    </row>
    <row r="16" spans="1:17" x14ac:dyDescent="0.2">
      <c r="A16" s="16"/>
      <c r="C16" s="7"/>
      <c r="D16" s="7"/>
      <c r="E16" s="7" t="s">
        <v>11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x14ac:dyDescent="0.2">
      <c r="A17" s="16"/>
      <c r="C17" s="7" t="s">
        <v>61</v>
      </c>
      <c r="D17" s="25"/>
      <c r="E17" s="25"/>
      <c r="F17" s="25"/>
      <c r="G17" s="25"/>
      <c r="H17" s="25"/>
      <c r="I17" s="8"/>
      <c r="J17" s="8"/>
      <c r="K17" s="7"/>
      <c r="L17" s="7"/>
      <c r="M17" s="7"/>
      <c r="N17" s="7"/>
      <c r="O17" s="7"/>
      <c r="P17" s="7"/>
    </row>
    <row r="18" spans="1:16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">
      <c r="B19" s="27"/>
      <c r="C19" s="43" t="s">
        <v>33</v>
      </c>
      <c r="D19" s="27"/>
      <c r="E19" s="28"/>
      <c r="F19" s="28"/>
      <c r="G19" s="28"/>
    </row>
    <row r="20" spans="1:16" x14ac:dyDescent="0.2">
      <c r="B20" s="27"/>
      <c r="C20" s="43" t="s">
        <v>31</v>
      </c>
      <c r="D20" s="27"/>
      <c r="E20" s="28"/>
      <c r="F20" s="28"/>
      <c r="G20" s="28"/>
    </row>
    <row r="21" spans="1:16" x14ac:dyDescent="0.2">
      <c r="B21" s="27"/>
      <c r="C21" s="43" t="s">
        <v>62</v>
      </c>
      <c r="D21" s="27"/>
      <c r="E21" s="28"/>
      <c r="F21" s="28"/>
      <c r="G21" s="28"/>
    </row>
    <row r="22" spans="1:16" x14ac:dyDescent="0.2">
      <c r="B22" s="27"/>
      <c r="C22" s="7" t="s">
        <v>32</v>
      </c>
      <c r="D22" s="27"/>
      <c r="E22" s="28"/>
      <c r="F22" s="28"/>
      <c r="G22" s="28"/>
    </row>
    <row r="24" spans="1:16" x14ac:dyDescent="0.2">
      <c r="C24" s="24" t="s">
        <v>34</v>
      </c>
      <c r="D24" s="29" t="s">
        <v>35</v>
      </c>
      <c r="E24" s="28" t="s">
        <v>36</v>
      </c>
      <c r="F24" s="24" t="s">
        <v>37</v>
      </c>
      <c r="G24" s="30" t="s">
        <v>27</v>
      </c>
      <c r="H24" s="24" t="s">
        <v>38</v>
      </c>
    </row>
    <row r="25" spans="1:16" x14ac:dyDescent="0.2">
      <c r="C25" s="24">
        <f>18534899</f>
        <v>18534899</v>
      </c>
      <c r="D25" s="24">
        <v>438547</v>
      </c>
      <c r="E25" s="7">
        <v>68918.929999999993</v>
      </c>
      <c r="F25" s="7">
        <f>E25-D25</f>
        <v>-369628.07</v>
      </c>
      <c r="G25" s="8">
        <v>0.21</v>
      </c>
      <c r="H25" s="19">
        <f>F25*G25</f>
        <v>-77621.894700000004</v>
      </c>
    </row>
    <row r="26" spans="1:16" x14ac:dyDescent="0.2">
      <c r="C26" s="24">
        <f>+-176214</f>
        <v>-176214</v>
      </c>
      <c r="E26" s="7">
        <v>-664.03</v>
      </c>
      <c r="F26" s="7">
        <f t="shared" ref="F26:F38" si="4">E26</f>
        <v>-664.03</v>
      </c>
      <c r="G26" s="8">
        <v>0.21</v>
      </c>
      <c r="H26" s="19">
        <f t="shared" ref="H26:H38" si="5">F26*G26</f>
        <v>-139.44629999999998</v>
      </c>
    </row>
    <row r="27" spans="1:16" x14ac:dyDescent="0.2">
      <c r="C27" s="24">
        <f>526898</f>
        <v>526898</v>
      </c>
      <c r="E27" s="7">
        <v>2146.23</v>
      </c>
      <c r="F27" s="7">
        <f t="shared" si="4"/>
        <v>2146.23</v>
      </c>
      <c r="G27" s="8">
        <v>0.21</v>
      </c>
      <c r="H27" s="19">
        <f t="shared" si="5"/>
        <v>450.70830000000001</v>
      </c>
    </row>
    <row r="28" spans="1:16" x14ac:dyDescent="0.2">
      <c r="C28" s="24">
        <v>790348</v>
      </c>
      <c r="E28" s="7">
        <v>0</v>
      </c>
      <c r="F28" s="7">
        <f t="shared" si="4"/>
        <v>0</v>
      </c>
      <c r="G28" s="8">
        <v>0.21</v>
      </c>
      <c r="H28" s="19">
        <f t="shared" si="5"/>
        <v>0</v>
      </c>
    </row>
    <row r="29" spans="1:16" x14ac:dyDescent="0.2">
      <c r="C29" s="24">
        <v>398743</v>
      </c>
      <c r="E29" s="7">
        <v>1756.13</v>
      </c>
      <c r="F29" s="7">
        <f t="shared" si="4"/>
        <v>1756.13</v>
      </c>
      <c r="G29" s="8">
        <v>0.21</v>
      </c>
      <c r="H29" s="19">
        <f t="shared" si="5"/>
        <v>368.78730000000002</v>
      </c>
    </row>
    <row r="30" spans="1:16" x14ac:dyDescent="0.2">
      <c r="C30" s="24">
        <v>1064181</v>
      </c>
      <c r="E30" s="7">
        <v>4686.83</v>
      </c>
      <c r="F30" s="7">
        <f t="shared" si="4"/>
        <v>4686.83</v>
      </c>
      <c r="G30" s="8">
        <v>0.21</v>
      </c>
      <c r="H30" s="19">
        <f t="shared" si="5"/>
        <v>984.23429999999996</v>
      </c>
    </row>
    <row r="31" spans="1:16" x14ac:dyDescent="0.2">
      <c r="C31" s="24">
        <v>81522</v>
      </c>
      <c r="E31" s="7">
        <v>359.04</v>
      </c>
      <c r="F31" s="7">
        <f t="shared" si="4"/>
        <v>359.04</v>
      </c>
      <c r="G31" s="8">
        <v>0.21</v>
      </c>
      <c r="H31" s="19">
        <f t="shared" si="5"/>
        <v>75.398399999999995</v>
      </c>
    </row>
    <row r="32" spans="1:16" x14ac:dyDescent="0.2">
      <c r="C32" s="24">
        <v>43567</v>
      </c>
      <c r="E32" s="7">
        <v>191.88</v>
      </c>
      <c r="F32" s="7">
        <f t="shared" si="4"/>
        <v>191.88</v>
      </c>
      <c r="G32" s="8">
        <v>0.21</v>
      </c>
      <c r="H32" s="19">
        <f t="shared" si="5"/>
        <v>40.294799999999995</v>
      </c>
    </row>
    <row r="33" spans="3:9" x14ac:dyDescent="0.2">
      <c r="C33" s="24">
        <v>80051</v>
      </c>
      <c r="E33" s="7">
        <v>352.56</v>
      </c>
      <c r="F33" s="7">
        <f t="shared" si="4"/>
        <v>352.56</v>
      </c>
      <c r="G33" s="8">
        <v>0.21</v>
      </c>
      <c r="H33" s="19">
        <f t="shared" si="5"/>
        <v>74.037599999999998</v>
      </c>
    </row>
    <row r="34" spans="3:9" x14ac:dyDescent="0.2">
      <c r="C34" s="24">
        <v>415872</v>
      </c>
      <c r="E34" s="37">
        <v>1936.79</v>
      </c>
      <c r="F34" s="37">
        <f t="shared" si="4"/>
        <v>1936.79</v>
      </c>
      <c r="G34" s="8">
        <v>0.21</v>
      </c>
      <c r="H34" s="41">
        <f t="shared" si="5"/>
        <v>406.72589999999997</v>
      </c>
    </row>
    <row r="35" spans="3:9" x14ac:dyDescent="0.2">
      <c r="C35" s="24">
        <v>9056</v>
      </c>
      <c r="E35" s="37">
        <v>43.11</v>
      </c>
      <c r="F35" s="37">
        <f t="shared" si="4"/>
        <v>43.11</v>
      </c>
      <c r="G35" s="8">
        <v>0.21</v>
      </c>
      <c r="H35" s="41">
        <f t="shared" si="5"/>
        <v>9.0530999999999988</v>
      </c>
    </row>
    <row r="36" spans="3:9" x14ac:dyDescent="0.2">
      <c r="C36" s="24">
        <v>738067</v>
      </c>
      <c r="E36" s="37">
        <v>3799.2</v>
      </c>
      <c r="F36" s="37">
        <f t="shared" si="4"/>
        <v>3799.2</v>
      </c>
      <c r="G36" s="8">
        <v>0.21</v>
      </c>
      <c r="H36" s="41">
        <f t="shared" si="5"/>
        <v>797.83199999999988</v>
      </c>
    </row>
    <row r="37" spans="3:9" x14ac:dyDescent="0.2">
      <c r="C37" s="24">
        <v>1388</v>
      </c>
      <c r="E37" s="37">
        <v>7.15</v>
      </c>
      <c r="F37" s="37">
        <f t="shared" si="4"/>
        <v>7.15</v>
      </c>
      <c r="G37" s="8">
        <v>0.21</v>
      </c>
      <c r="H37" s="41">
        <f t="shared" si="5"/>
        <v>1.5015000000000001</v>
      </c>
    </row>
    <row r="38" spans="3:9" ht="15" x14ac:dyDescent="0.35">
      <c r="C38" s="24">
        <v>1349174</v>
      </c>
      <c r="E38" s="31">
        <v>8116.41</v>
      </c>
      <c r="F38" s="31">
        <f t="shared" si="4"/>
        <v>8116.41</v>
      </c>
      <c r="G38" s="8">
        <v>0.21</v>
      </c>
      <c r="H38" s="41">
        <f t="shared" si="5"/>
        <v>1704.4460999999999</v>
      </c>
    </row>
    <row r="39" spans="3:9" x14ac:dyDescent="0.2">
      <c r="E39" s="24">
        <f>SUM(E25:E38)</f>
        <v>91650.229999999981</v>
      </c>
      <c r="F39" s="24">
        <f>SUM(F25:F38)</f>
        <v>-346896.77000000008</v>
      </c>
      <c r="G39" s="33" t="s">
        <v>43</v>
      </c>
      <c r="H39" s="19">
        <f>SUM(H25:H38)</f>
        <v>-72848.3217</v>
      </c>
    </row>
    <row r="40" spans="3:9" ht="15" x14ac:dyDescent="0.35">
      <c r="E40" s="7"/>
      <c r="F40" s="7"/>
      <c r="G40" s="33" t="s">
        <v>44</v>
      </c>
      <c r="H40" s="32">
        <f>-H58*0.21</f>
        <v>2765.3112900000006</v>
      </c>
    </row>
    <row r="41" spans="3:9" x14ac:dyDescent="0.2">
      <c r="H41" s="19">
        <f>H39+H40</f>
        <v>-70083.010410000003</v>
      </c>
    </row>
    <row r="42" spans="3:9" x14ac:dyDescent="0.2">
      <c r="H42" s="19">
        <f>H41-K15</f>
        <v>148692.56049</v>
      </c>
      <c r="I42" t="s">
        <v>63</v>
      </c>
    </row>
    <row r="43" spans="3:9" x14ac:dyDescent="0.2">
      <c r="C43" s="24" t="s">
        <v>39</v>
      </c>
      <c r="D43" s="27" t="s">
        <v>35</v>
      </c>
      <c r="E43" s="28" t="s">
        <v>40</v>
      </c>
      <c r="F43" s="24" t="s">
        <v>41</v>
      </c>
      <c r="G43" s="30" t="s">
        <v>28</v>
      </c>
      <c r="H43" s="24" t="s">
        <v>42</v>
      </c>
    </row>
    <row r="44" spans="3:9" x14ac:dyDescent="0.2">
      <c r="C44" s="24">
        <v>37069798</v>
      </c>
      <c r="D44" s="7">
        <f>D25</f>
        <v>438547</v>
      </c>
      <c r="E44" s="7">
        <v>137837.87</v>
      </c>
      <c r="F44" s="7">
        <f>E44-D44</f>
        <v>-300709.13</v>
      </c>
      <c r="G44" s="8">
        <v>0.05</v>
      </c>
      <c r="H44" s="19">
        <f>F44*G44</f>
        <v>-15035.4565</v>
      </c>
    </row>
    <row r="45" spans="3:9" x14ac:dyDescent="0.2">
      <c r="C45" s="24">
        <v>55076054</v>
      </c>
      <c r="E45" s="7">
        <v>0</v>
      </c>
      <c r="F45" s="7">
        <f>E45</f>
        <v>0</v>
      </c>
      <c r="G45" s="8">
        <v>0.05</v>
      </c>
      <c r="H45" s="19">
        <f t="shared" ref="H45:H57" si="6">F45*G45</f>
        <v>0</v>
      </c>
    </row>
    <row r="46" spans="3:9" x14ac:dyDescent="0.2">
      <c r="C46" s="24">
        <v>-352428</v>
      </c>
      <c r="E46" s="7">
        <v>-1328.07</v>
      </c>
      <c r="F46" s="7">
        <f t="shared" ref="F46:F57" si="7">E46</f>
        <v>-1328.07</v>
      </c>
      <c r="G46" s="8">
        <v>0.05</v>
      </c>
      <c r="H46" s="19">
        <f t="shared" si="6"/>
        <v>-66.403499999999994</v>
      </c>
    </row>
    <row r="47" spans="3:9" x14ac:dyDescent="0.2">
      <c r="C47" s="24">
        <v>1053797</v>
      </c>
      <c r="E47" s="7">
        <v>4292.47</v>
      </c>
      <c r="F47" s="7">
        <f t="shared" si="7"/>
        <v>4292.47</v>
      </c>
      <c r="G47" s="8">
        <v>0.05</v>
      </c>
      <c r="H47" s="19">
        <f t="shared" si="6"/>
        <v>214.62350000000004</v>
      </c>
    </row>
    <row r="48" spans="3:9" x14ac:dyDescent="0.2">
      <c r="C48" s="24">
        <v>1580696</v>
      </c>
      <c r="E48" s="7">
        <v>0</v>
      </c>
      <c r="F48" s="7">
        <f t="shared" si="7"/>
        <v>0</v>
      </c>
      <c r="G48" s="8">
        <v>0.05</v>
      </c>
      <c r="H48" s="19">
        <f t="shared" si="6"/>
        <v>0</v>
      </c>
    </row>
    <row r="49" spans="3:9" x14ac:dyDescent="0.2">
      <c r="C49" s="24">
        <v>797485</v>
      </c>
      <c r="E49" s="7">
        <v>3512.26</v>
      </c>
      <c r="F49" s="7">
        <f t="shared" si="7"/>
        <v>3512.26</v>
      </c>
      <c r="G49" s="8">
        <v>0.05</v>
      </c>
      <c r="H49" s="19">
        <f t="shared" si="6"/>
        <v>175.61300000000003</v>
      </c>
    </row>
    <row r="50" spans="3:9" x14ac:dyDescent="0.2">
      <c r="C50" s="24">
        <v>2291406</v>
      </c>
      <c r="E50" s="7">
        <f>9373.66+718.07</f>
        <v>10091.73</v>
      </c>
      <c r="F50" s="7">
        <f t="shared" si="7"/>
        <v>10091.73</v>
      </c>
      <c r="G50" s="8">
        <v>0.05</v>
      </c>
      <c r="H50" s="19">
        <f t="shared" si="6"/>
        <v>504.5865</v>
      </c>
    </row>
    <row r="51" spans="3:9" x14ac:dyDescent="0.2">
      <c r="C51" s="24">
        <v>87134</v>
      </c>
      <c r="E51" s="7">
        <v>383.75</v>
      </c>
      <c r="F51" s="7">
        <f t="shared" si="7"/>
        <v>383.75</v>
      </c>
      <c r="G51" s="8">
        <v>0.05</v>
      </c>
      <c r="H51" s="19">
        <f t="shared" si="6"/>
        <v>19.1875</v>
      </c>
    </row>
    <row r="52" spans="3:9" x14ac:dyDescent="0.2">
      <c r="C52" s="24">
        <v>160101</v>
      </c>
      <c r="E52" s="7">
        <v>705.11</v>
      </c>
      <c r="F52" s="7">
        <f t="shared" si="7"/>
        <v>705.11</v>
      </c>
      <c r="G52" s="8">
        <v>0.05</v>
      </c>
      <c r="H52" s="19">
        <f t="shared" si="6"/>
        <v>35.255500000000005</v>
      </c>
    </row>
    <row r="53" spans="3:9" x14ac:dyDescent="0.2">
      <c r="C53" s="24">
        <v>813634</v>
      </c>
      <c r="E53" s="7">
        <v>3873.57</v>
      </c>
      <c r="F53" s="7">
        <f t="shared" si="7"/>
        <v>3873.57</v>
      </c>
      <c r="G53" s="8">
        <v>0.05</v>
      </c>
      <c r="H53" s="19">
        <f t="shared" si="6"/>
        <v>193.67850000000001</v>
      </c>
    </row>
    <row r="54" spans="3:9" x14ac:dyDescent="0.2">
      <c r="C54" s="24">
        <v>18111</v>
      </c>
      <c r="E54" s="37">
        <v>86.23</v>
      </c>
      <c r="F54" s="37">
        <f t="shared" si="7"/>
        <v>86.23</v>
      </c>
      <c r="G54" s="8">
        <v>0.05</v>
      </c>
      <c r="H54" s="41">
        <f t="shared" si="6"/>
        <v>4.3115000000000006</v>
      </c>
    </row>
    <row r="55" spans="3:9" x14ac:dyDescent="0.2">
      <c r="C55" s="24">
        <v>1476135</v>
      </c>
      <c r="E55" s="37">
        <v>7598.4</v>
      </c>
      <c r="F55" s="37">
        <f t="shared" si="7"/>
        <v>7598.4</v>
      </c>
      <c r="G55" s="8">
        <v>0.05</v>
      </c>
      <c r="H55" s="41">
        <f t="shared" si="6"/>
        <v>379.92</v>
      </c>
    </row>
    <row r="56" spans="3:9" x14ac:dyDescent="0.2">
      <c r="C56" s="24">
        <v>2777</v>
      </c>
      <c r="E56" s="37">
        <v>14.29</v>
      </c>
      <c r="F56" s="37">
        <f t="shared" si="7"/>
        <v>14.29</v>
      </c>
      <c r="G56" s="8">
        <v>0.05</v>
      </c>
      <c r="H56" s="41">
        <f t="shared" si="6"/>
        <v>0.71450000000000002</v>
      </c>
    </row>
    <row r="57" spans="3:9" ht="15" x14ac:dyDescent="0.35">
      <c r="C57" s="24">
        <f>C38</f>
        <v>1349174</v>
      </c>
      <c r="E57" s="31">
        <v>8116.41</v>
      </c>
      <c r="F57" s="31">
        <f t="shared" si="7"/>
        <v>8116.41</v>
      </c>
      <c r="G57" s="8">
        <v>0.05</v>
      </c>
      <c r="H57" s="41">
        <f t="shared" si="6"/>
        <v>405.82050000000004</v>
      </c>
    </row>
    <row r="58" spans="3:9" x14ac:dyDescent="0.2">
      <c r="E58" s="7">
        <f>SUM(E44:E57)</f>
        <v>175184.02000000002</v>
      </c>
      <c r="F58" s="7">
        <f>SUM(F44:F57)</f>
        <v>-263362.9800000001</v>
      </c>
      <c r="H58" s="7">
        <f>SUM(H44:H57)</f>
        <v>-13168.149000000003</v>
      </c>
    </row>
    <row r="59" spans="3:9" x14ac:dyDescent="0.2">
      <c r="E59" s="7"/>
      <c r="F59" s="7"/>
      <c r="H59" s="7">
        <f>H58-L15</f>
        <v>12516.749999999995</v>
      </c>
      <c r="I59" t="s">
        <v>64</v>
      </c>
    </row>
  </sheetData>
  <pageMargins left="0.7" right="0.7" top="1.15625" bottom="0.75" header="0.3" footer="0.3"/>
  <pageSetup scale="51" orientation="portrait" r:id="rId1"/>
  <headerFooter>
    <oddHeader>&amp;R&amp;"Times New Roman,Bold"&amp;12Attachment to Response to Question 3
Page 1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5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2.7109375" customWidth="1"/>
    <col min="4" max="4" width="14.28515625" bestFit="1" customWidth="1"/>
    <col min="5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9.8554687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6" x14ac:dyDescent="0.2">
      <c r="A5" s="9" t="s">
        <v>21</v>
      </c>
    </row>
    <row r="6" spans="1:16" x14ac:dyDescent="0.2">
      <c r="A6" s="11" t="s">
        <v>53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577301</v>
      </c>
    </row>
    <row r="10" spans="1:16" x14ac:dyDescent="0.2">
      <c r="A10" s="38">
        <v>43899</v>
      </c>
      <c r="C10" s="7">
        <v>3077193</v>
      </c>
      <c r="D10" s="15">
        <v>3052</v>
      </c>
      <c r="E10" s="10">
        <f>7919.93</f>
        <v>7919.93</v>
      </c>
      <c r="F10" s="10">
        <v>15839.85</v>
      </c>
      <c r="G10" s="7">
        <f t="shared" ref="G10:G15" si="0">E10-D10</f>
        <v>4867.93</v>
      </c>
      <c r="H10" s="7">
        <f t="shared" ref="H10:H15" si="1">F10-D10</f>
        <v>12787.85</v>
      </c>
      <c r="I10" s="8">
        <v>0.21</v>
      </c>
      <c r="J10" s="8">
        <v>0.05</v>
      </c>
      <c r="K10" s="7">
        <f t="shared" ref="K10:K15" si="2">G10*I10-L10*I10</f>
        <v>887.99287500000003</v>
      </c>
      <c r="L10" s="7">
        <f t="shared" ref="L10:L15" si="3">H10*J10</f>
        <v>639.39250000000004</v>
      </c>
      <c r="M10" s="7">
        <f t="shared" ref="M10:M15" si="4">M9+K10+L10</f>
        <v>578828.38537499995</v>
      </c>
      <c r="N10" s="7">
        <v>0</v>
      </c>
      <c r="O10" s="17"/>
      <c r="P10" s="19"/>
    </row>
    <row r="11" spans="1:16" x14ac:dyDescent="0.2">
      <c r="A11" s="38">
        <v>43922</v>
      </c>
      <c r="C11" s="7">
        <v>3077193</v>
      </c>
      <c r="D11" s="15">
        <v>3052</v>
      </c>
      <c r="E11" s="10">
        <f>7919.93</f>
        <v>7919.93</v>
      </c>
      <c r="F11" s="10">
        <v>15839.85</v>
      </c>
      <c r="G11" s="7">
        <f t="shared" si="0"/>
        <v>4867.93</v>
      </c>
      <c r="H11" s="7">
        <f t="shared" si="1"/>
        <v>12787.85</v>
      </c>
      <c r="I11" s="8">
        <v>0.21</v>
      </c>
      <c r="J11" s="8">
        <v>0.05</v>
      </c>
      <c r="K11" s="7">
        <f t="shared" si="2"/>
        <v>887.99287500000003</v>
      </c>
      <c r="L11" s="7">
        <f t="shared" si="3"/>
        <v>639.39250000000004</v>
      </c>
      <c r="M11" s="24">
        <f t="shared" si="4"/>
        <v>580355.77074999991</v>
      </c>
      <c r="N11" s="7">
        <v>0</v>
      </c>
      <c r="O11" s="17"/>
      <c r="P11" s="19"/>
    </row>
    <row r="12" spans="1:16" x14ac:dyDescent="0.2">
      <c r="A12" s="38">
        <v>43952</v>
      </c>
      <c r="C12" s="7">
        <v>3077193</v>
      </c>
      <c r="D12" s="15">
        <v>3052</v>
      </c>
      <c r="E12" s="10">
        <f>7919.93</f>
        <v>7919.93</v>
      </c>
      <c r="F12" s="10">
        <v>15839.85</v>
      </c>
      <c r="G12" s="7">
        <f t="shared" si="0"/>
        <v>4867.93</v>
      </c>
      <c r="H12" s="7">
        <f t="shared" si="1"/>
        <v>12787.85</v>
      </c>
      <c r="I12" s="8">
        <v>0.21</v>
      </c>
      <c r="J12" s="8">
        <v>0.05</v>
      </c>
      <c r="K12" s="7">
        <f t="shared" si="2"/>
        <v>887.99287500000003</v>
      </c>
      <c r="L12" s="7">
        <f t="shared" si="3"/>
        <v>639.39250000000004</v>
      </c>
      <c r="M12" s="7">
        <f t="shared" si="4"/>
        <v>581883.15612499986</v>
      </c>
      <c r="N12" s="7">
        <v>0</v>
      </c>
      <c r="O12" s="23"/>
      <c r="P12" s="19"/>
    </row>
    <row r="13" spans="1:16" x14ac:dyDescent="0.2">
      <c r="A13" s="38">
        <v>43983</v>
      </c>
      <c r="C13" s="7">
        <v>3077193</v>
      </c>
      <c r="D13" s="15">
        <v>3052</v>
      </c>
      <c r="E13" s="10">
        <f>7919.93</f>
        <v>7919.93</v>
      </c>
      <c r="F13" s="10">
        <v>15839.85</v>
      </c>
      <c r="G13" s="7">
        <f t="shared" si="0"/>
        <v>4867.93</v>
      </c>
      <c r="H13" s="7">
        <f t="shared" si="1"/>
        <v>12787.85</v>
      </c>
      <c r="I13" s="8">
        <v>0.21</v>
      </c>
      <c r="J13" s="8">
        <v>0.05</v>
      </c>
      <c r="K13" s="7">
        <f t="shared" si="2"/>
        <v>887.99287500000003</v>
      </c>
      <c r="L13" s="7">
        <f t="shared" si="3"/>
        <v>639.39250000000004</v>
      </c>
      <c r="M13" s="7">
        <f t="shared" si="4"/>
        <v>583410.54149999982</v>
      </c>
      <c r="N13" s="7">
        <v>0</v>
      </c>
      <c r="O13" s="23"/>
      <c r="P13" s="19"/>
    </row>
    <row r="14" spans="1:16" x14ac:dyDescent="0.2">
      <c r="A14" s="38">
        <v>44013</v>
      </c>
      <c r="C14" s="7">
        <v>3077193</v>
      </c>
      <c r="D14" s="15">
        <v>3052</v>
      </c>
      <c r="E14" s="10">
        <f>7919.93</f>
        <v>7919.93</v>
      </c>
      <c r="F14" s="10">
        <v>15839.85</v>
      </c>
      <c r="G14" s="7">
        <f t="shared" si="0"/>
        <v>4867.93</v>
      </c>
      <c r="H14" s="7">
        <f t="shared" si="1"/>
        <v>12787.85</v>
      </c>
      <c r="I14" s="8">
        <v>0.21</v>
      </c>
      <c r="J14" s="8">
        <v>0.05</v>
      </c>
      <c r="K14" s="7">
        <f t="shared" si="2"/>
        <v>887.99287500000003</v>
      </c>
      <c r="L14" s="7">
        <f t="shared" si="3"/>
        <v>639.39250000000004</v>
      </c>
      <c r="M14" s="7">
        <f t="shared" si="4"/>
        <v>584937.92687499977</v>
      </c>
      <c r="N14" s="7">
        <v>0</v>
      </c>
      <c r="O14" s="7"/>
      <c r="P14" s="19"/>
    </row>
    <row r="15" spans="1:16" x14ac:dyDescent="0.2">
      <c r="A15" s="38">
        <v>44044</v>
      </c>
      <c r="C15" s="7">
        <v>3077193</v>
      </c>
      <c r="D15" s="15">
        <v>3052</v>
      </c>
      <c r="E15" s="10">
        <f>7919.93+2</f>
        <v>7921.93</v>
      </c>
      <c r="F15" s="10">
        <v>15839.85</v>
      </c>
      <c r="G15" s="7">
        <f t="shared" si="0"/>
        <v>4869.93</v>
      </c>
      <c r="H15" s="7">
        <f t="shared" si="1"/>
        <v>12787.85</v>
      </c>
      <c r="I15" s="8">
        <v>0.21</v>
      </c>
      <c r="J15" s="8">
        <v>0.05</v>
      </c>
      <c r="K15" s="7">
        <f t="shared" si="2"/>
        <v>888.41287499999999</v>
      </c>
      <c r="L15" s="7">
        <f t="shared" si="3"/>
        <v>639.39250000000004</v>
      </c>
      <c r="M15" s="7">
        <f t="shared" si="4"/>
        <v>586465.73224999977</v>
      </c>
      <c r="N15" s="7">
        <v>0</v>
      </c>
      <c r="P15" s="19"/>
    </row>
    <row r="16" spans="1:16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43" t="s">
        <v>51</v>
      </c>
    </row>
    <row r="20" spans="1:14" x14ac:dyDescent="0.2">
      <c r="C20" s="43" t="s">
        <v>31</v>
      </c>
    </row>
    <row r="21" spans="1:14" x14ac:dyDescent="0.2">
      <c r="C21" s="43" t="s">
        <v>62</v>
      </c>
    </row>
    <row r="22" spans="1:14" x14ac:dyDescent="0.2">
      <c r="C22" s="7" t="s">
        <v>32</v>
      </c>
    </row>
    <row r="24" spans="1:14" x14ac:dyDescent="0.2">
      <c r="C24" s="7" t="s">
        <v>34</v>
      </c>
      <c r="D24" s="29" t="s">
        <v>35</v>
      </c>
      <c r="E24" s="28" t="s">
        <v>36</v>
      </c>
      <c r="F24" s="7" t="s">
        <v>37</v>
      </c>
      <c r="G24" s="8" t="s">
        <v>27</v>
      </c>
      <c r="H24" s="7" t="s">
        <v>38</v>
      </c>
    </row>
    <row r="25" spans="1:14" x14ac:dyDescent="0.2">
      <c r="C25" s="7">
        <v>1386019</v>
      </c>
      <c r="D25" s="7">
        <v>3052</v>
      </c>
      <c r="E25" s="7">
        <v>7134.53</v>
      </c>
      <c r="F25" s="7">
        <f>E25-D25</f>
        <v>4082.5299999999997</v>
      </c>
      <c r="G25" s="8">
        <v>0.21</v>
      </c>
      <c r="H25" s="7">
        <f>F25*G25</f>
        <v>857.33129999999994</v>
      </c>
    </row>
    <row r="26" spans="1:14" ht="15" x14ac:dyDescent="0.35">
      <c r="C26" s="7">
        <v>152578</v>
      </c>
      <c r="D26" s="7"/>
      <c r="E26" s="31">
        <f>785.39+1.6</f>
        <v>786.99</v>
      </c>
      <c r="F26" s="31">
        <f>E26-D26</f>
        <v>786.99</v>
      </c>
      <c r="G26" s="8">
        <v>0.21</v>
      </c>
      <c r="H26" s="31">
        <f>F26*G26</f>
        <v>165.2679</v>
      </c>
    </row>
    <row r="27" spans="1:14" x14ac:dyDescent="0.2">
      <c r="E27" s="7">
        <f>SUM(E25:E26)</f>
        <v>7921.5199999999995</v>
      </c>
      <c r="F27" s="7">
        <f>SUM(F25:F26)</f>
        <v>4869.5199999999995</v>
      </c>
      <c r="G27" s="33" t="s">
        <v>43</v>
      </c>
      <c r="H27" s="7">
        <f>SUM(H25:H26)</f>
        <v>1022.5991999999999</v>
      </c>
    </row>
    <row r="28" spans="1:14" ht="15" x14ac:dyDescent="0.35">
      <c r="G28" s="33" t="s">
        <v>44</v>
      </c>
      <c r="H28" s="31">
        <f>-H34*0.21</f>
        <v>-134.27242499999997</v>
      </c>
    </row>
    <row r="29" spans="1:14" x14ac:dyDescent="0.2">
      <c r="H29" s="7">
        <f>H27+H28</f>
        <v>888.32677499999988</v>
      </c>
    </row>
    <row r="30" spans="1:14" x14ac:dyDescent="0.2">
      <c r="H30" s="7">
        <f>H29-K15</f>
        <v>-8.6100000000101318E-2</v>
      </c>
    </row>
    <row r="31" spans="1:14" x14ac:dyDescent="0.2">
      <c r="C31" s="7" t="s">
        <v>39</v>
      </c>
      <c r="D31" s="27" t="s">
        <v>35</v>
      </c>
      <c r="E31" s="28" t="s">
        <v>40</v>
      </c>
      <c r="F31" s="7" t="s">
        <v>41</v>
      </c>
      <c r="G31" s="8" t="s">
        <v>28</v>
      </c>
      <c r="H31" s="7" t="s">
        <v>42</v>
      </c>
    </row>
    <row r="32" spans="1:14" x14ac:dyDescent="0.2">
      <c r="C32" s="7">
        <v>2772037</v>
      </c>
      <c r="D32" s="7">
        <f>D25</f>
        <v>3052</v>
      </c>
      <c r="E32" s="7">
        <v>14269.06</v>
      </c>
      <c r="F32" s="7">
        <f>E32-D32</f>
        <v>11217.06</v>
      </c>
      <c r="G32" s="8">
        <v>0.05</v>
      </c>
      <c r="H32" s="7">
        <f>F32*G32</f>
        <v>560.85299999999995</v>
      </c>
    </row>
    <row r="33" spans="3:8" ht="15" x14ac:dyDescent="0.35">
      <c r="C33" s="7">
        <v>305156</v>
      </c>
      <c r="E33" s="31">
        <v>1570.79</v>
      </c>
      <c r="F33" s="31">
        <f>E33-D33</f>
        <v>1570.79</v>
      </c>
      <c r="G33" s="8">
        <v>0.05</v>
      </c>
      <c r="H33" s="31">
        <f>F33*G33</f>
        <v>78.539500000000004</v>
      </c>
    </row>
    <row r="34" spans="3:8" x14ac:dyDescent="0.2">
      <c r="E34" s="7">
        <f>SUM(E32:E33)</f>
        <v>15839.849999999999</v>
      </c>
      <c r="F34" s="7">
        <f>SUM(F32:F33)</f>
        <v>12787.849999999999</v>
      </c>
      <c r="H34" s="7">
        <f>SUM(H32:H33)</f>
        <v>639.39249999999993</v>
      </c>
    </row>
    <row r="35" spans="3:8" x14ac:dyDescent="0.2">
      <c r="H35" s="7">
        <f>H34-L15</f>
        <v>0</v>
      </c>
    </row>
  </sheetData>
  <pageMargins left="0.7" right="0.7" top="1.15625" bottom="0.75" header="0.3" footer="0.3"/>
  <pageSetup scale="52" orientation="portrait" r:id="rId1"/>
  <headerFooter>
    <oddHeader>&amp;R&amp;"Times New Roman,Bold"&amp;12Attachment to Response to Question 3
Page 10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1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2.7109375" customWidth="1"/>
    <col min="4" max="4" width="14.28515625" bestFit="1" customWidth="1"/>
    <col min="5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2.8554687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6" x14ac:dyDescent="0.2">
      <c r="A5" s="9" t="s">
        <v>21</v>
      </c>
    </row>
    <row r="6" spans="1:16" x14ac:dyDescent="0.2">
      <c r="A6" s="11" t="s">
        <v>54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482235</v>
      </c>
    </row>
    <row r="10" spans="1:16" x14ac:dyDescent="0.2">
      <c r="A10" s="38">
        <v>43899</v>
      </c>
      <c r="C10" s="7">
        <v>4236945</v>
      </c>
      <c r="D10" s="15">
        <v>10752</v>
      </c>
      <c r="E10" s="10">
        <f t="shared" ref="E10:E15" si="0">23919.93</f>
        <v>23919.93</v>
      </c>
      <c r="F10" s="10">
        <v>42890.41</v>
      </c>
      <c r="G10" s="7">
        <f t="shared" ref="G10:G15" si="1">E10-D10</f>
        <v>13167.93</v>
      </c>
      <c r="H10" s="7">
        <f t="shared" ref="H10:H15" si="2">F10-D10</f>
        <v>32138.410000000003</v>
      </c>
      <c r="I10" s="8">
        <v>0.21</v>
      </c>
      <c r="J10" s="8">
        <v>0.05</v>
      </c>
      <c r="K10" s="7">
        <f t="shared" ref="K10:K15" si="3">G10*I10-L10*I10</f>
        <v>2427.811995</v>
      </c>
      <c r="L10" s="7">
        <f t="shared" ref="L10:L15" si="4">H10*J10</f>
        <v>1606.9205000000002</v>
      </c>
      <c r="M10" s="7">
        <f t="shared" ref="M10:M15" si="5">M9+K10+L10</f>
        <v>486269.732495</v>
      </c>
      <c r="N10" s="7">
        <v>0</v>
      </c>
      <c r="O10" s="17"/>
      <c r="P10" s="19"/>
    </row>
    <row r="11" spans="1:16" x14ac:dyDescent="0.2">
      <c r="A11" s="38">
        <v>43922</v>
      </c>
      <c r="C11" s="7">
        <v>4236945</v>
      </c>
      <c r="D11" s="15">
        <v>10752</v>
      </c>
      <c r="E11" s="10">
        <f t="shared" si="0"/>
        <v>23919.93</v>
      </c>
      <c r="F11" s="10">
        <v>42890.41</v>
      </c>
      <c r="G11" s="7">
        <f t="shared" si="1"/>
        <v>13167.93</v>
      </c>
      <c r="H11" s="7">
        <f t="shared" si="2"/>
        <v>32138.410000000003</v>
      </c>
      <c r="I11" s="8">
        <v>0.21</v>
      </c>
      <c r="J11" s="8">
        <v>0.05</v>
      </c>
      <c r="K11" s="7">
        <f t="shared" si="3"/>
        <v>2427.811995</v>
      </c>
      <c r="L11" s="7">
        <f t="shared" si="4"/>
        <v>1606.9205000000002</v>
      </c>
      <c r="M11" s="24">
        <f t="shared" si="5"/>
        <v>490304.46499000001</v>
      </c>
      <c r="N11" s="7">
        <v>0</v>
      </c>
      <c r="O11" s="17"/>
      <c r="P11" s="19"/>
    </row>
    <row r="12" spans="1:16" x14ac:dyDescent="0.2">
      <c r="A12" s="38">
        <v>43952</v>
      </c>
      <c r="C12" s="7">
        <v>4236945</v>
      </c>
      <c r="D12" s="15">
        <v>10752</v>
      </c>
      <c r="E12" s="10">
        <f t="shared" si="0"/>
        <v>23919.93</v>
      </c>
      <c r="F12" s="10">
        <v>42890.41</v>
      </c>
      <c r="G12" s="7">
        <f t="shared" si="1"/>
        <v>13167.93</v>
      </c>
      <c r="H12" s="7">
        <f t="shared" si="2"/>
        <v>32138.410000000003</v>
      </c>
      <c r="I12" s="8">
        <v>0.21</v>
      </c>
      <c r="J12" s="8">
        <v>0.05</v>
      </c>
      <c r="K12" s="7">
        <f t="shared" si="3"/>
        <v>2427.811995</v>
      </c>
      <c r="L12" s="7">
        <f t="shared" si="4"/>
        <v>1606.9205000000002</v>
      </c>
      <c r="M12" s="7">
        <f t="shared" si="5"/>
        <v>494339.19748500001</v>
      </c>
      <c r="N12" s="7">
        <v>0</v>
      </c>
      <c r="O12" s="23"/>
      <c r="P12" s="19"/>
    </row>
    <row r="13" spans="1:16" x14ac:dyDescent="0.2">
      <c r="A13" s="38">
        <v>43983</v>
      </c>
      <c r="C13" s="7">
        <v>4236945</v>
      </c>
      <c r="D13" s="15">
        <v>10752</v>
      </c>
      <c r="E13" s="10">
        <f t="shared" si="0"/>
        <v>23919.93</v>
      </c>
      <c r="F13" s="10">
        <v>42890.41</v>
      </c>
      <c r="G13" s="7">
        <f t="shared" si="1"/>
        <v>13167.93</v>
      </c>
      <c r="H13" s="7">
        <f t="shared" si="2"/>
        <v>32138.410000000003</v>
      </c>
      <c r="I13" s="8">
        <v>0.21</v>
      </c>
      <c r="J13" s="8">
        <v>0.05</v>
      </c>
      <c r="K13" s="7">
        <f t="shared" si="3"/>
        <v>2427.811995</v>
      </c>
      <c r="L13" s="7">
        <f t="shared" si="4"/>
        <v>1606.9205000000002</v>
      </c>
      <c r="M13" s="7">
        <f t="shared" si="5"/>
        <v>498373.92998000002</v>
      </c>
      <c r="N13" s="7">
        <v>0</v>
      </c>
      <c r="O13" s="23"/>
      <c r="P13" s="19"/>
    </row>
    <row r="14" spans="1:16" x14ac:dyDescent="0.2">
      <c r="A14" s="38">
        <v>44013</v>
      </c>
      <c r="C14" s="7">
        <v>4236945</v>
      </c>
      <c r="D14" s="15">
        <v>10752</v>
      </c>
      <c r="E14" s="10">
        <f t="shared" si="0"/>
        <v>23919.93</v>
      </c>
      <c r="F14" s="10">
        <v>42890.41</v>
      </c>
      <c r="G14" s="7">
        <f t="shared" si="1"/>
        <v>13167.93</v>
      </c>
      <c r="H14" s="7">
        <f t="shared" si="2"/>
        <v>32138.410000000003</v>
      </c>
      <c r="I14" s="8">
        <v>0.21</v>
      </c>
      <c r="J14" s="8">
        <v>0.05</v>
      </c>
      <c r="K14" s="7">
        <f t="shared" si="3"/>
        <v>2427.811995</v>
      </c>
      <c r="L14" s="7">
        <f t="shared" si="4"/>
        <v>1606.9205000000002</v>
      </c>
      <c r="M14" s="7">
        <f t="shared" si="5"/>
        <v>502408.66247500002</v>
      </c>
      <c r="N14" s="7">
        <v>0</v>
      </c>
      <c r="O14" s="7"/>
      <c r="P14" s="19"/>
    </row>
    <row r="15" spans="1:16" x14ac:dyDescent="0.2">
      <c r="A15" s="38">
        <v>44044</v>
      </c>
      <c r="C15" s="7">
        <v>4236945</v>
      </c>
      <c r="D15" s="15">
        <v>10752</v>
      </c>
      <c r="E15" s="10">
        <f t="shared" si="0"/>
        <v>23919.93</v>
      </c>
      <c r="F15" s="10">
        <v>42890.41</v>
      </c>
      <c r="G15" s="7">
        <f t="shared" si="1"/>
        <v>13167.93</v>
      </c>
      <c r="H15" s="7">
        <f t="shared" si="2"/>
        <v>32138.410000000003</v>
      </c>
      <c r="I15" s="8">
        <v>0.21</v>
      </c>
      <c r="J15" s="8">
        <v>0.05</v>
      </c>
      <c r="K15" s="7">
        <f t="shared" si="3"/>
        <v>2427.811995</v>
      </c>
      <c r="L15" s="7">
        <f t="shared" si="4"/>
        <v>1606.9205000000002</v>
      </c>
      <c r="M15" s="7">
        <f t="shared" si="5"/>
        <v>506443.39497000002</v>
      </c>
      <c r="N15" s="7">
        <v>0</v>
      </c>
      <c r="P15" s="19"/>
    </row>
    <row r="16" spans="1:16" x14ac:dyDescent="0.2">
      <c r="A16" s="38"/>
      <c r="C16" s="7"/>
      <c r="D16" s="15"/>
      <c r="E16" s="15"/>
      <c r="F16" s="15"/>
      <c r="G16" s="7"/>
      <c r="H16" s="7"/>
      <c r="I16" s="8"/>
      <c r="J16" s="8"/>
      <c r="K16" s="7"/>
      <c r="L16" s="7"/>
      <c r="M16" s="7"/>
      <c r="N16" s="7"/>
      <c r="P16" s="19"/>
    </row>
    <row r="17" spans="1:16" x14ac:dyDescent="0.2">
      <c r="A17" s="38"/>
      <c r="C17" s="7"/>
      <c r="D17" s="15"/>
      <c r="E17" s="15"/>
      <c r="F17" s="15"/>
      <c r="G17" s="7"/>
      <c r="H17" s="7"/>
      <c r="I17" s="8"/>
      <c r="J17" s="8"/>
      <c r="K17" s="7"/>
      <c r="L17" s="7"/>
      <c r="M17" s="7"/>
      <c r="N17" s="7"/>
      <c r="P17" s="19"/>
    </row>
    <row r="18" spans="1:16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6" x14ac:dyDescent="0.2">
      <c r="A19" s="16"/>
      <c r="C19" s="43" t="s">
        <v>57</v>
      </c>
      <c r="L19" s="7"/>
      <c r="M19" s="7"/>
      <c r="N19" s="7"/>
    </row>
    <row r="20" spans="1:16" x14ac:dyDescent="0.2">
      <c r="A20" s="16"/>
      <c r="C20" s="43" t="s">
        <v>58</v>
      </c>
      <c r="L20" s="7"/>
      <c r="M20" s="7"/>
      <c r="N20" s="7"/>
    </row>
    <row r="21" spans="1:16" x14ac:dyDescent="0.2">
      <c r="C21" s="43" t="s">
        <v>65</v>
      </c>
    </row>
    <row r="22" spans="1:16" x14ac:dyDescent="0.2">
      <c r="C22" s="7" t="s">
        <v>32</v>
      </c>
    </row>
    <row r="24" spans="1:16" x14ac:dyDescent="0.2">
      <c r="C24" s="7" t="s">
        <v>34</v>
      </c>
      <c r="D24" s="29" t="s">
        <v>35</v>
      </c>
      <c r="E24" s="28" t="s">
        <v>36</v>
      </c>
      <c r="F24" s="7" t="s">
        <v>37</v>
      </c>
      <c r="G24" s="8" t="s">
        <v>27</v>
      </c>
      <c r="H24" s="7" t="s">
        <v>38</v>
      </c>
    </row>
    <row r="25" spans="1:16" x14ac:dyDescent="0.2">
      <c r="C25" s="7">
        <v>724052</v>
      </c>
      <c r="D25" s="7">
        <v>10752</v>
      </c>
      <c r="E25" s="7">
        <v>4028.74</v>
      </c>
      <c r="F25" s="7">
        <f>E25-D25</f>
        <v>-6723.26</v>
      </c>
      <c r="G25" s="8">
        <v>0.21</v>
      </c>
      <c r="H25" s="7">
        <f>F25*G25</f>
        <v>-1411.8846000000001</v>
      </c>
    </row>
    <row r="26" spans="1:16" x14ac:dyDescent="0.2">
      <c r="C26" s="7">
        <v>314156</v>
      </c>
      <c r="D26" s="7"/>
      <c r="E26" s="7">
        <v>5235.93</v>
      </c>
      <c r="F26" s="7">
        <f>E26</f>
        <v>5235.93</v>
      </c>
      <c r="G26" s="8">
        <v>0.21</v>
      </c>
      <c r="H26" s="7">
        <f t="shared" ref="H26:H28" si="6">F26*G26</f>
        <v>1099.5453</v>
      </c>
    </row>
    <row r="27" spans="1:16" x14ac:dyDescent="0.2">
      <c r="C27" s="7">
        <v>771922</v>
      </c>
      <c r="D27" s="7"/>
      <c r="E27" s="7">
        <v>9189.5499999999993</v>
      </c>
      <c r="F27" s="7">
        <f>E27</f>
        <v>9189.5499999999993</v>
      </c>
      <c r="G27" s="8">
        <v>0.21</v>
      </c>
      <c r="H27" s="7">
        <f t="shared" si="6"/>
        <v>1929.8054999999997</v>
      </c>
    </row>
    <row r="28" spans="1:16" x14ac:dyDescent="0.2">
      <c r="C28" s="7">
        <v>228999</v>
      </c>
      <c r="D28" s="7"/>
      <c r="E28" s="7">
        <v>1274.19</v>
      </c>
      <c r="F28" s="7">
        <f>E28</f>
        <v>1274.19</v>
      </c>
      <c r="G28" s="8">
        <v>0.21</v>
      </c>
      <c r="H28" s="7">
        <f t="shared" si="6"/>
        <v>267.57990000000001</v>
      </c>
    </row>
    <row r="29" spans="1:16" ht="15" x14ac:dyDescent="0.35">
      <c r="C29" s="7">
        <v>343498</v>
      </c>
      <c r="D29" s="37"/>
      <c r="E29" s="31">
        <v>4191.53</v>
      </c>
      <c r="F29" s="31">
        <f>E29</f>
        <v>4191.53</v>
      </c>
      <c r="G29" s="46">
        <v>0.21</v>
      </c>
      <c r="H29" s="31">
        <f>F29*G29</f>
        <v>880.22129999999993</v>
      </c>
    </row>
    <row r="30" spans="1:16" x14ac:dyDescent="0.2">
      <c r="E30" s="19">
        <f>SUM(E25:E29)</f>
        <v>23919.94</v>
      </c>
      <c r="F30" s="19">
        <f>SUM(F25:F29)</f>
        <v>13167.939999999999</v>
      </c>
      <c r="G30" s="33" t="s">
        <v>43</v>
      </c>
      <c r="H30" s="19">
        <f>SUM(H25:H29)</f>
        <v>2765.2673999999997</v>
      </c>
    </row>
    <row r="31" spans="1:16" ht="15" x14ac:dyDescent="0.35">
      <c r="G31" s="33" t="s">
        <v>44</v>
      </c>
      <c r="H31" s="31">
        <f>-H40*0.21</f>
        <v>-337.45330500000006</v>
      </c>
    </row>
    <row r="32" spans="1:16" x14ac:dyDescent="0.2">
      <c r="H32" s="7">
        <f>H30+H31</f>
        <v>2427.8140949999997</v>
      </c>
    </row>
    <row r="33" spans="3:8" x14ac:dyDescent="0.2">
      <c r="H33" s="7">
        <f>H32-K15</f>
        <v>2.0999999997002305E-3</v>
      </c>
    </row>
    <row r="34" spans="3:8" x14ac:dyDescent="0.2">
      <c r="C34" s="7" t="s">
        <v>39</v>
      </c>
      <c r="D34" s="27" t="s">
        <v>35</v>
      </c>
      <c r="E34" s="28" t="s">
        <v>40</v>
      </c>
      <c r="F34" s="7" t="s">
        <v>41</v>
      </c>
      <c r="G34" s="8" t="s">
        <v>28</v>
      </c>
      <c r="H34" s="7" t="s">
        <v>42</v>
      </c>
    </row>
    <row r="35" spans="3:8" x14ac:dyDescent="0.2">
      <c r="C35" s="7">
        <v>1276565</v>
      </c>
      <c r="D35" s="7">
        <f>D25</f>
        <v>10752</v>
      </c>
      <c r="E35" s="7">
        <v>7103.02</v>
      </c>
      <c r="F35" s="7">
        <f>E35-D35</f>
        <v>-3648.9799999999996</v>
      </c>
      <c r="G35" s="8">
        <v>0.05</v>
      </c>
      <c r="H35" s="7">
        <f>F35*G35</f>
        <v>-182.44899999999998</v>
      </c>
    </row>
    <row r="36" spans="3:8" x14ac:dyDescent="0.2">
      <c r="C36" s="7">
        <v>628311</v>
      </c>
      <c r="D36" s="7"/>
      <c r="E36" s="7">
        <v>10471.85</v>
      </c>
      <c r="F36" s="7">
        <f>E36</f>
        <v>10471.85</v>
      </c>
      <c r="G36" s="8">
        <v>0.05</v>
      </c>
      <c r="H36" s="7">
        <f t="shared" ref="H36:H39" si="7">F36*G36</f>
        <v>523.59250000000009</v>
      </c>
    </row>
    <row r="37" spans="3:8" x14ac:dyDescent="0.2">
      <c r="C37" s="7">
        <v>1286537</v>
      </c>
      <c r="D37" s="7"/>
      <c r="E37" s="37">
        <v>15315.91</v>
      </c>
      <c r="F37" s="37">
        <f t="shared" ref="F37:F39" si="8">E37</f>
        <v>15315.91</v>
      </c>
      <c r="G37" s="46">
        <v>0.05</v>
      </c>
      <c r="H37" s="7">
        <f t="shared" si="7"/>
        <v>765.79550000000006</v>
      </c>
    </row>
    <row r="38" spans="3:8" x14ac:dyDescent="0.2">
      <c r="C38" s="7">
        <v>418213</v>
      </c>
      <c r="D38" s="7"/>
      <c r="E38" s="37">
        <v>2327.0100000000002</v>
      </c>
      <c r="F38" s="37">
        <f t="shared" si="8"/>
        <v>2327.0100000000002</v>
      </c>
      <c r="G38" s="46">
        <v>0.05</v>
      </c>
      <c r="H38" s="7">
        <f t="shared" si="7"/>
        <v>116.35050000000001</v>
      </c>
    </row>
    <row r="39" spans="3:8" ht="15" x14ac:dyDescent="0.35">
      <c r="C39" s="7">
        <v>627319</v>
      </c>
      <c r="D39" s="7"/>
      <c r="E39" s="31">
        <v>7672.62</v>
      </c>
      <c r="F39" s="31">
        <f t="shared" si="8"/>
        <v>7672.62</v>
      </c>
      <c r="G39" s="46">
        <v>0.05</v>
      </c>
      <c r="H39" s="31">
        <f t="shared" si="7"/>
        <v>383.63100000000003</v>
      </c>
    </row>
    <row r="40" spans="3:8" x14ac:dyDescent="0.2">
      <c r="E40" s="7">
        <f>SUM(E35:E39)</f>
        <v>42890.41</v>
      </c>
      <c r="F40" s="7">
        <f>SUM(F35:F39)</f>
        <v>32138.41</v>
      </c>
      <c r="H40" s="7">
        <f>SUM(H35:H39)</f>
        <v>1606.9205000000004</v>
      </c>
    </row>
    <row r="41" spans="3:8" x14ac:dyDescent="0.2">
      <c r="H41" s="7">
        <f>H40-L15</f>
        <v>0</v>
      </c>
    </row>
  </sheetData>
  <pageMargins left="0.7" right="0.7" top="1.15625" bottom="0.75" header="0.3" footer="0.3"/>
  <pageSetup scale="52" orientation="portrait" r:id="rId1"/>
  <headerFooter>
    <oddHeader>&amp;R&amp;"Times New Roman,Bold"&amp;12Attachment to Response to Question 3
Page 11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2374E-388D-4C97-8725-60B636E9F3ED}">
  <dimension ref="A1:Q35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28515625" customWidth="1"/>
    <col min="4" max="4" width="14.28515625" bestFit="1" customWidth="1"/>
    <col min="5" max="5" width="16.42578125" customWidth="1"/>
    <col min="6" max="6" width="15.57031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hidden="1" customWidth="1"/>
    <col min="16" max="16" width="14.5703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7" x14ac:dyDescent="0.2">
      <c r="A5" s="9" t="s">
        <v>21</v>
      </c>
    </row>
    <row r="6" spans="1:17" x14ac:dyDescent="0.2">
      <c r="A6" s="11" t="s">
        <v>59</v>
      </c>
    </row>
    <row r="7" spans="1:17" x14ac:dyDescent="0.2">
      <c r="Q7" t="s">
        <v>11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0</v>
      </c>
    </row>
    <row r="10" spans="1:17" x14ac:dyDescent="0.2">
      <c r="A10" s="38">
        <v>43899</v>
      </c>
      <c r="C10" s="7"/>
      <c r="D10" s="15"/>
      <c r="E10" s="10"/>
      <c r="F10" s="10"/>
      <c r="G10" s="7">
        <f>E10-D10</f>
        <v>0</v>
      </c>
      <c r="H10" s="7">
        <f>F10-D10</f>
        <v>0</v>
      </c>
      <c r="I10" s="8">
        <v>0.21</v>
      </c>
      <c r="J10" s="8">
        <v>0.05</v>
      </c>
      <c r="K10" s="7">
        <f>G10*I10-L10*I10</f>
        <v>0</v>
      </c>
      <c r="L10" s="7">
        <f>H10*J10</f>
        <v>0</v>
      </c>
      <c r="M10" s="7">
        <f t="shared" ref="M10:M15" si="0">M9+K10+L10</f>
        <v>0</v>
      </c>
      <c r="N10" s="7">
        <v>0</v>
      </c>
      <c r="P10" s="17"/>
    </row>
    <row r="11" spans="1:17" x14ac:dyDescent="0.2">
      <c r="A11" s="38">
        <v>43922</v>
      </c>
      <c r="C11" s="7">
        <v>154616887</v>
      </c>
      <c r="D11" s="15">
        <v>279299</v>
      </c>
      <c r="E11" s="10">
        <f>888191.57/12*8.64574</f>
        <v>639922.78203431657</v>
      </c>
      <c r="F11" s="10">
        <f>888191.57/12*8.64574</f>
        <v>639922.78203431657</v>
      </c>
      <c r="G11" s="7">
        <f t="shared" ref="G11:G13" si="1">E11-D11</f>
        <v>360623.78203431657</v>
      </c>
      <c r="H11" s="7">
        <f t="shared" ref="H11:H13" si="2">F11-D11</f>
        <v>360623.78203431657</v>
      </c>
      <c r="I11" s="8">
        <v>0.21</v>
      </c>
      <c r="J11" s="8">
        <v>0.05</v>
      </c>
      <c r="K11" s="7">
        <f t="shared" ref="K11:K13" si="3">G11*I11-L11*I11</f>
        <v>71944.44451584616</v>
      </c>
      <c r="L11" s="7">
        <f t="shared" ref="L11:L13" si="4">H11*J11</f>
        <v>18031.18910171583</v>
      </c>
      <c r="M11" s="7">
        <f t="shared" si="0"/>
        <v>89975.633617561994</v>
      </c>
      <c r="N11" s="7">
        <v>0</v>
      </c>
      <c r="O11" s="7">
        <f>1598189-M12</f>
        <v>1418236.0391674379</v>
      </c>
      <c r="P11" s="17"/>
    </row>
    <row r="12" spans="1:17" x14ac:dyDescent="0.2">
      <c r="A12" s="38">
        <v>43952</v>
      </c>
      <c r="C12" s="7">
        <f>C11</f>
        <v>154616887</v>
      </c>
      <c r="D12" s="15">
        <v>558598</v>
      </c>
      <c r="E12" s="10">
        <f>888191.57+31037</f>
        <v>919228.57</v>
      </c>
      <c r="F12" s="10">
        <f>888191.57+31037</f>
        <v>919228.57</v>
      </c>
      <c r="G12" s="7">
        <f t="shared" ref="G12" si="5">E12-D12</f>
        <v>360630.56999999995</v>
      </c>
      <c r="H12" s="7">
        <f t="shared" ref="H12" si="6">F12-D12</f>
        <v>360630.56999999995</v>
      </c>
      <c r="I12" s="8">
        <v>0.21</v>
      </c>
      <c r="J12" s="8">
        <v>0.05</v>
      </c>
      <c r="K12" s="7">
        <f t="shared" si="3"/>
        <v>71945.798714999983</v>
      </c>
      <c r="L12" s="7">
        <f t="shared" si="4"/>
        <v>18031.528499999997</v>
      </c>
      <c r="M12" s="7">
        <f t="shared" si="0"/>
        <v>179952.96083256198</v>
      </c>
      <c r="N12" s="7">
        <v>0</v>
      </c>
      <c r="O12" s="17">
        <f>+O11/0.389</f>
        <v>3645851.0004304317</v>
      </c>
    </row>
    <row r="13" spans="1:17" x14ac:dyDescent="0.2">
      <c r="A13" s="38">
        <v>43983</v>
      </c>
      <c r="C13" s="7">
        <f>C12</f>
        <v>154616887</v>
      </c>
      <c r="D13" s="15">
        <f>D12</f>
        <v>558598</v>
      </c>
      <c r="E13" s="10">
        <f>888191.57+31033.8</f>
        <v>919225.37</v>
      </c>
      <c r="F13" s="10">
        <f>888191.57+31033.8</f>
        <v>919225.37</v>
      </c>
      <c r="G13" s="7">
        <f t="shared" si="1"/>
        <v>360627.37</v>
      </c>
      <c r="H13" s="7">
        <f t="shared" si="2"/>
        <v>360627.37</v>
      </c>
      <c r="I13" s="8">
        <v>0.21</v>
      </c>
      <c r="J13" s="8">
        <v>0.05</v>
      </c>
      <c r="K13" s="7">
        <f t="shared" si="3"/>
        <v>71945.160314999986</v>
      </c>
      <c r="L13" s="7">
        <f t="shared" si="4"/>
        <v>18031.3685</v>
      </c>
      <c r="M13" s="7">
        <f t="shared" si="0"/>
        <v>269929.48964756198</v>
      </c>
      <c r="N13" s="7">
        <v>0</v>
      </c>
      <c r="O13" s="7">
        <f>1923738-M14</f>
        <v>1563831.981537438</v>
      </c>
    </row>
    <row r="14" spans="1:17" x14ac:dyDescent="0.2">
      <c r="A14" s="38">
        <v>44013</v>
      </c>
      <c r="C14" s="7">
        <f>C13</f>
        <v>154616887</v>
      </c>
      <c r="D14" s="15">
        <f>D13</f>
        <v>558598</v>
      </c>
      <c r="E14" s="10">
        <f>888191.57+31033.8</f>
        <v>919225.37</v>
      </c>
      <c r="F14" s="10">
        <f>888191.57+31033.8</f>
        <v>919225.37</v>
      </c>
      <c r="G14" s="7">
        <f>E14-D14</f>
        <v>360627.37</v>
      </c>
      <c r="H14" s="7">
        <f>F14-D14</f>
        <v>360627.37</v>
      </c>
      <c r="I14" s="8">
        <v>0.21</v>
      </c>
      <c r="J14" s="8">
        <v>0.05</v>
      </c>
      <c r="K14" s="7">
        <f>G14*I14-L14*I14</f>
        <v>71945.160314999986</v>
      </c>
      <c r="L14" s="7">
        <f>H14*J14</f>
        <v>18031.3685</v>
      </c>
      <c r="M14" s="7">
        <f t="shared" si="0"/>
        <v>359906.01846256194</v>
      </c>
      <c r="N14" s="7">
        <v>0</v>
      </c>
      <c r="O14" s="17">
        <f>+O13/0.389</f>
        <v>4020133.6286309459</v>
      </c>
      <c r="Q14" s="7"/>
    </row>
    <row r="15" spans="1:17" x14ac:dyDescent="0.2">
      <c r="A15" s="38">
        <v>44044</v>
      </c>
      <c r="C15" s="7">
        <f>C14</f>
        <v>154616887</v>
      </c>
      <c r="D15" s="15">
        <f>D14</f>
        <v>558598</v>
      </c>
      <c r="E15" s="10">
        <f>888191.57+31033.6</f>
        <v>919225.16999999993</v>
      </c>
      <c r="F15" s="10">
        <f>888191.57+31033.6</f>
        <v>919225.16999999993</v>
      </c>
      <c r="G15" s="7">
        <f>E15-D15</f>
        <v>360627.16999999993</v>
      </c>
      <c r="H15" s="7">
        <f>F15-D15</f>
        <v>360627.16999999993</v>
      </c>
      <c r="I15" s="8">
        <v>0.21</v>
      </c>
      <c r="J15" s="8">
        <v>0.05</v>
      </c>
      <c r="K15" s="7">
        <f>G15*I15-L15*I15</f>
        <v>71945.120414999983</v>
      </c>
      <c r="L15" s="7">
        <f>H15*J15</f>
        <v>18031.358499999998</v>
      </c>
      <c r="M15" s="7">
        <f t="shared" si="0"/>
        <v>449882.49737756187</v>
      </c>
      <c r="N15" s="7">
        <v>0</v>
      </c>
      <c r="O15" s="7">
        <f>+M15-2105354</f>
        <v>-1655471.5026224381</v>
      </c>
      <c r="Q15" s="7"/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9">
        <f>+O15/0.389</f>
        <v>-4255710.8036566535</v>
      </c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26"/>
    </row>
    <row r="20" spans="1:14" x14ac:dyDescent="0.2">
      <c r="C20" s="26"/>
    </row>
    <row r="21" spans="1:14" x14ac:dyDescent="0.2">
      <c r="C21" s="26"/>
    </row>
    <row r="22" spans="1:14" x14ac:dyDescent="0.2">
      <c r="C22" s="24"/>
    </row>
    <row r="24" spans="1:14" x14ac:dyDescent="0.2">
      <c r="C24" s="24"/>
      <c r="D24" s="29"/>
      <c r="E24" s="28"/>
      <c r="F24" s="24"/>
      <c r="G24" s="30"/>
      <c r="H24" s="24"/>
    </row>
    <row r="25" spans="1:14" x14ac:dyDescent="0.2">
      <c r="C25" s="7"/>
      <c r="D25" s="7"/>
      <c r="E25" s="7"/>
      <c r="F25" s="7"/>
      <c r="G25" s="8"/>
      <c r="H25" s="7"/>
    </row>
    <row r="26" spans="1:14" ht="15" x14ac:dyDescent="0.35">
      <c r="C26" s="7"/>
      <c r="D26" s="7"/>
      <c r="E26" s="31"/>
      <c r="F26" s="31"/>
      <c r="G26" s="8"/>
      <c r="H26" s="31"/>
    </row>
    <row r="27" spans="1:14" x14ac:dyDescent="0.2">
      <c r="E27" s="7"/>
      <c r="F27" s="7"/>
      <c r="G27" s="33"/>
      <c r="H27" s="7"/>
    </row>
    <row r="28" spans="1:14" ht="15" x14ac:dyDescent="0.35">
      <c r="G28" s="33"/>
      <c r="H28" s="31"/>
    </row>
    <row r="29" spans="1:14" x14ac:dyDescent="0.2">
      <c r="H29" s="7"/>
    </row>
    <row r="30" spans="1:14" x14ac:dyDescent="0.2">
      <c r="H30" s="7"/>
    </row>
    <row r="31" spans="1:14" x14ac:dyDescent="0.2">
      <c r="C31" s="24"/>
      <c r="D31" s="27"/>
      <c r="E31" s="28"/>
      <c r="F31" s="24"/>
      <c r="G31" s="30"/>
      <c r="H31" s="24"/>
    </row>
    <row r="32" spans="1:14" x14ac:dyDescent="0.2">
      <c r="C32" s="7"/>
      <c r="D32" s="7"/>
      <c r="E32" s="7"/>
      <c r="F32" s="7"/>
      <c r="G32" s="8"/>
      <c r="H32" s="7"/>
    </row>
    <row r="33" spans="3:8" ht="15" x14ac:dyDescent="0.35">
      <c r="C33" s="7"/>
      <c r="D33" s="7"/>
      <c r="E33" s="31"/>
      <c r="F33" s="31"/>
      <c r="G33" s="8"/>
      <c r="H33" s="31"/>
    </row>
    <row r="34" spans="3:8" x14ac:dyDescent="0.2">
      <c r="C34" s="7"/>
      <c r="D34" s="7"/>
      <c r="E34" s="7"/>
      <c r="F34" s="7"/>
      <c r="G34" s="8"/>
      <c r="H34" s="7"/>
    </row>
    <row r="35" spans="3:8" x14ac:dyDescent="0.2">
      <c r="H35" s="7"/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12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35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28515625" customWidth="1"/>
    <col min="4" max="4" width="14.28515625" bestFit="1" customWidth="1"/>
    <col min="5" max="5" width="16.42578125" customWidth="1"/>
    <col min="6" max="6" width="15.57031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hidden="1" customWidth="1"/>
    <col min="16" max="16" width="14.5703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7" x14ac:dyDescent="0.2">
      <c r="A5" s="9" t="s">
        <v>21</v>
      </c>
    </row>
    <row r="6" spans="1:17" x14ac:dyDescent="0.2">
      <c r="A6" s="11" t="s">
        <v>22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3429859</v>
      </c>
    </row>
    <row r="10" spans="1:17" x14ac:dyDescent="0.2">
      <c r="A10" s="38">
        <v>43899</v>
      </c>
      <c r="C10" s="7">
        <v>40829262</v>
      </c>
      <c r="D10" s="15">
        <v>73833</v>
      </c>
      <c r="E10" s="10">
        <f t="shared" ref="E10:E15" si="0">155582.16</f>
        <v>155582.16</v>
      </c>
      <c r="F10" s="10">
        <v>245318.05</v>
      </c>
      <c r="G10" s="7">
        <f>E10-D10</f>
        <v>81749.16</v>
      </c>
      <c r="H10" s="7">
        <f>F10-D10</f>
        <v>171485.05</v>
      </c>
      <c r="I10" s="8">
        <v>0.21</v>
      </c>
      <c r="J10" s="8">
        <v>0.05</v>
      </c>
      <c r="K10" s="7">
        <f>G10*I10-L10*I10</f>
        <v>15366.730575</v>
      </c>
      <c r="L10" s="7">
        <f>H10*J10</f>
        <v>8574.2525000000005</v>
      </c>
      <c r="M10" s="7">
        <f t="shared" ref="M10:M15" si="1">M9+K10+L10</f>
        <v>3453799.9830749999</v>
      </c>
      <c r="N10" s="7">
        <v>0</v>
      </c>
      <c r="P10" s="17"/>
    </row>
    <row r="11" spans="1:17" x14ac:dyDescent="0.2">
      <c r="A11" s="38">
        <v>43922</v>
      </c>
      <c r="C11" s="7">
        <v>40829262</v>
      </c>
      <c r="D11" s="15">
        <v>73833</v>
      </c>
      <c r="E11" s="10">
        <f t="shared" si="0"/>
        <v>155582.16</v>
      </c>
      <c r="F11" s="10">
        <v>245318.05</v>
      </c>
      <c r="G11" s="7">
        <f t="shared" ref="G11:G13" si="2">E11-D11</f>
        <v>81749.16</v>
      </c>
      <c r="H11" s="7">
        <f t="shared" ref="H11:H13" si="3">F11-D11</f>
        <v>171485.05</v>
      </c>
      <c r="I11" s="8">
        <v>0.21</v>
      </c>
      <c r="J11" s="8">
        <v>0.05</v>
      </c>
      <c r="K11" s="7">
        <f t="shared" ref="K11:K13" si="4">G11*I11-L11*I11</f>
        <v>15366.730575</v>
      </c>
      <c r="L11" s="7">
        <f t="shared" ref="L11:L13" si="5">H11*J11</f>
        <v>8574.2525000000005</v>
      </c>
      <c r="M11" s="7">
        <f t="shared" si="1"/>
        <v>3477740.9661499998</v>
      </c>
      <c r="N11" s="7">
        <v>0</v>
      </c>
      <c r="O11" s="7">
        <f>1598189-M12</f>
        <v>-1903492.9492249996</v>
      </c>
      <c r="P11" s="17"/>
    </row>
    <row r="12" spans="1:17" x14ac:dyDescent="0.2">
      <c r="A12" s="38">
        <v>43952</v>
      </c>
      <c r="C12" s="7">
        <v>40829262</v>
      </c>
      <c r="D12" s="15">
        <v>73833</v>
      </c>
      <c r="E12" s="10">
        <f t="shared" si="0"/>
        <v>155582.16</v>
      </c>
      <c r="F12" s="10">
        <v>245318.05</v>
      </c>
      <c r="G12" s="7">
        <f t="shared" si="2"/>
        <v>81749.16</v>
      </c>
      <c r="H12" s="7">
        <f t="shared" si="3"/>
        <v>171485.05</v>
      </c>
      <c r="I12" s="8">
        <v>0.21</v>
      </c>
      <c r="J12" s="8">
        <v>0.05</v>
      </c>
      <c r="K12" s="7">
        <f t="shared" si="4"/>
        <v>15366.730575</v>
      </c>
      <c r="L12" s="7">
        <f t="shared" si="5"/>
        <v>8574.2525000000005</v>
      </c>
      <c r="M12" s="7">
        <f t="shared" si="1"/>
        <v>3501681.9492249996</v>
      </c>
      <c r="N12" s="7">
        <v>0</v>
      </c>
      <c r="O12" s="17">
        <f>+O11/0.389</f>
        <v>-4893298.0699871453</v>
      </c>
    </row>
    <row r="13" spans="1:17" x14ac:dyDescent="0.2">
      <c r="A13" s="38">
        <v>43983</v>
      </c>
      <c r="C13" s="7">
        <v>40829262</v>
      </c>
      <c r="D13" s="15">
        <v>73833</v>
      </c>
      <c r="E13" s="10">
        <f t="shared" si="0"/>
        <v>155582.16</v>
      </c>
      <c r="F13" s="10">
        <v>245318.05</v>
      </c>
      <c r="G13" s="7">
        <f t="shared" si="2"/>
        <v>81749.16</v>
      </c>
      <c r="H13" s="7">
        <f t="shared" si="3"/>
        <v>171485.05</v>
      </c>
      <c r="I13" s="8">
        <v>0.21</v>
      </c>
      <c r="J13" s="8">
        <v>0.05</v>
      </c>
      <c r="K13" s="7">
        <f t="shared" si="4"/>
        <v>15366.730575</v>
      </c>
      <c r="L13" s="7">
        <f t="shared" si="5"/>
        <v>8574.2525000000005</v>
      </c>
      <c r="M13" s="7">
        <f t="shared" si="1"/>
        <v>3525622.9322999995</v>
      </c>
      <c r="N13" s="7">
        <v>0</v>
      </c>
      <c r="O13" s="7">
        <f>1923738-M14</f>
        <v>-1625825.9153749994</v>
      </c>
    </row>
    <row r="14" spans="1:17" x14ac:dyDescent="0.2">
      <c r="A14" s="38">
        <v>44013</v>
      </c>
      <c r="C14" s="7">
        <v>40829262</v>
      </c>
      <c r="D14" s="15">
        <v>73833</v>
      </c>
      <c r="E14" s="10">
        <f t="shared" si="0"/>
        <v>155582.16</v>
      </c>
      <c r="F14" s="10">
        <v>245318.05</v>
      </c>
      <c r="G14" s="7">
        <f>E14-D14</f>
        <v>81749.16</v>
      </c>
      <c r="H14" s="7">
        <f>F14-D14</f>
        <v>171485.05</v>
      </c>
      <c r="I14" s="8">
        <v>0.21</v>
      </c>
      <c r="J14" s="8">
        <v>0.05</v>
      </c>
      <c r="K14" s="7">
        <f>G14*I14-L14*I14</f>
        <v>15366.730575</v>
      </c>
      <c r="L14" s="7">
        <f>H14*J14</f>
        <v>8574.2525000000005</v>
      </c>
      <c r="M14" s="7">
        <f t="shared" si="1"/>
        <v>3549563.9153749994</v>
      </c>
      <c r="N14" s="7">
        <v>0</v>
      </c>
      <c r="O14" s="17">
        <f>+O13/0.389</f>
        <v>-4179501.0678020548</v>
      </c>
      <c r="Q14" s="7"/>
    </row>
    <row r="15" spans="1:17" x14ac:dyDescent="0.2">
      <c r="A15" s="38">
        <v>44044</v>
      </c>
      <c r="C15" s="7">
        <v>40829262</v>
      </c>
      <c r="D15" s="15">
        <v>73833</v>
      </c>
      <c r="E15" s="10">
        <f t="shared" si="0"/>
        <v>155582.16</v>
      </c>
      <c r="F15" s="10">
        <v>245318.05</v>
      </c>
      <c r="G15" s="7">
        <f>E15-D15</f>
        <v>81749.16</v>
      </c>
      <c r="H15" s="7">
        <f>F15-D15</f>
        <v>171485.05</v>
      </c>
      <c r="I15" s="8">
        <v>0.21</v>
      </c>
      <c r="J15" s="8">
        <v>0.05</v>
      </c>
      <c r="K15" s="7">
        <f>G15*I15-L15*I15</f>
        <v>15366.730575</v>
      </c>
      <c r="L15" s="7">
        <f>H15*J15</f>
        <v>8574.2525000000005</v>
      </c>
      <c r="M15" s="7">
        <f t="shared" si="1"/>
        <v>3573504.8984499993</v>
      </c>
      <c r="N15" s="7">
        <v>0</v>
      </c>
      <c r="O15" s="7">
        <f>+M15-2105354</f>
        <v>1468150.8984499993</v>
      </c>
      <c r="Q15" s="7"/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9">
        <f>+O15/0.389</f>
        <v>3774166.8340616948</v>
      </c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43" t="s">
        <v>52</v>
      </c>
    </row>
    <row r="20" spans="1:14" x14ac:dyDescent="0.2">
      <c r="C20" s="43" t="s">
        <v>31</v>
      </c>
    </row>
    <row r="21" spans="1:14" x14ac:dyDescent="0.2">
      <c r="C21" s="43" t="s">
        <v>62</v>
      </c>
    </row>
    <row r="22" spans="1:14" x14ac:dyDescent="0.2">
      <c r="C22" s="7" t="s">
        <v>32</v>
      </c>
    </row>
    <row r="24" spans="1:14" x14ac:dyDescent="0.2">
      <c r="C24" s="7" t="s">
        <v>34</v>
      </c>
      <c r="D24" s="29" t="s">
        <v>35</v>
      </c>
      <c r="E24" s="28" t="s">
        <v>36</v>
      </c>
      <c r="F24" s="7" t="s">
        <v>37</v>
      </c>
      <c r="G24" s="8" t="s">
        <v>27</v>
      </c>
      <c r="H24" s="7" t="s">
        <v>38</v>
      </c>
    </row>
    <row r="25" spans="1:14" x14ac:dyDescent="0.2">
      <c r="C25" s="7">
        <v>175037.2</v>
      </c>
      <c r="D25" s="7">
        <v>73833</v>
      </c>
      <c r="E25" s="7">
        <v>901</v>
      </c>
      <c r="F25" s="7">
        <f>E25-D25</f>
        <v>-72932</v>
      </c>
      <c r="G25" s="8">
        <v>0.21</v>
      </c>
      <c r="H25" s="7">
        <f>F25*G25</f>
        <v>-15315.72</v>
      </c>
    </row>
    <row r="26" spans="1:14" ht="15" x14ac:dyDescent="0.35">
      <c r="C26" s="7">
        <v>25712341</v>
      </c>
      <c r="D26" s="7"/>
      <c r="E26" s="31">
        <v>154681.20000000001</v>
      </c>
      <c r="F26" s="31">
        <f>E26</f>
        <v>154681.20000000001</v>
      </c>
      <c r="G26" s="8">
        <v>0.21</v>
      </c>
      <c r="H26" s="31">
        <f>F26*G26</f>
        <v>32483.052</v>
      </c>
    </row>
    <row r="27" spans="1:14" x14ac:dyDescent="0.2">
      <c r="E27" s="7">
        <f>E25+E26</f>
        <v>155582.20000000001</v>
      </c>
      <c r="F27" s="7">
        <f>F25+F26</f>
        <v>81749.200000000012</v>
      </c>
      <c r="G27" s="33" t="s">
        <v>43</v>
      </c>
      <c r="H27" s="7">
        <f>H25+H26</f>
        <v>17167.332000000002</v>
      </c>
    </row>
    <row r="28" spans="1:14" ht="15" x14ac:dyDescent="0.35">
      <c r="G28" s="33" t="s">
        <v>44</v>
      </c>
      <c r="H28" s="31">
        <f>-H34*0.21</f>
        <v>-1800.592605</v>
      </c>
    </row>
    <row r="29" spans="1:14" x14ac:dyDescent="0.2">
      <c r="H29" s="7">
        <f>H27+H28</f>
        <v>15366.739395000002</v>
      </c>
    </row>
    <row r="30" spans="1:14" x14ac:dyDescent="0.2">
      <c r="H30" s="7">
        <f>H29-K15</f>
        <v>8.820000002742745E-3</v>
      </c>
    </row>
    <row r="31" spans="1:14" x14ac:dyDescent="0.2">
      <c r="C31" s="7" t="s">
        <v>39</v>
      </c>
      <c r="D31" s="27" t="s">
        <v>35</v>
      </c>
      <c r="E31" s="28" t="s">
        <v>40</v>
      </c>
      <c r="F31" s="7" t="s">
        <v>41</v>
      </c>
      <c r="G31" s="8" t="s">
        <v>28</v>
      </c>
      <c r="H31" s="7" t="s">
        <v>42</v>
      </c>
    </row>
    <row r="32" spans="1:14" x14ac:dyDescent="0.2">
      <c r="C32" s="7">
        <v>350074.4</v>
      </c>
      <c r="D32" s="7">
        <f>D25</f>
        <v>73833</v>
      </c>
      <c r="E32" s="7">
        <v>1802.01</v>
      </c>
      <c r="F32" s="7">
        <f>E32-D32</f>
        <v>-72030.990000000005</v>
      </c>
      <c r="G32" s="8">
        <v>0.05</v>
      </c>
      <c r="H32" s="7">
        <f>F32*G32</f>
        <v>-3601.5495000000005</v>
      </c>
    </row>
    <row r="33" spans="3:8" ht="15" x14ac:dyDescent="0.35">
      <c r="C33" s="7">
        <v>40479188</v>
      </c>
      <c r="D33" s="7"/>
      <c r="E33" s="31">
        <v>243516</v>
      </c>
      <c r="F33" s="31">
        <f>E33-D33</f>
        <v>243516</v>
      </c>
      <c r="G33" s="8">
        <v>0.05</v>
      </c>
      <c r="H33" s="31">
        <f>F33*G33</f>
        <v>12175.800000000001</v>
      </c>
    </row>
    <row r="34" spans="3:8" x14ac:dyDescent="0.2">
      <c r="E34" s="7">
        <f>SUM(E32:E33)</f>
        <v>245318.01</v>
      </c>
      <c r="F34" s="7">
        <f>SUM(F32:F33)</f>
        <v>171485.01</v>
      </c>
      <c r="H34" s="7">
        <f>SUM(H32:H33)</f>
        <v>8574.2505000000001</v>
      </c>
    </row>
    <row r="35" spans="3:8" x14ac:dyDescent="0.2">
      <c r="H35" s="7">
        <f>H34-L15</f>
        <v>-2.0000000004074536E-3</v>
      </c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13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0932C-395C-4F36-A16E-83860B4C88FD}">
  <dimension ref="A1:Q33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28515625" customWidth="1"/>
    <col min="4" max="4" width="14.28515625" bestFit="1" customWidth="1"/>
    <col min="5" max="5" width="16.42578125" customWidth="1"/>
    <col min="6" max="6" width="15.57031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hidden="1" customWidth="1"/>
    <col min="16" max="16" width="14.5703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7" x14ac:dyDescent="0.2">
      <c r="A5" s="9" t="s">
        <v>21</v>
      </c>
    </row>
    <row r="6" spans="1:17" x14ac:dyDescent="0.2">
      <c r="A6" s="11" t="s">
        <v>60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0</v>
      </c>
    </row>
    <row r="10" spans="1:17" x14ac:dyDescent="0.2">
      <c r="A10" s="38">
        <v>43899</v>
      </c>
      <c r="C10" s="7"/>
      <c r="D10" s="15"/>
      <c r="E10" s="10"/>
      <c r="F10" s="10"/>
      <c r="G10" s="7">
        <f>E10-D10</f>
        <v>0</v>
      </c>
      <c r="H10" s="7">
        <f>F10-D10</f>
        <v>0</v>
      </c>
      <c r="I10" s="8">
        <v>0.21</v>
      </c>
      <c r="J10" s="8">
        <v>0.05</v>
      </c>
      <c r="K10" s="7">
        <f>G10*I10-L10*I10</f>
        <v>0</v>
      </c>
      <c r="L10" s="7">
        <f>H10*J10</f>
        <v>0</v>
      </c>
      <c r="M10" s="7">
        <f t="shared" ref="M10:M15" si="0">M9+K10+L10</f>
        <v>0</v>
      </c>
      <c r="N10" s="7">
        <v>0</v>
      </c>
      <c r="P10" s="17"/>
    </row>
    <row r="11" spans="1:17" x14ac:dyDescent="0.2">
      <c r="A11" s="38">
        <v>43922</v>
      </c>
      <c r="C11" s="7"/>
      <c r="D11" s="15"/>
      <c r="E11" s="10"/>
      <c r="F11" s="10"/>
      <c r="G11" s="7">
        <f t="shared" ref="G11:G13" si="1">E11-D11</f>
        <v>0</v>
      </c>
      <c r="H11" s="7">
        <f t="shared" ref="H11:H13" si="2">F11-D11</f>
        <v>0</v>
      </c>
      <c r="I11" s="8">
        <v>0.21</v>
      </c>
      <c r="J11" s="8">
        <v>0.05</v>
      </c>
      <c r="K11" s="7">
        <f t="shared" ref="K11:K13" si="3">G11*I11-L11*I11</f>
        <v>0</v>
      </c>
      <c r="L11" s="7">
        <f t="shared" ref="L11:L13" si="4">H11*J11</f>
        <v>0</v>
      </c>
      <c r="M11" s="7">
        <f t="shared" si="0"/>
        <v>0</v>
      </c>
      <c r="N11" s="7">
        <v>0</v>
      </c>
      <c r="O11" s="7">
        <f>1598189-M12</f>
        <v>1557193.83464</v>
      </c>
      <c r="P11" s="17"/>
    </row>
    <row r="12" spans="1:17" x14ac:dyDescent="0.2">
      <c r="A12" s="38">
        <v>43952</v>
      </c>
      <c r="C12" s="7">
        <v>25007838</v>
      </c>
      <c r="D12" s="15">
        <v>54079</v>
      </c>
      <c r="E12" s="10">
        <f>265708.28-47320</f>
        <v>218388.28000000003</v>
      </c>
      <c r="F12" s="10">
        <f>265708.28-47320</f>
        <v>218388.28000000003</v>
      </c>
      <c r="G12" s="7">
        <f t="shared" si="1"/>
        <v>164309.28000000003</v>
      </c>
      <c r="H12" s="7">
        <f t="shared" si="2"/>
        <v>164309.28000000003</v>
      </c>
      <c r="I12" s="8">
        <v>0.21</v>
      </c>
      <c r="J12" s="8">
        <v>0.05</v>
      </c>
      <c r="K12" s="7">
        <f t="shared" si="3"/>
        <v>32779.701360000006</v>
      </c>
      <c r="L12" s="7">
        <f t="shared" si="4"/>
        <v>8215.4640000000018</v>
      </c>
      <c r="M12" s="7">
        <f t="shared" si="0"/>
        <v>40995.165360000006</v>
      </c>
      <c r="N12" s="7">
        <v>0</v>
      </c>
      <c r="O12" s="17">
        <f>+O11/0.389</f>
        <v>4003068.9836503854</v>
      </c>
    </row>
    <row r="13" spans="1:17" x14ac:dyDescent="0.2">
      <c r="A13" s="38">
        <v>43983</v>
      </c>
      <c r="C13" s="7">
        <v>25007838</v>
      </c>
      <c r="D13" s="15">
        <v>108159</v>
      </c>
      <c r="E13" s="10">
        <f>265708.28+6760</f>
        <v>272468.28000000003</v>
      </c>
      <c r="F13" s="10">
        <f>265708.28+6760</f>
        <v>272468.28000000003</v>
      </c>
      <c r="G13" s="7">
        <f t="shared" si="1"/>
        <v>164309.28000000003</v>
      </c>
      <c r="H13" s="7">
        <f t="shared" si="2"/>
        <v>164309.28000000003</v>
      </c>
      <c r="I13" s="8">
        <v>0.21</v>
      </c>
      <c r="J13" s="8">
        <v>0.05</v>
      </c>
      <c r="K13" s="7">
        <f t="shared" si="3"/>
        <v>32779.701360000006</v>
      </c>
      <c r="L13" s="7">
        <f t="shared" si="4"/>
        <v>8215.4640000000018</v>
      </c>
      <c r="M13" s="7">
        <f t="shared" si="0"/>
        <v>81990.330720000027</v>
      </c>
      <c r="N13" s="7">
        <v>0</v>
      </c>
      <c r="O13" s="7">
        <f>1923738-M14</f>
        <v>1800752.4619199999</v>
      </c>
    </row>
    <row r="14" spans="1:17" x14ac:dyDescent="0.2">
      <c r="A14" s="38">
        <v>44013</v>
      </c>
      <c r="C14" s="7">
        <v>25007838</v>
      </c>
      <c r="D14" s="15">
        <v>108159</v>
      </c>
      <c r="E14" s="10">
        <f>265708.28+6760.2</f>
        <v>272468.48000000004</v>
      </c>
      <c r="F14" s="10">
        <f>265708.28+6760</f>
        <v>272468.28000000003</v>
      </c>
      <c r="G14" s="7">
        <f>E14-D14</f>
        <v>164309.48000000004</v>
      </c>
      <c r="H14" s="7">
        <f>F14-D14</f>
        <v>164309.28000000003</v>
      </c>
      <c r="I14" s="8">
        <v>0.21</v>
      </c>
      <c r="J14" s="8">
        <v>0.05</v>
      </c>
      <c r="K14" s="7">
        <f>G14*I14-L14*I14</f>
        <v>32779.743360000008</v>
      </c>
      <c r="L14" s="7">
        <f>H14*J14</f>
        <v>8215.4640000000018</v>
      </c>
      <c r="M14" s="7">
        <f t="shared" si="0"/>
        <v>122985.53808000004</v>
      </c>
      <c r="N14" s="7">
        <v>0</v>
      </c>
      <c r="O14" s="17">
        <f>+O13/0.389</f>
        <v>4629183.7067352179</v>
      </c>
      <c r="Q14" s="7"/>
    </row>
    <row r="15" spans="1:17" x14ac:dyDescent="0.2">
      <c r="A15" s="38">
        <v>44044</v>
      </c>
      <c r="C15" s="7">
        <v>25007838</v>
      </c>
      <c r="D15" s="15">
        <v>108159</v>
      </c>
      <c r="E15" s="10">
        <f>265708.28+6760.2</f>
        <v>272468.48000000004</v>
      </c>
      <c r="F15" s="10">
        <f>265708.28+6760</f>
        <v>272468.28000000003</v>
      </c>
      <c r="G15" s="7">
        <f>E15-D15</f>
        <v>164309.48000000004</v>
      </c>
      <c r="H15" s="7">
        <f>F15-D15</f>
        <v>164309.28000000003</v>
      </c>
      <c r="I15" s="8">
        <v>0.21</v>
      </c>
      <c r="J15" s="8">
        <v>0.05</v>
      </c>
      <c r="K15" s="7">
        <f>G15*I15-L15*I15</f>
        <v>32779.743360000008</v>
      </c>
      <c r="L15" s="7">
        <f>H15*J15</f>
        <v>8215.4640000000018</v>
      </c>
      <c r="M15" s="7">
        <f t="shared" si="0"/>
        <v>163980.74544000006</v>
      </c>
      <c r="N15" s="7">
        <v>0</v>
      </c>
      <c r="O15" s="7">
        <f>+M15-2105354</f>
        <v>-1941373.25456</v>
      </c>
      <c r="Q15" s="7"/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9">
        <f>+O15/0.389</f>
        <v>-4990676.7469408736</v>
      </c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26"/>
    </row>
    <row r="20" spans="1:14" x14ac:dyDescent="0.2">
      <c r="C20" s="26"/>
    </row>
    <row r="21" spans="1:14" x14ac:dyDescent="0.2">
      <c r="C21" s="26"/>
    </row>
    <row r="22" spans="1:14" x14ac:dyDescent="0.2">
      <c r="C22" s="24"/>
    </row>
    <row r="24" spans="1:14" x14ac:dyDescent="0.2">
      <c r="C24" s="24"/>
      <c r="D24" s="29"/>
      <c r="E24" s="28"/>
      <c r="F24" s="24"/>
      <c r="G24" s="30"/>
      <c r="H24" s="24"/>
    </row>
    <row r="25" spans="1:14" x14ac:dyDescent="0.2">
      <c r="C25" s="7"/>
      <c r="D25" s="7"/>
      <c r="E25" s="7"/>
      <c r="F25" s="7"/>
      <c r="G25" s="8"/>
      <c r="H25" s="7"/>
    </row>
    <row r="26" spans="1:14" ht="15" x14ac:dyDescent="0.35">
      <c r="C26" s="7"/>
      <c r="D26" s="7"/>
      <c r="E26" s="31"/>
      <c r="F26" s="31"/>
      <c r="G26" s="8"/>
      <c r="H26" s="31"/>
    </row>
    <row r="27" spans="1:14" x14ac:dyDescent="0.2">
      <c r="E27" s="7"/>
      <c r="F27" s="7"/>
      <c r="G27" s="33"/>
      <c r="H27" s="7"/>
    </row>
    <row r="28" spans="1:14" ht="15" x14ac:dyDescent="0.35">
      <c r="G28" s="33"/>
      <c r="H28" s="31"/>
    </row>
    <row r="29" spans="1:14" x14ac:dyDescent="0.2">
      <c r="H29" s="7"/>
    </row>
    <row r="30" spans="1:14" x14ac:dyDescent="0.2">
      <c r="H30" s="7"/>
    </row>
    <row r="31" spans="1:14" x14ac:dyDescent="0.2">
      <c r="C31" s="24"/>
      <c r="D31" s="27"/>
      <c r="E31" s="28"/>
      <c r="F31" s="24"/>
      <c r="G31" s="30"/>
      <c r="H31" s="24"/>
    </row>
    <row r="32" spans="1:14" x14ac:dyDescent="0.2">
      <c r="C32" s="7"/>
      <c r="D32" s="7"/>
      <c r="E32" s="7"/>
      <c r="F32" s="7"/>
      <c r="G32" s="8"/>
      <c r="H32" s="7"/>
    </row>
    <row r="33" spans="8:8" x14ac:dyDescent="0.2">
      <c r="H33" s="7"/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14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Q43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42578125" customWidth="1"/>
    <col min="4" max="4" width="14.28515625" bestFit="1" customWidth="1"/>
    <col min="5" max="5" width="16.28515625" customWidth="1"/>
    <col min="6" max="6" width="15.28515625" customWidth="1"/>
    <col min="7" max="7" width="14.28515625" bestFit="1" customWidth="1"/>
    <col min="8" max="9" width="14.28515625" customWidth="1"/>
    <col min="10" max="14" width="12.7109375" customWidth="1"/>
    <col min="15" max="15" width="16.5703125" bestFit="1" customWidth="1"/>
    <col min="16" max="16" width="12.7109375" customWidth="1"/>
    <col min="17" max="17" width="10.85546875" bestFit="1" customWidth="1"/>
    <col min="18" max="18" width="10.42578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4"/>
    </row>
    <row r="5" spans="1:17" x14ac:dyDescent="0.2">
      <c r="A5" s="9" t="s">
        <v>10</v>
      </c>
    </row>
    <row r="6" spans="1:17" x14ac:dyDescent="0.2">
      <c r="A6" s="11" t="s">
        <v>14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5349756</v>
      </c>
    </row>
    <row r="10" spans="1:17" x14ac:dyDescent="0.2">
      <c r="A10" s="38">
        <v>43899</v>
      </c>
      <c r="C10" s="7">
        <v>19347703</v>
      </c>
      <c r="D10" s="15">
        <v>83600</v>
      </c>
      <c r="E10" s="10">
        <f>18174.67</f>
        <v>18174.669999999998</v>
      </c>
      <c r="F10" s="10">
        <v>36349.33</v>
      </c>
      <c r="G10" s="15">
        <f t="shared" ref="G10:G15" si="0">E10-D10</f>
        <v>-65425.33</v>
      </c>
      <c r="H10" s="15">
        <f t="shared" ref="H10:H15" si="1">F10-D10</f>
        <v>-47250.67</v>
      </c>
      <c r="I10" s="8">
        <v>0.21</v>
      </c>
      <c r="J10" s="8">
        <v>0.05</v>
      </c>
      <c r="K10" s="7">
        <f>G10*I10-L10*I10-2279.05</f>
        <v>-15522.237265</v>
      </c>
      <c r="L10" s="7">
        <f t="shared" ref="L10:L14" si="2">H10*J10</f>
        <v>-2362.5335</v>
      </c>
      <c r="M10" s="7">
        <f t="shared" ref="M10:M15" si="3">M9+K10+L10</f>
        <v>5331871.229235</v>
      </c>
      <c r="N10" s="7">
        <v>0</v>
      </c>
      <c r="O10" s="22"/>
      <c r="P10" s="19"/>
    </row>
    <row r="11" spans="1:17" x14ac:dyDescent="0.2">
      <c r="A11" s="38">
        <v>43922</v>
      </c>
      <c r="C11" s="7">
        <v>19347703</v>
      </c>
      <c r="D11" s="15">
        <v>83600</v>
      </c>
      <c r="E11" s="10">
        <f>18174.67</f>
        <v>18174.669999999998</v>
      </c>
      <c r="F11" s="10">
        <v>36349.33</v>
      </c>
      <c r="G11" s="15">
        <f t="shared" si="0"/>
        <v>-65425.33</v>
      </c>
      <c r="H11" s="15">
        <f t="shared" si="1"/>
        <v>-47250.67</v>
      </c>
      <c r="I11" s="8">
        <v>0.21</v>
      </c>
      <c r="J11" s="8">
        <v>0.05</v>
      </c>
      <c r="K11" s="7">
        <f>G11*I11-L11*I11-2279.05</f>
        <v>-15522.237265</v>
      </c>
      <c r="L11" s="7">
        <f t="shared" si="2"/>
        <v>-2362.5335</v>
      </c>
      <c r="M11" s="24">
        <f t="shared" si="3"/>
        <v>5313986.45847</v>
      </c>
      <c r="N11" s="7">
        <v>0</v>
      </c>
      <c r="O11" s="39"/>
      <c r="P11" s="19"/>
    </row>
    <row r="12" spans="1:17" x14ac:dyDescent="0.2">
      <c r="A12" s="38">
        <v>43952</v>
      </c>
      <c r="C12" s="7">
        <v>19347703</v>
      </c>
      <c r="D12" s="15">
        <v>83600.490000000005</v>
      </c>
      <c r="E12" s="10">
        <f>18174.5</f>
        <v>18174.5</v>
      </c>
      <c r="F12" s="10">
        <v>36348.5</v>
      </c>
      <c r="G12" s="15">
        <f t="shared" si="0"/>
        <v>-65425.990000000005</v>
      </c>
      <c r="H12" s="15">
        <f t="shared" si="1"/>
        <v>-47251.990000000005</v>
      </c>
      <c r="I12" s="8">
        <v>0.21</v>
      </c>
      <c r="J12" s="8">
        <v>0.05</v>
      </c>
      <c r="K12" s="7">
        <f>G12*I12-L12*I12-2279.05</f>
        <v>-15522.362005000003</v>
      </c>
      <c r="L12" s="7">
        <f t="shared" si="2"/>
        <v>-2362.5995000000003</v>
      </c>
      <c r="M12" s="7">
        <f t="shared" si="3"/>
        <v>5296101.4969650004</v>
      </c>
      <c r="N12" s="7">
        <v>0</v>
      </c>
      <c r="P12" s="19"/>
    </row>
    <row r="13" spans="1:17" x14ac:dyDescent="0.2">
      <c r="A13" s="38">
        <v>43983</v>
      </c>
      <c r="C13" s="7">
        <v>19347703</v>
      </c>
      <c r="D13" s="15">
        <v>83600</v>
      </c>
      <c r="E13" s="10">
        <f>18174.67</f>
        <v>18174.669999999998</v>
      </c>
      <c r="F13" s="10">
        <v>36349.33</v>
      </c>
      <c r="G13" s="15">
        <f t="shared" si="0"/>
        <v>-65425.33</v>
      </c>
      <c r="H13" s="15">
        <f t="shared" si="1"/>
        <v>-47250.67</v>
      </c>
      <c r="I13" s="8">
        <v>0.21</v>
      </c>
      <c r="J13" s="8">
        <v>0.05</v>
      </c>
      <c r="K13" s="7">
        <f>G13*I13-L13*I13-2279.05</f>
        <v>-15522.237265</v>
      </c>
      <c r="L13" s="7">
        <f t="shared" si="2"/>
        <v>-2362.5335</v>
      </c>
      <c r="M13" s="7">
        <f t="shared" si="3"/>
        <v>5278216.7262000004</v>
      </c>
      <c r="N13" s="7">
        <v>0</v>
      </c>
      <c r="O13" s="7"/>
      <c r="P13" s="19"/>
    </row>
    <row r="14" spans="1:17" x14ac:dyDescent="0.2">
      <c r="A14" s="38">
        <v>44013</v>
      </c>
      <c r="C14" s="7">
        <v>19347703</v>
      </c>
      <c r="D14" s="15">
        <v>83600</v>
      </c>
      <c r="E14" s="10">
        <f>18174.67</f>
        <v>18174.669999999998</v>
      </c>
      <c r="F14" s="10">
        <v>36349.33</v>
      </c>
      <c r="G14" s="15">
        <f t="shared" si="0"/>
        <v>-65425.33</v>
      </c>
      <c r="H14" s="15">
        <f t="shared" si="1"/>
        <v>-47250.67</v>
      </c>
      <c r="I14" s="8">
        <v>0.21</v>
      </c>
      <c r="J14" s="8">
        <v>0.05</v>
      </c>
      <c r="K14" s="7">
        <f>G14*I14-L14*I14-2279.05</f>
        <v>-15522.237265</v>
      </c>
      <c r="L14" s="7">
        <f t="shared" si="2"/>
        <v>-2362.5335</v>
      </c>
      <c r="M14" s="7">
        <f t="shared" si="3"/>
        <v>5260331.9554350004</v>
      </c>
      <c r="N14" s="7">
        <v>11280.94</v>
      </c>
      <c r="O14" s="22"/>
      <c r="P14" s="19"/>
    </row>
    <row r="15" spans="1:17" x14ac:dyDescent="0.2">
      <c r="A15" s="38">
        <v>44044</v>
      </c>
      <c r="C15" s="7">
        <v>19347703</v>
      </c>
      <c r="D15" s="15">
        <v>83600</v>
      </c>
      <c r="E15" s="10">
        <f>18174.67</f>
        <v>18174.669999999998</v>
      </c>
      <c r="F15" s="10">
        <v>36349.33</v>
      </c>
      <c r="G15" s="15">
        <f t="shared" si="0"/>
        <v>-65425.33</v>
      </c>
      <c r="H15" s="15">
        <f t="shared" si="1"/>
        <v>-47250.67</v>
      </c>
      <c r="I15" s="8">
        <v>0.21</v>
      </c>
      <c r="J15" s="8">
        <v>0.05</v>
      </c>
      <c r="K15" s="7">
        <f>(G15*I15+2363*I15)-2279.05-13840.5-13840.5-300</f>
        <v>-43503.139299999995</v>
      </c>
      <c r="L15" s="7">
        <f>H15*J15-583.61-583.61</f>
        <v>-3529.7535000000003</v>
      </c>
      <c r="M15" s="7">
        <f t="shared" si="3"/>
        <v>5213299.0626350008</v>
      </c>
      <c r="N15" s="7">
        <v>11210.67</v>
      </c>
      <c r="O15" s="20"/>
      <c r="P15" s="19"/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x14ac:dyDescent="0.2">
      <c r="A17" s="16"/>
      <c r="C17" s="37" t="s">
        <v>61</v>
      </c>
      <c r="D17" s="25"/>
      <c r="E17" s="25"/>
      <c r="F17" s="25"/>
      <c r="G17" s="25"/>
      <c r="H17" s="25"/>
      <c r="I17" s="8"/>
      <c r="J17" s="8"/>
      <c r="K17" s="7"/>
      <c r="L17" s="7"/>
      <c r="M17" s="7"/>
      <c r="N17" s="7"/>
      <c r="O17" s="7"/>
      <c r="P17" s="7"/>
    </row>
    <row r="18" spans="1:16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">
      <c r="C19" s="43" t="s">
        <v>45</v>
      </c>
    </row>
    <row r="20" spans="1:16" x14ac:dyDescent="0.2">
      <c r="C20" s="43" t="s">
        <v>31</v>
      </c>
    </row>
    <row r="21" spans="1:16" x14ac:dyDescent="0.2">
      <c r="C21" s="43" t="s">
        <v>62</v>
      </c>
    </row>
    <row r="22" spans="1:16" x14ac:dyDescent="0.2">
      <c r="C22" s="7" t="s">
        <v>32</v>
      </c>
    </row>
    <row r="24" spans="1:16" x14ac:dyDescent="0.2">
      <c r="C24" s="7" t="s">
        <v>34</v>
      </c>
      <c r="D24" s="29" t="s">
        <v>35</v>
      </c>
      <c r="E24" s="28" t="s">
        <v>36</v>
      </c>
      <c r="F24" s="7" t="s">
        <v>37</v>
      </c>
      <c r="G24" s="8" t="s">
        <v>27</v>
      </c>
      <c r="H24" s="7" t="s">
        <v>38</v>
      </c>
    </row>
    <row r="25" spans="1:16" x14ac:dyDescent="0.2">
      <c r="C25" s="34">
        <v>3199833</v>
      </c>
      <c r="D25" s="42">
        <v>83600</v>
      </c>
      <c r="E25" s="34">
        <v>11898.05</v>
      </c>
      <c r="F25" s="19">
        <f>E25-D25</f>
        <v>-71701.95</v>
      </c>
      <c r="G25" s="8">
        <v>0.21</v>
      </c>
      <c r="H25" s="19">
        <f>F25*G25</f>
        <v>-15057.409499999998</v>
      </c>
    </row>
    <row r="26" spans="1:16" x14ac:dyDescent="0.2">
      <c r="C26" s="34">
        <v>4799749</v>
      </c>
      <c r="E26" s="34">
        <v>0</v>
      </c>
      <c r="F26" s="19">
        <f>E26</f>
        <v>0</v>
      </c>
      <c r="G26" s="8">
        <v>0.21</v>
      </c>
      <c r="H26" s="19">
        <f t="shared" ref="H26:H30" si="4">F26*G26</f>
        <v>0</v>
      </c>
    </row>
    <row r="27" spans="1:16" x14ac:dyDescent="0.2">
      <c r="C27" s="44">
        <f>623422/2*0.4</f>
        <v>124684.40000000001</v>
      </c>
      <c r="E27" s="34">
        <v>469.85</v>
      </c>
      <c r="F27" s="19">
        <f t="shared" ref="F27:F30" si="5">E27</f>
        <v>469.85</v>
      </c>
      <c r="G27" s="8">
        <v>0.21</v>
      </c>
      <c r="H27" s="19">
        <f t="shared" si="4"/>
        <v>98.668499999999995</v>
      </c>
    </row>
    <row r="28" spans="1:16" x14ac:dyDescent="0.2">
      <c r="C28" s="44">
        <f>623422/2*0.6</f>
        <v>187026.6</v>
      </c>
      <c r="E28" s="34">
        <v>0</v>
      </c>
      <c r="F28" s="19">
        <f t="shared" si="5"/>
        <v>0</v>
      </c>
      <c r="G28" s="8">
        <v>0.21</v>
      </c>
      <c r="H28" s="19">
        <f t="shared" si="4"/>
        <v>0</v>
      </c>
    </row>
    <row r="29" spans="1:16" x14ac:dyDescent="0.2">
      <c r="C29" s="44">
        <v>545023.20400000003</v>
      </c>
      <c r="E29" s="34">
        <v>2400.37</v>
      </c>
      <c r="F29" s="19">
        <f t="shared" si="5"/>
        <v>2400.37</v>
      </c>
      <c r="G29" s="8">
        <v>0.21</v>
      </c>
      <c r="H29" s="19">
        <f t="shared" si="4"/>
        <v>504.07769999999994</v>
      </c>
    </row>
    <row r="30" spans="1:16" ht="15" x14ac:dyDescent="0.35">
      <c r="C30" s="44">
        <v>817534.80599999998</v>
      </c>
      <c r="E30" s="35">
        <v>3406.4</v>
      </c>
      <c r="F30" s="32">
        <f t="shared" si="5"/>
        <v>3406.4</v>
      </c>
      <c r="G30" s="8">
        <v>0.21</v>
      </c>
      <c r="H30" s="32">
        <f t="shared" si="4"/>
        <v>715.34399999999994</v>
      </c>
    </row>
    <row r="31" spans="1:16" x14ac:dyDescent="0.2">
      <c r="E31" s="34">
        <f>SUM(E25:E30)</f>
        <v>18174.670000000002</v>
      </c>
      <c r="F31" s="34">
        <f>SUM(F25:F30)</f>
        <v>-65425.329999999994</v>
      </c>
      <c r="G31" s="33" t="s">
        <v>43</v>
      </c>
      <c r="H31" s="19">
        <f>SUM(H25:H30)</f>
        <v>-13739.319299999999</v>
      </c>
    </row>
    <row r="32" spans="1:16" ht="15" x14ac:dyDescent="0.35">
      <c r="E32" s="19"/>
      <c r="F32" s="19"/>
      <c r="G32" s="33" t="s">
        <v>44</v>
      </c>
      <c r="H32" s="32">
        <f>-H42*0.21</f>
        <v>496.13193000000007</v>
      </c>
    </row>
    <row r="33" spans="3:9" x14ac:dyDescent="0.2">
      <c r="H33" s="19">
        <f>H31+H32</f>
        <v>-13243.18737</v>
      </c>
    </row>
    <row r="34" spans="3:9" x14ac:dyDescent="0.2">
      <c r="H34" s="19">
        <f>H33-K15</f>
        <v>30259.951929999996</v>
      </c>
      <c r="I34" t="s">
        <v>63</v>
      </c>
    </row>
    <row r="35" spans="3:9" x14ac:dyDescent="0.2">
      <c r="C35" s="7" t="s">
        <v>39</v>
      </c>
      <c r="D35" s="27" t="s">
        <v>35</v>
      </c>
      <c r="E35" s="28" t="s">
        <v>40</v>
      </c>
      <c r="F35" s="7" t="s">
        <v>41</v>
      </c>
      <c r="G35" s="8" t="s">
        <v>28</v>
      </c>
      <c r="H35" s="7" t="s">
        <v>42</v>
      </c>
    </row>
    <row r="36" spans="3:9" x14ac:dyDescent="0.2">
      <c r="C36" s="44">
        <v>6399666</v>
      </c>
      <c r="D36" s="19">
        <f>D25</f>
        <v>83600</v>
      </c>
      <c r="E36" s="19">
        <v>23796.09</v>
      </c>
      <c r="F36" s="19">
        <f>E36-D36</f>
        <v>-59803.91</v>
      </c>
      <c r="G36" s="8">
        <v>0.05</v>
      </c>
      <c r="H36" s="19">
        <f>F36*G36</f>
        <v>-2990.1955000000003</v>
      </c>
    </row>
    <row r="37" spans="3:9" x14ac:dyDescent="0.2">
      <c r="C37" s="44">
        <v>9599498</v>
      </c>
      <c r="E37" s="19">
        <v>0</v>
      </c>
      <c r="F37" s="19">
        <f>E37</f>
        <v>0</v>
      </c>
      <c r="G37" s="8">
        <v>0.05</v>
      </c>
      <c r="H37" s="19">
        <f t="shared" ref="H37:H41" si="6">F37*G37</f>
        <v>0</v>
      </c>
    </row>
    <row r="38" spans="3:9" x14ac:dyDescent="0.2">
      <c r="C38" s="44">
        <v>249369</v>
      </c>
      <c r="E38" s="19">
        <v>939.71</v>
      </c>
      <c r="F38" s="19">
        <f t="shared" ref="F38:F41" si="7">E38</f>
        <v>939.71</v>
      </c>
      <c r="G38" s="8">
        <v>0.05</v>
      </c>
      <c r="H38" s="19">
        <f t="shared" si="6"/>
        <v>46.985500000000002</v>
      </c>
    </row>
    <row r="39" spans="3:9" x14ac:dyDescent="0.2">
      <c r="C39" s="44">
        <v>374053</v>
      </c>
      <c r="E39" s="19">
        <v>0</v>
      </c>
      <c r="F39" s="19">
        <f t="shared" si="7"/>
        <v>0</v>
      </c>
      <c r="G39" s="8">
        <v>0.05</v>
      </c>
      <c r="H39" s="19">
        <f t="shared" si="6"/>
        <v>0</v>
      </c>
    </row>
    <row r="40" spans="3:9" x14ac:dyDescent="0.2">
      <c r="C40" s="44">
        <f>(2725460.82-344.8)*0.4</f>
        <v>1090046.4080000001</v>
      </c>
      <c r="E40" s="19">
        <v>4800.75</v>
      </c>
      <c r="F40" s="19">
        <f t="shared" si="7"/>
        <v>4800.75</v>
      </c>
      <c r="G40" s="8">
        <v>0.05</v>
      </c>
      <c r="H40" s="19">
        <f t="shared" si="6"/>
        <v>240.03750000000002</v>
      </c>
    </row>
    <row r="41" spans="3:9" ht="15" x14ac:dyDescent="0.35">
      <c r="C41" s="44">
        <f>(2725460.82-344.8)*0.6</f>
        <v>1635069.612</v>
      </c>
      <c r="E41" s="32">
        <v>6812.79</v>
      </c>
      <c r="F41" s="32">
        <f t="shared" si="7"/>
        <v>6812.79</v>
      </c>
      <c r="G41" s="8">
        <v>0.05</v>
      </c>
      <c r="H41" s="32">
        <f t="shared" si="6"/>
        <v>340.6395</v>
      </c>
    </row>
    <row r="42" spans="3:9" x14ac:dyDescent="0.2">
      <c r="E42" s="19">
        <f>SUM(E36:E41)</f>
        <v>36349.339999999997</v>
      </c>
      <c r="F42" s="19">
        <f>SUM(F36:F41)</f>
        <v>-47250.66</v>
      </c>
      <c r="H42" s="19">
        <f>SUM(H36:H41)</f>
        <v>-2362.5330000000004</v>
      </c>
    </row>
    <row r="43" spans="3:9" x14ac:dyDescent="0.2">
      <c r="E43" s="19"/>
      <c r="F43" s="19"/>
      <c r="H43" s="19">
        <f>H42-L15</f>
        <v>1167.2204999999999</v>
      </c>
      <c r="I43" t="s">
        <v>64</v>
      </c>
    </row>
  </sheetData>
  <pageMargins left="0.7" right="0.7" top="1.15625" bottom="0.75" header="0.3" footer="0.3"/>
  <pageSetup scale="51" orientation="portrait" r:id="rId1"/>
  <headerFooter>
    <oddHeader>&amp;R&amp;"Times New Roman,Bold"&amp;12Attachment to Response to Question 3
Page 2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2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3.85546875" customWidth="1"/>
    <col min="4" max="4" width="14.28515625" bestFit="1" customWidth="1"/>
    <col min="5" max="5" width="16.5703125" customWidth="1"/>
    <col min="6" max="6" width="15.42578125" customWidth="1"/>
    <col min="7" max="7" width="14.28515625" bestFit="1" customWidth="1"/>
    <col min="8" max="9" width="14.28515625" customWidth="1"/>
    <col min="10" max="14" width="12.7109375" customWidth="1"/>
    <col min="15" max="15" width="16.5703125" bestFit="1" customWidth="1"/>
    <col min="16" max="16" width="12.7109375" customWidth="1"/>
    <col min="17" max="17" width="11.28515625" hidden="1" customWidth="1"/>
    <col min="18" max="18" width="14.5703125" bestFit="1" customWidth="1"/>
    <col min="19" max="19" width="11.42578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4"/>
    </row>
    <row r="5" spans="1:17" x14ac:dyDescent="0.2">
      <c r="A5" s="9" t="s">
        <v>12</v>
      </c>
    </row>
    <row r="6" spans="1:17" x14ac:dyDescent="0.2">
      <c r="A6" s="11" t="s">
        <v>20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26671880</v>
      </c>
    </row>
    <row r="10" spans="1:17" x14ac:dyDescent="0.2">
      <c r="A10" s="38">
        <v>43899</v>
      </c>
      <c r="C10" s="7">
        <v>121543607</v>
      </c>
      <c r="D10" s="15">
        <v>502966</v>
      </c>
      <c r="E10" s="10">
        <f>745794.8</f>
        <v>745794.8</v>
      </c>
      <c r="F10" s="10">
        <f t="shared" ref="F10:F15" si="0">1420209.06</f>
        <v>1420209.06</v>
      </c>
      <c r="G10" s="15">
        <f t="shared" ref="G10:G15" si="1">E10-D10</f>
        <v>242828.80000000005</v>
      </c>
      <c r="H10" s="15">
        <f t="shared" ref="H10:H15" si="2">F10-D10</f>
        <v>917243.06</v>
      </c>
      <c r="I10" s="8">
        <v>0.21</v>
      </c>
      <c r="J10" s="8">
        <v>0.05</v>
      </c>
      <c r="K10" s="7">
        <f t="shared" ref="K10:K15" si="3">G10*I10-L10*I10</f>
        <v>41362.995870000013</v>
      </c>
      <c r="L10" s="7">
        <f t="shared" ref="L10:L15" si="4">H10*J10</f>
        <v>45862.153000000006</v>
      </c>
      <c r="M10" s="7">
        <f t="shared" ref="M10:M15" si="5">M9+K10+L10</f>
        <v>26759105.148870002</v>
      </c>
      <c r="N10" s="7">
        <v>0</v>
      </c>
      <c r="O10" s="40"/>
      <c r="P10" s="7"/>
      <c r="Q10" s="7">
        <f>K10+L10</f>
        <v>87225.148870000019</v>
      </c>
    </row>
    <row r="11" spans="1:17" x14ac:dyDescent="0.2">
      <c r="A11" s="38">
        <v>43922</v>
      </c>
      <c r="C11" s="7">
        <v>121543607</v>
      </c>
      <c r="D11" s="15">
        <v>502966</v>
      </c>
      <c r="E11" s="10">
        <f>745794.8</f>
        <v>745794.8</v>
      </c>
      <c r="F11" s="10">
        <f t="shared" si="0"/>
        <v>1420209.06</v>
      </c>
      <c r="G11" s="15">
        <f t="shared" si="1"/>
        <v>242828.80000000005</v>
      </c>
      <c r="H11" s="15">
        <f t="shared" si="2"/>
        <v>917243.06</v>
      </c>
      <c r="I11" s="8">
        <v>0.21</v>
      </c>
      <c r="J11" s="8">
        <v>0.05</v>
      </c>
      <c r="K11" s="7">
        <f t="shared" si="3"/>
        <v>41362.995870000013</v>
      </c>
      <c r="L11" s="7">
        <f t="shared" si="4"/>
        <v>45862.153000000006</v>
      </c>
      <c r="M11" s="7">
        <f t="shared" si="5"/>
        <v>26846330.297740005</v>
      </c>
      <c r="N11" s="7">
        <v>0</v>
      </c>
      <c r="O11" s="17"/>
      <c r="P11" s="17"/>
      <c r="Q11" s="7">
        <f>Q10+K11+L11</f>
        <v>174450.29774000004</v>
      </c>
    </row>
    <row r="12" spans="1:17" x14ac:dyDescent="0.2">
      <c r="A12" s="38">
        <v>43952</v>
      </c>
      <c r="C12" s="7">
        <v>121543607</v>
      </c>
      <c r="D12" s="15">
        <v>502966</v>
      </c>
      <c r="E12" s="10">
        <f>745794.8</f>
        <v>745794.8</v>
      </c>
      <c r="F12" s="10">
        <f t="shared" si="0"/>
        <v>1420209.06</v>
      </c>
      <c r="G12" s="15">
        <f t="shared" si="1"/>
        <v>242828.80000000005</v>
      </c>
      <c r="H12" s="15">
        <f t="shared" si="2"/>
        <v>917243.06</v>
      </c>
      <c r="I12" s="8">
        <v>0.21</v>
      </c>
      <c r="J12" s="8">
        <v>0.05</v>
      </c>
      <c r="K12" s="7">
        <f t="shared" si="3"/>
        <v>41362.995870000013</v>
      </c>
      <c r="L12" s="7">
        <f t="shared" si="4"/>
        <v>45862.153000000006</v>
      </c>
      <c r="M12" s="7">
        <f t="shared" si="5"/>
        <v>26933555.446610007</v>
      </c>
      <c r="N12" s="7">
        <v>0</v>
      </c>
      <c r="O12" s="17"/>
      <c r="Q12" s="7">
        <f>Q11+K12+L12</f>
        <v>261675.44661000004</v>
      </c>
    </row>
    <row r="13" spans="1:17" x14ac:dyDescent="0.2">
      <c r="A13" s="38">
        <v>43983</v>
      </c>
      <c r="C13" s="7">
        <v>121543607</v>
      </c>
      <c r="D13" s="15">
        <v>502966</v>
      </c>
      <c r="E13" s="10">
        <f>745794.8-2</f>
        <v>745792.8</v>
      </c>
      <c r="F13" s="10">
        <f t="shared" si="0"/>
        <v>1420209.06</v>
      </c>
      <c r="G13" s="15">
        <f t="shared" si="1"/>
        <v>242826.80000000005</v>
      </c>
      <c r="H13" s="15">
        <f t="shared" si="2"/>
        <v>917243.06</v>
      </c>
      <c r="I13" s="8">
        <v>0.21</v>
      </c>
      <c r="J13" s="8">
        <v>0.05</v>
      </c>
      <c r="K13" s="7">
        <f t="shared" si="3"/>
        <v>41362.575870000015</v>
      </c>
      <c r="L13" s="7">
        <f t="shared" si="4"/>
        <v>45862.153000000006</v>
      </c>
      <c r="M13" s="7">
        <f t="shared" si="5"/>
        <v>27020780.175480008</v>
      </c>
      <c r="N13" s="7">
        <v>0</v>
      </c>
      <c r="O13" s="17"/>
      <c r="Q13" s="7">
        <f>Q12+K13+L13</f>
        <v>348900.17548000003</v>
      </c>
    </row>
    <row r="14" spans="1:17" x14ac:dyDescent="0.2">
      <c r="A14" s="38">
        <v>44013</v>
      </c>
      <c r="C14" s="7">
        <v>121543607</v>
      </c>
      <c r="D14" s="15">
        <v>502966</v>
      </c>
      <c r="E14" s="10">
        <f>745794.8+2</f>
        <v>745796.8</v>
      </c>
      <c r="F14" s="10">
        <f t="shared" si="0"/>
        <v>1420209.06</v>
      </c>
      <c r="G14" s="15">
        <f t="shared" si="1"/>
        <v>242830.80000000005</v>
      </c>
      <c r="H14" s="15">
        <f t="shared" si="2"/>
        <v>917243.06</v>
      </c>
      <c r="I14" s="8">
        <v>0.21</v>
      </c>
      <c r="J14" s="8">
        <v>0.05</v>
      </c>
      <c r="K14" s="7">
        <f t="shared" si="3"/>
        <v>41363.415870000012</v>
      </c>
      <c r="L14" s="7">
        <f t="shared" si="4"/>
        <v>45862.153000000006</v>
      </c>
      <c r="M14" s="7">
        <f t="shared" si="5"/>
        <v>27108005.744350009</v>
      </c>
      <c r="N14" s="7">
        <v>0</v>
      </c>
      <c r="O14" s="17"/>
      <c r="Q14" s="7">
        <f>Q13+K14+L14</f>
        <v>436125.74435000005</v>
      </c>
    </row>
    <row r="15" spans="1:17" x14ac:dyDescent="0.2">
      <c r="A15" s="38">
        <v>44044</v>
      </c>
      <c r="C15" s="7">
        <v>121543607</v>
      </c>
      <c r="D15" s="15">
        <v>502966</v>
      </c>
      <c r="E15" s="10">
        <f>745794.8</f>
        <v>745794.8</v>
      </c>
      <c r="F15" s="10">
        <f t="shared" si="0"/>
        <v>1420209.06</v>
      </c>
      <c r="G15" s="15">
        <f t="shared" si="1"/>
        <v>242828.80000000005</v>
      </c>
      <c r="H15" s="15">
        <f t="shared" si="2"/>
        <v>917243.06</v>
      </c>
      <c r="I15" s="8">
        <v>0.21</v>
      </c>
      <c r="J15" s="8">
        <v>0.05</v>
      </c>
      <c r="K15" s="7">
        <f t="shared" si="3"/>
        <v>41362.995870000013</v>
      </c>
      <c r="L15" s="7">
        <f t="shared" si="4"/>
        <v>45862.153000000006</v>
      </c>
      <c r="M15" s="7">
        <f t="shared" si="5"/>
        <v>27195230.893220011</v>
      </c>
      <c r="N15" s="7">
        <v>0</v>
      </c>
      <c r="O15" s="7"/>
      <c r="Q15" s="7">
        <f>Q14+K15+L15</f>
        <v>523350.89322000003</v>
      </c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9">
        <f>+O15/0.389</f>
        <v>0</v>
      </c>
    </row>
    <row r="17" spans="1:16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">
      <c r="C19" s="26" t="s">
        <v>46</v>
      </c>
    </row>
    <row r="20" spans="1:16" x14ac:dyDescent="0.2">
      <c r="C20" s="26" t="s">
        <v>31</v>
      </c>
    </row>
    <row r="21" spans="1:16" x14ac:dyDescent="0.2">
      <c r="C21" s="26" t="s">
        <v>62</v>
      </c>
    </row>
    <row r="22" spans="1:16" x14ac:dyDescent="0.2">
      <c r="C22" s="24" t="s">
        <v>32</v>
      </c>
    </row>
    <row r="24" spans="1:16" x14ac:dyDescent="0.2">
      <c r="C24" s="7" t="s">
        <v>34</v>
      </c>
      <c r="D24" s="29" t="s">
        <v>35</v>
      </c>
      <c r="E24" s="28" t="s">
        <v>36</v>
      </c>
      <c r="F24" s="7" t="s">
        <v>37</v>
      </c>
      <c r="G24" s="8" t="s">
        <v>27</v>
      </c>
      <c r="H24" s="7" t="s">
        <v>38</v>
      </c>
    </row>
    <row r="25" spans="1:16" x14ac:dyDescent="0.2">
      <c r="C25" s="23">
        <v>846667</v>
      </c>
      <c r="D25" s="23">
        <v>502966</v>
      </c>
      <c r="E25" s="23">
        <v>0</v>
      </c>
      <c r="F25" s="19">
        <f>E25-D25</f>
        <v>-502966</v>
      </c>
      <c r="G25" s="8">
        <v>0.21</v>
      </c>
      <c r="H25" s="19">
        <f>F25*G25</f>
        <v>-105622.86</v>
      </c>
    </row>
    <row r="26" spans="1:16" x14ac:dyDescent="0.2">
      <c r="C26" s="44">
        <v>826019.67</v>
      </c>
      <c r="E26" s="23">
        <v>0</v>
      </c>
      <c r="F26" s="19">
        <f>E26</f>
        <v>0</v>
      </c>
      <c r="G26" s="8">
        <v>0.21</v>
      </c>
      <c r="H26" s="19">
        <f t="shared" ref="H26:H42" si="6">F26*G26</f>
        <v>0</v>
      </c>
    </row>
    <row r="27" spans="1:16" x14ac:dyDescent="0.2">
      <c r="C27" s="44">
        <f>21052017.182-(265688.84/2)</f>
        <v>20919172.761999998</v>
      </c>
      <c r="E27" s="23">
        <v>100225</v>
      </c>
      <c r="F27" s="19">
        <f t="shared" ref="F27:F42" si="7">E27</f>
        <v>100225</v>
      </c>
      <c r="G27" s="8">
        <v>0.21</v>
      </c>
      <c r="H27" s="19">
        <f t="shared" si="6"/>
        <v>21047.25</v>
      </c>
    </row>
    <row r="28" spans="1:16" x14ac:dyDescent="0.2">
      <c r="C28" s="44">
        <v>31578025.772999998</v>
      </c>
      <c r="E28" s="23">
        <v>526300.43000000005</v>
      </c>
      <c r="F28" s="19">
        <f t="shared" si="7"/>
        <v>526300.43000000005</v>
      </c>
      <c r="G28" s="8">
        <v>0.21</v>
      </c>
      <c r="H28" s="19">
        <f t="shared" si="6"/>
        <v>110523.09030000001</v>
      </c>
    </row>
    <row r="29" spans="1:16" x14ac:dyDescent="0.2">
      <c r="C29" s="44">
        <v>94801.065000000002</v>
      </c>
      <c r="E29" s="23">
        <v>0</v>
      </c>
      <c r="F29" s="19">
        <f t="shared" si="7"/>
        <v>0</v>
      </c>
      <c r="G29" s="8">
        <v>0.21</v>
      </c>
      <c r="H29" s="19">
        <f t="shared" si="6"/>
        <v>0</v>
      </c>
    </row>
    <row r="30" spans="1:16" x14ac:dyDescent="0.2">
      <c r="C30" s="44">
        <v>94801.065000000002</v>
      </c>
      <c r="E30" s="25">
        <v>488</v>
      </c>
      <c r="F30" s="41">
        <f t="shared" si="7"/>
        <v>488</v>
      </c>
      <c r="G30" s="8">
        <v>0.21</v>
      </c>
      <c r="H30" s="41">
        <f t="shared" si="6"/>
        <v>102.47999999999999</v>
      </c>
    </row>
    <row r="31" spans="1:16" x14ac:dyDescent="0.2">
      <c r="C31" s="45">
        <v>2766726</v>
      </c>
      <c r="D31" s="33"/>
      <c r="E31" s="25">
        <f>5697+27667</f>
        <v>33364</v>
      </c>
      <c r="F31" s="41">
        <f t="shared" si="7"/>
        <v>33364</v>
      </c>
      <c r="G31" s="8">
        <v>0.21</v>
      </c>
      <c r="H31" s="41">
        <f t="shared" si="6"/>
        <v>7006.44</v>
      </c>
    </row>
    <row r="32" spans="1:16" x14ac:dyDescent="0.2">
      <c r="C32" s="45">
        <v>-1309904</v>
      </c>
      <c r="D32" s="33"/>
      <c r="E32" s="25"/>
      <c r="F32" s="41">
        <f t="shared" si="7"/>
        <v>0</v>
      </c>
      <c r="G32" s="8">
        <v>0.21</v>
      </c>
      <c r="H32" s="41">
        <f t="shared" si="6"/>
        <v>0</v>
      </c>
    </row>
    <row r="33" spans="3:8" x14ac:dyDescent="0.2">
      <c r="C33" s="45">
        <v>-1309904</v>
      </c>
      <c r="D33" s="33"/>
      <c r="E33" s="25">
        <f>-2697-13099</f>
        <v>-15796</v>
      </c>
      <c r="F33" s="41">
        <f t="shared" si="7"/>
        <v>-15796</v>
      </c>
      <c r="G33" s="8">
        <v>0.21</v>
      </c>
      <c r="H33" s="41">
        <f t="shared" si="6"/>
        <v>-3317.16</v>
      </c>
    </row>
    <row r="34" spans="3:8" x14ac:dyDescent="0.2">
      <c r="C34" s="45">
        <v>5205251</v>
      </c>
      <c r="D34" s="33"/>
      <c r="E34" s="25"/>
      <c r="F34" s="41">
        <f t="shared" si="7"/>
        <v>0</v>
      </c>
      <c r="G34" s="8">
        <v>0.21</v>
      </c>
      <c r="H34" s="41">
        <f t="shared" si="6"/>
        <v>0</v>
      </c>
    </row>
    <row r="35" spans="3:8" x14ac:dyDescent="0.2">
      <c r="C35" s="45">
        <v>7681105</v>
      </c>
      <c r="D35" s="33"/>
      <c r="E35" s="25">
        <f>15815+76813</f>
        <v>92628</v>
      </c>
      <c r="F35" s="41">
        <f t="shared" si="7"/>
        <v>92628</v>
      </c>
      <c r="G35" s="8">
        <v>0.21</v>
      </c>
      <c r="H35" s="41">
        <f t="shared" si="6"/>
        <v>19451.88</v>
      </c>
    </row>
    <row r="36" spans="3:8" x14ac:dyDescent="0.2">
      <c r="C36" s="45">
        <v>196791</v>
      </c>
      <c r="D36" s="33"/>
      <c r="E36" s="25"/>
      <c r="F36" s="41">
        <f t="shared" si="7"/>
        <v>0</v>
      </c>
      <c r="G36" s="8">
        <v>0.21</v>
      </c>
      <c r="H36" s="41">
        <f t="shared" si="6"/>
        <v>0</v>
      </c>
    </row>
    <row r="37" spans="3:8" x14ac:dyDescent="0.2">
      <c r="C37" s="45">
        <v>196791</v>
      </c>
      <c r="D37" s="33"/>
      <c r="E37" s="25">
        <v>1013</v>
      </c>
      <c r="F37" s="41">
        <f t="shared" si="7"/>
        <v>1013</v>
      </c>
      <c r="G37" s="8">
        <v>0.21</v>
      </c>
      <c r="H37" s="41">
        <f t="shared" si="6"/>
        <v>212.73</v>
      </c>
    </row>
    <row r="38" spans="3:8" x14ac:dyDescent="0.2">
      <c r="C38" s="45">
        <v>3557</v>
      </c>
      <c r="D38" s="33"/>
      <c r="E38" s="25"/>
      <c r="F38" s="41">
        <f t="shared" si="7"/>
        <v>0</v>
      </c>
      <c r="G38" s="8">
        <v>0.21</v>
      </c>
      <c r="H38" s="41">
        <f t="shared" si="6"/>
        <v>0</v>
      </c>
    </row>
    <row r="39" spans="3:8" x14ac:dyDescent="0.2">
      <c r="C39" s="45">
        <v>5335</v>
      </c>
      <c r="D39" s="33"/>
      <c r="E39" s="25">
        <v>30</v>
      </c>
      <c r="F39" s="41">
        <f t="shared" si="7"/>
        <v>30</v>
      </c>
      <c r="G39" s="8">
        <v>0.21</v>
      </c>
      <c r="H39" s="41">
        <f t="shared" si="6"/>
        <v>6.3</v>
      </c>
    </row>
    <row r="40" spans="3:8" x14ac:dyDescent="0.2">
      <c r="C40" s="45">
        <v>704440</v>
      </c>
      <c r="D40" s="33"/>
      <c r="E40" s="25"/>
      <c r="F40" s="41">
        <f t="shared" si="7"/>
        <v>0</v>
      </c>
      <c r="G40" s="8">
        <v>0.21</v>
      </c>
      <c r="H40" s="41">
        <f t="shared" si="6"/>
        <v>0</v>
      </c>
    </row>
    <row r="41" spans="3:8" x14ac:dyDescent="0.2">
      <c r="C41" s="45">
        <v>-100518</v>
      </c>
      <c r="D41" s="33"/>
      <c r="E41" s="25">
        <v>-606</v>
      </c>
      <c r="F41" s="41">
        <f t="shared" si="7"/>
        <v>-606</v>
      </c>
      <c r="G41" s="8">
        <v>0.21</v>
      </c>
      <c r="H41" s="41">
        <f t="shared" si="6"/>
        <v>-127.25999999999999</v>
      </c>
    </row>
    <row r="42" spans="3:8" ht="15" x14ac:dyDescent="0.35">
      <c r="C42" s="45">
        <v>647252</v>
      </c>
      <c r="D42" s="33"/>
      <c r="E42" s="36">
        <f>1490+6661-2</f>
        <v>8149</v>
      </c>
      <c r="F42" s="32">
        <f t="shared" si="7"/>
        <v>8149</v>
      </c>
      <c r="G42" s="8">
        <v>0.21</v>
      </c>
      <c r="H42" s="32">
        <f t="shared" si="6"/>
        <v>1711.29</v>
      </c>
    </row>
    <row r="43" spans="3:8" x14ac:dyDescent="0.2">
      <c r="E43" s="19">
        <f>SUM(E25:E42)</f>
        <v>745795.43</v>
      </c>
      <c r="F43" s="19">
        <f>SUM(F25:F42)</f>
        <v>242829.43000000005</v>
      </c>
      <c r="G43" s="33" t="s">
        <v>43</v>
      </c>
      <c r="H43" s="19">
        <f>SUM(H25:H42)</f>
        <v>50994.180300000015</v>
      </c>
    </row>
    <row r="44" spans="3:8" ht="15" x14ac:dyDescent="0.35">
      <c r="G44" s="33" t="s">
        <v>44</v>
      </c>
      <c r="H44" s="32">
        <f>-H61*0.21</f>
        <v>-9631.0552695000006</v>
      </c>
    </row>
    <row r="45" spans="3:8" x14ac:dyDescent="0.2">
      <c r="H45" s="19">
        <f>H43+H44</f>
        <v>41363.125030500014</v>
      </c>
    </row>
    <row r="46" spans="3:8" x14ac:dyDescent="0.2">
      <c r="H46" s="19">
        <f>H45-K15</f>
        <v>0.12916050000058021</v>
      </c>
    </row>
    <row r="47" spans="3:8" x14ac:dyDescent="0.2">
      <c r="C47" s="7" t="s">
        <v>39</v>
      </c>
      <c r="D47" s="27" t="s">
        <v>35</v>
      </c>
      <c r="E47" s="28" t="s">
        <v>40</v>
      </c>
      <c r="F47" s="7" t="s">
        <v>41</v>
      </c>
      <c r="G47" s="8" t="s">
        <v>28</v>
      </c>
      <c r="H47" s="7" t="s">
        <v>42</v>
      </c>
    </row>
    <row r="48" spans="3:8" x14ac:dyDescent="0.2">
      <c r="C48" s="23">
        <v>846667</v>
      </c>
      <c r="D48" s="19">
        <f>D25</f>
        <v>502966</v>
      </c>
      <c r="E48" s="28">
        <v>0</v>
      </c>
      <c r="F48" s="7">
        <f>E48-D48</f>
        <v>-502966</v>
      </c>
      <c r="G48" s="8">
        <v>0.05</v>
      </c>
      <c r="H48" s="7">
        <f>F48*G48</f>
        <v>-25148.300000000003</v>
      </c>
    </row>
    <row r="49" spans="3:8" x14ac:dyDescent="0.2">
      <c r="C49" s="44">
        <v>826019.67</v>
      </c>
      <c r="D49" s="27"/>
      <c r="E49" s="28">
        <v>0</v>
      </c>
      <c r="F49" s="7">
        <f>E49</f>
        <v>0</v>
      </c>
      <c r="G49" s="8">
        <v>0.05</v>
      </c>
      <c r="H49" s="7">
        <f>F49*G49</f>
        <v>0</v>
      </c>
    </row>
    <row r="50" spans="3:8" x14ac:dyDescent="0.2">
      <c r="C50" s="44">
        <f>42104034.364-265688.84</f>
        <v>41838345.523999996</v>
      </c>
      <c r="E50" s="19">
        <v>200450</v>
      </c>
      <c r="F50" s="19">
        <f>E50</f>
        <v>200450</v>
      </c>
      <c r="G50" s="8">
        <v>0.05</v>
      </c>
      <c r="H50" s="7">
        <f t="shared" ref="H50:H60" si="8">F50*G50</f>
        <v>10022.5</v>
      </c>
    </row>
    <row r="51" spans="3:8" x14ac:dyDescent="0.2">
      <c r="C51" s="44">
        <v>63156051.545999996</v>
      </c>
      <c r="E51" s="19">
        <v>1052600.8589999999</v>
      </c>
      <c r="F51" s="19">
        <f>E51</f>
        <v>1052600.8589999999</v>
      </c>
      <c r="G51" s="8">
        <v>0.05</v>
      </c>
      <c r="H51" s="7">
        <f t="shared" si="8"/>
        <v>52630.042950000003</v>
      </c>
    </row>
    <row r="52" spans="3:8" x14ac:dyDescent="0.2">
      <c r="C52" s="44">
        <v>189602.13</v>
      </c>
      <c r="E52" s="41">
        <v>976</v>
      </c>
      <c r="F52" s="41">
        <f>E52</f>
        <v>976</v>
      </c>
      <c r="G52" s="8">
        <v>0.05</v>
      </c>
      <c r="H52" s="37">
        <f t="shared" si="8"/>
        <v>48.800000000000004</v>
      </c>
    </row>
    <row r="53" spans="3:8" x14ac:dyDescent="0.2">
      <c r="C53" s="45">
        <v>2766726</v>
      </c>
      <c r="D53" s="33"/>
      <c r="E53" s="41">
        <f>5697+27667</f>
        <v>33364</v>
      </c>
      <c r="F53" s="41">
        <f t="shared" ref="F53:F60" si="9">E53</f>
        <v>33364</v>
      </c>
      <c r="G53" s="8">
        <v>0.05</v>
      </c>
      <c r="H53" s="37">
        <f t="shared" si="8"/>
        <v>1668.2</v>
      </c>
    </row>
    <row r="54" spans="3:8" x14ac:dyDescent="0.2">
      <c r="C54" s="45">
        <v>-2619808</v>
      </c>
      <c r="D54" s="33"/>
      <c r="E54" s="41">
        <f>-5394-26198</f>
        <v>-31592</v>
      </c>
      <c r="F54" s="41">
        <f t="shared" si="9"/>
        <v>-31592</v>
      </c>
      <c r="G54" s="8">
        <v>0.05</v>
      </c>
      <c r="H54" s="37">
        <f t="shared" si="8"/>
        <v>-1579.6000000000001</v>
      </c>
    </row>
    <row r="55" spans="3:8" x14ac:dyDescent="0.2">
      <c r="C55" s="45">
        <v>12886356</v>
      </c>
      <c r="D55" s="33"/>
      <c r="E55" s="41">
        <f>26533+128864</f>
        <v>155397</v>
      </c>
      <c r="F55" s="41">
        <f t="shared" si="9"/>
        <v>155397</v>
      </c>
      <c r="G55" s="8">
        <v>0.05</v>
      </c>
      <c r="H55" s="37">
        <f t="shared" si="8"/>
        <v>7769.85</v>
      </c>
    </row>
    <row r="56" spans="3:8" x14ac:dyDescent="0.2">
      <c r="C56" s="45">
        <v>393581</v>
      </c>
      <c r="D56" s="33"/>
      <c r="E56" s="41">
        <v>2026</v>
      </c>
      <c r="F56" s="41">
        <f t="shared" si="9"/>
        <v>2026</v>
      </c>
      <c r="G56" s="8">
        <v>0.05</v>
      </c>
      <c r="H56" s="37">
        <f t="shared" si="8"/>
        <v>101.30000000000001</v>
      </c>
    </row>
    <row r="57" spans="3:8" x14ac:dyDescent="0.2">
      <c r="C57" s="45">
        <v>8892</v>
      </c>
      <c r="D57" s="33"/>
      <c r="E57" s="41">
        <v>49</v>
      </c>
      <c r="F57" s="41">
        <f t="shared" si="9"/>
        <v>49</v>
      </c>
      <c r="G57" s="8">
        <v>0.05</v>
      </c>
      <c r="H57" s="37">
        <f t="shared" si="8"/>
        <v>2.4500000000000002</v>
      </c>
    </row>
    <row r="58" spans="3:8" x14ac:dyDescent="0.2">
      <c r="C58" s="45">
        <v>704440</v>
      </c>
      <c r="D58" s="33"/>
      <c r="E58" s="41"/>
      <c r="F58" s="41">
        <f t="shared" si="9"/>
        <v>0</v>
      </c>
      <c r="G58" s="8">
        <v>0.05</v>
      </c>
      <c r="H58" s="37">
        <f t="shared" si="8"/>
        <v>0</v>
      </c>
    </row>
    <row r="59" spans="3:8" x14ac:dyDescent="0.2">
      <c r="C59" s="45">
        <v>-100518</v>
      </c>
      <c r="D59" s="33"/>
      <c r="E59" s="41">
        <v>-1212</v>
      </c>
      <c r="F59" s="41">
        <f t="shared" si="9"/>
        <v>-1212</v>
      </c>
      <c r="G59" s="8">
        <v>0.05</v>
      </c>
      <c r="H59" s="37">
        <f t="shared" si="8"/>
        <v>-60.6</v>
      </c>
    </row>
    <row r="60" spans="3:8" ht="15" x14ac:dyDescent="0.35">
      <c r="C60" s="45">
        <v>647252</v>
      </c>
      <c r="D60" s="33"/>
      <c r="E60" s="32">
        <f>1490+6661-0.5</f>
        <v>8150.5</v>
      </c>
      <c r="F60" s="32">
        <f t="shared" si="9"/>
        <v>8150.5</v>
      </c>
      <c r="G60" s="8">
        <v>0.05</v>
      </c>
      <c r="H60" s="31">
        <f t="shared" si="8"/>
        <v>407.52500000000003</v>
      </c>
    </row>
    <row r="61" spans="3:8" x14ac:dyDescent="0.2">
      <c r="E61" s="19">
        <f>SUM(E48:E60)</f>
        <v>1420209.3589999999</v>
      </c>
      <c r="F61" s="19">
        <f t="shared" ref="F61:H61" si="10">SUM(F48:F60)</f>
        <v>917243.35899999994</v>
      </c>
      <c r="G61" s="19"/>
      <c r="H61" s="19">
        <f t="shared" si="10"/>
        <v>45862.167950000003</v>
      </c>
    </row>
    <row r="62" spans="3:8" x14ac:dyDescent="0.2">
      <c r="H62" s="7">
        <f>H61-L15</f>
        <v>1.4949999997043051E-2</v>
      </c>
    </row>
  </sheetData>
  <pageMargins left="0.7" right="0.7" top="1.15625" bottom="0.75" header="0.3" footer="0.3"/>
  <pageSetup scale="51" orientation="portrait" r:id="rId1"/>
  <headerFooter>
    <oddHeader>&amp;R&amp;"Times New Roman,Bold"&amp;12Attachment to Response to Question 3
Page 3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:P96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140625" customWidth="1"/>
    <col min="4" max="4" width="14.28515625" bestFit="1" customWidth="1"/>
    <col min="5" max="5" width="16.42578125" customWidth="1"/>
    <col min="6" max="6" width="15.285156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3.42578125" bestFit="1" customWidth="1"/>
    <col min="16" max="16" width="11.28515625" bestFit="1" customWidth="1"/>
  </cols>
  <sheetData>
    <row r="1" spans="1:16" x14ac:dyDescent="0.2">
      <c r="A1" s="48" t="s">
        <v>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6" x14ac:dyDescent="0.2">
      <c r="A2" s="48" t="s">
        <v>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6" x14ac:dyDescent="0.2">
      <c r="A3" s="49" t="s">
        <v>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6" x14ac:dyDescent="0.2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6" x14ac:dyDescent="0.2">
      <c r="A5" s="52" t="s">
        <v>10</v>
      </c>
    </row>
    <row r="6" spans="1:16" x14ac:dyDescent="0.2">
      <c r="A6" s="53" t="s">
        <v>17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71031140</v>
      </c>
      <c r="O9" s="7"/>
    </row>
    <row r="10" spans="1:16" x14ac:dyDescent="0.2">
      <c r="A10" s="38">
        <v>43899</v>
      </c>
      <c r="C10" s="7">
        <v>357150327</v>
      </c>
      <c r="D10" s="25">
        <v>1248382</v>
      </c>
      <c r="E10" s="10">
        <f>707651.49</f>
        <v>707651.49</v>
      </c>
      <c r="F10" s="10">
        <v>1343624.56</v>
      </c>
      <c r="G10" s="7">
        <f>E10-D10</f>
        <v>-540730.51</v>
      </c>
      <c r="H10" s="7">
        <f>F10-D10</f>
        <v>95242.560000000056</v>
      </c>
      <c r="I10" s="8">
        <v>0.21</v>
      </c>
      <c r="J10" s="8">
        <v>0.05</v>
      </c>
      <c r="K10" s="7">
        <f t="shared" ref="K10:K13" si="0">G10*I10-L10*I10</f>
        <v>-114553.45397999999</v>
      </c>
      <c r="L10" s="7">
        <f t="shared" ref="L10:L15" si="1">H10*J10</f>
        <v>4762.1280000000033</v>
      </c>
      <c r="M10" s="7">
        <f t="shared" ref="M10:M15" si="2">M9+K10+L10</f>
        <v>70921348.674020007</v>
      </c>
      <c r="N10" s="7">
        <f>1454575.69-'[1]Project 28'!N10</f>
        <v>1298723.1499999999</v>
      </c>
      <c r="O10" s="54"/>
      <c r="P10" s="19"/>
    </row>
    <row r="11" spans="1:16" x14ac:dyDescent="0.2">
      <c r="A11" s="38">
        <v>43922</v>
      </c>
      <c r="C11" s="7">
        <v>357150327</v>
      </c>
      <c r="D11" s="25">
        <v>1248382</v>
      </c>
      <c r="E11" s="10">
        <f>707650.54</f>
        <v>707650.54</v>
      </c>
      <c r="F11" s="10">
        <v>1343624.56</v>
      </c>
      <c r="G11" s="7">
        <f t="shared" ref="G11:G15" si="3">E11-D11</f>
        <v>-540731.46</v>
      </c>
      <c r="H11" s="7">
        <f t="shared" ref="H11:H15" si="4">F11-D11</f>
        <v>95242.560000000056</v>
      </c>
      <c r="I11" s="8">
        <v>0.21</v>
      </c>
      <c r="J11" s="8">
        <v>0.05</v>
      </c>
      <c r="K11" s="7">
        <f t="shared" si="0"/>
        <v>-114553.65347999998</v>
      </c>
      <c r="L11" s="7">
        <f t="shared" si="1"/>
        <v>4762.1280000000033</v>
      </c>
      <c r="M11" s="7">
        <f t="shared" si="2"/>
        <v>70811557.14854002</v>
      </c>
      <c r="N11" s="7">
        <f>1444417.58-'[1]Project 28'!N11</f>
        <v>1289923.6500000001</v>
      </c>
      <c r="O11" s="54"/>
      <c r="P11" s="19"/>
    </row>
    <row r="12" spans="1:16" x14ac:dyDescent="0.2">
      <c r="A12" s="38">
        <v>43952</v>
      </c>
      <c r="C12" s="7">
        <v>364145506</v>
      </c>
      <c r="D12" s="25">
        <v>1261061</v>
      </c>
      <c r="E12" s="25">
        <f>740440.44-10929-165</f>
        <v>729346.44</v>
      </c>
      <c r="F12" s="25">
        <f>1376414.46-10929-165</f>
        <v>1365320.46</v>
      </c>
      <c r="G12" s="7">
        <f>E12-D12</f>
        <v>-531714.56000000006</v>
      </c>
      <c r="H12" s="7">
        <f>F12-D12</f>
        <v>104259.45999999996</v>
      </c>
      <c r="I12" s="8">
        <v>0.21</v>
      </c>
      <c r="J12" s="8">
        <v>0.05</v>
      </c>
      <c r="K12" s="7">
        <f t="shared" si="0"/>
        <v>-112754.78193000001</v>
      </c>
      <c r="L12" s="7">
        <f t="shared" si="1"/>
        <v>5212.9729999999981</v>
      </c>
      <c r="M12" s="7">
        <f t="shared" si="2"/>
        <v>70704015.339610025</v>
      </c>
      <c r="N12" s="37">
        <f>2472934.54-'[1]Project 28'!N12</f>
        <v>2319799.23</v>
      </c>
      <c r="O12" s="40"/>
      <c r="P12" s="19"/>
    </row>
    <row r="13" spans="1:16" x14ac:dyDescent="0.2">
      <c r="A13" s="38">
        <v>43983</v>
      </c>
      <c r="C13" s="7">
        <v>364145506</v>
      </c>
      <c r="D13" s="25">
        <v>1273740</v>
      </c>
      <c r="E13" s="25">
        <f>740440.44+1588</f>
        <v>742028.44</v>
      </c>
      <c r="F13" s="25">
        <f>1376414.46+1588</f>
        <v>1378002.46</v>
      </c>
      <c r="G13" s="7">
        <f>E13-D13</f>
        <v>-531711.56000000006</v>
      </c>
      <c r="H13" s="7">
        <f>F13-D13</f>
        <v>104262.45999999996</v>
      </c>
      <c r="I13" s="8">
        <v>0.21</v>
      </c>
      <c r="J13" s="8">
        <v>0.05</v>
      </c>
      <c r="K13" s="7">
        <f t="shared" si="0"/>
        <v>-112754.18343</v>
      </c>
      <c r="L13" s="7">
        <f t="shared" si="1"/>
        <v>5213.1229999999987</v>
      </c>
      <c r="M13" s="7">
        <f t="shared" si="2"/>
        <v>70596474.27918002</v>
      </c>
      <c r="N13" s="7">
        <f>2457624.07-'[1]Project 28'!N13</f>
        <v>2305847.38</v>
      </c>
      <c r="O13" s="37"/>
      <c r="P13" s="19"/>
    </row>
    <row r="14" spans="1:16" x14ac:dyDescent="0.2">
      <c r="A14" s="38">
        <v>44013</v>
      </c>
      <c r="C14" s="7">
        <v>364145506</v>
      </c>
      <c r="D14" s="25">
        <v>1273740.49</v>
      </c>
      <c r="E14" s="25">
        <f>740440.44+1585.5</f>
        <v>742025.94</v>
      </c>
      <c r="F14" s="25">
        <f>1376414.46+1585.5</f>
        <v>1377999.96</v>
      </c>
      <c r="G14" s="7">
        <f t="shared" si="3"/>
        <v>-531714.55000000005</v>
      </c>
      <c r="H14" s="7">
        <f t="shared" si="4"/>
        <v>104259.46999999997</v>
      </c>
      <c r="I14" s="8">
        <v>0.21</v>
      </c>
      <c r="J14" s="8">
        <v>0.05</v>
      </c>
      <c r="K14" s="7">
        <f>G14*I14-L14*I14</f>
        <v>-112754.779935</v>
      </c>
      <c r="L14" s="7">
        <f t="shared" si="1"/>
        <v>5212.9734999999991</v>
      </c>
      <c r="M14" s="7">
        <f t="shared" si="2"/>
        <v>70488932.472745016</v>
      </c>
      <c r="N14" s="7">
        <f>2456864.55-'[1]Project 28'!N14</f>
        <v>2306446.4699999997</v>
      </c>
      <c r="O14" s="37"/>
      <c r="P14" s="19"/>
    </row>
    <row r="15" spans="1:16" x14ac:dyDescent="0.2">
      <c r="A15" s="38">
        <v>44044</v>
      </c>
      <c r="C15" s="7">
        <v>364145506</v>
      </c>
      <c r="D15" s="25">
        <v>1273740.49</v>
      </c>
      <c r="E15" s="25">
        <f>740440.44+1588</f>
        <v>742028.44</v>
      </c>
      <c r="F15" s="25">
        <f>1376414.46+1588</f>
        <v>1378002.46</v>
      </c>
      <c r="G15" s="7">
        <f t="shared" si="3"/>
        <v>-531712.05000000005</v>
      </c>
      <c r="H15" s="7">
        <f t="shared" si="4"/>
        <v>104261.96999999997</v>
      </c>
      <c r="I15" s="8">
        <v>0.21</v>
      </c>
      <c r="J15" s="8">
        <v>0.05</v>
      </c>
      <c r="K15" s="7">
        <f>G15*I15-L15*I15-93621-93621-37449</f>
        <v>-337445.28118500003</v>
      </c>
      <c r="L15" s="7">
        <f t="shared" si="1"/>
        <v>5213.0984999999991</v>
      </c>
      <c r="M15" s="7">
        <f t="shared" si="2"/>
        <v>70156700.290060014</v>
      </c>
      <c r="N15" s="7">
        <f>2441414.45-'[1]Project 28'!N15</f>
        <v>2292354.98</v>
      </c>
      <c r="P15" s="19"/>
    </row>
    <row r="16" spans="1:16" x14ac:dyDescent="0.2">
      <c r="A16" s="5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55"/>
      <c r="C17" s="37" t="s">
        <v>55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5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43" t="s">
        <v>47</v>
      </c>
    </row>
    <row r="20" spans="1:14" x14ac:dyDescent="0.2">
      <c r="C20" s="43" t="s">
        <v>31</v>
      </c>
    </row>
    <row r="21" spans="1:14" x14ac:dyDescent="0.2">
      <c r="C21" s="43" t="s">
        <v>62</v>
      </c>
    </row>
    <row r="22" spans="1:14" x14ac:dyDescent="0.2">
      <c r="C22" s="7" t="s">
        <v>32</v>
      </c>
    </row>
    <row r="24" spans="1:14" x14ac:dyDescent="0.2">
      <c r="C24" s="7" t="s">
        <v>34</v>
      </c>
      <c r="D24" s="29" t="s">
        <v>35</v>
      </c>
      <c r="E24" s="28" t="s">
        <v>36</v>
      </c>
      <c r="F24" s="7" t="s">
        <v>37</v>
      </c>
      <c r="G24" s="8" t="s">
        <v>27</v>
      </c>
      <c r="H24" s="7" t="s">
        <v>38</v>
      </c>
    </row>
    <row r="25" spans="1:14" x14ac:dyDescent="0.2">
      <c r="C25" s="25">
        <v>17068.5</v>
      </c>
      <c r="D25" s="25">
        <v>1273740</v>
      </c>
      <c r="E25" s="25"/>
      <c r="F25" s="19">
        <f>E25-D25</f>
        <v>-1273740</v>
      </c>
      <c r="G25" s="8">
        <v>0.21</v>
      </c>
      <c r="H25" s="19">
        <f>F25*G25</f>
        <v>-267485.39999999997</v>
      </c>
    </row>
    <row r="26" spans="1:14" x14ac:dyDescent="0.2">
      <c r="C26" s="25">
        <v>863123.25</v>
      </c>
      <c r="E26" s="25">
        <v>3253</v>
      </c>
      <c r="F26" s="19">
        <f>E26</f>
        <v>3253</v>
      </c>
      <c r="G26" s="8">
        <v>0.21</v>
      </c>
      <c r="H26" s="19">
        <f t="shared" ref="H26:H55" si="5">F26*G26</f>
        <v>683.13</v>
      </c>
    </row>
    <row r="27" spans="1:14" x14ac:dyDescent="0.2">
      <c r="C27" s="25">
        <v>172624.8</v>
      </c>
      <c r="E27" s="25"/>
      <c r="F27" s="19">
        <f t="shared" ref="F27:F57" si="6">E27</f>
        <v>0</v>
      </c>
      <c r="G27" s="8">
        <v>0.21</v>
      </c>
      <c r="H27" s="19">
        <f t="shared" si="5"/>
        <v>0</v>
      </c>
    </row>
    <row r="28" spans="1:14" x14ac:dyDescent="0.2">
      <c r="C28" s="25">
        <v>115083.20000000001</v>
      </c>
      <c r="E28" s="25">
        <v>434</v>
      </c>
      <c r="F28" s="19">
        <f t="shared" si="6"/>
        <v>434</v>
      </c>
      <c r="G28" s="8">
        <v>0.21</v>
      </c>
      <c r="H28" s="19">
        <f t="shared" si="5"/>
        <v>91.14</v>
      </c>
    </row>
    <row r="29" spans="1:14" x14ac:dyDescent="0.2">
      <c r="C29" s="25">
        <v>16958769.375</v>
      </c>
      <c r="E29" s="25">
        <v>69079</v>
      </c>
      <c r="F29" s="19">
        <f t="shared" si="6"/>
        <v>69079</v>
      </c>
      <c r="G29" s="8">
        <v>0.21</v>
      </c>
      <c r="H29" s="19">
        <f t="shared" si="5"/>
        <v>14506.59</v>
      </c>
    </row>
    <row r="30" spans="1:14" x14ac:dyDescent="0.2">
      <c r="C30" s="25">
        <v>3391753.8750000005</v>
      </c>
      <c r="E30" s="25"/>
      <c r="F30" s="19">
        <f t="shared" si="6"/>
        <v>0</v>
      </c>
      <c r="G30" s="8">
        <v>0.21</v>
      </c>
      <c r="H30" s="19">
        <f t="shared" si="5"/>
        <v>0</v>
      </c>
    </row>
    <row r="31" spans="1:14" x14ac:dyDescent="0.2">
      <c r="C31" s="25">
        <v>2261169.2500000005</v>
      </c>
      <c r="E31" s="25">
        <v>9210</v>
      </c>
      <c r="F31" s="19">
        <f t="shared" si="6"/>
        <v>9210</v>
      </c>
      <c r="G31" s="8">
        <v>0.21</v>
      </c>
      <c r="H31" s="19">
        <f t="shared" si="5"/>
        <v>1934.1</v>
      </c>
    </row>
    <row r="32" spans="1:14" x14ac:dyDescent="0.2">
      <c r="C32" s="25">
        <v>96326943.479999989</v>
      </c>
      <c r="E32" s="25">
        <v>392372</v>
      </c>
      <c r="F32" s="19">
        <f t="shared" si="6"/>
        <v>392372</v>
      </c>
      <c r="G32" s="8">
        <v>0.21</v>
      </c>
      <c r="H32" s="19">
        <f t="shared" si="5"/>
        <v>82398.12</v>
      </c>
    </row>
    <row r="33" spans="3:8" x14ac:dyDescent="0.2">
      <c r="C33" s="25">
        <v>18955938.995999999</v>
      </c>
      <c r="E33" s="25"/>
      <c r="F33" s="19">
        <f t="shared" si="6"/>
        <v>0</v>
      </c>
      <c r="G33" s="8">
        <v>0.21</v>
      </c>
      <c r="H33" s="19">
        <f t="shared" si="5"/>
        <v>0</v>
      </c>
    </row>
    <row r="34" spans="3:8" x14ac:dyDescent="0.2">
      <c r="C34" s="25">
        <v>12637292.664000001</v>
      </c>
      <c r="E34" s="25">
        <v>51476</v>
      </c>
      <c r="F34" s="19">
        <f t="shared" si="6"/>
        <v>51476</v>
      </c>
      <c r="G34" s="8">
        <v>0.21</v>
      </c>
      <c r="H34" s="19">
        <f t="shared" si="5"/>
        <v>10809.96</v>
      </c>
    </row>
    <row r="35" spans="3:8" x14ac:dyDescent="0.2">
      <c r="C35" s="25">
        <v>2579539.44</v>
      </c>
      <c r="E35" s="25">
        <v>11361</v>
      </c>
      <c r="F35" s="19">
        <f t="shared" si="6"/>
        <v>11361</v>
      </c>
      <c r="G35" s="8">
        <v>0.21</v>
      </c>
      <c r="H35" s="19">
        <f t="shared" si="5"/>
        <v>2385.81</v>
      </c>
    </row>
    <row r="36" spans="3:8" x14ac:dyDescent="0.2">
      <c r="C36" s="25">
        <v>515907.88799999998</v>
      </c>
      <c r="E36" s="25">
        <v>5016</v>
      </c>
      <c r="F36" s="19">
        <f t="shared" si="6"/>
        <v>5016</v>
      </c>
      <c r="G36" s="8">
        <v>0.21</v>
      </c>
      <c r="H36" s="19">
        <f t="shared" si="5"/>
        <v>1053.3599999999999</v>
      </c>
    </row>
    <row r="37" spans="3:8" x14ac:dyDescent="0.2">
      <c r="C37" s="25">
        <v>343938.592</v>
      </c>
      <c r="E37" s="25">
        <v>1515</v>
      </c>
      <c r="F37" s="19">
        <f t="shared" si="6"/>
        <v>1515</v>
      </c>
      <c r="G37" s="8">
        <v>0.21</v>
      </c>
      <c r="H37" s="19">
        <f t="shared" si="5"/>
        <v>318.14999999999998</v>
      </c>
    </row>
    <row r="38" spans="3:8" x14ac:dyDescent="0.2">
      <c r="C38" s="25">
        <v>3753722.94</v>
      </c>
      <c r="E38" s="25">
        <v>17871</v>
      </c>
      <c r="F38" s="19">
        <f t="shared" si="6"/>
        <v>17871</v>
      </c>
      <c r="G38" s="8">
        <v>0.21</v>
      </c>
      <c r="H38" s="19">
        <f t="shared" si="5"/>
        <v>3752.91</v>
      </c>
    </row>
    <row r="39" spans="3:8" x14ac:dyDescent="0.2">
      <c r="C39" s="25">
        <v>750744.58799999999</v>
      </c>
      <c r="E39" s="25">
        <v>12512</v>
      </c>
      <c r="F39" s="19">
        <f t="shared" si="6"/>
        <v>12512</v>
      </c>
      <c r="G39" s="8">
        <v>0.21</v>
      </c>
      <c r="H39" s="19">
        <f t="shared" si="5"/>
        <v>2627.52</v>
      </c>
    </row>
    <row r="40" spans="3:8" x14ac:dyDescent="0.2">
      <c r="C40" s="25">
        <v>500496.39199999999</v>
      </c>
      <c r="E40" s="25">
        <v>2383</v>
      </c>
      <c r="F40" s="19">
        <f t="shared" si="6"/>
        <v>2383</v>
      </c>
      <c r="G40" s="8">
        <v>0.21</v>
      </c>
      <c r="H40" s="19">
        <f t="shared" si="5"/>
        <v>500.43</v>
      </c>
    </row>
    <row r="41" spans="3:8" x14ac:dyDescent="0.2">
      <c r="C41" s="25">
        <v>-21906.708749999998</v>
      </c>
      <c r="E41" s="25">
        <v>-104</v>
      </c>
      <c r="F41" s="19">
        <f t="shared" si="6"/>
        <v>-104</v>
      </c>
      <c r="G41" s="8">
        <v>0.21</v>
      </c>
      <c r="H41" s="19">
        <f t="shared" si="5"/>
        <v>-21.84</v>
      </c>
    </row>
    <row r="42" spans="3:8" x14ac:dyDescent="0.2">
      <c r="C42" s="25">
        <v>-4381.3417499999996</v>
      </c>
      <c r="E42" s="25">
        <v>-73</v>
      </c>
      <c r="F42" s="19">
        <f t="shared" si="6"/>
        <v>-73</v>
      </c>
      <c r="G42" s="8">
        <v>0.21</v>
      </c>
      <c r="H42" s="19">
        <f t="shared" si="5"/>
        <v>-15.33</v>
      </c>
    </row>
    <row r="43" spans="3:8" x14ac:dyDescent="0.2">
      <c r="C43" s="25">
        <v>-2920.8945000000003</v>
      </c>
      <c r="E43" s="25">
        <v>-14</v>
      </c>
      <c r="F43" s="19">
        <f t="shared" si="6"/>
        <v>-14</v>
      </c>
      <c r="G43" s="8">
        <v>0.21</v>
      </c>
      <c r="H43" s="19">
        <f t="shared" si="5"/>
        <v>-2.94</v>
      </c>
    </row>
    <row r="44" spans="3:8" x14ac:dyDescent="0.2">
      <c r="C44" s="25">
        <v>29295.040000000001</v>
      </c>
      <c r="E44" s="25">
        <v>139</v>
      </c>
      <c r="F44" s="19">
        <f t="shared" si="6"/>
        <v>139</v>
      </c>
      <c r="G44" s="8">
        <v>0.21</v>
      </c>
      <c r="H44" s="19">
        <f t="shared" si="5"/>
        <v>29.189999999999998</v>
      </c>
    </row>
    <row r="45" spans="3:8" x14ac:dyDescent="0.2">
      <c r="C45" s="25">
        <v>21.04</v>
      </c>
      <c r="E45" s="25"/>
      <c r="F45" s="19">
        <f t="shared" si="6"/>
        <v>0</v>
      </c>
      <c r="G45" s="8">
        <v>0.21</v>
      </c>
      <c r="H45" s="19">
        <f t="shared" si="5"/>
        <v>0</v>
      </c>
    </row>
    <row r="46" spans="3:8" x14ac:dyDescent="0.2">
      <c r="C46" s="25">
        <v>15.78</v>
      </c>
      <c r="E46" s="25">
        <v>0.08</v>
      </c>
      <c r="F46" s="19">
        <f t="shared" si="6"/>
        <v>0.08</v>
      </c>
      <c r="G46" s="8">
        <v>0.21</v>
      </c>
      <c r="H46" s="19">
        <f t="shared" si="5"/>
        <v>1.6799999999999999E-2</v>
      </c>
    </row>
    <row r="47" spans="3:8" x14ac:dyDescent="0.2">
      <c r="C47" s="25">
        <v>3.1559999999999997</v>
      </c>
      <c r="E47" s="25">
        <v>0.05</v>
      </c>
      <c r="F47" s="19">
        <f t="shared" si="6"/>
        <v>0.05</v>
      </c>
      <c r="G47" s="8">
        <v>0.21</v>
      </c>
      <c r="H47" s="19">
        <f t="shared" si="5"/>
        <v>1.0500000000000001E-2</v>
      </c>
    </row>
    <row r="48" spans="3:8" x14ac:dyDescent="0.2">
      <c r="C48" s="25">
        <v>2.1040000000000001</v>
      </c>
      <c r="E48" s="25">
        <v>0.01</v>
      </c>
      <c r="F48" s="41">
        <f t="shared" si="6"/>
        <v>0.01</v>
      </c>
      <c r="G48" s="8">
        <v>0.21</v>
      </c>
      <c r="H48" s="41">
        <f t="shared" si="5"/>
        <v>2.0999999999999999E-3</v>
      </c>
    </row>
    <row r="49" spans="3:9" x14ac:dyDescent="0.2">
      <c r="C49" s="25">
        <v>-14734</v>
      </c>
      <c r="E49" s="25"/>
      <c r="F49" s="41">
        <f t="shared" si="6"/>
        <v>0</v>
      </c>
      <c r="G49" s="8">
        <v>0.21</v>
      </c>
      <c r="H49" s="41">
        <f t="shared" si="5"/>
        <v>0</v>
      </c>
    </row>
    <row r="50" spans="3:9" x14ac:dyDescent="0.2">
      <c r="C50" s="25">
        <v>38967</v>
      </c>
      <c r="E50" s="25">
        <v>100</v>
      </c>
      <c r="F50" s="41">
        <f t="shared" si="6"/>
        <v>100</v>
      </c>
      <c r="G50" s="8">
        <v>0.21</v>
      </c>
      <c r="H50" s="41">
        <f t="shared" si="5"/>
        <v>21</v>
      </c>
    </row>
    <row r="51" spans="3:9" x14ac:dyDescent="0.2">
      <c r="C51" s="25">
        <v>20762450</v>
      </c>
      <c r="E51" s="25">
        <v>97216</v>
      </c>
      <c r="F51" s="41">
        <f t="shared" si="6"/>
        <v>97216</v>
      </c>
      <c r="G51" s="8">
        <v>0.21</v>
      </c>
      <c r="H51" s="41">
        <f t="shared" si="5"/>
        <v>20415.36</v>
      </c>
    </row>
    <row r="52" spans="3:9" x14ac:dyDescent="0.2">
      <c r="C52" s="25">
        <v>3989775</v>
      </c>
      <c r="E52" s="25">
        <v>14422</v>
      </c>
      <c r="F52" s="41">
        <f t="shared" si="6"/>
        <v>14422</v>
      </c>
      <c r="G52" s="8">
        <v>0.21</v>
      </c>
      <c r="H52" s="41">
        <f t="shared" si="5"/>
        <v>3028.62</v>
      </c>
    </row>
    <row r="53" spans="3:9" x14ac:dyDescent="0.2">
      <c r="C53" s="25">
        <v>1251958</v>
      </c>
      <c r="E53" s="25">
        <v>7532</v>
      </c>
      <c r="F53" s="41">
        <f t="shared" si="6"/>
        <v>7532</v>
      </c>
      <c r="G53" s="8">
        <v>0.21</v>
      </c>
      <c r="H53" s="41">
        <f t="shared" si="5"/>
        <v>1581.72</v>
      </c>
    </row>
    <row r="54" spans="3:9" x14ac:dyDescent="0.2">
      <c r="C54" s="25">
        <v>42515</v>
      </c>
      <c r="E54" s="25"/>
      <c r="F54" s="41">
        <f t="shared" si="6"/>
        <v>0</v>
      </c>
      <c r="G54" s="8">
        <v>0.21</v>
      </c>
      <c r="H54" s="41">
        <f t="shared" si="5"/>
        <v>0</v>
      </c>
    </row>
    <row r="55" spans="3:9" x14ac:dyDescent="0.2">
      <c r="C55" s="25">
        <v>-146644</v>
      </c>
      <c r="E55" s="25">
        <v>-1180</v>
      </c>
      <c r="F55" s="41">
        <f t="shared" si="6"/>
        <v>-1180</v>
      </c>
      <c r="G55" s="8">
        <v>0.21</v>
      </c>
      <c r="H55" s="41">
        <f t="shared" si="5"/>
        <v>-247.79999999999998</v>
      </c>
    </row>
    <row r="56" spans="3:9" x14ac:dyDescent="0.2">
      <c r="C56" s="25">
        <v>2874747</v>
      </c>
      <c r="E56" s="25">
        <f>13132-0.7</f>
        <v>13131.3</v>
      </c>
      <c r="F56" s="41">
        <f t="shared" si="6"/>
        <v>13131.3</v>
      </c>
      <c r="G56" s="8">
        <v>0.21</v>
      </c>
      <c r="H56" s="41">
        <f>F56*G56-0.1</f>
        <v>2757.473</v>
      </c>
    </row>
    <row r="57" spans="3:9" ht="15" x14ac:dyDescent="0.35">
      <c r="C57" s="25">
        <v>6995179.2300000004</v>
      </c>
      <c r="E57" s="36">
        <f>21860+10929+1588</f>
        <v>34377</v>
      </c>
      <c r="F57" s="32">
        <f t="shared" si="6"/>
        <v>34377</v>
      </c>
      <c r="G57" s="8">
        <v>0.21</v>
      </c>
      <c r="H57" s="32">
        <f>F57*G57-0.1</f>
        <v>7219.07</v>
      </c>
    </row>
    <row r="58" spans="3:9" x14ac:dyDescent="0.2">
      <c r="E58" s="19">
        <f>SUM(E25:E57)</f>
        <v>742028.44000000006</v>
      </c>
      <c r="F58" s="19">
        <f>SUM(F25:F57)</f>
        <v>-531711.55999999994</v>
      </c>
      <c r="G58" s="33" t="s">
        <v>43</v>
      </c>
      <c r="H58" s="19">
        <f>SUM(H25:H57)</f>
        <v>-111659.62759999995</v>
      </c>
    </row>
    <row r="59" spans="3:9" ht="15" x14ac:dyDescent="0.35">
      <c r="G59" s="33" t="s">
        <v>44</v>
      </c>
      <c r="H59" s="32">
        <f>-H95*0.21</f>
        <v>-1094.7521508000011</v>
      </c>
    </row>
    <row r="60" spans="3:9" x14ac:dyDescent="0.2">
      <c r="H60" s="19">
        <f>H58+H59</f>
        <v>-112754.37975079996</v>
      </c>
    </row>
    <row r="61" spans="3:9" x14ac:dyDescent="0.2">
      <c r="H61" s="19">
        <f>H60-K15</f>
        <v>224690.90143420006</v>
      </c>
      <c r="I61" s="33" t="s">
        <v>56</v>
      </c>
    </row>
    <row r="62" spans="3:9" x14ac:dyDescent="0.2">
      <c r="C62" s="7" t="s">
        <v>39</v>
      </c>
      <c r="D62" s="27" t="s">
        <v>35</v>
      </c>
      <c r="E62" s="28" t="s">
        <v>40</v>
      </c>
      <c r="F62" s="7" t="s">
        <v>41</v>
      </c>
      <c r="G62" s="8" t="s">
        <v>28</v>
      </c>
      <c r="H62" s="7" t="s">
        <v>42</v>
      </c>
    </row>
    <row r="63" spans="3:9" x14ac:dyDescent="0.2">
      <c r="C63" s="19">
        <v>34138</v>
      </c>
      <c r="D63" s="19">
        <f>D25</f>
        <v>1273740</v>
      </c>
      <c r="E63" s="19"/>
      <c r="F63" s="19">
        <f>E63-D63</f>
        <v>-1273740</v>
      </c>
      <c r="G63" s="8">
        <v>0.05</v>
      </c>
      <c r="H63" s="19">
        <f>F63*G63</f>
        <v>-63687</v>
      </c>
    </row>
    <row r="64" spans="3:9" x14ac:dyDescent="0.2">
      <c r="C64" s="19">
        <v>1726246.5</v>
      </c>
      <c r="E64" s="19">
        <v>6505</v>
      </c>
      <c r="F64" s="19">
        <f>E64</f>
        <v>6505</v>
      </c>
      <c r="G64" s="8">
        <v>0.05</v>
      </c>
      <c r="H64" s="19">
        <f t="shared" ref="H64:H94" si="7">F64*G64</f>
        <v>325.25</v>
      </c>
    </row>
    <row r="65" spans="3:8" x14ac:dyDescent="0.2">
      <c r="C65" s="19">
        <v>345249.3</v>
      </c>
      <c r="E65" s="19"/>
      <c r="F65" s="19">
        <f t="shared" ref="F65:F94" si="8">E65</f>
        <v>0</v>
      </c>
      <c r="G65" s="8">
        <v>0.05</v>
      </c>
      <c r="H65" s="19">
        <f t="shared" si="7"/>
        <v>0</v>
      </c>
    </row>
    <row r="66" spans="3:8" x14ac:dyDescent="0.2">
      <c r="C66" s="19">
        <v>230166.2</v>
      </c>
      <c r="E66" s="19">
        <v>867</v>
      </c>
      <c r="F66" s="19">
        <f t="shared" si="8"/>
        <v>867</v>
      </c>
      <c r="G66" s="8">
        <v>0.05</v>
      </c>
      <c r="H66" s="19">
        <f t="shared" si="7"/>
        <v>43.35</v>
      </c>
    </row>
    <row r="67" spans="3:8" x14ac:dyDescent="0.2">
      <c r="C67" s="19">
        <v>32248976.25</v>
      </c>
      <c r="E67" s="19">
        <v>131361</v>
      </c>
      <c r="F67" s="19">
        <f t="shared" si="8"/>
        <v>131361</v>
      </c>
      <c r="G67" s="8">
        <v>0.05</v>
      </c>
      <c r="H67" s="19">
        <f t="shared" si="7"/>
        <v>6568.05</v>
      </c>
    </row>
    <row r="68" spans="3:8" x14ac:dyDescent="0.2">
      <c r="C68" s="19">
        <v>6449795.25</v>
      </c>
      <c r="E68" s="19"/>
      <c r="F68" s="19">
        <f t="shared" si="8"/>
        <v>0</v>
      </c>
      <c r="G68" s="8">
        <v>0.05</v>
      </c>
      <c r="H68" s="19">
        <f t="shared" si="7"/>
        <v>0</v>
      </c>
    </row>
    <row r="69" spans="3:8" x14ac:dyDescent="0.2">
      <c r="C69" s="19">
        <v>4299863.5</v>
      </c>
      <c r="E69" s="19">
        <v>17515</v>
      </c>
      <c r="F69" s="19">
        <f t="shared" si="8"/>
        <v>17515</v>
      </c>
      <c r="G69" s="8">
        <v>0.05</v>
      </c>
      <c r="H69" s="19">
        <f t="shared" si="7"/>
        <v>875.75</v>
      </c>
    </row>
    <row r="70" spans="3:8" x14ac:dyDescent="0.2">
      <c r="C70" s="19">
        <v>192267074.83500001</v>
      </c>
      <c r="E70" s="19">
        <v>783168</v>
      </c>
      <c r="F70" s="19">
        <f t="shared" si="8"/>
        <v>783168</v>
      </c>
      <c r="G70" s="8">
        <v>0.05</v>
      </c>
      <c r="H70" s="19">
        <f t="shared" si="7"/>
        <v>39158.400000000001</v>
      </c>
    </row>
    <row r="71" spans="3:8" x14ac:dyDescent="0.2">
      <c r="C71" s="19">
        <v>38143965.266999997</v>
      </c>
      <c r="E71" s="19"/>
      <c r="F71" s="19">
        <f t="shared" si="8"/>
        <v>0</v>
      </c>
      <c r="G71" s="8">
        <v>0.05</v>
      </c>
      <c r="H71" s="19">
        <f t="shared" si="7"/>
        <v>0</v>
      </c>
    </row>
    <row r="72" spans="3:8" x14ac:dyDescent="0.2">
      <c r="C72" s="19">
        <v>25429310.178000003</v>
      </c>
      <c r="E72" s="19">
        <v>103582</v>
      </c>
      <c r="F72" s="19">
        <f t="shared" si="8"/>
        <v>103582</v>
      </c>
      <c r="G72" s="8">
        <v>0.05</v>
      </c>
      <c r="H72" s="19">
        <f t="shared" si="7"/>
        <v>5179.1000000000004</v>
      </c>
    </row>
    <row r="73" spans="3:8" x14ac:dyDescent="0.2">
      <c r="C73" s="19">
        <v>5070051.5025000004</v>
      </c>
      <c r="E73" s="19">
        <v>22329</v>
      </c>
      <c r="F73" s="19">
        <f t="shared" si="8"/>
        <v>22329</v>
      </c>
      <c r="G73" s="8">
        <v>0.05</v>
      </c>
      <c r="H73" s="19">
        <f t="shared" si="7"/>
        <v>1116.45</v>
      </c>
    </row>
    <row r="74" spans="3:8" x14ac:dyDescent="0.2">
      <c r="C74" s="19">
        <v>1014010.3005</v>
      </c>
      <c r="E74" s="19">
        <v>9858</v>
      </c>
      <c r="F74" s="19">
        <f t="shared" si="8"/>
        <v>9858</v>
      </c>
      <c r="G74" s="8">
        <v>0.05</v>
      </c>
      <c r="H74" s="19">
        <f t="shared" si="7"/>
        <v>492.90000000000003</v>
      </c>
    </row>
    <row r="75" spans="3:8" x14ac:dyDescent="0.2">
      <c r="C75" s="19">
        <v>676006.86699999997</v>
      </c>
      <c r="E75" s="19">
        <v>2977</v>
      </c>
      <c r="F75" s="19">
        <f t="shared" si="8"/>
        <v>2977</v>
      </c>
      <c r="G75" s="8">
        <v>0.05</v>
      </c>
      <c r="H75" s="19">
        <f t="shared" si="7"/>
        <v>148.85</v>
      </c>
    </row>
    <row r="76" spans="3:8" x14ac:dyDescent="0.2">
      <c r="C76" s="19">
        <v>7507445.8799999999</v>
      </c>
      <c r="E76" s="19">
        <v>35742</v>
      </c>
      <c r="F76" s="19">
        <f t="shared" si="8"/>
        <v>35742</v>
      </c>
      <c r="G76" s="8">
        <v>0.05</v>
      </c>
      <c r="H76" s="19">
        <f t="shared" si="7"/>
        <v>1787.1000000000001</v>
      </c>
    </row>
    <row r="77" spans="3:8" x14ac:dyDescent="0.2">
      <c r="C77" s="19">
        <v>1501489.176</v>
      </c>
      <c r="E77" s="19">
        <v>25024.819599999999</v>
      </c>
      <c r="F77" s="19">
        <f t="shared" si="8"/>
        <v>25024.819599999999</v>
      </c>
      <c r="G77" s="8">
        <v>0.05</v>
      </c>
      <c r="H77" s="19">
        <f t="shared" si="7"/>
        <v>1251.24098</v>
      </c>
    </row>
    <row r="78" spans="3:8" x14ac:dyDescent="0.2">
      <c r="C78" s="19">
        <v>1000992.784</v>
      </c>
      <c r="E78" s="19">
        <v>4766</v>
      </c>
      <c r="F78" s="19">
        <f t="shared" si="8"/>
        <v>4766</v>
      </c>
      <c r="G78" s="8">
        <v>0.05</v>
      </c>
      <c r="H78" s="19">
        <f t="shared" si="7"/>
        <v>238.3</v>
      </c>
    </row>
    <row r="79" spans="3:8" x14ac:dyDescent="0.2">
      <c r="C79" s="19">
        <v>-43813.417499999996</v>
      </c>
      <c r="E79" s="19">
        <v>-209</v>
      </c>
      <c r="F79" s="19">
        <f t="shared" si="8"/>
        <v>-209</v>
      </c>
      <c r="G79" s="8">
        <v>0.05</v>
      </c>
      <c r="H79" s="19">
        <f t="shared" si="7"/>
        <v>-10.450000000000001</v>
      </c>
    </row>
    <row r="80" spans="3:8" x14ac:dyDescent="0.2">
      <c r="C80" s="19">
        <v>-8762.6834999999992</v>
      </c>
      <c r="E80" s="19">
        <v>-146</v>
      </c>
      <c r="F80" s="19">
        <f t="shared" si="8"/>
        <v>-146</v>
      </c>
      <c r="G80" s="8">
        <v>0.05</v>
      </c>
      <c r="H80" s="19">
        <f t="shared" si="7"/>
        <v>-7.3000000000000007</v>
      </c>
    </row>
    <row r="81" spans="3:8" x14ac:dyDescent="0.2">
      <c r="C81" s="19">
        <v>-5841.7890000000007</v>
      </c>
      <c r="E81" s="19">
        <v>-28</v>
      </c>
      <c r="F81" s="19">
        <f t="shared" si="8"/>
        <v>-28</v>
      </c>
      <c r="G81" s="8">
        <v>0.05</v>
      </c>
      <c r="H81" s="19">
        <f t="shared" si="7"/>
        <v>-1.4000000000000001</v>
      </c>
    </row>
    <row r="82" spans="3:8" x14ac:dyDescent="0.2">
      <c r="C82" s="19">
        <v>58590.080000000002</v>
      </c>
      <c r="E82" s="19">
        <v>279</v>
      </c>
      <c r="F82" s="19">
        <f t="shared" si="8"/>
        <v>279</v>
      </c>
      <c r="G82" s="8">
        <v>0.05</v>
      </c>
      <c r="H82" s="19">
        <f t="shared" si="7"/>
        <v>13.950000000000001</v>
      </c>
    </row>
    <row r="83" spans="3:8" x14ac:dyDescent="0.2">
      <c r="C83" s="19">
        <v>31.56</v>
      </c>
      <c r="E83" s="19">
        <v>0.16</v>
      </c>
      <c r="F83" s="19">
        <f t="shared" si="8"/>
        <v>0.16</v>
      </c>
      <c r="G83" s="8">
        <v>0.05</v>
      </c>
      <c r="H83" s="19">
        <f t="shared" si="7"/>
        <v>8.0000000000000002E-3</v>
      </c>
    </row>
    <row r="84" spans="3:8" x14ac:dyDescent="0.2">
      <c r="C84" s="19">
        <v>6.3119999999999994</v>
      </c>
      <c r="E84" s="19">
        <v>0.11</v>
      </c>
      <c r="F84" s="19">
        <f t="shared" si="8"/>
        <v>0.11</v>
      </c>
      <c r="G84" s="8">
        <v>0.05</v>
      </c>
      <c r="H84" s="19">
        <f t="shared" si="7"/>
        <v>5.5000000000000005E-3</v>
      </c>
    </row>
    <row r="85" spans="3:8" x14ac:dyDescent="0.2">
      <c r="C85" s="19">
        <v>4.2080000000000002</v>
      </c>
      <c r="E85" s="41">
        <v>0.02</v>
      </c>
      <c r="F85" s="41">
        <f t="shared" si="8"/>
        <v>0.02</v>
      </c>
      <c r="G85" s="8">
        <v>0.05</v>
      </c>
      <c r="H85" s="41">
        <f t="shared" si="7"/>
        <v>1E-3</v>
      </c>
    </row>
    <row r="86" spans="3:8" x14ac:dyDescent="0.2">
      <c r="C86" s="25">
        <v>-14734</v>
      </c>
      <c r="E86" s="41"/>
      <c r="F86" s="41">
        <f t="shared" si="8"/>
        <v>0</v>
      </c>
      <c r="G86" s="8">
        <v>0.05</v>
      </c>
      <c r="H86" s="41">
        <f t="shared" si="7"/>
        <v>0</v>
      </c>
    </row>
    <row r="87" spans="3:8" x14ac:dyDescent="0.2">
      <c r="C87" s="25">
        <v>38967</v>
      </c>
      <c r="E87" s="41">
        <v>201</v>
      </c>
      <c r="F87" s="41">
        <f t="shared" si="8"/>
        <v>201</v>
      </c>
      <c r="G87" s="8">
        <v>0.05</v>
      </c>
      <c r="H87" s="41">
        <f t="shared" si="7"/>
        <v>10.050000000000001</v>
      </c>
    </row>
    <row r="88" spans="3:8" x14ac:dyDescent="0.2">
      <c r="C88" s="25">
        <v>20762450</v>
      </c>
      <c r="E88" s="41">
        <v>142750</v>
      </c>
      <c r="F88" s="41">
        <f t="shared" si="8"/>
        <v>142750</v>
      </c>
      <c r="G88" s="8">
        <v>0.05</v>
      </c>
      <c r="H88" s="41">
        <f t="shared" si="7"/>
        <v>7137.5</v>
      </c>
    </row>
    <row r="89" spans="3:8" x14ac:dyDescent="0.2">
      <c r="C89" s="25">
        <v>3989775</v>
      </c>
      <c r="E89" s="41">
        <v>28844</v>
      </c>
      <c r="F89" s="41">
        <f t="shared" si="8"/>
        <v>28844</v>
      </c>
      <c r="G89" s="8">
        <v>0.05</v>
      </c>
      <c r="H89" s="41">
        <f t="shared" si="7"/>
        <v>1442.2</v>
      </c>
    </row>
    <row r="90" spans="3:8" x14ac:dyDescent="0.2">
      <c r="C90" s="25">
        <v>1251958</v>
      </c>
      <c r="E90" s="41">
        <v>7532</v>
      </c>
      <c r="F90" s="41">
        <f t="shared" si="8"/>
        <v>7532</v>
      </c>
      <c r="G90" s="8">
        <v>0.05</v>
      </c>
      <c r="H90" s="41">
        <f t="shared" si="7"/>
        <v>376.6</v>
      </c>
    </row>
    <row r="91" spans="3:8" x14ac:dyDescent="0.2">
      <c r="C91" s="25">
        <v>42515</v>
      </c>
      <c r="E91" s="41"/>
      <c r="F91" s="41">
        <f t="shared" si="8"/>
        <v>0</v>
      </c>
      <c r="G91" s="8">
        <v>0.05</v>
      </c>
      <c r="H91" s="41">
        <f t="shared" si="7"/>
        <v>0</v>
      </c>
    </row>
    <row r="92" spans="3:8" x14ac:dyDescent="0.2">
      <c r="C92" s="25">
        <v>-146644</v>
      </c>
      <c r="E92" s="41">
        <v>-1180</v>
      </c>
      <c r="F92" s="41">
        <f t="shared" si="8"/>
        <v>-1180</v>
      </c>
      <c r="G92" s="8">
        <v>0.05</v>
      </c>
      <c r="H92" s="41">
        <f t="shared" si="7"/>
        <v>-59</v>
      </c>
    </row>
    <row r="93" spans="3:8" x14ac:dyDescent="0.2">
      <c r="C93" s="25">
        <v>2874747</v>
      </c>
      <c r="E93" s="41">
        <v>21887</v>
      </c>
      <c r="F93" s="41">
        <f t="shared" si="8"/>
        <v>21887</v>
      </c>
      <c r="G93" s="8">
        <v>0.05</v>
      </c>
      <c r="H93" s="41">
        <f t="shared" si="7"/>
        <v>1094.3500000000001</v>
      </c>
    </row>
    <row r="94" spans="3:8" ht="15" x14ac:dyDescent="0.35">
      <c r="C94" s="25">
        <f>C57</f>
        <v>6995179.2300000004</v>
      </c>
      <c r="E94" s="32">
        <f>E57</f>
        <v>34377</v>
      </c>
      <c r="F94" s="32">
        <f t="shared" si="8"/>
        <v>34377</v>
      </c>
      <c r="G94" s="8">
        <v>0.05</v>
      </c>
      <c r="H94" s="32">
        <f t="shared" si="7"/>
        <v>1718.8500000000001</v>
      </c>
    </row>
    <row r="95" spans="3:8" x14ac:dyDescent="0.2">
      <c r="E95" s="19">
        <f>SUM(E63:E94)</f>
        <v>1378002.1096000001</v>
      </c>
      <c r="F95" s="19">
        <f>SUM(F63:F94)</f>
        <v>104262.1096</v>
      </c>
      <c r="H95" s="19">
        <f>SUM(H63:H94)</f>
        <v>5213.1054800000056</v>
      </c>
    </row>
    <row r="96" spans="3:8" x14ac:dyDescent="0.2">
      <c r="H96" s="19">
        <f>H95-L15</f>
        <v>6.9800000064788037E-3</v>
      </c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4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P18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2.7109375" customWidth="1"/>
    <col min="4" max="4" width="14.28515625" bestFit="1" customWidth="1"/>
    <col min="5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3.4257812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6" x14ac:dyDescent="0.2">
      <c r="A5" s="9" t="s">
        <v>10</v>
      </c>
    </row>
    <row r="6" spans="1:16" x14ac:dyDescent="0.2">
      <c r="A6" s="11" t="s">
        <v>9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1113803</v>
      </c>
    </row>
    <row r="10" spans="1:16" x14ac:dyDescent="0.2">
      <c r="A10" s="38">
        <v>43899</v>
      </c>
      <c r="C10" s="7">
        <v>9031671</v>
      </c>
      <c r="D10" s="15">
        <v>11499</v>
      </c>
      <c r="E10" s="10">
        <f>33550.04</f>
        <v>33550.04</v>
      </c>
      <c r="F10" s="10">
        <v>33550.04</v>
      </c>
      <c r="G10" s="7">
        <f t="shared" ref="G10:G15" si="0">E10-D10</f>
        <v>22051.040000000001</v>
      </c>
      <c r="H10" s="7">
        <f t="shared" ref="H10:H15" si="1">F10-D10</f>
        <v>22051.040000000001</v>
      </c>
      <c r="I10" s="8">
        <v>0.21</v>
      </c>
      <c r="J10" s="8">
        <v>0.05</v>
      </c>
      <c r="K10" s="7">
        <f t="shared" ref="K10:K15" si="2">G10*I10-L10*I10</f>
        <v>4399.1824799999995</v>
      </c>
      <c r="L10" s="7">
        <f t="shared" ref="L10:L15" si="3">H10*J10</f>
        <v>1102.5520000000001</v>
      </c>
      <c r="M10" s="7">
        <f t="shared" ref="M10:M15" si="4">M9+K10+L10</f>
        <v>1119304.7344799999</v>
      </c>
      <c r="N10" s="7">
        <v>0</v>
      </c>
      <c r="O10" s="17"/>
      <c r="P10" s="19"/>
    </row>
    <row r="11" spans="1:16" x14ac:dyDescent="0.2">
      <c r="A11" s="38">
        <v>43922</v>
      </c>
      <c r="C11" s="7">
        <v>9031671</v>
      </c>
      <c r="D11" s="15">
        <v>11499</v>
      </c>
      <c r="E11" s="10">
        <f>33550.04</f>
        <v>33550.04</v>
      </c>
      <c r="F11" s="10">
        <v>33550.04</v>
      </c>
      <c r="G11" s="7">
        <f t="shared" si="0"/>
        <v>22051.040000000001</v>
      </c>
      <c r="H11" s="7">
        <f t="shared" si="1"/>
        <v>22051.040000000001</v>
      </c>
      <c r="I11" s="8">
        <v>0.21</v>
      </c>
      <c r="J11" s="8">
        <v>0.05</v>
      </c>
      <c r="K11" s="7">
        <f t="shared" si="2"/>
        <v>4399.1824799999995</v>
      </c>
      <c r="L11" s="7">
        <f t="shared" si="3"/>
        <v>1102.5520000000001</v>
      </c>
      <c r="M11" s="24">
        <f t="shared" si="4"/>
        <v>1124806.4689599997</v>
      </c>
      <c r="N11" s="7">
        <v>0</v>
      </c>
      <c r="O11" s="17"/>
      <c r="P11" s="19"/>
    </row>
    <row r="12" spans="1:16" x14ac:dyDescent="0.2">
      <c r="A12" s="38">
        <v>43952</v>
      </c>
      <c r="C12" s="7">
        <v>9031671</v>
      </c>
      <c r="D12" s="15">
        <v>11499</v>
      </c>
      <c r="E12" s="10">
        <f>33550.04</f>
        <v>33550.04</v>
      </c>
      <c r="F12" s="10">
        <v>33550.04</v>
      </c>
      <c r="G12" s="7">
        <f t="shared" si="0"/>
        <v>22051.040000000001</v>
      </c>
      <c r="H12" s="7">
        <f t="shared" si="1"/>
        <v>22051.040000000001</v>
      </c>
      <c r="I12" s="8">
        <v>0.21</v>
      </c>
      <c r="J12" s="8">
        <v>0.05</v>
      </c>
      <c r="K12" s="7">
        <f t="shared" si="2"/>
        <v>4399.1824799999995</v>
      </c>
      <c r="L12" s="7">
        <f t="shared" si="3"/>
        <v>1102.5520000000001</v>
      </c>
      <c r="M12" s="7">
        <f t="shared" si="4"/>
        <v>1130308.2034399996</v>
      </c>
      <c r="N12" s="7">
        <v>0</v>
      </c>
      <c r="O12" s="23"/>
      <c r="P12" s="19"/>
    </row>
    <row r="13" spans="1:16" x14ac:dyDescent="0.2">
      <c r="A13" s="38">
        <v>43983</v>
      </c>
      <c r="C13" s="7">
        <v>9031671</v>
      </c>
      <c r="D13" s="15">
        <v>11499</v>
      </c>
      <c r="E13" s="10">
        <f>-5981464.14-12538</f>
        <v>-5994002.1399999997</v>
      </c>
      <c r="F13" s="10">
        <v>0</v>
      </c>
      <c r="G13" s="7">
        <f t="shared" si="0"/>
        <v>-6005501.1399999997</v>
      </c>
      <c r="H13" s="7">
        <f t="shared" si="1"/>
        <v>-11499</v>
      </c>
      <c r="I13" s="8">
        <v>0.21</v>
      </c>
      <c r="J13" s="8">
        <v>0.05</v>
      </c>
      <c r="K13" s="7">
        <f t="shared" si="2"/>
        <v>-1261034.4998999999</v>
      </c>
      <c r="L13" s="7">
        <f t="shared" si="3"/>
        <v>-574.95000000000005</v>
      </c>
      <c r="M13" s="7">
        <f t="shared" si="4"/>
        <v>-131301.24646000034</v>
      </c>
      <c r="N13" s="7">
        <v>0</v>
      </c>
      <c r="O13" s="23"/>
      <c r="P13" s="19"/>
    </row>
    <row r="14" spans="1:16" x14ac:dyDescent="0.2">
      <c r="A14" s="38">
        <v>44013</v>
      </c>
      <c r="C14" s="7">
        <v>9031671</v>
      </c>
      <c r="D14" s="15">
        <v>11499</v>
      </c>
      <c r="E14" s="10">
        <f>33550.04+4</f>
        <v>33554.04</v>
      </c>
      <c r="F14" s="10">
        <v>33550.04</v>
      </c>
      <c r="G14" s="7">
        <f t="shared" si="0"/>
        <v>22055.040000000001</v>
      </c>
      <c r="H14" s="7">
        <f t="shared" si="1"/>
        <v>22051.040000000001</v>
      </c>
      <c r="I14" s="8">
        <v>0.21</v>
      </c>
      <c r="J14" s="8">
        <v>0.05</v>
      </c>
      <c r="K14" s="7">
        <f t="shared" si="2"/>
        <v>4400.0224799999996</v>
      </c>
      <c r="L14" s="7">
        <f t="shared" si="3"/>
        <v>1102.5520000000001</v>
      </c>
      <c r="M14" s="7">
        <f t="shared" si="4"/>
        <v>-125798.67198000035</v>
      </c>
      <c r="N14" s="7">
        <v>0</v>
      </c>
      <c r="O14" s="7"/>
      <c r="P14" s="19"/>
    </row>
    <row r="15" spans="1:16" x14ac:dyDescent="0.2">
      <c r="A15" s="38">
        <v>44044</v>
      </c>
      <c r="C15" s="7">
        <v>9031671</v>
      </c>
      <c r="D15" s="15">
        <v>11499</v>
      </c>
      <c r="E15" s="10">
        <f>33550.04-4</f>
        <v>33546.04</v>
      </c>
      <c r="F15" s="10">
        <v>33550.04</v>
      </c>
      <c r="G15" s="7">
        <f t="shared" si="0"/>
        <v>22047.040000000001</v>
      </c>
      <c r="H15" s="7">
        <f t="shared" si="1"/>
        <v>22051.040000000001</v>
      </c>
      <c r="I15" s="8">
        <v>0.21</v>
      </c>
      <c r="J15" s="8">
        <v>0.05</v>
      </c>
      <c r="K15" s="7">
        <f t="shared" si="2"/>
        <v>4398.3424799999993</v>
      </c>
      <c r="L15" s="7">
        <f t="shared" si="3"/>
        <v>1102.5520000000001</v>
      </c>
      <c r="M15" s="7">
        <f t="shared" si="4"/>
        <v>-120297.77750000035</v>
      </c>
      <c r="N15" s="7">
        <v>0</v>
      </c>
      <c r="P15" s="19"/>
    </row>
    <row r="16" spans="1:16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</sheetData>
  <pageMargins left="0.7" right="0.7" top="1.15625" bottom="0.75" header="0.3" footer="0.3"/>
  <pageSetup scale="52" orientation="portrait" r:id="rId1"/>
  <headerFooter>
    <oddHeader>&amp;R&amp;"Times New Roman,Bold"&amp;12Attachment to Response to Question 3
Page 5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6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" customWidth="1"/>
    <col min="4" max="4" width="14.28515625" bestFit="1" customWidth="1"/>
    <col min="5" max="5" width="17.140625" customWidth="1"/>
    <col min="6" max="6" width="15.285156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2.4257812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 t="s">
        <v>11</v>
      </c>
      <c r="O4" s="14"/>
    </row>
    <row r="5" spans="1:16" x14ac:dyDescent="0.2">
      <c r="A5" s="9" t="s">
        <v>10</v>
      </c>
    </row>
    <row r="6" spans="1:16" x14ac:dyDescent="0.2">
      <c r="A6" s="11" t="s">
        <v>18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6301656</v>
      </c>
    </row>
    <row r="10" spans="1:16" x14ac:dyDescent="0.2">
      <c r="A10" s="38">
        <v>43899</v>
      </c>
      <c r="C10" s="7">
        <v>93459222</v>
      </c>
      <c r="D10" s="15">
        <v>166783</v>
      </c>
      <c r="E10" s="25">
        <f>755730+1977</f>
        <v>757707</v>
      </c>
      <c r="F10" s="25">
        <f>469500+1977</f>
        <v>471477</v>
      </c>
      <c r="G10" s="7">
        <f t="shared" ref="G10:G15" si="0">E10-D10</f>
        <v>590924</v>
      </c>
      <c r="H10" s="7">
        <f t="shared" ref="H10:H15" si="1">F10-D10</f>
        <v>304694</v>
      </c>
      <c r="I10" s="8">
        <v>0.21</v>
      </c>
      <c r="J10" s="8">
        <v>0.05</v>
      </c>
      <c r="K10" s="7">
        <f t="shared" ref="K10:K15" si="2">G10*I10-L10*I10</f>
        <v>120894.753</v>
      </c>
      <c r="L10" s="7">
        <f t="shared" ref="L10:L15" si="3">H10*J10</f>
        <v>15234.7</v>
      </c>
      <c r="M10" s="7">
        <f t="shared" ref="M10:M15" si="4">M9+K10+L10</f>
        <v>6437785.4529999997</v>
      </c>
      <c r="N10" s="7">
        <v>0</v>
      </c>
      <c r="O10" s="17"/>
      <c r="P10" s="19"/>
    </row>
    <row r="11" spans="1:16" x14ac:dyDescent="0.2">
      <c r="A11" s="38">
        <v>43922</v>
      </c>
      <c r="C11" s="7">
        <v>93460623</v>
      </c>
      <c r="D11" s="15">
        <v>166784</v>
      </c>
      <c r="E11" s="25">
        <f>755730+2073-235+146</f>
        <v>757714</v>
      </c>
      <c r="F11" s="25">
        <f>469500+2073-235+146</f>
        <v>471484</v>
      </c>
      <c r="G11" s="7">
        <f t="shared" si="0"/>
        <v>590930</v>
      </c>
      <c r="H11" s="7">
        <f t="shared" si="1"/>
        <v>304700</v>
      </c>
      <c r="I11" s="8">
        <v>0.21</v>
      </c>
      <c r="J11" s="8">
        <v>0.05</v>
      </c>
      <c r="K11" s="7">
        <f t="shared" si="2"/>
        <v>120895.94999999998</v>
      </c>
      <c r="L11" s="7">
        <f t="shared" si="3"/>
        <v>15235</v>
      </c>
      <c r="M11" s="24">
        <f t="shared" si="4"/>
        <v>6573916.4029999999</v>
      </c>
      <c r="N11" s="7">
        <v>0</v>
      </c>
      <c r="O11" s="17"/>
      <c r="P11" s="19"/>
    </row>
    <row r="12" spans="1:16" x14ac:dyDescent="0.2">
      <c r="A12" s="38">
        <v>43952</v>
      </c>
      <c r="C12" s="7">
        <v>93477016</v>
      </c>
      <c r="D12" s="15">
        <v>166785</v>
      </c>
      <c r="E12" s="25">
        <f>755730+2073-235+143</f>
        <v>757711</v>
      </c>
      <c r="F12" s="25">
        <f>469500+2073-235+143</f>
        <v>471481</v>
      </c>
      <c r="G12" s="7">
        <f t="shared" si="0"/>
        <v>590926</v>
      </c>
      <c r="H12" s="7">
        <f t="shared" si="1"/>
        <v>304696</v>
      </c>
      <c r="I12" s="8">
        <v>0.21</v>
      </c>
      <c r="J12" s="8">
        <v>0.05</v>
      </c>
      <c r="K12" s="7">
        <f t="shared" si="2"/>
        <v>120895.15199999999</v>
      </c>
      <c r="L12" s="7">
        <f t="shared" si="3"/>
        <v>15234.800000000001</v>
      </c>
      <c r="M12" s="7">
        <f t="shared" si="4"/>
        <v>6710046.3549999995</v>
      </c>
      <c r="N12" s="7">
        <v>0</v>
      </c>
      <c r="O12" s="23"/>
      <c r="P12" s="19"/>
    </row>
    <row r="13" spans="1:16" x14ac:dyDescent="0.2">
      <c r="A13" s="38">
        <v>43983</v>
      </c>
      <c r="C13" s="7">
        <v>93477016</v>
      </c>
      <c r="D13" s="15">
        <v>166785</v>
      </c>
      <c r="E13" s="25">
        <f>755730+2073-235+145</f>
        <v>757713</v>
      </c>
      <c r="F13" s="25">
        <f>469500+2073-235+145</f>
        <v>471483</v>
      </c>
      <c r="G13" s="7">
        <f t="shared" si="0"/>
        <v>590928</v>
      </c>
      <c r="H13" s="7">
        <f t="shared" si="1"/>
        <v>304698</v>
      </c>
      <c r="I13" s="8">
        <v>0.21</v>
      </c>
      <c r="J13" s="8">
        <v>0.05</v>
      </c>
      <c r="K13" s="7">
        <f t="shared" si="2"/>
        <v>120895.55099999999</v>
      </c>
      <c r="L13" s="7">
        <f t="shared" si="3"/>
        <v>15234.900000000001</v>
      </c>
      <c r="M13" s="7">
        <f t="shared" si="4"/>
        <v>6846176.8059999999</v>
      </c>
      <c r="N13" s="7">
        <v>0</v>
      </c>
      <c r="O13" s="23"/>
      <c r="P13" s="19"/>
    </row>
    <row r="14" spans="1:16" x14ac:dyDescent="0.2">
      <c r="A14" s="38">
        <v>44013</v>
      </c>
      <c r="C14" s="7">
        <v>93477016</v>
      </c>
      <c r="D14" s="15">
        <v>166785</v>
      </c>
      <c r="E14" s="25">
        <f>755730+2073-235+145</f>
        <v>757713</v>
      </c>
      <c r="F14" s="25">
        <f>469500+2073-235+145</f>
        <v>471483</v>
      </c>
      <c r="G14" s="7">
        <f t="shared" si="0"/>
        <v>590928</v>
      </c>
      <c r="H14" s="7">
        <f t="shared" si="1"/>
        <v>304698</v>
      </c>
      <c r="I14" s="8">
        <v>0.21</v>
      </c>
      <c r="J14" s="8">
        <v>0.05</v>
      </c>
      <c r="K14" s="7">
        <f t="shared" si="2"/>
        <v>120895.55099999999</v>
      </c>
      <c r="L14" s="7">
        <f t="shared" si="3"/>
        <v>15234.900000000001</v>
      </c>
      <c r="M14" s="7">
        <f t="shared" si="4"/>
        <v>6982307.2570000002</v>
      </c>
      <c r="N14" s="7">
        <v>0</v>
      </c>
      <c r="O14" s="7"/>
      <c r="P14" s="19"/>
    </row>
    <row r="15" spans="1:16" x14ac:dyDescent="0.2">
      <c r="A15" s="38">
        <v>44044</v>
      </c>
      <c r="C15" s="7">
        <v>93477016</v>
      </c>
      <c r="D15" s="15">
        <v>166785</v>
      </c>
      <c r="E15" s="25">
        <f>755730+2073-235+145</f>
        <v>757713</v>
      </c>
      <c r="F15" s="25">
        <f>469500+2073-235+145</f>
        <v>471483</v>
      </c>
      <c r="G15" s="7">
        <f t="shared" si="0"/>
        <v>590928</v>
      </c>
      <c r="H15" s="7">
        <f t="shared" si="1"/>
        <v>304698</v>
      </c>
      <c r="I15" s="8">
        <v>0.21</v>
      </c>
      <c r="J15" s="8">
        <v>0.05</v>
      </c>
      <c r="K15" s="7">
        <f t="shared" si="2"/>
        <v>120895.55099999999</v>
      </c>
      <c r="L15" s="7">
        <f t="shared" si="3"/>
        <v>15234.900000000001</v>
      </c>
      <c r="M15" s="7">
        <f t="shared" si="4"/>
        <v>7118437.7080000006</v>
      </c>
      <c r="N15" s="7">
        <v>0</v>
      </c>
      <c r="P15" s="19"/>
    </row>
    <row r="16" spans="1:16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43" t="s">
        <v>48</v>
      </c>
    </row>
    <row r="20" spans="1:14" x14ac:dyDescent="0.2">
      <c r="C20" s="43" t="s">
        <v>31</v>
      </c>
    </row>
    <row r="21" spans="1:14" x14ac:dyDescent="0.2">
      <c r="C21" s="43" t="s">
        <v>62</v>
      </c>
    </row>
    <row r="22" spans="1:14" x14ac:dyDescent="0.2">
      <c r="C22" s="7" t="s">
        <v>32</v>
      </c>
    </row>
    <row r="24" spans="1:14" x14ac:dyDescent="0.2">
      <c r="C24" s="7" t="s">
        <v>34</v>
      </c>
      <c r="D24" s="29" t="s">
        <v>35</v>
      </c>
      <c r="E24" s="28" t="s">
        <v>36</v>
      </c>
      <c r="F24" s="7" t="s">
        <v>37</v>
      </c>
      <c r="G24" s="8" t="s">
        <v>27</v>
      </c>
      <c r="H24" s="7" t="s">
        <v>38</v>
      </c>
    </row>
    <row r="25" spans="1:14" x14ac:dyDescent="0.2">
      <c r="C25" s="7">
        <v>1880068.145</v>
      </c>
      <c r="D25" s="7">
        <v>166785</v>
      </c>
      <c r="E25" s="7">
        <v>8280</v>
      </c>
      <c r="F25" s="7">
        <f>E25-D25</f>
        <v>-158505</v>
      </c>
      <c r="G25" s="8">
        <v>0.21</v>
      </c>
      <c r="H25" s="7">
        <f>F25*G25</f>
        <v>-33286.049999999996</v>
      </c>
    </row>
    <row r="26" spans="1:14" x14ac:dyDescent="0.2">
      <c r="C26" s="7">
        <v>184335</v>
      </c>
      <c r="D26" s="7"/>
      <c r="E26" s="7">
        <v>1026</v>
      </c>
      <c r="F26" s="7">
        <f t="shared" ref="F26:F32" si="5">E26-D26</f>
        <v>1026</v>
      </c>
      <c r="G26" s="8">
        <v>0.21</v>
      </c>
      <c r="H26" s="7">
        <f t="shared" ref="H26:H32" si="6">F26*G26</f>
        <v>215.45999999999998</v>
      </c>
    </row>
    <row r="27" spans="1:14" x14ac:dyDescent="0.2">
      <c r="C27" s="7">
        <v>36765919</v>
      </c>
      <c r="D27" s="7"/>
      <c r="E27" s="7">
        <v>221178</v>
      </c>
      <c r="F27" s="7">
        <f t="shared" si="5"/>
        <v>221178</v>
      </c>
      <c r="G27" s="8">
        <v>0.21</v>
      </c>
      <c r="H27" s="7">
        <f t="shared" si="6"/>
        <v>46447.38</v>
      </c>
    </row>
    <row r="28" spans="1:14" x14ac:dyDescent="0.2">
      <c r="C28" s="7">
        <v>570444</v>
      </c>
      <c r="D28" s="7"/>
      <c r="E28" s="7"/>
      <c r="F28" s="7">
        <f t="shared" si="5"/>
        <v>0</v>
      </c>
      <c r="G28" s="8">
        <v>0.21</v>
      </c>
      <c r="H28" s="7">
        <f t="shared" si="6"/>
        <v>0</v>
      </c>
    </row>
    <row r="29" spans="1:14" x14ac:dyDescent="0.2">
      <c r="C29" s="7">
        <v>209122</v>
      </c>
      <c r="D29" s="7"/>
      <c r="E29" s="7">
        <v>1258</v>
      </c>
      <c r="F29" s="7">
        <f t="shared" si="5"/>
        <v>1258</v>
      </c>
      <c r="G29" s="8">
        <v>0.21</v>
      </c>
      <c r="H29" s="7">
        <f t="shared" si="6"/>
        <v>264.18</v>
      </c>
    </row>
    <row r="30" spans="1:14" x14ac:dyDescent="0.2">
      <c r="C30" s="7">
        <v>5510178</v>
      </c>
      <c r="D30" s="7"/>
      <c r="E30" s="7">
        <v>459181</v>
      </c>
      <c r="F30" s="7">
        <f t="shared" si="5"/>
        <v>459181</v>
      </c>
      <c r="G30" s="8">
        <v>0.21</v>
      </c>
      <c r="H30" s="7">
        <f t="shared" si="6"/>
        <v>96428.01</v>
      </c>
    </row>
    <row r="31" spans="1:14" x14ac:dyDescent="0.2">
      <c r="C31" s="7">
        <v>20738213</v>
      </c>
      <c r="D31" s="7"/>
      <c r="E31" s="37">
        <f>64806.92+2073-235+141</f>
        <v>66785.919999999998</v>
      </c>
      <c r="F31" s="37">
        <f t="shared" si="5"/>
        <v>66785.919999999998</v>
      </c>
      <c r="G31" s="8">
        <v>0.21</v>
      </c>
      <c r="H31" s="37">
        <f t="shared" si="6"/>
        <v>14025.043199999998</v>
      </c>
    </row>
    <row r="32" spans="1:14" ht="15" x14ac:dyDescent="0.35">
      <c r="C32" s="7">
        <v>1400</v>
      </c>
      <c r="D32" s="7"/>
      <c r="E32" s="31">
        <v>4</v>
      </c>
      <c r="F32" s="31">
        <f t="shared" si="5"/>
        <v>4</v>
      </c>
      <c r="G32" s="8">
        <v>0.21</v>
      </c>
      <c r="H32" s="31">
        <f t="shared" si="6"/>
        <v>0.84</v>
      </c>
    </row>
    <row r="33" spans="3:8" x14ac:dyDescent="0.2">
      <c r="C33" s="7"/>
      <c r="D33" s="7"/>
      <c r="E33" s="7">
        <f>SUM(E25:E32)</f>
        <v>757712.92</v>
      </c>
      <c r="F33" s="7">
        <f>SUM(F25:F32)</f>
        <v>590927.92000000004</v>
      </c>
      <c r="G33" s="46" t="s">
        <v>43</v>
      </c>
      <c r="H33" s="7">
        <f>SUM(H25:H32)</f>
        <v>124094.86319999999</v>
      </c>
    </row>
    <row r="34" spans="3:8" ht="15" x14ac:dyDescent="0.35">
      <c r="G34" s="33" t="s">
        <v>44</v>
      </c>
      <c r="H34" s="31">
        <f>-H45*0.21</f>
        <v>-3199.3247999999999</v>
      </c>
    </row>
    <row r="35" spans="3:8" x14ac:dyDescent="0.2">
      <c r="H35" s="7">
        <f>H33+H34</f>
        <v>120895.53839999999</v>
      </c>
    </row>
    <row r="36" spans="3:8" x14ac:dyDescent="0.2">
      <c r="H36" s="7">
        <f>H35-K15</f>
        <v>-1.2600000001839362E-2</v>
      </c>
    </row>
    <row r="37" spans="3:8" x14ac:dyDescent="0.2">
      <c r="C37" s="7" t="s">
        <v>39</v>
      </c>
      <c r="D37" s="27" t="s">
        <v>35</v>
      </c>
      <c r="E37" s="28" t="s">
        <v>40</v>
      </c>
      <c r="F37" s="7" t="s">
        <v>41</v>
      </c>
      <c r="G37" s="8" t="s">
        <v>28</v>
      </c>
      <c r="H37" s="7" t="s">
        <v>42</v>
      </c>
    </row>
    <row r="38" spans="3:8" x14ac:dyDescent="0.2">
      <c r="C38" s="7">
        <v>3760136.29</v>
      </c>
      <c r="D38" s="7">
        <f>D25</f>
        <v>166785</v>
      </c>
      <c r="E38" s="7">
        <v>16560.27</v>
      </c>
      <c r="F38" s="7">
        <f>E38-D38</f>
        <v>-150224.73000000001</v>
      </c>
      <c r="G38" s="8">
        <v>0.05</v>
      </c>
      <c r="H38" s="7">
        <f>F38*G38</f>
        <v>-7511.2365000000009</v>
      </c>
    </row>
    <row r="39" spans="3:8" x14ac:dyDescent="0.2">
      <c r="C39" s="7">
        <v>184335</v>
      </c>
      <c r="D39" s="7"/>
      <c r="E39" s="7">
        <v>1025.67</v>
      </c>
      <c r="F39" s="7">
        <f t="shared" ref="F39:F44" si="7">E39-D39</f>
        <v>1025.67</v>
      </c>
      <c r="G39" s="8">
        <v>0.05</v>
      </c>
      <c r="H39" s="7">
        <f t="shared" ref="H39:H44" si="8">F39*G39</f>
        <v>51.283500000000004</v>
      </c>
    </row>
    <row r="40" spans="3:8" x14ac:dyDescent="0.2">
      <c r="C40" s="47">
        <f>(27564587.34+33711944.07)</f>
        <v>61276531.409999996</v>
      </c>
      <c r="D40" s="7"/>
      <c r="E40" s="7">
        <v>368629.4</v>
      </c>
      <c r="F40" s="7">
        <f t="shared" si="7"/>
        <v>368629.4</v>
      </c>
      <c r="G40" s="8">
        <v>0.05</v>
      </c>
      <c r="H40" s="7">
        <f t="shared" si="8"/>
        <v>18431.47</v>
      </c>
    </row>
    <row r="41" spans="3:8" x14ac:dyDescent="0.2">
      <c r="C41" s="47">
        <f>C28</f>
        <v>570444</v>
      </c>
      <c r="D41" s="7"/>
      <c r="E41" s="7"/>
      <c r="F41" s="7">
        <f t="shared" si="7"/>
        <v>0</v>
      </c>
      <c r="G41" s="8">
        <v>0.05</v>
      </c>
      <c r="H41" s="7">
        <f t="shared" si="8"/>
        <v>0</v>
      </c>
    </row>
    <row r="42" spans="3:8" x14ac:dyDescent="0.2">
      <c r="C42" s="7">
        <f>C29</f>
        <v>209122</v>
      </c>
      <c r="D42" s="7"/>
      <c r="E42" s="7">
        <v>1258.04</v>
      </c>
      <c r="F42" s="7">
        <f t="shared" si="7"/>
        <v>1258.04</v>
      </c>
      <c r="G42" s="8">
        <v>0.05</v>
      </c>
      <c r="H42" s="7">
        <f t="shared" si="8"/>
        <v>62.902000000000001</v>
      </c>
    </row>
    <row r="43" spans="3:8" x14ac:dyDescent="0.2">
      <c r="C43" s="7">
        <f>C30+C31</f>
        <v>26248391</v>
      </c>
      <c r="D43" s="7"/>
      <c r="E43" s="37">
        <f>82026.22+2073-235+141</f>
        <v>84005.22</v>
      </c>
      <c r="F43" s="37">
        <f t="shared" si="7"/>
        <v>84005.22</v>
      </c>
      <c r="G43" s="8">
        <v>0.05</v>
      </c>
      <c r="H43" s="37">
        <f t="shared" si="8"/>
        <v>4200.2610000000004</v>
      </c>
    </row>
    <row r="44" spans="3:8" ht="15" x14ac:dyDescent="0.35">
      <c r="C44" s="7">
        <f>C32</f>
        <v>1400</v>
      </c>
      <c r="D44" s="7"/>
      <c r="E44" s="31">
        <f>E32</f>
        <v>4</v>
      </c>
      <c r="F44" s="31">
        <f t="shared" si="7"/>
        <v>4</v>
      </c>
      <c r="G44" s="8">
        <v>0.05</v>
      </c>
      <c r="H44" s="31">
        <f t="shared" si="8"/>
        <v>0.2</v>
      </c>
    </row>
    <row r="45" spans="3:8" x14ac:dyDescent="0.2">
      <c r="C45" s="7"/>
      <c r="D45" s="7"/>
      <c r="E45" s="7">
        <f>SUM(E38:E44)</f>
        <v>471482.6</v>
      </c>
      <c r="F45" s="7">
        <f>SUM(F38:F44)</f>
        <v>304697.60000000003</v>
      </c>
      <c r="G45" s="46"/>
      <c r="H45" s="7">
        <f>SUM(H38:H44)</f>
        <v>15234.880000000001</v>
      </c>
    </row>
    <row r="46" spans="3:8" x14ac:dyDescent="0.2">
      <c r="H46" s="7">
        <f>H45-L15</f>
        <v>-2.0000000000436557E-2</v>
      </c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6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/>
  <dimension ref="A1:P35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7109375" customWidth="1"/>
    <col min="4" max="4" width="14.28515625" bestFit="1" customWidth="1"/>
    <col min="5" max="5" width="16.7109375" customWidth="1"/>
    <col min="6" max="6" width="1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bestFit="1" customWidth="1"/>
  </cols>
  <sheetData>
    <row r="1" spans="1:16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6" x14ac:dyDescent="0.2">
      <c r="A5" s="9" t="s">
        <v>10</v>
      </c>
    </row>
    <row r="6" spans="1:16" x14ac:dyDescent="0.2">
      <c r="A6" s="11" t="s">
        <v>16</v>
      </c>
    </row>
    <row r="8" spans="1:16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6" x14ac:dyDescent="0.2">
      <c r="A9" s="3" t="s">
        <v>8</v>
      </c>
      <c r="M9" s="10">
        <v>885358</v>
      </c>
    </row>
    <row r="10" spans="1:16" x14ac:dyDescent="0.2">
      <c r="A10" s="38">
        <v>43899</v>
      </c>
      <c r="C10" s="7">
        <v>4193823</v>
      </c>
      <c r="D10" s="15">
        <v>7332</v>
      </c>
      <c r="E10" s="10">
        <f>7767.66</f>
        <v>7767.66</v>
      </c>
      <c r="F10" s="10">
        <v>15535.33</v>
      </c>
      <c r="G10" s="7">
        <f t="shared" ref="G10:G15" si="0">E10-D10</f>
        <v>435.65999999999985</v>
      </c>
      <c r="H10" s="7">
        <f t="shared" ref="H10:H15" si="1">F10-D10</f>
        <v>8203.33</v>
      </c>
      <c r="I10" s="8">
        <v>0.21</v>
      </c>
      <c r="J10" s="8">
        <v>0.05</v>
      </c>
      <c r="K10" s="7">
        <f t="shared" ref="K10:K15" si="2">G10*I10-L10*I10</f>
        <v>5.3536349999999544</v>
      </c>
      <c r="L10" s="7">
        <f t="shared" ref="L10:L15" si="3">H10*J10</f>
        <v>410.16650000000004</v>
      </c>
      <c r="M10" s="7">
        <f t="shared" ref="M10:M15" si="4">M9+K10+L10</f>
        <v>885773.520135</v>
      </c>
      <c r="N10" s="7">
        <v>0</v>
      </c>
      <c r="O10" s="20"/>
      <c r="P10" s="19"/>
    </row>
    <row r="11" spans="1:16" x14ac:dyDescent="0.2">
      <c r="A11" s="38">
        <v>43922</v>
      </c>
      <c r="C11" s="7">
        <v>4193823</v>
      </c>
      <c r="D11" s="15">
        <v>7332</v>
      </c>
      <c r="E11" s="10">
        <f>7767.66</f>
        <v>7767.66</v>
      </c>
      <c r="F11" s="10">
        <v>15535.33</v>
      </c>
      <c r="G11" s="7">
        <f t="shared" si="0"/>
        <v>435.65999999999985</v>
      </c>
      <c r="H11" s="7">
        <f t="shared" si="1"/>
        <v>8203.33</v>
      </c>
      <c r="I11" s="8">
        <v>0.21</v>
      </c>
      <c r="J11" s="8">
        <v>0.05</v>
      </c>
      <c r="K11" s="7">
        <f t="shared" si="2"/>
        <v>5.3536349999999544</v>
      </c>
      <c r="L11" s="7">
        <f t="shared" si="3"/>
        <v>410.16650000000004</v>
      </c>
      <c r="M11" s="7">
        <f t="shared" si="4"/>
        <v>886189.04027</v>
      </c>
      <c r="N11" s="7">
        <v>0</v>
      </c>
      <c r="O11" s="21"/>
      <c r="P11" s="19"/>
    </row>
    <row r="12" spans="1:16" x14ac:dyDescent="0.2">
      <c r="A12" s="38">
        <v>43952</v>
      </c>
      <c r="C12" s="7">
        <v>4193823</v>
      </c>
      <c r="D12" s="15">
        <v>7332</v>
      </c>
      <c r="E12" s="10">
        <f>7767.66-2</f>
        <v>7765.66</v>
      </c>
      <c r="F12" s="10">
        <v>15535.33</v>
      </c>
      <c r="G12" s="7">
        <f t="shared" si="0"/>
        <v>433.65999999999985</v>
      </c>
      <c r="H12" s="7">
        <f t="shared" si="1"/>
        <v>8203.33</v>
      </c>
      <c r="I12" s="8">
        <v>0.21</v>
      </c>
      <c r="J12" s="8">
        <v>0.05</v>
      </c>
      <c r="K12" s="7">
        <f t="shared" si="2"/>
        <v>4.9336349999999527</v>
      </c>
      <c r="L12" s="7">
        <f t="shared" si="3"/>
        <v>410.16650000000004</v>
      </c>
      <c r="M12" s="7">
        <f t="shared" si="4"/>
        <v>886604.14040500007</v>
      </c>
      <c r="N12" s="7">
        <v>0</v>
      </c>
      <c r="O12" s="17"/>
      <c r="P12" s="19"/>
    </row>
    <row r="13" spans="1:16" x14ac:dyDescent="0.2">
      <c r="A13" s="38">
        <v>43983</v>
      </c>
      <c r="C13" s="7">
        <v>4193823</v>
      </c>
      <c r="D13" s="15">
        <v>7332</v>
      </c>
      <c r="E13" s="10">
        <f>7767.66</f>
        <v>7767.66</v>
      </c>
      <c r="F13" s="10">
        <v>15535.33</v>
      </c>
      <c r="G13" s="7">
        <f t="shared" si="0"/>
        <v>435.65999999999985</v>
      </c>
      <c r="H13" s="7">
        <f t="shared" si="1"/>
        <v>8203.33</v>
      </c>
      <c r="I13" s="8">
        <v>0.21</v>
      </c>
      <c r="J13" s="8">
        <v>0.05</v>
      </c>
      <c r="K13" s="7">
        <f t="shared" si="2"/>
        <v>5.3536349999999544</v>
      </c>
      <c r="L13" s="7">
        <f t="shared" si="3"/>
        <v>410.16650000000004</v>
      </c>
      <c r="M13" s="7">
        <f t="shared" si="4"/>
        <v>887019.66054000007</v>
      </c>
      <c r="N13" s="7">
        <v>0</v>
      </c>
      <c r="O13" s="22"/>
      <c r="P13" s="19"/>
    </row>
    <row r="14" spans="1:16" x14ac:dyDescent="0.2">
      <c r="A14" s="38">
        <v>44013</v>
      </c>
      <c r="C14" s="7">
        <v>4193823</v>
      </c>
      <c r="D14" s="15">
        <v>7332</v>
      </c>
      <c r="E14" s="10">
        <f>7767.66</f>
        <v>7767.66</v>
      </c>
      <c r="F14" s="10">
        <v>15535.33</v>
      </c>
      <c r="G14" s="7">
        <f t="shared" si="0"/>
        <v>435.65999999999985</v>
      </c>
      <c r="H14" s="7">
        <f t="shared" si="1"/>
        <v>8203.33</v>
      </c>
      <c r="I14" s="8">
        <v>0.21</v>
      </c>
      <c r="J14" s="8">
        <v>0.05</v>
      </c>
      <c r="K14" s="7">
        <f t="shared" si="2"/>
        <v>5.3536349999999544</v>
      </c>
      <c r="L14" s="7">
        <f t="shared" si="3"/>
        <v>410.16650000000004</v>
      </c>
      <c r="M14" s="7">
        <f t="shared" si="4"/>
        <v>887435.18067500007</v>
      </c>
      <c r="N14" s="7">
        <v>0</v>
      </c>
      <c r="O14" s="22"/>
      <c r="P14" s="19"/>
    </row>
    <row r="15" spans="1:16" x14ac:dyDescent="0.2">
      <c r="A15" s="38">
        <v>44044</v>
      </c>
      <c r="C15" s="7">
        <v>4193823</v>
      </c>
      <c r="D15" s="15">
        <v>7332</v>
      </c>
      <c r="E15" s="10">
        <f>7767.66</f>
        <v>7767.66</v>
      </c>
      <c r="F15" s="10">
        <v>15535.33</v>
      </c>
      <c r="G15" s="7">
        <f t="shared" si="0"/>
        <v>435.65999999999985</v>
      </c>
      <c r="H15" s="7">
        <f t="shared" si="1"/>
        <v>8203.33</v>
      </c>
      <c r="I15" s="8">
        <v>0.21</v>
      </c>
      <c r="J15" s="8">
        <v>0.05</v>
      </c>
      <c r="K15" s="7">
        <f t="shared" si="2"/>
        <v>5.3536349999999544</v>
      </c>
      <c r="L15" s="7">
        <f t="shared" si="3"/>
        <v>410.16650000000004</v>
      </c>
      <c r="M15" s="7">
        <f t="shared" si="4"/>
        <v>887850.70081000007</v>
      </c>
      <c r="N15" s="7">
        <v>0</v>
      </c>
      <c r="P15" s="19"/>
    </row>
    <row r="16" spans="1:16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43" t="s">
        <v>50</v>
      </c>
    </row>
    <row r="20" spans="1:14" x14ac:dyDescent="0.2">
      <c r="C20" s="43" t="s">
        <v>31</v>
      </c>
    </row>
    <row r="21" spans="1:14" x14ac:dyDescent="0.2">
      <c r="C21" s="43" t="s">
        <v>62</v>
      </c>
    </row>
    <row r="22" spans="1:14" x14ac:dyDescent="0.2">
      <c r="C22" s="7" t="s">
        <v>32</v>
      </c>
    </row>
    <row r="24" spans="1:14" x14ac:dyDescent="0.2">
      <c r="C24" s="7" t="s">
        <v>34</v>
      </c>
      <c r="D24" s="29" t="s">
        <v>35</v>
      </c>
      <c r="E24" s="28" t="s">
        <v>36</v>
      </c>
      <c r="F24" s="7" t="s">
        <v>37</v>
      </c>
      <c r="G24" s="8" t="s">
        <v>27</v>
      </c>
      <c r="H24" s="7" t="s">
        <v>38</v>
      </c>
    </row>
    <row r="25" spans="1:14" x14ac:dyDescent="0.2">
      <c r="C25" s="7">
        <v>2139710</v>
      </c>
      <c r="D25" s="7">
        <v>7332</v>
      </c>
      <c r="E25" s="7">
        <v>7956.16</v>
      </c>
      <c r="F25" s="7">
        <f>E25-D25</f>
        <v>624.15999999999985</v>
      </c>
      <c r="G25" s="8">
        <v>0.21</v>
      </c>
      <c r="H25" s="7">
        <f>F25*G25</f>
        <v>131.07359999999997</v>
      </c>
    </row>
    <row r="26" spans="1:14" ht="15" x14ac:dyDescent="0.35">
      <c r="C26" s="7">
        <v>-42798.530000000028</v>
      </c>
      <c r="D26" s="7"/>
      <c r="E26" s="31">
        <f>-188.49</f>
        <v>-188.49</v>
      </c>
      <c r="F26" s="31">
        <f>E26</f>
        <v>-188.49</v>
      </c>
      <c r="G26" s="8">
        <v>0.21</v>
      </c>
      <c r="H26" s="31">
        <f>F26*G26</f>
        <v>-39.582900000000002</v>
      </c>
    </row>
    <row r="27" spans="1:14" x14ac:dyDescent="0.2">
      <c r="E27" s="7">
        <f>E25+E26</f>
        <v>7767.67</v>
      </c>
      <c r="F27" s="7">
        <f>F25+F26</f>
        <v>435.66999999999985</v>
      </c>
      <c r="G27" s="33" t="s">
        <v>43</v>
      </c>
      <c r="H27" s="7">
        <f>H25+H26</f>
        <v>91.490699999999975</v>
      </c>
    </row>
    <row r="28" spans="1:14" ht="15" x14ac:dyDescent="0.35">
      <c r="G28" s="33" t="s">
        <v>44</v>
      </c>
      <c r="H28" s="31">
        <f>-H34*0.21</f>
        <v>-86.134964999999994</v>
      </c>
    </row>
    <row r="29" spans="1:14" x14ac:dyDescent="0.2">
      <c r="H29" s="7">
        <f>H27+H28</f>
        <v>5.3557349999999815</v>
      </c>
    </row>
    <row r="30" spans="1:14" x14ac:dyDescent="0.2">
      <c r="H30" s="7">
        <f>H29-K15</f>
        <v>2.1000000000270802E-3</v>
      </c>
    </row>
    <row r="31" spans="1:14" x14ac:dyDescent="0.2">
      <c r="C31" s="7" t="s">
        <v>39</v>
      </c>
      <c r="D31" s="27" t="s">
        <v>35</v>
      </c>
      <c r="E31" s="28" t="s">
        <v>40</v>
      </c>
      <c r="F31" s="7" t="s">
        <v>41</v>
      </c>
      <c r="G31" s="8" t="s">
        <v>28</v>
      </c>
      <c r="H31" s="7" t="s">
        <v>42</v>
      </c>
    </row>
    <row r="32" spans="1:14" x14ac:dyDescent="0.2">
      <c r="C32" s="7">
        <v>4279420</v>
      </c>
      <c r="D32" s="7">
        <f>D25</f>
        <v>7332</v>
      </c>
      <c r="E32" s="7">
        <v>15912.31</v>
      </c>
      <c r="F32" s="7">
        <f>E32-D32</f>
        <v>8580.31</v>
      </c>
      <c r="G32" s="8">
        <v>0.05</v>
      </c>
      <c r="H32" s="7">
        <f>F32*G32</f>
        <v>429.01549999999997</v>
      </c>
    </row>
    <row r="33" spans="3:8" ht="15" x14ac:dyDescent="0.35">
      <c r="C33" s="7">
        <v>-85597.060000000056</v>
      </c>
      <c r="D33" s="7"/>
      <c r="E33" s="31">
        <v>-376.98</v>
      </c>
      <c r="F33" s="31">
        <f>E33</f>
        <v>-376.98</v>
      </c>
      <c r="G33" s="8">
        <v>0.05</v>
      </c>
      <c r="H33" s="31">
        <f>F33*G33</f>
        <v>-18.849</v>
      </c>
    </row>
    <row r="34" spans="3:8" x14ac:dyDescent="0.2">
      <c r="E34" s="7">
        <f>E32+E33</f>
        <v>15535.33</v>
      </c>
      <c r="F34" s="7">
        <f>F32+F33</f>
        <v>8203.33</v>
      </c>
      <c r="H34" s="7">
        <f>H32+H33</f>
        <v>410.16649999999998</v>
      </c>
    </row>
    <row r="35" spans="3:8" x14ac:dyDescent="0.2">
      <c r="H35" s="7">
        <f>H34-L15</f>
        <v>0</v>
      </c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7 of 14
Clements</oddHeader>
    <oddFooter>&amp;L_x000D_&amp;1#&amp;"Calibri"&amp;14&amp;K000000 Business Use</oddFooter>
  </headerFooter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1"/>
  <sheetViews>
    <sheetView zoomScaleNormal="100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4.42578125" customWidth="1"/>
    <col min="4" max="4" width="14.28515625" bestFit="1" customWidth="1"/>
    <col min="5" max="5" width="17" customWidth="1"/>
    <col min="6" max="6" width="15.5703125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hidden="1" customWidth="1"/>
    <col min="16" max="16" width="14.5703125" bestFit="1" customWidth="1"/>
    <col min="17" max="17" width="11.42578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7" x14ac:dyDescent="0.2">
      <c r="A5" s="9" t="s">
        <v>12</v>
      </c>
    </row>
    <row r="6" spans="1:17" x14ac:dyDescent="0.2">
      <c r="A6" s="11" t="s">
        <v>19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21209140</v>
      </c>
    </row>
    <row r="10" spans="1:17" x14ac:dyDescent="0.2">
      <c r="A10" s="38">
        <v>43899</v>
      </c>
      <c r="C10" s="7">
        <v>85126581</v>
      </c>
      <c r="D10" s="15">
        <v>368172</v>
      </c>
      <c r="E10" s="10">
        <f>462015</f>
        <v>462015</v>
      </c>
      <c r="F10" s="10">
        <v>923132.21</v>
      </c>
      <c r="G10" s="7">
        <f>E10-D10</f>
        <v>93843</v>
      </c>
      <c r="H10" s="7">
        <f>F10-D10</f>
        <v>554960.21</v>
      </c>
      <c r="I10" s="8">
        <v>0.21</v>
      </c>
      <c r="J10" s="8">
        <v>0.05</v>
      </c>
      <c r="K10" s="7">
        <f t="shared" ref="K10:K15" si="0">G10*I10-L10*I10</f>
        <v>13879.947795</v>
      </c>
      <c r="L10" s="7">
        <f t="shared" ref="L10:L15" si="1">H10*J10</f>
        <v>27748.0105</v>
      </c>
      <c r="M10" s="7">
        <f t="shared" ref="M10:M15" si="2">M9+K10+L10</f>
        <v>21250767.958294999</v>
      </c>
      <c r="N10" s="7">
        <f>56174.04+30453.04</f>
        <v>86627.08</v>
      </c>
      <c r="P10" s="17"/>
      <c r="Q10" s="19"/>
    </row>
    <row r="11" spans="1:17" x14ac:dyDescent="0.2">
      <c r="A11" s="38">
        <v>43922</v>
      </c>
      <c r="C11" s="7">
        <v>85126581</v>
      </c>
      <c r="D11" s="15">
        <v>368172</v>
      </c>
      <c r="E11" s="10">
        <f>462015</f>
        <v>462015</v>
      </c>
      <c r="F11" s="10">
        <v>923132.21</v>
      </c>
      <c r="G11" s="7">
        <f t="shared" ref="G11:G15" si="3">E11-D11</f>
        <v>93843</v>
      </c>
      <c r="H11" s="7">
        <f t="shared" ref="H11:H15" si="4">F11-D11</f>
        <v>554960.21</v>
      </c>
      <c r="I11" s="8">
        <v>0.21</v>
      </c>
      <c r="J11" s="8">
        <v>0.05</v>
      </c>
      <c r="K11" s="7">
        <f t="shared" si="0"/>
        <v>13879.947795</v>
      </c>
      <c r="L11" s="7">
        <f t="shared" si="1"/>
        <v>27748.0105</v>
      </c>
      <c r="M11" s="7">
        <f t="shared" si="2"/>
        <v>21292395.916589998</v>
      </c>
      <c r="N11" s="7">
        <f>55669.31+30288.93</f>
        <v>85958.239999999991</v>
      </c>
      <c r="O11" s="7">
        <f>1598189-M12</f>
        <v>-19735834.874884997</v>
      </c>
      <c r="P11" s="17"/>
      <c r="Q11" s="19"/>
    </row>
    <row r="12" spans="1:17" x14ac:dyDescent="0.2">
      <c r="A12" s="38">
        <v>43952</v>
      </c>
      <c r="C12" s="7">
        <v>85126581</v>
      </c>
      <c r="D12" s="15">
        <v>368172</v>
      </c>
      <c r="E12" s="10">
        <f>462015</f>
        <v>462015</v>
      </c>
      <c r="F12" s="10">
        <v>923132.21</v>
      </c>
      <c r="G12" s="7">
        <f t="shared" si="3"/>
        <v>93843</v>
      </c>
      <c r="H12" s="7">
        <f t="shared" si="4"/>
        <v>554960.21</v>
      </c>
      <c r="I12" s="8">
        <v>0.21</v>
      </c>
      <c r="J12" s="8">
        <v>0.05</v>
      </c>
      <c r="K12" s="7">
        <f t="shared" si="0"/>
        <v>13879.947795</v>
      </c>
      <c r="L12" s="7">
        <f t="shared" si="1"/>
        <v>27748.0105</v>
      </c>
      <c r="M12" s="7">
        <f t="shared" si="2"/>
        <v>21334023.874884997</v>
      </c>
      <c r="N12" s="7">
        <f>55164.58+30124.82</f>
        <v>85289.4</v>
      </c>
      <c r="O12" s="17">
        <f>+O11/0.389</f>
        <v>-50734794.022840604</v>
      </c>
      <c r="Q12" s="19"/>
    </row>
    <row r="13" spans="1:17" x14ac:dyDescent="0.2">
      <c r="A13" s="38">
        <v>43983</v>
      </c>
      <c r="C13" s="7">
        <v>85126581</v>
      </c>
      <c r="D13" s="15">
        <v>368172</v>
      </c>
      <c r="E13" s="10">
        <f>462015</f>
        <v>462015</v>
      </c>
      <c r="F13" s="10">
        <v>923132.21</v>
      </c>
      <c r="G13" s="7">
        <f t="shared" si="3"/>
        <v>93843</v>
      </c>
      <c r="H13" s="7">
        <f t="shared" si="4"/>
        <v>554960.21</v>
      </c>
      <c r="I13" s="8">
        <v>0.21</v>
      </c>
      <c r="J13" s="8">
        <v>0.05</v>
      </c>
      <c r="K13" s="7">
        <f t="shared" si="0"/>
        <v>13879.947795</v>
      </c>
      <c r="L13" s="7">
        <f t="shared" si="1"/>
        <v>27748.0105</v>
      </c>
      <c r="M13" s="7">
        <f t="shared" si="2"/>
        <v>21375651.833179995</v>
      </c>
      <c r="N13" s="7">
        <f>54659.84+29960.7</f>
        <v>84620.54</v>
      </c>
      <c r="O13" s="7">
        <f>1923738-M14</f>
        <v>-19493541.791474994</v>
      </c>
      <c r="Q13" s="19"/>
    </row>
    <row r="14" spans="1:17" x14ac:dyDescent="0.2">
      <c r="A14" s="38">
        <v>44013</v>
      </c>
      <c r="C14" s="7">
        <v>85126581</v>
      </c>
      <c r="D14" s="15">
        <v>368172</v>
      </c>
      <c r="E14" s="10">
        <f>462015</f>
        <v>462015</v>
      </c>
      <c r="F14" s="10">
        <v>923132.21</v>
      </c>
      <c r="G14" s="7">
        <f t="shared" si="3"/>
        <v>93843</v>
      </c>
      <c r="H14" s="7">
        <f t="shared" si="4"/>
        <v>554960.21</v>
      </c>
      <c r="I14" s="8">
        <v>0.21</v>
      </c>
      <c r="J14" s="8">
        <v>0.05</v>
      </c>
      <c r="K14" s="7">
        <f t="shared" si="0"/>
        <v>13879.947795</v>
      </c>
      <c r="L14" s="7">
        <f t="shared" si="1"/>
        <v>27748.0105</v>
      </c>
      <c r="M14" s="7">
        <f t="shared" si="2"/>
        <v>21417279.791474994</v>
      </c>
      <c r="N14" s="7">
        <f>54155.11+29796.59</f>
        <v>83951.7</v>
      </c>
      <c r="O14" s="17">
        <f>+O13/0.389</f>
        <v>-50111932.625899725</v>
      </c>
      <c r="Q14" s="19"/>
    </row>
    <row r="15" spans="1:17" x14ac:dyDescent="0.2">
      <c r="A15" s="38">
        <v>44044</v>
      </c>
      <c r="C15" s="7">
        <v>85126581</v>
      </c>
      <c r="D15" s="15">
        <v>368172</v>
      </c>
      <c r="E15" s="10">
        <f>462015-2</f>
        <v>462013</v>
      </c>
      <c r="F15" s="10">
        <v>923132.21</v>
      </c>
      <c r="G15" s="7">
        <f t="shared" si="3"/>
        <v>93841</v>
      </c>
      <c r="H15" s="7">
        <f t="shared" si="4"/>
        <v>554960.21</v>
      </c>
      <c r="I15" s="8">
        <v>0.21</v>
      </c>
      <c r="J15" s="8">
        <v>0.05</v>
      </c>
      <c r="K15" s="7">
        <f t="shared" si="0"/>
        <v>13879.527795000002</v>
      </c>
      <c r="L15" s="7">
        <f t="shared" si="1"/>
        <v>27748.0105</v>
      </c>
      <c r="M15" s="7">
        <f t="shared" si="2"/>
        <v>21458907.329769991</v>
      </c>
      <c r="N15" s="7">
        <f>53650.38+29632.47</f>
        <v>83282.850000000006</v>
      </c>
      <c r="O15" s="7">
        <f>+M15-2105354</f>
        <v>19353553.329769991</v>
      </c>
      <c r="Q15" s="19"/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9">
        <f>+O15/0.389</f>
        <v>49752065.115089953</v>
      </c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43" t="s">
        <v>49</v>
      </c>
    </row>
    <row r="20" spans="1:14" x14ac:dyDescent="0.2">
      <c r="C20" s="43" t="s">
        <v>31</v>
      </c>
    </row>
    <row r="21" spans="1:14" x14ac:dyDescent="0.2">
      <c r="C21" s="43" t="s">
        <v>62</v>
      </c>
    </row>
    <row r="22" spans="1:14" x14ac:dyDescent="0.2">
      <c r="C22" s="7" t="s">
        <v>32</v>
      </c>
    </row>
    <row r="24" spans="1:14" x14ac:dyDescent="0.2">
      <c r="C24" s="7" t="s">
        <v>34</v>
      </c>
      <c r="D24" s="29" t="s">
        <v>35</v>
      </c>
      <c r="E24" s="28" t="s">
        <v>36</v>
      </c>
      <c r="F24" s="7" t="s">
        <v>37</v>
      </c>
      <c r="G24" s="8" t="s">
        <v>27</v>
      </c>
      <c r="H24" s="7" t="s">
        <v>38</v>
      </c>
    </row>
    <row r="25" spans="1:14" x14ac:dyDescent="0.2">
      <c r="C25" s="7">
        <v>17445568.128000002</v>
      </c>
      <c r="D25" s="7">
        <v>368172</v>
      </c>
      <c r="E25" s="7">
        <v>76833.19</v>
      </c>
      <c r="F25" s="7">
        <f>E25-D25</f>
        <v>-291338.81</v>
      </c>
      <c r="G25" s="8">
        <v>0.21</v>
      </c>
      <c r="H25" s="7">
        <f>F25*G25</f>
        <v>-61181.150099999999</v>
      </c>
    </row>
    <row r="26" spans="1:14" x14ac:dyDescent="0.2">
      <c r="C26" s="7">
        <v>26168352.191999998</v>
      </c>
      <c r="D26" s="7"/>
      <c r="E26" s="7">
        <v>399794.27</v>
      </c>
      <c r="F26" s="7">
        <f t="shared" ref="F26:F29" si="5">E26-D26</f>
        <v>399794.27</v>
      </c>
      <c r="G26" s="8">
        <v>0.21</v>
      </c>
      <c r="H26" s="7">
        <f t="shared" ref="H26:H29" si="6">F26*G26</f>
        <v>83956.796700000006</v>
      </c>
    </row>
    <row r="27" spans="1:14" x14ac:dyDescent="0.2">
      <c r="C27" s="7">
        <v>-1286197</v>
      </c>
      <c r="D27" s="7"/>
      <c r="E27" s="7">
        <v>-15510.24</v>
      </c>
      <c r="F27" s="7">
        <f t="shared" si="5"/>
        <v>-15510.24</v>
      </c>
      <c r="G27" s="8">
        <v>0.21</v>
      </c>
      <c r="H27" s="7">
        <f t="shared" si="6"/>
        <v>-3257.1504</v>
      </c>
    </row>
    <row r="28" spans="1:14" x14ac:dyDescent="0.2">
      <c r="C28" s="7">
        <v>149237</v>
      </c>
      <c r="D28" s="7"/>
      <c r="E28" s="7">
        <f>897.78-1.6</f>
        <v>896.18</v>
      </c>
      <c r="F28" s="7">
        <f t="shared" si="5"/>
        <v>896.18</v>
      </c>
      <c r="G28" s="8">
        <v>0.21</v>
      </c>
      <c r="H28" s="7">
        <f t="shared" si="6"/>
        <v>188.19779999999997</v>
      </c>
    </row>
    <row r="29" spans="1:14" ht="15" x14ac:dyDescent="0.35">
      <c r="C29" s="7">
        <v>321897</v>
      </c>
      <c r="D29" s="7"/>
      <c r="E29" s="31">
        <v>0</v>
      </c>
      <c r="F29" s="31">
        <f t="shared" si="5"/>
        <v>0</v>
      </c>
      <c r="G29" s="8">
        <v>0.21</v>
      </c>
      <c r="H29" s="31">
        <f t="shared" si="6"/>
        <v>0</v>
      </c>
    </row>
    <row r="30" spans="1:14" x14ac:dyDescent="0.2">
      <c r="E30" s="7">
        <f>SUM(E25:E29)</f>
        <v>462013.4</v>
      </c>
      <c r="F30" s="7">
        <f>SUM(F25:F29)</f>
        <v>93841.400000000009</v>
      </c>
      <c r="G30" s="33" t="s">
        <v>43</v>
      </c>
      <c r="H30" s="7">
        <f>SUM(H25:H29)</f>
        <v>19706.69400000001</v>
      </c>
    </row>
    <row r="31" spans="1:14" ht="15" x14ac:dyDescent="0.35">
      <c r="G31" s="33" t="s">
        <v>44</v>
      </c>
      <c r="H31" s="31">
        <f>-H40*0.21</f>
        <v>-5827.0822049999997</v>
      </c>
    </row>
    <row r="32" spans="1:14" x14ac:dyDescent="0.2">
      <c r="H32" s="7">
        <f>H30+H31</f>
        <v>13879.611795000012</v>
      </c>
    </row>
    <row r="33" spans="3:8" x14ac:dyDescent="0.2">
      <c r="H33" s="7">
        <f>H32-K15</f>
        <v>8.4000000009837095E-2</v>
      </c>
    </row>
    <row r="34" spans="3:8" x14ac:dyDescent="0.2">
      <c r="C34" s="7" t="s">
        <v>39</v>
      </c>
      <c r="D34" s="27" t="s">
        <v>35</v>
      </c>
      <c r="E34" s="28" t="s">
        <v>40</v>
      </c>
      <c r="F34" s="7" t="s">
        <v>41</v>
      </c>
      <c r="G34" s="8" t="s">
        <v>28</v>
      </c>
      <c r="H34" s="7" t="s">
        <v>42</v>
      </c>
    </row>
    <row r="35" spans="3:8" x14ac:dyDescent="0.2">
      <c r="C35" s="7">
        <v>34891136.256000005</v>
      </c>
      <c r="D35" s="7">
        <f>D25</f>
        <v>368172</v>
      </c>
      <c r="E35" s="7">
        <v>153666.38</v>
      </c>
      <c r="F35" s="7">
        <f>E35-D35</f>
        <v>-214505.62</v>
      </c>
      <c r="G35" s="8">
        <v>0.05</v>
      </c>
      <c r="H35" s="7">
        <f>F35*G35</f>
        <v>-10725.281000000001</v>
      </c>
    </row>
    <row r="36" spans="3:8" x14ac:dyDescent="0.2">
      <c r="C36" s="7">
        <v>52336704.383999996</v>
      </c>
      <c r="D36" s="7"/>
      <c r="E36" s="37">
        <v>799588.54</v>
      </c>
      <c r="F36" s="37">
        <f>E36</f>
        <v>799588.54</v>
      </c>
      <c r="G36" s="46">
        <v>0.05</v>
      </c>
      <c r="H36" s="7">
        <f t="shared" ref="H36:H39" si="7">F36*G36</f>
        <v>39979.427000000003</v>
      </c>
    </row>
    <row r="37" spans="3:8" x14ac:dyDescent="0.2">
      <c r="C37" s="7">
        <v>-2572393</v>
      </c>
      <c r="D37" s="7"/>
      <c r="E37" s="37">
        <v>-31020.49</v>
      </c>
      <c r="F37" s="37">
        <f t="shared" ref="F37:F39" si="8">E37</f>
        <v>-31020.49</v>
      </c>
      <c r="G37" s="46">
        <v>0.05</v>
      </c>
      <c r="H37" s="7">
        <f t="shared" si="7"/>
        <v>-1551.0245000000002</v>
      </c>
    </row>
    <row r="38" spans="3:8" x14ac:dyDescent="0.2">
      <c r="C38" s="7">
        <v>149237</v>
      </c>
      <c r="D38" s="7"/>
      <c r="E38" s="37">
        <f>897.78</f>
        <v>897.78</v>
      </c>
      <c r="F38" s="37">
        <f t="shared" si="8"/>
        <v>897.78</v>
      </c>
      <c r="G38" s="46">
        <v>0.05</v>
      </c>
      <c r="H38" s="7">
        <f t="shared" si="7"/>
        <v>44.889000000000003</v>
      </c>
    </row>
    <row r="39" spans="3:8" ht="15" x14ac:dyDescent="0.35">
      <c r="C39" s="7">
        <v>321897</v>
      </c>
      <c r="D39" s="7"/>
      <c r="E39" s="31">
        <v>0</v>
      </c>
      <c r="F39" s="31">
        <f t="shared" si="8"/>
        <v>0</v>
      </c>
      <c r="G39" s="46">
        <v>0.05</v>
      </c>
      <c r="H39" s="31">
        <f t="shared" si="7"/>
        <v>0</v>
      </c>
    </row>
    <row r="40" spans="3:8" x14ac:dyDescent="0.2">
      <c r="E40" s="7">
        <f>SUM(E35:E39)</f>
        <v>923132.21000000008</v>
      </c>
      <c r="F40" s="7">
        <f>SUM(F35:F39)</f>
        <v>554960.21000000008</v>
      </c>
      <c r="H40" s="7">
        <f>SUM(H35:H39)</f>
        <v>27748.0105</v>
      </c>
    </row>
    <row r="41" spans="3:8" x14ac:dyDescent="0.2">
      <c r="H41" s="7">
        <f>H40-L15</f>
        <v>0</v>
      </c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8 of 14
Clements</oddHeader>
    <oddFooter>&amp;L_x000D_&amp;1#&amp;"Calibri"&amp;14&amp;K000000 Business Use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/>
  <dimension ref="A1:Q84"/>
  <sheetViews>
    <sheetView zoomScale="93" zoomScaleNormal="93" workbookViewId="0"/>
  </sheetViews>
  <sheetFormatPr defaultRowHeight="12.75" x14ac:dyDescent="0.2"/>
  <cols>
    <col min="1" max="1" width="11.28515625" style="3" customWidth="1"/>
    <col min="2" max="2" width="1.7109375" customWidth="1"/>
    <col min="3" max="3" width="13.42578125" customWidth="1"/>
    <col min="4" max="4" width="14.28515625" bestFit="1" customWidth="1"/>
    <col min="5" max="5" width="17.140625" customWidth="1"/>
    <col min="6" max="6" width="16" customWidth="1"/>
    <col min="7" max="8" width="14.28515625" customWidth="1"/>
    <col min="9" max="12" width="12.7109375" customWidth="1"/>
    <col min="13" max="13" width="16.5703125" bestFit="1" customWidth="1"/>
    <col min="14" max="14" width="12.7109375" customWidth="1"/>
    <col min="15" max="15" width="11.28515625" hidden="1" customWidth="1"/>
    <col min="16" max="16" width="16.5703125" bestFit="1" customWidth="1"/>
    <col min="17" max="17" width="12.42578125" bestFit="1" customWidth="1"/>
  </cols>
  <sheetData>
    <row r="1" spans="1:17" x14ac:dyDescent="0.2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7" x14ac:dyDescent="0.2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7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4"/>
    </row>
    <row r="5" spans="1:17" x14ac:dyDescent="0.2">
      <c r="A5" s="9" t="s">
        <v>12</v>
      </c>
    </row>
    <row r="6" spans="1:17" x14ac:dyDescent="0.2">
      <c r="A6" s="11" t="s">
        <v>13</v>
      </c>
    </row>
    <row r="8" spans="1:17" s="6" customFormat="1" ht="38.25" x14ac:dyDescent="0.2">
      <c r="A8" s="4" t="s">
        <v>0</v>
      </c>
      <c r="B8" s="5"/>
      <c r="C8" s="5" t="s">
        <v>1</v>
      </c>
      <c r="D8" s="5" t="s">
        <v>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</v>
      </c>
      <c r="N8" s="5" t="s">
        <v>4</v>
      </c>
    </row>
    <row r="9" spans="1:17" x14ac:dyDescent="0.2">
      <c r="A9" s="3" t="s">
        <v>8</v>
      </c>
      <c r="M9" s="10">
        <v>156589361</v>
      </c>
    </row>
    <row r="10" spans="1:17" x14ac:dyDescent="0.2">
      <c r="A10" s="38">
        <v>43899</v>
      </c>
      <c r="C10" s="7">
        <v>651384768</v>
      </c>
      <c r="D10" s="15">
        <v>2371584</v>
      </c>
      <c r="E10" s="10">
        <f>2561471.75+3</f>
        <v>2561474.75</v>
      </c>
      <c r="F10" s="10">
        <v>5066744.3899999997</v>
      </c>
      <c r="G10" s="7">
        <f>E10-D10</f>
        <v>189890.75</v>
      </c>
      <c r="H10" s="7">
        <f>F10-D10</f>
        <v>2695160.3899999997</v>
      </c>
      <c r="I10" s="8">
        <v>0.21</v>
      </c>
      <c r="J10" s="8">
        <v>0.05</v>
      </c>
      <c r="K10" s="7">
        <f t="shared" ref="K10:K15" si="0">G10*I10-L10*I10</f>
        <v>11577.873404999998</v>
      </c>
      <c r="L10" s="7">
        <f t="shared" ref="L10:L15" si="1">H10*J10</f>
        <v>134758.01949999999</v>
      </c>
      <c r="M10" s="7">
        <f t="shared" ref="M10:M15" si="2">M9+K10+L10</f>
        <v>156735696.892905</v>
      </c>
      <c r="N10" s="7">
        <v>0</v>
      </c>
      <c r="P10" s="17"/>
      <c r="Q10" s="19"/>
    </row>
    <row r="11" spans="1:17" x14ac:dyDescent="0.2">
      <c r="A11" s="38">
        <v>43922</v>
      </c>
      <c r="C11" s="7">
        <v>651384768</v>
      </c>
      <c r="D11" s="15">
        <v>2371584</v>
      </c>
      <c r="E11" s="10">
        <f>2561471.75</f>
        <v>2561471.75</v>
      </c>
      <c r="F11" s="10">
        <v>5066744.3899999997</v>
      </c>
      <c r="G11" s="7">
        <f t="shared" ref="G11:G15" si="3">E11-D11</f>
        <v>189887.75</v>
      </c>
      <c r="H11" s="7">
        <f t="shared" ref="H11:H15" si="4">F11-D11</f>
        <v>2695160.3899999997</v>
      </c>
      <c r="I11" s="8">
        <v>0.21</v>
      </c>
      <c r="J11" s="8">
        <v>0.05</v>
      </c>
      <c r="K11" s="7">
        <f t="shared" si="0"/>
        <v>11577.243405000001</v>
      </c>
      <c r="L11" s="7">
        <f t="shared" si="1"/>
        <v>134758.01949999999</v>
      </c>
      <c r="M11" s="7">
        <f t="shared" si="2"/>
        <v>156882032.15581</v>
      </c>
      <c r="N11" s="7">
        <v>0</v>
      </c>
      <c r="O11" s="7">
        <f>1598189-M12</f>
        <v>-155430178.418715</v>
      </c>
      <c r="P11" s="17"/>
      <c r="Q11" s="19"/>
    </row>
    <row r="12" spans="1:17" x14ac:dyDescent="0.2">
      <c r="A12" s="38">
        <v>43952</v>
      </c>
      <c r="C12" s="7">
        <v>651384768</v>
      </c>
      <c r="D12" s="15">
        <v>2371584</v>
      </c>
      <c r="E12" s="10">
        <f>2561471.75</f>
        <v>2561471.75</v>
      </c>
      <c r="F12" s="10">
        <v>5066744.3899999997</v>
      </c>
      <c r="G12" s="7">
        <f t="shared" si="3"/>
        <v>189887.75</v>
      </c>
      <c r="H12" s="7">
        <f t="shared" si="4"/>
        <v>2695160.3899999997</v>
      </c>
      <c r="I12" s="8">
        <v>0.21</v>
      </c>
      <c r="J12" s="8">
        <v>0.05</v>
      </c>
      <c r="K12" s="7">
        <f t="shared" si="0"/>
        <v>11577.243405000001</v>
      </c>
      <c r="L12" s="7">
        <f t="shared" si="1"/>
        <v>134758.01949999999</v>
      </c>
      <c r="M12" s="7">
        <f t="shared" si="2"/>
        <v>157028367.418715</v>
      </c>
      <c r="N12" s="7">
        <v>0</v>
      </c>
      <c r="O12" s="17">
        <f>+O11/0.389</f>
        <v>-399563440.66507709</v>
      </c>
      <c r="Q12" s="19"/>
    </row>
    <row r="13" spans="1:17" x14ac:dyDescent="0.2">
      <c r="A13" s="38">
        <v>43983</v>
      </c>
      <c r="C13" s="7">
        <v>651384768</v>
      </c>
      <c r="D13" s="15">
        <v>2371584</v>
      </c>
      <c r="E13" s="10">
        <f>2561471.75-2</f>
        <v>2561469.75</v>
      </c>
      <c r="F13" s="10">
        <v>5066744.3899999997</v>
      </c>
      <c r="G13" s="7">
        <f t="shared" si="3"/>
        <v>189885.75</v>
      </c>
      <c r="H13" s="7">
        <f t="shared" si="4"/>
        <v>2695160.3899999997</v>
      </c>
      <c r="I13" s="8">
        <v>0.21</v>
      </c>
      <c r="J13" s="8">
        <v>0.05</v>
      </c>
      <c r="K13" s="7">
        <f t="shared" si="0"/>
        <v>11576.823405000003</v>
      </c>
      <c r="L13" s="7">
        <f t="shared" si="1"/>
        <v>134758.01949999999</v>
      </c>
      <c r="M13" s="7">
        <f t="shared" si="2"/>
        <v>157174702.26161999</v>
      </c>
      <c r="N13" s="7">
        <v>0</v>
      </c>
      <c r="O13" s="7">
        <f>1923738-M14</f>
        <v>-155397299.52452499</v>
      </c>
      <c r="Q13" s="19"/>
    </row>
    <row r="14" spans="1:17" x14ac:dyDescent="0.2">
      <c r="A14" s="38">
        <v>44013</v>
      </c>
      <c r="C14" s="7">
        <v>651384768</v>
      </c>
      <c r="D14" s="15">
        <v>2371584</v>
      </c>
      <c r="E14" s="10">
        <f>2561471.75</f>
        <v>2561471.75</v>
      </c>
      <c r="F14" s="10">
        <v>5066744.3899999997</v>
      </c>
      <c r="G14" s="7">
        <f t="shared" si="3"/>
        <v>189887.75</v>
      </c>
      <c r="H14" s="7">
        <f t="shared" si="4"/>
        <v>2695160.3899999997</v>
      </c>
      <c r="I14" s="8">
        <v>0.21</v>
      </c>
      <c r="J14" s="8">
        <v>0.05</v>
      </c>
      <c r="K14" s="7">
        <f t="shared" si="0"/>
        <v>11577.243405000001</v>
      </c>
      <c r="L14" s="7">
        <f t="shared" si="1"/>
        <v>134758.01949999999</v>
      </c>
      <c r="M14" s="7">
        <f t="shared" si="2"/>
        <v>157321037.52452499</v>
      </c>
      <c r="N14" s="7">
        <v>27967.57</v>
      </c>
      <c r="O14" s="17">
        <f>+O13/0.389</f>
        <v>-399478919.08618248</v>
      </c>
      <c r="Q14" s="19"/>
    </row>
    <row r="15" spans="1:17" x14ac:dyDescent="0.2">
      <c r="A15" s="38">
        <v>44044</v>
      </c>
      <c r="C15" s="7">
        <v>651231856</v>
      </c>
      <c r="D15" s="15">
        <v>2371307</v>
      </c>
      <c r="E15" s="15">
        <f>2560420.48+149.49</f>
        <v>2560569.9700000002</v>
      </c>
      <c r="F15" s="15">
        <f>5065693.12</f>
        <v>5065693.12</v>
      </c>
      <c r="G15" s="7">
        <f t="shared" si="3"/>
        <v>189262.9700000002</v>
      </c>
      <c r="H15" s="7">
        <f t="shared" si="4"/>
        <v>2694386.12</v>
      </c>
      <c r="I15" s="8">
        <v>0.21</v>
      </c>
      <c r="J15" s="8">
        <v>0.05</v>
      </c>
      <c r="K15" s="7">
        <f t="shared" si="0"/>
        <v>11454.169440000038</v>
      </c>
      <c r="L15" s="7">
        <f t="shared" si="1"/>
        <v>134719.30600000001</v>
      </c>
      <c r="M15" s="7">
        <f t="shared" si="2"/>
        <v>157467210.99996498</v>
      </c>
      <c r="N15" s="7">
        <v>27810.75</v>
      </c>
      <c r="O15" s="7">
        <f>+M15-2105354</f>
        <v>155361856.99996498</v>
      </c>
      <c r="Q15" s="19"/>
    </row>
    <row r="16" spans="1:17" x14ac:dyDescent="0.2">
      <c r="A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9">
        <f>+O15/0.389</f>
        <v>399387807.19785339</v>
      </c>
    </row>
    <row r="17" spans="1:14" x14ac:dyDescent="0.2">
      <c r="A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">
      <c r="A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C19" s="43" t="s">
        <v>51</v>
      </c>
    </row>
    <row r="20" spans="1:14" x14ac:dyDescent="0.2">
      <c r="C20" s="43" t="s">
        <v>31</v>
      </c>
    </row>
    <row r="21" spans="1:14" x14ac:dyDescent="0.2">
      <c r="C21" s="43" t="s">
        <v>62</v>
      </c>
    </row>
    <row r="22" spans="1:14" x14ac:dyDescent="0.2">
      <c r="C22" s="7" t="s">
        <v>32</v>
      </c>
    </row>
    <row r="24" spans="1:14" x14ac:dyDescent="0.2">
      <c r="C24" s="7" t="s">
        <v>34</v>
      </c>
      <c r="D24" s="29" t="s">
        <v>35</v>
      </c>
      <c r="E24" s="28" t="s">
        <v>36</v>
      </c>
      <c r="F24" s="7" t="s">
        <v>37</v>
      </c>
      <c r="G24" s="8" t="s">
        <v>27</v>
      </c>
      <c r="H24" s="7" t="s">
        <v>38</v>
      </c>
    </row>
    <row r="25" spans="1:14" x14ac:dyDescent="0.2">
      <c r="C25" s="7">
        <v>1707678.0000000002</v>
      </c>
      <c r="D25" s="7">
        <v>2371307</v>
      </c>
      <c r="E25" s="7">
        <v>6435.1</v>
      </c>
      <c r="F25" s="7">
        <f>E25-D25</f>
        <v>-2364871.9</v>
      </c>
      <c r="G25" s="8">
        <v>0.21</v>
      </c>
      <c r="H25" s="7">
        <f>F25*G25</f>
        <v>-496623.09899999999</v>
      </c>
    </row>
    <row r="26" spans="1:14" x14ac:dyDescent="0.2">
      <c r="C26" s="7">
        <v>2561517</v>
      </c>
      <c r="E26" s="7">
        <v>7957.81</v>
      </c>
      <c r="F26" s="7">
        <f>E26</f>
        <v>7957.81</v>
      </c>
      <c r="G26" s="8">
        <v>0.21</v>
      </c>
      <c r="H26" s="7">
        <f t="shared" ref="H26:H51" si="5">F26*G26</f>
        <v>1671.1401000000001</v>
      </c>
    </row>
    <row r="27" spans="1:14" x14ac:dyDescent="0.2">
      <c r="C27" s="7">
        <v>30650265</v>
      </c>
      <c r="E27" s="7">
        <v>124848.75</v>
      </c>
      <c r="F27" s="7">
        <f t="shared" ref="F27:F51" si="6">E27</f>
        <v>124848.75</v>
      </c>
      <c r="G27" s="8">
        <v>0.21</v>
      </c>
      <c r="H27" s="7">
        <f t="shared" si="5"/>
        <v>26218.237499999999</v>
      </c>
    </row>
    <row r="28" spans="1:14" x14ac:dyDescent="0.2">
      <c r="C28" s="7">
        <v>45975398</v>
      </c>
      <c r="E28" s="7">
        <v>547326.16666666663</v>
      </c>
      <c r="F28" s="7">
        <f t="shared" si="6"/>
        <v>547326.16666666663</v>
      </c>
      <c r="G28" s="8">
        <v>0.21</v>
      </c>
      <c r="H28" s="7">
        <f t="shared" si="5"/>
        <v>114938.49499999998</v>
      </c>
    </row>
    <row r="29" spans="1:14" x14ac:dyDescent="0.2">
      <c r="C29" s="7">
        <v>27464567.032000002</v>
      </c>
      <c r="E29" s="7">
        <v>111872.34</v>
      </c>
      <c r="F29" s="7">
        <f t="shared" si="6"/>
        <v>111872.34</v>
      </c>
      <c r="G29" s="8">
        <v>0.21</v>
      </c>
      <c r="H29" s="7">
        <f t="shared" si="5"/>
        <v>23493.1914</v>
      </c>
    </row>
    <row r="30" spans="1:14" x14ac:dyDescent="0.2">
      <c r="C30" s="7">
        <v>41196850.548</v>
      </c>
      <c r="E30" s="7">
        <v>490438.69699999999</v>
      </c>
      <c r="F30" s="7">
        <f t="shared" si="6"/>
        <v>490438.69699999999</v>
      </c>
      <c r="G30" s="8">
        <v>0.21</v>
      </c>
      <c r="H30" s="7">
        <f t="shared" si="5"/>
        <v>102992.12637</v>
      </c>
    </row>
    <row r="31" spans="1:14" x14ac:dyDescent="0.2">
      <c r="C31" s="7">
        <v>8604879.8300000001</v>
      </c>
      <c r="E31" s="7">
        <v>37897.32</v>
      </c>
      <c r="F31" s="7">
        <f t="shared" si="6"/>
        <v>37897.32</v>
      </c>
      <c r="G31" s="8">
        <v>0.21</v>
      </c>
      <c r="H31" s="7">
        <f t="shared" si="5"/>
        <v>7958.4371999999994</v>
      </c>
    </row>
    <row r="32" spans="1:14" x14ac:dyDescent="0.2">
      <c r="C32" s="7">
        <v>3423604.6119999997</v>
      </c>
      <c r="E32" s="7">
        <v>15078.13</v>
      </c>
      <c r="F32" s="7">
        <f t="shared" si="6"/>
        <v>15078.13</v>
      </c>
      <c r="G32" s="8">
        <v>0.21</v>
      </c>
      <c r="H32" s="7">
        <f t="shared" si="5"/>
        <v>3166.4072999999999</v>
      </c>
    </row>
    <row r="33" spans="3:8" x14ac:dyDescent="0.2">
      <c r="C33" s="7">
        <v>5135406.9179999996</v>
      </c>
      <c r="E33" s="7">
        <v>61135.796642857138</v>
      </c>
      <c r="F33" s="7">
        <f t="shared" si="6"/>
        <v>61135.796642857138</v>
      </c>
      <c r="G33" s="8">
        <v>0.21</v>
      </c>
      <c r="H33" s="7">
        <f t="shared" si="5"/>
        <v>12838.517294999998</v>
      </c>
    </row>
    <row r="34" spans="3:8" x14ac:dyDescent="0.2">
      <c r="C34" s="7">
        <v>16610.338</v>
      </c>
      <c r="E34" s="7">
        <v>73.150000000000006</v>
      </c>
      <c r="F34" s="7">
        <f t="shared" si="6"/>
        <v>73.150000000000006</v>
      </c>
      <c r="G34" s="8">
        <v>0.21</v>
      </c>
      <c r="H34" s="7">
        <f t="shared" si="5"/>
        <v>15.361500000000001</v>
      </c>
    </row>
    <row r="35" spans="3:8" x14ac:dyDescent="0.2">
      <c r="C35" s="7">
        <v>24915.507000000001</v>
      </c>
      <c r="E35" s="7">
        <v>296.61317857142859</v>
      </c>
      <c r="F35" s="7">
        <f t="shared" si="6"/>
        <v>296.61317857142859</v>
      </c>
      <c r="G35" s="8">
        <v>0.21</v>
      </c>
      <c r="H35" s="7">
        <f t="shared" si="5"/>
        <v>62.288767499999999</v>
      </c>
    </row>
    <row r="36" spans="3:8" x14ac:dyDescent="0.2">
      <c r="C36" s="7">
        <v>31061870.714000002</v>
      </c>
      <c r="E36" s="7">
        <v>136801.66</v>
      </c>
      <c r="F36" s="7">
        <f t="shared" si="6"/>
        <v>136801.66</v>
      </c>
      <c r="G36" s="8">
        <v>0.21</v>
      </c>
      <c r="H36" s="7">
        <f t="shared" si="5"/>
        <v>28728.348600000001</v>
      </c>
    </row>
    <row r="37" spans="3:8" x14ac:dyDescent="0.2">
      <c r="C37" s="7">
        <v>46592806.070999995</v>
      </c>
      <c r="E37" s="7">
        <v>258848.92</v>
      </c>
      <c r="F37" s="7">
        <f t="shared" si="6"/>
        <v>258848.92</v>
      </c>
      <c r="G37" s="8">
        <v>0.21</v>
      </c>
      <c r="H37" s="7">
        <f t="shared" si="5"/>
        <v>54358.273200000003</v>
      </c>
    </row>
    <row r="38" spans="3:8" x14ac:dyDescent="0.2">
      <c r="C38" s="7">
        <v>1219848.1800000002</v>
      </c>
      <c r="E38" s="7">
        <v>5372.41</v>
      </c>
      <c r="F38" s="7">
        <f t="shared" si="6"/>
        <v>5372.41</v>
      </c>
      <c r="G38" s="8">
        <v>0.21</v>
      </c>
      <c r="H38" s="7">
        <f t="shared" si="5"/>
        <v>1128.2060999999999</v>
      </c>
    </row>
    <row r="39" spans="3:8" x14ac:dyDescent="0.2">
      <c r="C39" s="7">
        <v>2523999.9120000005</v>
      </c>
      <c r="E39" s="7">
        <v>11116.12</v>
      </c>
      <c r="F39" s="7">
        <f t="shared" si="6"/>
        <v>11116.12</v>
      </c>
      <c r="G39" s="8">
        <v>0.21</v>
      </c>
      <c r="H39" s="7">
        <f t="shared" si="5"/>
        <v>2334.3852000000002</v>
      </c>
    </row>
    <row r="40" spans="3:8" x14ac:dyDescent="0.2">
      <c r="C40" s="7">
        <v>3785999.8679999998</v>
      </c>
      <c r="E40" s="7">
        <v>45071.426999999996</v>
      </c>
      <c r="F40" s="7">
        <f t="shared" si="6"/>
        <v>45071.426999999996</v>
      </c>
      <c r="G40" s="8">
        <v>0.21</v>
      </c>
      <c r="H40" s="7">
        <f t="shared" si="5"/>
        <v>9464.9996699999992</v>
      </c>
    </row>
    <row r="41" spans="3:8" x14ac:dyDescent="0.2">
      <c r="C41" s="7">
        <v>25974568.388</v>
      </c>
      <c r="E41" s="7">
        <v>114396.33</v>
      </c>
      <c r="F41" s="7">
        <f t="shared" si="6"/>
        <v>114396.33</v>
      </c>
      <c r="G41" s="8">
        <v>0.21</v>
      </c>
      <c r="H41" s="7">
        <f t="shared" si="5"/>
        <v>24023.229299999999</v>
      </c>
    </row>
    <row r="42" spans="3:8" x14ac:dyDescent="0.2">
      <c r="C42" s="7">
        <v>38961852.581999995</v>
      </c>
      <c r="E42" s="7">
        <v>463831.5783571428</v>
      </c>
      <c r="F42" s="7">
        <f t="shared" si="6"/>
        <v>463831.5783571428</v>
      </c>
      <c r="G42" s="8">
        <v>0.21</v>
      </c>
      <c r="H42" s="7">
        <f t="shared" si="5"/>
        <v>97404.631454999981</v>
      </c>
    </row>
    <row r="43" spans="3:8" x14ac:dyDescent="0.2">
      <c r="C43" s="7">
        <v>2779050.4420000003</v>
      </c>
      <c r="E43" s="7">
        <v>13230.6</v>
      </c>
      <c r="F43" s="7">
        <f t="shared" si="6"/>
        <v>13230.6</v>
      </c>
      <c r="G43" s="8">
        <v>0.21</v>
      </c>
      <c r="H43" s="7">
        <f t="shared" si="5"/>
        <v>2778.4259999999999</v>
      </c>
    </row>
    <row r="44" spans="3:8" x14ac:dyDescent="0.2">
      <c r="C44" s="7">
        <v>4168575.6630000002</v>
      </c>
      <c r="E44" s="37">
        <v>49625.900750000001</v>
      </c>
      <c r="F44" s="37">
        <f t="shared" si="6"/>
        <v>49625.900750000001</v>
      </c>
      <c r="G44" s="46">
        <v>0.21</v>
      </c>
      <c r="H44" s="37">
        <f t="shared" si="5"/>
        <v>10421.439157499999</v>
      </c>
    </row>
    <row r="45" spans="3:8" x14ac:dyDescent="0.2">
      <c r="C45" s="7">
        <v>2382156</v>
      </c>
      <c r="E45" s="37">
        <v>29123.439999999999</v>
      </c>
      <c r="F45" s="37">
        <f t="shared" si="6"/>
        <v>29123.439999999999</v>
      </c>
      <c r="G45" s="46">
        <v>0.21</v>
      </c>
      <c r="H45" s="37">
        <f t="shared" si="5"/>
        <v>6115.9223999999995</v>
      </c>
    </row>
    <row r="46" spans="3:8" x14ac:dyDescent="0.2">
      <c r="C46" s="7">
        <v>2137779</v>
      </c>
      <c r="E46" s="37">
        <v>20043.41</v>
      </c>
      <c r="F46" s="37">
        <f t="shared" si="6"/>
        <v>20043.41</v>
      </c>
      <c r="G46" s="46">
        <v>0.21</v>
      </c>
      <c r="H46" s="37">
        <f t="shared" si="5"/>
        <v>4209.1161000000002</v>
      </c>
    </row>
    <row r="47" spans="3:8" x14ac:dyDescent="0.2">
      <c r="C47" s="7">
        <v>1682939</v>
      </c>
      <c r="E47" s="37">
        <v>10124.280000000001</v>
      </c>
      <c r="F47" s="37">
        <f t="shared" si="6"/>
        <v>10124.280000000001</v>
      </c>
      <c r="G47" s="46">
        <v>0.21</v>
      </c>
      <c r="H47" s="37">
        <f t="shared" si="5"/>
        <v>2126.0988000000002</v>
      </c>
    </row>
    <row r="48" spans="3:8" x14ac:dyDescent="0.2">
      <c r="C48" s="7">
        <v>1069488</v>
      </c>
      <c r="E48" s="37">
        <v>0</v>
      </c>
      <c r="F48" s="37">
        <f t="shared" si="6"/>
        <v>0</v>
      </c>
      <c r="G48" s="46">
        <v>0.21</v>
      </c>
      <c r="H48" s="37">
        <f t="shared" si="5"/>
        <v>0</v>
      </c>
    </row>
    <row r="49" spans="3:8" x14ac:dyDescent="0.2">
      <c r="C49" s="7">
        <v>-523388</v>
      </c>
      <c r="E49" s="37">
        <v>-1333.33</v>
      </c>
      <c r="F49" s="37">
        <f t="shared" si="6"/>
        <v>-1333.33</v>
      </c>
      <c r="G49" s="46">
        <v>0.21</v>
      </c>
      <c r="H49" s="37">
        <f t="shared" si="5"/>
        <v>-279.99929999999995</v>
      </c>
    </row>
    <row r="50" spans="3:8" x14ac:dyDescent="0.2">
      <c r="C50" s="7">
        <v>180531</v>
      </c>
      <c r="E50" s="37">
        <v>1859.14</v>
      </c>
      <c r="F50" s="37">
        <f t="shared" si="6"/>
        <v>1859.14</v>
      </c>
      <c r="G50" s="46">
        <v>0.21</v>
      </c>
      <c r="H50" s="37">
        <f t="shared" si="5"/>
        <v>390.4194</v>
      </c>
    </row>
    <row r="51" spans="3:8" ht="15" x14ac:dyDescent="0.35">
      <c r="C51" s="7">
        <v>-152912</v>
      </c>
      <c r="E51" s="31">
        <v>-902</v>
      </c>
      <c r="F51" s="31">
        <f t="shared" si="6"/>
        <v>-902</v>
      </c>
      <c r="G51" s="46">
        <v>0.21</v>
      </c>
      <c r="H51" s="31">
        <f t="shared" si="5"/>
        <v>-189.42</v>
      </c>
    </row>
    <row r="52" spans="3:8" x14ac:dyDescent="0.2">
      <c r="D52" s="7"/>
      <c r="E52" s="7">
        <f>SUM(E25:E51)</f>
        <v>2560569.7595952377</v>
      </c>
      <c r="F52" s="7">
        <f>SUM(F25:F51)</f>
        <v>189262.75959523823</v>
      </c>
      <c r="G52" s="33" t="s">
        <v>43</v>
      </c>
      <c r="H52" s="7">
        <f>SUM(H25:H51)</f>
        <v>39745.179514999967</v>
      </c>
    </row>
    <row r="53" spans="3:8" ht="15" x14ac:dyDescent="0.35">
      <c r="G53" s="33" t="s">
        <v>44</v>
      </c>
      <c r="H53" s="31">
        <f>-H83*0.21</f>
        <v>-28291.057006499999</v>
      </c>
    </row>
    <row r="54" spans="3:8" x14ac:dyDescent="0.2">
      <c r="H54" s="7">
        <f>H52+H53</f>
        <v>11454.122508499968</v>
      </c>
    </row>
    <row r="55" spans="3:8" x14ac:dyDescent="0.2">
      <c r="H55" s="7">
        <f>H54-K15</f>
        <v>-4.6931500070058974E-2</v>
      </c>
    </row>
    <row r="56" spans="3:8" x14ac:dyDescent="0.2">
      <c r="C56" s="7" t="s">
        <v>39</v>
      </c>
      <c r="D56" s="27" t="s">
        <v>35</v>
      </c>
      <c r="E56" s="28" t="s">
        <v>40</v>
      </c>
      <c r="F56" s="7" t="s">
        <v>41</v>
      </c>
      <c r="G56" s="8" t="s">
        <v>28</v>
      </c>
      <c r="H56" s="7" t="s">
        <v>42</v>
      </c>
    </row>
    <row r="57" spans="3:8" x14ac:dyDescent="0.2">
      <c r="C57" s="7">
        <v>3645863</v>
      </c>
      <c r="D57" s="7">
        <f>D25</f>
        <v>2371307</v>
      </c>
      <c r="E57" s="7">
        <v>13556.53</v>
      </c>
      <c r="F57" s="7">
        <f>E57-D57</f>
        <v>-2357750.4700000002</v>
      </c>
      <c r="G57" s="8">
        <v>0.05</v>
      </c>
      <c r="H57" s="7">
        <f>F57*G57</f>
        <v>-117887.52350000001</v>
      </c>
    </row>
    <row r="58" spans="3:8" x14ac:dyDescent="0.2">
      <c r="C58" s="7">
        <v>3415356</v>
      </c>
      <c r="E58" s="7">
        <v>12870.2</v>
      </c>
      <c r="F58" s="7">
        <f t="shared" ref="F58:F82" si="7">E58-D58</f>
        <v>12870.2</v>
      </c>
      <c r="G58" s="8">
        <v>0.05</v>
      </c>
      <c r="H58" s="7">
        <f t="shared" ref="H58:H82" si="8">F58*G58</f>
        <v>643.5100000000001</v>
      </c>
    </row>
    <row r="59" spans="3:8" x14ac:dyDescent="0.2">
      <c r="C59" s="7">
        <v>5123034</v>
      </c>
      <c r="E59" s="7">
        <v>15915.61</v>
      </c>
      <c r="F59" s="7">
        <f t="shared" si="7"/>
        <v>15915.61</v>
      </c>
      <c r="G59" s="8">
        <v>0.05</v>
      </c>
      <c r="H59" s="7">
        <f t="shared" si="8"/>
        <v>795.78050000000007</v>
      </c>
    </row>
    <row r="60" spans="3:8" x14ac:dyDescent="0.2">
      <c r="C60" s="7">
        <v>61300530.800000004</v>
      </c>
      <c r="E60" s="7">
        <v>249697.5</v>
      </c>
      <c r="F60" s="7">
        <f t="shared" si="7"/>
        <v>249697.5</v>
      </c>
      <c r="G60" s="8">
        <v>0.05</v>
      </c>
      <c r="H60" s="7">
        <f t="shared" si="8"/>
        <v>12484.875</v>
      </c>
    </row>
    <row r="61" spans="3:8" x14ac:dyDescent="0.2">
      <c r="C61" s="7">
        <v>91950796.200000003</v>
      </c>
      <c r="E61" s="7">
        <v>1094652.3357142857</v>
      </c>
      <c r="F61" s="7">
        <f t="shared" si="7"/>
        <v>1094652.3357142857</v>
      </c>
      <c r="G61" s="8">
        <v>0.05</v>
      </c>
      <c r="H61" s="7">
        <f t="shared" si="8"/>
        <v>54732.616785714286</v>
      </c>
    </row>
    <row r="62" spans="3:8" x14ac:dyDescent="0.2">
      <c r="C62" s="7">
        <v>54929134.064000003</v>
      </c>
      <c r="E62" s="7">
        <v>223744.67</v>
      </c>
      <c r="F62" s="7">
        <f t="shared" si="7"/>
        <v>223744.67</v>
      </c>
      <c r="G62" s="8">
        <v>0.05</v>
      </c>
      <c r="H62" s="7">
        <f t="shared" si="8"/>
        <v>11187.233500000002</v>
      </c>
    </row>
    <row r="63" spans="3:8" x14ac:dyDescent="0.2">
      <c r="C63" s="7">
        <v>82393701.096000001</v>
      </c>
      <c r="E63" s="7">
        <v>980877.39399999997</v>
      </c>
      <c r="F63" s="7">
        <f t="shared" si="7"/>
        <v>980877.39399999997</v>
      </c>
      <c r="G63" s="8">
        <v>0.05</v>
      </c>
      <c r="H63" s="7">
        <f t="shared" si="8"/>
        <v>49043.869700000003</v>
      </c>
    </row>
    <row r="64" spans="3:8" x14ac:dyDescent="0.2">
      <c r="C64" s="7">
        <v>8604879.8300000001</v>
      </c>
      <c r="E64" s="7">
        <v>37897.32</v>
      </c>
      <c r="F64" s="7">
        <f t="shared" si="7"/>
        <v>37897.32</v>
      </c>
      <c r="G64" s="8">
        <v>0.05</v>
      </c>
      <c r="H64" s="7">
        <f t="shared" si="8"/>
        <v>1894.866</v>
      </c>
    </row>
    <row r="65" spans="3:8" x14ac:dyDescent="0.2">
      <c r="C65" s="7">
        <v>6880429.9000000022</v>
      </c>
      <c r="E65" s="7">
        <v>30302.560000000001</v>
      </c>
      <c r="F65" s="7">
        <f t="shared" si="7"/>
        <v>30302.560000000001</v>
      </c>
      <c r="G65" s="8">
        <v>0.05</v>
      </c>
      <c r="H65" s="7">
        <f t="shared" si="8"/>
        <v>1515.1280000000002</v>
      </c>
    </row>
    <row r="66" spans="3:8" x14ac:dyDescent="0.2">
      <c r="C66" s="7">
        <v>10320644.850000001</v>
      </c>
      <c r="E66" s="7">
        <v>122864.81964285717</v>
      </c>
      <c r="F66" s="7">
        <f t="shared" si="7"/>
        <v>122864.81964285717</v>
      </c>
      <c r="G66" s="8">
        <v>0.05</v>
      </c>
      <c r="H66" s="7">
        <f t="shared" si="8"/>
        <v>6143.2409821428591</v>
      </c>
    </row>
    <row r="67" spans="3:8" x14ac:dyDescent="0.2">
      <c r="C67" s="7">
        <v>62123741.428000003</v>
      </c>
      <c r="E67" s="7">
        <v>273603.31</v>
      </c>
      <c r="F67" s="7">
        <f t="shared" si="7"/>
        <v>273603.31</v>
      </c>
      <c r="G67" s="8">
        <v>0.05</v>
      </c>
      <c r="H67" s="7">
        <f t="shared" si="8"/>
        <v>13680.165500000001</v>
      </c>
    </row>
    <row r="68" spans="3:8" x14ac:dyDescent="0.2">
      <c r="C68" s="7">
        <v>93185612.14199999</v>
      </c>
      <c r="E68" s="7">
        <v>517697.85</v>
      </c>
      <c r="F68" s="7">
        <f t="shared" si="7"/>
        <v>517697.85</v>
      </c>
      <c r="G68" s="8">
        <v>0.05</v>
      </c>
      <c r="H68" s="7">
        <f t="shared" si="8"/>
        <v>25884.892500000002</v>
      </c>
    </row>
    <row r="69" spans="3:8" x14ac:dyDescent="0.2">
      <c r="C69" s="7">
        <v>1219848.1800000002</v>
      </c>
      <c r="E69" s="7">
        <v>5372.41</v>
      </c>
      <c r="F69" s="7">
        <f t="shared" si="7"/>
        <v>5372.41</v>
      </c>
      <c r="G69" s="8">
        <v>0.05</v>
      </c>
      <c r="H69" s="7">
        <f t="shared" si="8"/>
        <v>268.62049999999999</v>
      </c>
    </row>
    <row r="70" spans="3:8" x14ac:dyDescent="0.2">
      <c r="C70" s="7">
        <v>5047999.824000001</v>
      </c>
      <c r="E70" s="7">
        <v>22232.23</v>
      </c>
      <c r="F70" s="7">
        <f t="shared" si="7"/>
        <v>22232.23</v>
      </c>
      <c r="G70" s="8">
        <v>0.05</v>
      </c>
      <c r="H70" s="7">
        <f t="shared" si="8"/>
        <v>1111.6115</v>
      </c>
    </row>
    <row r="71" spans="3:8" x14ac:dyDescent="0.2">
      <c r="C71" s="7">
        <v>7571999.7359999996</v>
      </c>
      <c r="E71" s="7">
        <v>90142.853999999992</v>
      </c>
      <c r="F71" s="7">
        <f t="shared" si="7"/>
        <v>90142.853999999992</v>
      </c>
      <c r="G71" s="8">
        <v>0.05</v>
      </c>
      <c r="H71" s="7">
        <f t="shared" si="8"/>
        <v>4507.1426999999994</v>
      </c>
    </row>
    <row r="72" spans="3:8" x14ac:dyDescent="0.2">
      <c r="C72" s="7">
        <v>51949136.776000001</v>
      </c>
      <c r="E72" s="7">
        <v>228792.66</v>
      </c>
      <c r="F72" s="7">
        <f t="shared" si="7"/>
        <v>228792.66</v>
      </c>
      <c r="G72" s="8">
        <v>0.05</v>
      </c>
      <c r="H72" s="7">
        <f t="shared" si="8"/>
        <v>11439.633000000002</v>
      </c>
    </row>
    <row r="73" spans="3:8" x14ac:dyDescent="0.2">
      <c r="C73" s="7">
        <v>77923705.16399999</v>
      </c>
      <c r="E73" s="7">
        <v>927663.15671428561</v>
      </c>
      <c r="F73" s="7">
        <f t="shared" si="7"/>
        <v>927663.15671428561</v>
      </c>
      <c r="G73" s="8">
        <v>0.05</v>
      </c>
      <c r="H73" s="7">
        <f t="shared" si="8"/>
        <v>46383.157835714286</v>
      </c>
    </row>
    <row r="74" spans="3:8" x14ac:dyDescent="0.2">
      <c r="C74" s="7">
        <v>5558100.8840000005</v>
      </c>
      <c r="E74" s="7">
        <v>26461.19</v>
      </c>
      <c r="F74" s="37">
        <f t="shared" si="7"/>
        <v>26461.19</v>
      </c>
      <c r="G74" s="8">
        <v>0.05</v>
      </c>
      <c r="H74" s="7">
        <f t="shared" si="8"/>
        <v>1323.0595000000001</v>
      </c>
    </row>
    <row r="75" spans="3:8" x14ac:dyDescent="0.2">
      <c r="C75" s="7">
        <v>8337151.3260000004</v>
      </c>
      <c r="E75" s="37">
        <v>99251.801500000001</v>
      </c>
      <c r="F75" s="37">
        <f t="shared" si="7"/>
        <v>99251.801500000001</v>
      </c>
      <c r="G75" s="46">
        <v>0.05</v>
      </c>
      <c r="H75" s="37">
        <f t="shared" si="8"/>
        <v>4962.5900750000001</v>
      </c>
    </row>
    <row r="76" spans="3:8" x14ac:dyDescent="0.2">
      <c r="C76" s="7">
        <v>4764312</v>
      </c>
      <c r="E76" s="37">
        <v>58246.89</v>
      </c>
      <c r="F76" s="37">
        <f t="shared" si="7"/>
        <v>58246.89</v>
      </c>
      <c r="G76" s="46">
        <v>0.05</v>
      </c>
      <c r="H76" s="37">
        <f t="shared" si="8"/>
        <v>2912.3445000000002</v>
      </c>
    </row>
    <row r="77" spans="3:8" x14ac:dyDescent="0.2">
      <c r="C77" s="7">
        <v>2729220</v>
      </c>
      <c r="E77" s="37">
        <v>25584.33</v>
      </c>
      <c r="F77" s="37">
        <f t="shared" si="7"/>
        <v>25584.33</v>
      </c>
      <c r="G77" s="46">
        <v>0.05</v>
      </c>
      <c r="H77" s="37">
        <f t="shared" si="8"/>
        <v>1279.2165000000002</v>
      </c>
    </row>
    <row r="78" spans="3:8" x14ac:dyDescent="0.2">
      <c r="C78" s="7">
        <v>1682939</v>
      </c>
      <c r="E78" s="37">
        <v>10124.280000000001</v>
      </c>
      <c r="F78" s="37">
        <f t="shared" si="7"/>
        <v>10124.280000000001</v>
      </c>
      <c r="G78" s="46">
        <v>0.05</v>
      </c>
      <c r="H78" s="37">
        <f t="shared" si="8"/>
        <v>506.21400000000006</v>
      </c>
    </row>
    <row r="79" spans="3:8" x14ac:dyDescent="0.2">
      <c r="C79" s="7">
        <v>1069488</v>
      </c>
      <c r="E79" s="37">
        <v>0</v>
      </c>
      <c r="F79" s="37">
        <f t="shared" si="7"/>
        <v>0</v>
      </c>
      <c r="G79" s="46">
        <v>0.05</v>
      </c>
      <c r="H79" s="37">
        <f t="shared" si="8"/>
        <v>0</v>
      </c>
    </row>
    <row r="80" spans="3:8" x14ac:dyDescent="0.2">
      <c r="C80" s="7">
        <v>-523388</v>
      </c>
      <c r="E80" s="37">
        <v>-2666.66</v>
      </c>
      <c r="F80" s="37">
        <f t="shared" si="7"/>
        <v>-2666.66</v>
      </c>
      <c r="G80" s="46">
        <v>0.05</v>
      </c>
      <c r="H80" s="37">
        <f t="shared" si="8"/>
        <v>-133.333</v>
      </c>
    </row>
    <row r="81" spans="3:8" x14ac:dyDescent="0.2">
      <c r="C81" s="7">
        <v>180531</v>
      </c>
      <c r="E81" s="37">
        <v>1859.14</v>
      </c>
      <c r="F81" s="37">
        <f t="shared" si="7"/>
        <v>1859.14</v>
      </c>
      <c r="G81" s="46">
        <v>0.05</v>
      </c>
      <c r="H81" s="37">
        <f t="shared" si="8"/>
        <v>92.957000000000008</v>
      </c>
    </row>
    <row r="82" spans="3:8" ht="15" x14ac:dyDescent="0.35">
      <c r="C82" s="7">
        <v>-152912</v>
      </c>
      <c r="E82" s="31">
        <f>-902-149</f>
        <v>-1051</v>
      </c>
      <c r="F82" s="31">
        <f t="shared" si="7"/>
        <v>-1051</v>
      </c>
      <c r="G82" s="46">
        <v>0.05</v>
      </c>
      <c r="H82" s="31">
        <f t="shared" si="8"/>
        <v>-52.550000000000004</v>
      </c>
    </row>
    <row r="83" spans="3:8" x14ac:dyDescent="0.2">
      <c r="E83" s="7">
        <f>SUM(E57:E82)</f>
        <v>5065693.3815714289</v>
      </c>
      <c r="F83" s="7">
        <f>SUM(F57:F82)</f>
        <v>2694386.3815714279</v>
      </c>
      <c r="H83" s="7">
        <f>SUM(H57:H82)</f>
        <v>134719.31907857143</v>
      </c>
    </row>
    <row r="84" spans="3:8" x14ac:dyDescent="0.2">
      <c r="H84" s="7">
        <f>H83-L15</f>
        <v>1.3078571413643658E-2</v>
      </c>
    </row>
  </sheetData>
  <pageMargins left="0.7" right="0.7" top="1.15625" bottom="0.75" header="0.3" footer="0.3"/>
  <pageSetup scale="50" orientation="portrait" r:id="rId1"/>
  <headerFooter>
    <oddHeader>&amp;R&amp;"Times New Roman,Bold"&amp;12Attachment to Response to Question 3
Page 9 of 14
Clements</oddHeader>
    <oddFooter>&amp;L_x000D_&amp;1#&amp;"Calibri"&amp;14&amp;K000000 Business Use</oddFooter>
  </headerFooter>
  <colBreaks count="1" manualBreakCount="1">
    <brk id="1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2024</Year>
    <Filing_x0020_Case_x0020__x0023_ xmlns="65bfb563-8fe2-4d34-a09f-38a217d8feea" xsi:nil="true"/>
    <Construction_x0020_Monitoring_x0020_Description xmlns="65bfb563-8fe2-4d34-a09f-38a217d8feea" xsi:nil="true"/>
    <Review_x0020_Case_x0020_Doc_x0020_Types xmlns="65bfb563-8fe2-4d34-a09f-38a217d8feea">01.2 – 1st Data Request Attachments</Review_x0020_Case_x0020_Doc_x0020_Types>
    <Status xmlns="65bfb563-8fe2-4d34-a09f-38a217d8feea"/>
    <Filing_x0020_Witness xmlns="65bfb563-8fe2-4d34-a09f-38a217d8feea" xsi:nil="true"/>
    <Filings xmlns="65bfb563-8fe2-4d34-a09f-38a217d8feea" xsi:nil="true"/>
    <IconOverlay xmlns="http://schemas.microsoft.com/sharepoint/v4" xsi:nil="true"/>
    <Document_x0020_Type xmlns="65bfb563-8fe2-4d34-a09f-38a217d8feea">
      <Value>ECR</Value>
    </Document_x0020_Type>
    <Filing_x0020_Type xmlns="65bfb563-8fe2-4d34-a09f-38a217d8feea">
      <Value>Review Cases (ECR/FAC/OST)</Value>
    </Filing_x0020_Type>
    <Construction_x0020_Monitoring xmlns="65bfb563-8fe2-4d34-a09f-38a217d8feea" xsi:nil="true"/>
    <Case_x0020__x0023_ xmlns="65bfb563-8fe2-4d34-a09f-38a217d8feea">2023-00376</Case_x0020__x0023_>
    <Review_x0020_Case_x0020_Expense_x0020_Period xmlns="65bfb563-8fe2-4d34-a09f-38a217d8feea">Mar-Feb (ECR)</Review_x0020_Case_x0020_Expense_x0020_Period>
    <Filing_x0020_Doc_x0020_Types xmlns="65bfb563-8fe2-4d34-a09f-38a217d8feea" xsi:nil="true"/>
    <Company xmlns="65bfb563-8fe2-4d34-a09f-38a217d8feea">
      <Value>KU</Value>
    </Compan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0F20E04BCF41BE361D2F61EE6FFA" ma:contentTypeVersion="32" ma:contentTypeDescription="Create a new document." ma:contentTypeScope="" ma:versionID="9202b90fee17b6f8c867726da0d4e789">
  <xsd:schema xmlns:xsd="http://www.w3.org/2001/XMLSchema" xmlns:xs="http://www.w3.org/2001/XMLSchema" xmlns:p="http://schemas.microsoft.com/office/2006/metadata/properties" xmlns:ns1="http://schemas.microsoft.com/sharepoint/v3" xmlns:ns2="65bfb563-8fe2-4d34-a09f-38a217d8feea" xmlns:ns3="http://schemas.microsoft.com/sharepoint/v4" targetNamespace="http://schemas.microsoft.com/office/2006/metadata/properties" ma:root="true" ma:fieldsID="f66fd574be8513941aebec9a583d385e" ns1:_="" ns2:_="" ns3:_="">
    <xsd:import namespace="http://schemas.microsoft.com/sharepoint/v3"/>
    <xsd:import namespace="65bfb563-8fe2-4d34-a09f-38a217d8fee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 minOccurs="0"/>
                <xsd:element ref="ns2:Filing_x0020_Type" minOccurs="0"/>
                <xsd:element ref="ns2:Filings" minOccurs="0"/>
                <xsd:element ref="ns2:Filing_x0020_Doc_x0020_Types" minOccurs="0"/>
                <xsd:element ref="ns2:Filing_x0020_Case_x0020__x0023_" minOccurs="0"/>
                <xsd:element ref="ns2:Filing_x0020_Witness" minOccurs="0"/>
                <xsd:element ref="ns2:Review_x0020_Case_x0020_Expense_x0020_Period" minOccurs="0"/>
                <xsd:element ref="ns2:Review_x0020_Case_x0020_Doc_x0020_Types" minOccurs="0"/>
                <xsd:element ref="ns2:Case_x0020__x0023_" minOccurs="0"/>
                <xsd:element ref="ns2:Witness_x0020_Testimony" minOccurs="0"/>
                <xsd:element ref="ns2:Construction_x0020_Monitoring_x0020_Description" minOccurs="0"/>
                <xsd:element ref="ns2:Construction_x0020_Monitoring" minOccurs="0"/>
                <xsd:element ref="ns2:Status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1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</xsd:restriction>
      </xsd:simpleType>
    </xsd:element>
    <xsd:element name="Document_x0020_Type" ma:index="4" nillable="true" ma:displayName="Document Type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SM"/>
                    <xsd:enumeration value="ECR"/>
                    <xsd:enumeration value="FAC / OST"/>
                    <xsd:enumeration value="GLT"/>
                    <xsd:enumeration value="GSC"/>
                    <xsd:enumeration value="HEA"/>
                    <xsd:enumeration value="LFF"/>
                    <xsd:enumeration value="WNA"/>
                  </xsd:restriction>
                </xsd:simpleType>
              </xsd:element>
            </xsd:sequence>
          </xsd:extension>
        </xsd:complexContent>
      </xsd:complexType>
    </xsd:element>
    <xsd:element name="Filing_x0020_Type" ma:index="5" nillable="true" ma:displayName="Filing Type" ma:internalName="Filing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thly Filings (ECR/LFF)"/>
                    <xsd:enumeration value="Form A Filings (FAC/OST)"/>
                    <xsd:enumeration value="Form B Filings (FAC/OST)"/>
                    <xsd:enumeration value="Fixed NAS FAC/OSS Factor (NFOF)"/>
                    <xsd:enumeration value="Fuel Supply Contracts (FAC)"/>
                    <xsd:enumeration value="Avoided Energy Cost (LQF)"/>
                    <xsd:enumeration value="Municipal WPS Reports (FAC)"/>
                    <xsd:enumeration value="Quarterly Filings (GSC)"/>
                    <xsd:enumeration value="Annual Filing (DSM)"/>
                    <xsd:enumeration value="Annual Filing (GLT/LFF/WNA)"/>
                    <xsd:enumeration value="Forecasted Annual Filing (GLT)"/>
                    <xsd:enumeration value="True-up Annual Filing (GLT)"/>
                    <xsd:enumeration value="Review Cases (ECR/FAC/OST)"/>
                    <xsd:enumeration value="Construction Monitoring (ECR)"/>
                    <xsd:enumeration value="Approved Project Detail (ECR/GLT)"/>
                  </xsd:restriction>
                </xsd:simpleType>
              </xsd:element>
            </xsd:sequence>
          </xsd:extension>
        </xsd:complexContent>
      </xsd:complexType>
    </xsd:element>
    <xsd:element name="Filings" ma:index="6" nillable="true" ma:displayName="Filing Expense Period" ma:format="Dropdown" ma:internalName="Filings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  <xsd:enumeration value="Nov-Jan (GSC)"/>
          <xsd:enumeration value="Feb-Apr (GSC)"/>
          <xsd:enumeration value="May-Jul (GSC)"/>
          <xsd:enumeration value="Aug-Oct (GSC)"/>
          <xsd:enumeration value="Apr-May (LFF)"/>
          <xsd:enumeration value="Jan-Dec (GLT/WNA)"/>
          <xsd:enumeration value="N/A"/>
        </xsd:restriction>
      </xsd:simpleType>
    </xsd:element>
    <xsd:element name="Filing_x0020_Doc_x0020_Types" ma:index="7" nillable="true" ma:displayName="Filing Doc Types" ma:format="Dropdown" ma:internalName="Filing_x0020_Doc_x0020_Types">
      <xsd:simpleType>
        <xsd:restriction base="dms:Choice">
          <xsd:enumeration value="00 – Orders/Requests for Information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– Briefs"/>
          <xsd:enumeration value="07 – Support"/>
          <xsd:enumeration value="08 – Tariffs"/>
          <xsd:enumeration value="09 – Proof of Publication/Certificate of Notice"/>
          <xsd:enumeration value="10 – eFiled/Filed Documents"/>
          <xsd:enumeration value="10.1 – Application"/>
          <xsd:enumeration value="10.2 – Application - As Filed"/>
          <xsd:enumeration value="11 – Talking Points (Internal Use Only)"/>
          <xsd:enumeration value="12 – Data Request Assignments"/>
          <xsd:enumeration value="13 – Review Checklists"/>
        </xsd:restriction>
      </xsd:simpleType>
    </xsd:element>
    <xsd:element name="Filing_x0020_Case_x0020__x0023_" ma:index="8" nillable="true" ma:displayName="Filing Case #" ma:internalName="Filing_x0020_Case_x0020__x0023_">
      <xsd:simpleType>
        <xsd:restriction base="dms:Text">
          <xsd:maxLength value="255"/>
        </xsd:restriction>
      </xsd:simpleType>
    </xsd:element>
    <xsd:element name="Filing_x0020_Witness" ma:index="9" nillable="true" ma:displayName="Filing Witness" ma:format="Dropdown" ma:internalName="Filing_x0020_Witness">
      <xsd:simpleType>
        <xsd:restriction base="dms:Choice">
          <xsd:enumeration value="Billiter, Delbert"/>
          <xsd:enumeration value="Drake, Michael"/>
          <xsd:enumeration value="Fackler, Andrea"/>
          <xsd:enumeration value="Garrett, Chris"/>
          <xsd:enumeration value="Rahn, Derek"/>
          <xsd:enumeration value="Rieth, Tom"/>
          <xsd:enumeration value="Schram, Chuck"/>
          <xsd:enumeration value="Wilson, Stuart"/>
        </xsd:restriction>
      </xsd:simpleType>
    </xsd:element>
    <xsd:element name="Review_x0020_Case_x0020_Expense_x0020_Period" ma:index="10" nillable="true" ma:displayName="Review Case Expense Period" ma:format="Dropdown" ma:internalName="Review_x0020_Case_x0020_Expense_x0020_Period">
      <xsd:simpleType>
        <xsd:restriction base="dms:Choice">
          <xsd:enumeration value="Mar-Aug (ECR)"/>
          <xsd:enumeration value="Sep-Feb (ECR)"/>
          <xsd:enumeration value="Mar-Feb (ECR)"/>
          <xsd:enumeration value="May-Oct (ECR)"/>
          <xsd:enumeration value="May-Oct (FAC)"/>
          <xsd:enumeration value="Nov-Apr (FAC)"/>
          <xsd:enumeration value="Nov-Oct (FAC)"/>
        </xsd:restriction>
      </xsd:simpleType>
    </xsd:element>
    <xsd:element name="Review_x0020_Case_x0020_Doc_x0020_Types" ma:index="11" nillable="true" ma:displayName="Review Case Doc Types" ma:format="Dropdown" ma:internalName="Review_x0020_Case_x0020_Doc_x0020_Types">
      <xsd:simpleType>
        <xsd:restriction base="dms:Choice">
          <xsd:enumeration value="00.1 – Orders"/>
          <xsd:enumeration value="00.2 – Requests for Information"/>
          <xsd:enumeration value="00.4 – Other Communications/eFilings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1.5 – 1st Data Request/Testimony Support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/Briefs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- Witness E-book"/>
          <xsd:enumeration value="10 – Application"/>
          <xsd:enumeration value="10.1 – Application - As Filed"/>
          <xsd:enumeration value="11 - Talking Points (Internal Use Only)"/>
        </xsd:restriction>
      </xsd:simpleType>
    </xsd:element>
    <xsd:element name="Case_x0020__x0023_" ma:index="12" nillable="true" ma:displayName="Review Case #" ma:internalName="Case_x0020__x0023_">
      <xsd:simpleType>
        <xsd:restriction base="dms:Text">
          <xsd:maxLength value="255"/>
        </xsd:restriction>
      </xsd:simpleType>
    </xsd:element>
    <xsd:element name="Witness_x0020_Testimony" ma:index="13" nillable="true" ma:displayName="Review Case Witness" ma:format="Dropdown" ma:internalName="Witness_x0020_Testimony">
      <xsd:simpleType>
        <xsd:restriction base="dms:Choice">
          <xsd:enumeration value="Billiter, Delbert"/>
          <xsd:enumeration value="Drake, Michael"/>
          <xsd:enumeration value="Fackler, Andrea"/>
          <xsd:enumeration value="Garrett, Christopher"/>
          <xsd:enumeration value="Neal, Susan"/>
          <xsd:enumeration value="Williams, Scott"/>
          <xsd:enumeration value="Multiple"/>
          <xsd:enumeration value="N/A"/>
          <xsd:enumeration value="Rahn, Derek"/>
          <xsd:enumeration value="Schram, Chuck"/>
          <xsd:enumeration value="Wilson, Stuart"/>
        </xsd:restriction>
      </xsd:simpleType>
    </xsd:element>
    <xsd:element name="Construction_x0020_Monitoring_x0020_Description" ma:index="14" nillable="true" ma:displayName="Construction Monitoring Description" ma:format="Dropdown" ma:internalName="Construction_x0020_Monitoring_x0020_Description">
      <xsd:simpleType>
        <xsd:restriction base="dms:Choice">
          <xsd:enumeration value="2011 ECR Plan"/>
          <xsd:enumeration value="2016 ECR Plan"/>
          <xsd:enumeration value="TC Landfill"/>
          <xsd:enumeration value="2020 ECR Plan"/>
        </xsd:restriction>
      </xsd:simpleType>
    </xsd:element>
    <xsd:element name="Construction_x0020_Monitoring" ma:index="15" nillable="true" ma:displayName="Construction Monitoring Period" ma:format="Dropdown" ma:internalName="Construction_x0020_Monitoring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Status" ma:index="23" nillable="true" ma:displayName="Status (Internal Use Only)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  <xsd:enumeration value="Filed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A46EB1-B571-47DF-A1DF-F1E86469E0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9A4457-9E7A-4D91-9449-24437C64BB78}">
  <ds:schemaRefs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sharepoint/v3"/>
    <ds:schemaRef ds:uri="65bfb563-8fe2-4d34-a09f-38a217d8feea"/>
    <ds:schemaRef ds:uri="http://schemas.microsoft.com/office/infopath/2007/PartnerControls"/>
    <ds:schemaRef ds:uri="http://schemas.openxmlformats.org/package/2006/metadata/core-properties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746393F5-7434-49E6-AE96-82ABE60B49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5bfb563-8fe2-4d34-a09f-38a217d8fee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Project 28</vt:lpstr>
      <vt:lpstr>Project 29</vt:lpstr>
      <vt:lpstr>Project 29_2011 Plan</vt:lpstr>
      <vt:lpstr>Project 30</vt:lpstr>
      <vt:lpstr>Project 31</vt:lpstr>
      <vt:lpstr>Project 32</vt:lpstr>
      <vt:lpstr>Project 33</vt:lpstr>
      <vt:lpstr>Project 34</vt:lpstr>
      <vt:lpstr>Project 35</vt:lpstr>
      <vt:lpstr>Project 37</vt:lpstr>
      <vt:lpstr>Project 38</vt:lpstr>
      <vt:lpstr>Project 40</vt:lpstr>
      <vt:lpstr>Project 41</vt:lpstr>
      <vt:lpstr>Project 42</vt:lpstr>
      <vt:lpstr>'Project 28'!Print_Area</vt:lpstr>
      <vt:lpstr>'Project 29'!Print_Area</vt:lpstr>
      <vt:lpstr>'Project 29_2011 Plan'!Print_Area</vt:lpstr>
      <vt:lpstr>'Project 30'!Print_Area</vt:lpstr>
      <vt:lpstr>'Project 31'!Print_Area</vt:lpstr>
      <vt:lpstr>'Project 32'!Print_Area</vt:lpstr>
      <vt:lpstr>'Project 33'!Print_Area</vt:lpstr>
      <vt:lpstr>'Project 34'!Print_Area</vt:lpstr>
      <vt:lpstr>'Project 35'!Print_Area</vt:lpstr>
      <vt:lpstr>'Project 37'!Print_Area</vt:lpstr>
      <vt:lpstr>'Project 38'!Print_Area</vt:lpstr>
      <vt:lpstr>'Project 40'!Print_Area</vt:lpstr>
      <vt:lpstr>'Project 41'!Print_Area</vt:lpstr>
      <vt:lpstr>'Project 42'!Print_Area</vt:lpstr>
    </vt:vector>
  </TitlesOfParts>
  <Company>LG&amp;E Energy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Nathan Frederic Hall</dc:creator>
  <cp:lastModifiedBy>Fackler, Andrea</cp:lastModifiedBy>
  <cp:lastPrinted>2024-02-14T19:53:34Z</cp:lastPrinted>
  <dcterms:created xsi:type="dcterms:W3CDTF">2006-05-12T17:38:13Z</dcterms:created>
  <dcterms:modified xsi:type="dcterms:W3CDTF">2024-02-14T19:53:54Z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0c8e74a-db15-49f1-980d-3d74f2e3ff07_Enabled">
    <vt:lpwstr>true</vt:lpwstr>
  </property>
  <property fmtid="{D5CDD505-2E9C-101B-9397-08002B2CF9AE}" pid="3" name="MSIP_Label_e0c8e74a-db15-49f1-980d-3d74f2e3ff07_SetDate">
    <vt:lpwstr>2024-01-22T22:13:18Z</vt:lpwstr>
  </property>
  <property fmtid="{D5CDD505-2E9C-101B-9397-08002B2CF9AE}" pid="4" name="MSIP_Label_e0c8e74a-db15-49f1-980d-3d74f2e3ff07_Method">
    <vt:lpwstr>Privileged</vt:lpwstr>
  </property>
  <property fmtid="{D5CDD505-2E9C-101B-9397-08002B2CF9AE}" pid="5" name="MSIP_Label_e0c8e74a-db15-49f1-980d-3d74f2e3ff07_Name">
    <vt:lpwstr>376d9127-3fad-41bb7-827b-657efc89d923</vt:lpwstr>
  </property>
  <property fmtid="{D5CDD505-2E9C-101B-9397-08002B2CF9AE}" pid="6" name="MSIP_Label_e0c8e74a-db15-49f1-980d-3d74f2e3ff07_SiteId">
    <vt:lpwstr>25b79aa0-07c6-4d65-9c80-df92aacdc157</vt:lpwstr>
  </property>
  <property fmtid="{D5CDD505-2E9C-101B-9397-08002B2CF9AE}" pid="7" name="MSIP_Label_e0c8e74a-db15-49f1-980d-3d74f2e3ff07_ActionId">
    <vt:lpwstr>563fb874-518c-4a7f-bc88-65410786be4a</vt:lpwstr>
  </property>
  <property fmtid="{D5CDD505-2E9C-101B-9397-08002B2CF9AE}" pid="8" name="MSIP_Label_e0c8e74a-db15-49f1-980d-3d74f2e3ff07_ContentBits">
    <vt:lpwstr>2</vt:lpwstr>
  </property>
  <property fmtid="{D5CDD505-2E9C-101B-9397-08002B2CF9AE}" pid="9" name="ContentTypeId">
    <vt:lpwstr>0x010100FF510F20E04BCF41BE361D2F61EE6FFA</vt:lpwstr>
  </property>
  <property fmtid="{D5CDD505-2E9C-101B-9397-08002B2CF9AE}" pid="10" name="MSIP_Label_d662fcd2-3ff9-4261-9b26-9dd5808d0bb4_Enabled">
    <vt:lpwstr>true</vt:lpwstr>
  </property>
  <property fmtid="{D5CDD505-2E9C-101B-9397-08002B2CF9AE}" pid="11" name="MSIP_Label_d662fcd2-3ff9-4261-9b26-9dd5808d0bb4_SetDate">
    <vt:lpwstr>2024-02-14T19:53:52Z</vt:lpwstr>
  </property>
  <property fmtid="{D5CDD505-2E9C-101B-9397-08002B2CF9AE}" pid="12" name="MSIP_Label_d662fcd2-3ff9-4261-9b26-9dd5808d0bb4_Method">
    <vt:lpwstr>Privileged</vt:lpwstr>
  </property>
  <property fmtid="{D5CDD505-2E9C-101B-9397-08002B2CF9AE}" pid="13" name="MSIP_Label_d662fcd2-3ff9-4261-9b26-9dd5808d0bb4_Name">
    <vt:lpwstr>d662fcd2-3ff9-4261-9b26-9dd5808d0bb4</vt:lpwstr>
  </property>
  <property fmtid="{D5CDD505-2E9C-101B-9397-08002B2CF9AE}" pid="14" name="MSIP_Label_d662fcd2-3ff9-4261-9b26-9dd5808d0bb4_SiteId">
    <vt:lpwstr>5ee3b0ba-a559-45ee-a69e-6d3e963a3e72</vt:lpwstr>
  </property>
  <property fmtid="{D5CDD505-2E9C-101B-9397-08002B2CF9AE}" pid="15" name="MSIP_Label_d662fcd2-3ff9-4261-9b26-9dd5808d0bb4_ActionId">
    <vt:lpwstr>03f470e2-2a7a-4624-9022-a4673a77771b</vt:lpwstr>
  </property>
  <property fmtid="{D5CDD505-2E9C-101B-9397-08002B2CF9AE}" pid="16" name="MSIP_Label_d662fcd2-3ff9-4261-9b26-9dd5808d0bb4_ContentBits">
    <vt:lpwstr>0</vt:lpwstr>
  </property>
</Properties>
</file>