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2\rates\CN2023\CNs-00375-00376 - L K ECR 2-year review (Sep19-Aug23)\3 - Data Requests and Testimony\LGE\0 - efiled 02-14-2024\"/>
    </mc:Choice>
  </mc:AlternateContent>
  <xr:revisionPtr revIDLastSave="0" documentId="13_ncr:1_{814B2103-4DCE-40F9-B53D-E52611A90142}" xr6:coauthVersionLast="47" xr6:coauthVersionMax="47" xr10:uidLastSave="{00000000-0000-0000-0000-000000000000}"/>
  <bookViews>
    <workbookView xWindow="-120" yWindow="-120" windowWidth="29040" windowHeight="17025" tabRatio="909" xr2:uid="{00000000-000D-0000-FFFF-FFFF00000000}"/>
  </bookViews>
  <sheets>
    <sheet name="Project 24" sheetId="26" r:id="rId1"/>
    <sheet name="Project 25" sheetId="25" r:id="rId2"/>
    <sheet name="Project 29" sheetId="30" r:id="rId3"/>
    <sheet name="Project 30" sheetId="29" r:id="rId4"/>
    <sheet name="Project 31" sheetId="31" r:id="rId5"/>
  </sheets>
  <definedNames>
    <definedName name="_xlnm.Print_Area" localSheetId="0">'Project 24'!$A$1:$N$49</definedName>
    <definedName name="_xlnm.Print_Area" localSheetId="1">'Project 25'!$A$1:$N$39</definedName>
    <definedName name="_xlnm.Print_Area" localSheetId="2">'Project 29'!$A$1:$N$47</definedName>
    <definedName name="_xlnm.Print_Area" localSheetId="3">'Project 30'!$A$1:$N$39</definedName>
    <definedName name="_xlnm.Print_Area" localSheetId="4">'Project 31'!$A$1:$N$15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31" l="1"/>
  <c r="E15" i="31"/>
  <c r="F14" i="31"/>
  <c r="E14" i="31"/>
  <c r="F13" i="31"/>
  <c r="E13" i="31"/>
  <c r="F12" i="31"/>
  <c r="E12" i="31"/>
  <c r="F11" i="31"/>
  <c r="E11" i="31"/>
  <c r="F10" i="31"/>
  <c r="E10" i="31"/>
  <c r="E28" i="29"/>
  <c r="E15" i="29"/>
  <c r="F15" i="29"/>
  <c r="F14" i="29"/>
  <c r="E14" i="29"/>
  <c r="F13" i="29"/>
  <c r="E13" i="29"/>
  <c r="F12" i="29"/>
  <c r="E12" i="29"/>
  <c r="K11" i="29"/>
  <c r="E37" i="29"/>
  <c r="E38" i="29" s="1"/>
  <c r="E29" i="29"/>
  <c r="F28" i="29"/>
  <c r="H28" i="29" s="1"/>
  <c r="C37" i="29"/>
  <c r="F11" i="29"/>
  <c r="E11" i="29"/>
  <c r="F10" i="29"/>
  <c r="E10" i="29"/>
  <c r="F36" i="29"/>
  <c r="H36" i="29" s="1"/>
  <c r="F35" i="29"/>
  <c r="F34" i="29"/>
  <c r="H34" i="29" s="1"/>
  <c r="F27" i="29"/>
  <c r="H27" i="29" s="1"/>
  <c r="F26" i="29"/>
  <c r="H26" i="29" s="1"/>
  <c r="F25" i="29"/>
  <c r="H25" i="29" s="1"/>
  <c r="E32" i="30"/>
  <c r="E33" i="30"/>
  <c r="C45" i="30"/>
  <c r="C32" i="30"/>
  <c r="E15" i="30"/>
  <c r="F15" i="30"/>
  <c r="F14" i="30"/>
  <c r="E14" i="30"/>
  <c r="F13" i="30"/>
  <c r="E13" i="30"/>
  <c r="F12" i="30"/>
  <c r="E12" i="30"/>
  <c r="E11" i="30"/>
  <c r="E10" i="30"/>
  <c r="F44" i="30"/>
  <c r="H44" i="30" s="1"/>
  <c r="F43" i="30"/>
  <c r="H43" i="30" s="1"/>
  <c r="F42" i="30"/>
  <c r="H42" i="30" s="1"/>
  <c r="F41" i="30"/>
  <c r="H41" i="30" s="1"/>
  <c r="F40" i="30"/>
  <c r="H40" i="30" s="1"/>
  <c r="F39" i="30"/>
  <c r="H39" i="30" s="1"/>
  <c r="F38" i="30"/>
  <c r="F31" i="30"/>
  <c r="H31" i="30" s="1"/>
  <c r="F30" i="30"/>
  <c r="H30" i="30" s="1"/>
  <c r="F29" i="30"/>
  <c r="H29" i="30" s="1"/>
  <c r="F28" i="30"/>
  <c r="H28" i="30" s="1"/>
  <c r="F27" i="30"/>
  <c r="H27" i="30" s="1"/>
  <c r="F26" i="30"/>
  <c r="H26" i="30" s="1"/>
  <c r="F25" i="30"/>
  <c r="H25" i="30" s="1"/>
  <c r="K13" i="25"/>
  <c r="E13" i="25"/>
  <c r="F13" i="25"/>
  <c r="L15" i="25"/>
  <c r="K15" i="25"/>
  <c r="L14" i="25"/>
  <c r="K14" i="25"/>
  <c r="L12" i="25"/>
  <c r="K12" i="25"/>
  <c r="L11" i="25"/>
  <c r="K11" i="25"/>
  <c r="F15" i="25"/>
  <c r="E15" i="25"/>
  <c r="F14" i="25"/>
  <c r="E14" i="25"/>
  <c r="F12" i="25"/>
  <c r="E12" i="25"/>
  <c r="F11" i="25"/>
  <c r="E11" i="25"/>
  <c r="F10" i="25"/>
  <c r="E10" i="25"/>
  <c r="E38" i="25"/>
  <c r="F37" i="25"/>
  <c r="H37" i="25" s="1"/>
  <c r="F36" i="25"/>
  <c r="H36" i="25" s="1"/>
  <c r="F35" i="25"/>
  <c r="H35" i="25" s="1"/>
  <c r="F34" i="25"/>
  <c r="F38" i="25" s="1"/>
  <c r="E29" i="25"/>
  <c r="F28" i="25"/>
  <c r="H28" i="25" s="1"/>
  <c r="F27" i="25"/>
  <c r="H27" i="25" s="1"/>
  <c r="F26" i="25"/>
  <c r="H26" i="25" s="1"/>
  <c r="F25" i="25"/>
  <c r="F29" i="25" s="1"/>
  <c r="E33" i="26"/>
  <c r="F33" i="26" s="1"/>
  <c r="H33" i="26" s="1"/>
  <c r="H34" i="26" s="1"/>
  <c r="F15" i="26"/>
  <c r="E15" i="26"/>
  <c r="F14" i="26"/>
  <c r="E14" i="26"/>
  <c r="F13" i="26"/>
  <c r="E13" i="26"/>
  <c r="F12" i="26"/>
  <c r="E12" i="26"/>
  <c r="F11" i="26"/>
  <c r="E11" i="26"/>
  <c r="K10" i="26"/>
  <c r="F10" i="26"/>
  <c r="E10" i="26"/>
  <c r="C47" i="26"/>
  <c r="C33" i="26"/>
  <c r="F46" i="26"/>
  <c r="H46" i="26" s="1"/>
  <c r="F45" i="26"/>
  <c r="H45" i="26" s="1"/>
  <c r="F44" i="26"/>
  <c r="H44" i="26" s="1"/>
  <c r="F43" i="26"/>
  <c r="H43" i="26" s="1"/>
  <c r="F42" i="26"/>
  <c r="H42" i="26" s="1"/>
  <c r="F41" i="26"/>
  <c r="H41" i="26" s="1"/>
  <c r="F40" i="26"/>
  <c r="H40" i="26" s="1"/>
  <c r="F39" i="26"/>
  <c r="F32" i="26"/>
  <c r="H32" i="26" s="1"/>
  <c r="F31" i="26"/>
  <c r="H31" i="26" s="1"/>
  <c r="F30" i="26"/>
  <c r="H30" i="26" s="1"/>
  <c r="F29" i="26"/>
  <c r="H29" i="26" s="1"/>
  <c r="F28" i="26"/>
  <c r="H28" i="26" s="1"/>
  <c r="F27" i="26"/>
  <c r="H27" i="26" s="1"/>
  <c r="F26" i="26"/>
  <c r="H26" i="26" s="1"/>
  <c r="F25" i="26"/>
  <c r="H29" i="29" l="1"/>
  <c r="F37" i="29"/>
  <c r="F29" i="29"/>
  <c r="H35" i="29"/>
  <c r="F32" i="30"/>
  <c r="F33" i="30" s="1"/>
  <c r="E45" i="30"/>
  <c r="H38" i="30"/>
  <c r="H34" i="25"/>
  <c r="H38" i="25" s="1"/>
  <c r="H25" i="25"/>
  <c r="H29" i="25" s="1"/>
  <c r="E34" i="26"/>
  <c r="E47" i="26"/>
  <c r="F34" i="26"/>
  <c r="H39" i="26"/>
  <c r="H25" i="26"/>
  <c r="H37" i="29" l="1"/>
  <c r="H38" i="29" s="1"/>
  <c r="H30" i="29" s="1"/>
  <c r="H31" i="29" s="1"/>
  <c r="F38" i="29"/>
  <c r="H32" i="30"/>
  <c r="H33" i="30" s="1"/>
  <c r="F45" i="30"/>
  <c r="E46" i="30"/>
  <c r="H30" i="25"/>
  <c r="H31" i="25" s="1"/>
  <c r="F47" i="26"/>
  <c r="E48" i="26"/>
  <c r="F46" i="30" l="1"/>
  <c r="H45" i="30"/>
  <c r="H46" i="30" s="1"/>
  <c r="H34" i="30" s="1"/>
  <c r="H35" i="30" s="1"/>
  <c r="F48" i="26"/>
  <c r="H47" i="26"/>
  <c r="H48" i="26" s="1"/>
  <c r="H35" i="26" s="1"/>
  <c r="H36" i="26" s="1"/>
  <c r="F11" i="30" l="1"/>
  <c r="F10" i="30"/>
  <c r="H14" i="31" l="1"/>
  <c r="L14" i="31" s="1"/>
  <c r="G14" i="31"/>
  <c r="H15" i="31"/>
  <c r="L15" i="31" s="1"/>
  <c r="G15" i="31"/>
  <c r="H13" i="31"/>
  <c r="L13" i="31" s="1"/>
  <c r="G13" i="31"/>
  <c r="H12" i="31"/>
  <c r="L12" i="31" s="1"/>
  <c r="G12" i="31"/>
  <c r="H11" i="31"/>
  <c r="L11" i="31" s="1"/>
  <c r="G11" i="31"/>
  <c r="H10" i="31"/>
  <c r="L10" i="31" s="1"/>
  <c r="G10" i="31"/>
  <c r="K15" i="31" l="1"/>
  <c r="K13" i="31"/>
  <c r="K11" i="31"/>
  <c r="K10" i="31"/>
  <c r="M10" i="31" s="1"/>
  <c r="K14" i="31"/>
  <c r="K12" i="31"/>
  <c r="M11" i="31" l="1"/>
  <c r="M12" i="31" l="1"/>
  <c r="M13" i="31" l="1"/>
  <c r="Q11" i="31"/>
  <c r="Q12" i="31" s="1"/>
  <c r="M14" i="31" l="1"/>
  <c r="M15" i="31" l="1"/>
  <c r="Q13" i="31"/>
  <c r="Q14" i="31" s="1"/>
  <c r="H13" i="29"/>
  <c r="L13" i="29" s="1"/>
  <c r="G13" i="29"/>
  <c r="H12" i="29"/>
  <c r="L12" i="29" s="1"/>
  <c r="G12" i="29"/>
  <c r="H11" i="29"/>
  <c r="L11" i="29" s="1"/>
  <c r="G11" i="29"/>
  <c r="H10" i="29"/>
  <c r="L10" i="29" s="1"/>
  <c r="G10" i="29"/>
  <c r="K10" i="29" s="1"/>
  <c r="K13" i="29" l="1"/>
  <c r="K12" i="29"/>
  <c r="Q15" i="31"/>
  <c r="Q16" i="31" s="1"/>
  <c r="H15" i="30" l="1"/>
  <c r="L15" i="30" s="1"/>
  <c r="G15" i="30"/>
  <c r="K15" i="30" s="1"/>
  <c r="H14" i="30"/>
  <c r="L14" i="30" s="1"/>
  <c r="G14" i="30"/>
  <c r="K14" i="30" s="1"/>
  <c r="H13" i="30"/>
  <c r="L13" i="30" s="1"/>
  <c r="G13" i="30"/>
  <c r="K13" i="30" s="1"/>
  <c r="H12" i="30"/>
  <c r="L12" i="30" s="1"/>
  <c r="G12" i="30"/>
  <c r="K12" i="30" s="1"/>
  <c r="H11" i="30"/>
  <c r="L11" i="30" s="1"/>
  <c r="G11" i="30"/>
  <c r="K11" i="30" s="1"/>
  <c r="H10" i="30"/>
  <c r="L10" i="30" s="1"/>
  <c r="G10" i="30"/>
  <c r="K10" i="30" s="1"/>
  <c r="H47" i="30" l="1"/>
  <c r="H36" i="30"/>
  <c r="M10" i="30"/>
  <c r="M11" i="30" l="1"/>
  <c r="M12" i="30" l="1"/>
  <c r="M10" i="29"/>
  <c r="M13" i="30" l="1"/>
  <c r="M11" i="29"/>
  <c r="M14" i="30" l="1"/>
  <c r="M12" i="29"/>
  <c r="M15" i="30" l="1"/>
  <c r="M13" i="29"/>
  <c r="G15" i="25"/>
  <c r="G15" i="26"/>
  <c r="G10" i="26"/>
  <c r="G15" i="29"/>
  <c r="G14" i="29"/>
  <c r="H14" i="29"/>
  <c r="L14" i="29" s="1"/>
  <c r="H15" i="29"/>
  <c r="G13" i="25"/>
  <c r="H11" i="25"/>
  <c r="H12" i="25"/>
  <c r="H13" i="25"/>
  <c r="L13" i="25" s="1"/>
  <c r="H14" i="25"/>
  <c r="H15" i="25"/>
  <c r="H39" i="25" s="1"/>
  <c r="G11" i="25"/>
  <c r="G12" i="25"/>
  <c r="G14" i="25"/>
  <c r="H10" i="25"/>
  <c r="L10" i="25" s="1"/>
  <c r="G10" i="25"/>
  <c r="K10" i="25" s="1"/>
  <c r="G11" i="26"/>
  <c r="G12" i="26"/>
  <c r="H12" i="26"/>
  <c r="L12" i="26" s="1"/>
  <c r="G13" i="26"/>
  <c r="G14" i="26"/>
  <c r="H14" i="26"/>
  <c r="L14" i="26" s="1"/>
  <c r="H15" i="26"/>
  <c r="H11" i="26"/>
  <c r="L11" i="26" s="1"/>
  <c r="H13" i="26"/>
  <c r="L13" i="26" s="1"/>
  <c r="H10" i="26"/>
  <c r="L10" i="26" s="1"/>
  <c r="K14" i="29" l="1"/>
  <c r="K14" i="26"/>
  <c r="K13" i="26"/>
  <c r="K12" i="26"/>
  <c r="K11" i="26"/>
  <c r="M10" i="25"/>
  <c r="L15" i="29"/>
  <c r="H39" i="29" s="1"/>
  <c r="L15" i="26"/>
  <c r="H49" i="26" s="1"/>
  <c r="H32" i="25"/>
  <c r="M10" i="26"/>
  <c r="M14" i="29"/>
  <c r="K15" i="29" l="1"/>
  <c r="K15" i="26"/>
  <c r="M11" i="25"/>
  <c r="H32" i="29"/>
  <c r="H37" i="26"/>
  <c r="M11" i="26"/>
  <c r="M12" i="25" l="1"/>
  <c r="M12" i="26"/>
  <c r="M15" i="29"/>
  <c r="Q11" i="29"/>
  <c r="Q12" i="29" s="1"/>
  <c r="M13" i="25" l="1"/>
  <c r="M13" i="26"/>
  <c r="Q13" i="29"/>
  <c r="Q14" i="29" s="1"/>
  <c r="M14" i="25" l="1"/>
  <c r="M14" i="26"/>
  <c r="Q15" i="29"/>
  <c r="Q16" i="29" s="1"/>
  <c r="M15" i="25" l="1"/>
  <c r="M15" i="26"/>
</calcChain>
</file>

<file path=xl/sharedStrings.xml><?xml version="1.0" encoding="utf-8"?>
<sst xmlns="http://schemas.openxmlformats.org/spreadsheetml/2006/main" count="182" uniqueCount="48">
  <si>
    <t>Month</t>
  </si>
  <si>
    <t>Plant Balance</t>
  </si>
  <si>
    <t>Book Depreciation</t>
  </si>
  <si>
    <t>Louisville Gas and Electric Company</t>
  </si>
  <si>
    <t>Deferred Taxes on Retirements</t>
  </si>
  <si>
    <t>Accumulated Deferred Taxes</t>
  </si>
  <si>
    <t>Deferred Tax Calculations</t>
  </si>
  <si>
    <t>Environmental Compliance Plans, by Approved Project</t>
  </si>
  <si>
    <t>Beg Balance</t>
  </si>
  <si>
    <t>2009 - Plan</t>
  </si>
  <si>
    <t>Project 25 -Beneficial Reuse</t>
  </si>
  <si>
    <t xml:space="preserve"> </t>
  </si>
  <si>
    <t>2016 - Plan</t>
  </si>
  <si>
    <t>Project 30 - Trimble County New Process Water Systems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</si>
  <si>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</si>
  <si>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</si>
  <si>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</si>
  <si>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</si>
  <si>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</si>
  <si>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</si>
  <si>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</si>
  <si>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</si>
  <si>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>is computed separately for Federal and State purposes.  Specifically, for Federal taxes, certain assets received 50% bonus</t>
  </si>
  <si>
    <t>is shown below:</t>
  </si>
  <si>
    <t>Federal Basis</t>
  </si>
  <si>
    <t>Book Depr.</t>
  </si>
  <si>
    <t>Federal Tax Depr</t>
  </si>
  <si>
    <t>Fed. Difference</t>
  </si>
  <si>
    <t>Fed Def Tax</t>
  </si>
  <si>
    <t xml:space="preserve">Due to Bonus Depreciation for tax purposes taken on certain components of Project 24, the deferred tax calculation for this project </t>
  </si>
  <si>
    <t>State Basis</t>
  </si>
  <si>
    <t>State Tax Depr</t>
  </si>
  <si>
    <t>St. Difference</t>
  </si>
  <si>
    <t>St Def Tax</t>
  </si>
  <si>
    <t>State Offset</t>
  </si>
  <si>
    <t xml:space="preserve">Due to Bonus Depreciation for tax purposes taken on certain components of Project 25, the deferred tax calculation for this project </t>
  </si>
  <si>
    <t xml:space="preserve">Due to Bonus Depreciation for tax purposes taken on certain components of Project 30, the deferred tax calculation for this project </t>
  </si>
  <si>
    <t>Project 24 - Trimble County CCP Storage (Landfill - Phase I)</t>
  </si>
  <si>
    <t>Project 29 - Mill Creek New Process Water Systems</t>
  </si>
  <si>
    <t>2020 - Plan</t>
  </si>
  <si>
    <t>Project 31 - Mill Creek ELG Water Treatment System and Diffuser</t>
  </si>
  <si>
    <t>The federal deferred tax column includes an amount for amortization of excess deferred tax amounts.</t>
  </si>
  <si>
    <t>Subtotal</t>
  </si>
  <si>
    <t>Excess fed deferred tax amortization</t>
  </si>
  <si>
    <t>depreciation, which reduces the Federal tax basis to 50% of the plant balance.  A sample calculation of deferred taxes for Aug 2023</t>
  </si>
  <si>
    <t>The federal and state deferred tax columns include an amount for amortization of excess deferred tax amounts.</t>
  </si>
  <si>
    <t>Excess state deferred tax amortization</t>
  </si>
  <si>
    <t xml:space="preserve">Due to Bonus Depreciation for tax purposes taken on certain components of Project 29, the deferred tax calculation for this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</si>
</sst>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[$-409]mmm\-yy;@"/>
    <numFmt numFmtId="166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0" fillId="0" borderId="0" xfId="0" applyNumberFormat="1"/>
    <xf numFmtId="0" fontId="3" fillId="0" borderId="0" xfId="0" applyFont="1" applyFill="1" applyAlignment="1"/>
    <xf numFmtId="165" fontId="3" fillId="0" borderId="0" xfId="0" applyNumberFormat="1" applyFont="1" applyFill="1" applyAlignment="1"/>
    <xf numFmtId="165" fontId="2" fillId="0" borderId="0" xfId="0" applyNumberFormat="1" applyFont="1" applyFill="1" applyBorder="1"/>
    <xf numFmtId="165" fontId="3" fillId="0" borderId="1" xfId="0" applyNumberFormat="1" applyFont="1" applyBorder="1" applyAlignment="1">
      <alignment horizontal="center" wrapText="1"/>
    </xf>
    <xf numFmtId="165" fontId="0" fillId="0" borderId="0" xfId="0" applyNumberFormat="1"/>
    <xf numFmtId="41" fontId="0" fillId="0" borderId="0" xfId="0" applyNumberFormat="1"/>
    <xf numFmtId="166" fontId="1" fillId="0" borderId="0" xfId="1" applyNumberFormat="1"/>
    <xf numFmtId="0" fontId="3" fillId="0" borderId="0" xfId="0" applyFont="1" applyFill="1" applyAlignment="1">
      <alignment horizontal="centerContinuous"/>
    </xf>
    <xf numFmtId="41" fontId="4" fillId="0" borderId="0" xfId="0" applyNumberFormat="1" applyFont="1"/>
    <xf numFmtId="38" fontId="4" fillId="0" borderId="0" xfId="0" applyNumberFormat="1" applyFont="1"/>
    <xf numFmtId="166" fontId="4" fillId="0" borderId="0" xfId="1" applyNumberFormat="1" applyFont="1"/>
    <xf numFmtId="41" fontId="0" fillId="0" borderId="0" xfId="0" applyNumberFormat="1" applyFill="1"/>
    <xf numFmtId="165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quotePrefix="1" applyFont="1" applyFill="1" applyBorder="1" applyAlignment="1" applyProtection="1">
      <alignment horizontal="left"/>
    </xf>
    <xf numFmtId="38" fontId="0" fillId="0" borderId="0" xfId="0" applyNumberFormat="1"/>
    <xf numFmtId="165" fontId="2" fillId="0" borderId="0" xfId="0" quotePrefix="1" applyNumberFormat="1" applyFont="1" applyFill="1" applyBorder="1" applyAlignment="1">
      <alignment horizontal="left"/>
    </xf>
    <xf numFmtId="165" fontId="3" fillId="0" borderId="0" xfId="0" quotePrefix="1" applyNumberFormat="1" applyFont="1" applyFill="1" applyAlignment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166" fontId="0" fillId="0" borderId="0" xfId="0" applyNumberFormat="1"/>
    <xf numFmtId="41" fontId="1" fillId="0" borderId="0" xfId="0" quotePrefix="1" applyNumberFormat="1" applyFont="1" applyFill="1" applyAlignment="1">
      <alignment horizontal="left"/>
    </xf>
    <xf numFmtId="166" fontId="1" fillId="0" borderId="0" xfId="3" applyNumberFormat="1" applyFont="1" applyFill="1"/>
    <xf numFmtId="43" fontId="1" fillId="0" borderId="0" xfId="3" applyFont="1" applyFill="1"/>
    <xf numFmtId="0" fontId="1" fillId="0" borderId="0" xfId="0" quotePrefix="1" applyFont="1" applyFill="1" applyAlignment="1">
      <alignment horizontal="left"/>
    </xf>
    <xf numFmtId="166" fontId="1" fillId="0" borderId="0" xfId="3" quotePrefix="1" applyNumberFormat="1" applyFont="1" applyFill="1" applyAlignment="1">
      <alignment horizontal="left"/>
    </xf>
    <xf numFmtId="164" fontId="0" fillId="0" borderId="0" xfId="0" applyNumberFormat="1" applyFill="1"/>
    <xf numFmtId="41" fontId="8" fillId="0" borderId="0" xfId="0" applyNumberFormat="1" applyFont="1"/>
    <xf numFmtId="0" fontId="1" fillId="0" borderId="0" xfId="0" applyFont="1"/>
    <xf numFmtId="165" fontId="1" fillId="0" borderId="0" xfId="8" applyNumberFormat="1" applyFont="1" applyAlignment="1">
      <alignment horizontal="left"/>
    </xf>
    <xf numFmtId="43" fontId="0" fillId="0" borderId="0" xfId="1" applyFont="1"/>
    <xf numFmtId="41" fontId="1" fillId="0" borderId="0" xfId="0" applyNumberFormat="1" applyFont="1"/>
    <xf numFmtId="38" fontId="1" fillId="0" borderId="0" xfId="0" applyNumberFormat="1" applyFont="1"/>
    <xf numFmtId="166" fontId="1" fillId="0" borderId="0" xfId="1" applyNumberFormat="1" applyFont="1"/>
    <xf numFmtId="41" fontId="1" fillId="0" borderId="0" xfId="0" quotePrefix="1" applyNumberFormat="1" applyFont="1" applyAlignment="1">
      <alignment horizontal="left"/>
    </xf>
    <xf numFmtId="166" fontId="1" fillId="0" borderId="0" xfId="9" applyNumberFormat="1" applyFont="1" applyFill="1"/>
    <xf numFmtId="43" fontId="1" fillId="0" borderId="0" xfId="9" applyFont="1" applyFill="1"/>
    <xf numFmtId="0" fontId="1" fillId="0" borderId="0" xfId="0" quotePrefix="1" applyFont="1" applyAlignment="1">
      <alignment horizontal="left"/>
    </xf>
    <xf numFmtId="166" fontId="1" fillId="0" borderId="0" xfId="9" quotePrefix="1" applyNumberFormat="1" applyFont="1" applyFill="1" applyAlignment="1">
      <alignment horizontal="left"/>
    </xf>
    <xf numFmtId="164" fontId="1" fillId="0" borderId="0" xfId="0" applyNumberFormat="1" applyFont="1"/>
    <xf numFmtId="41" fontId="1" fillId="0" borderId="0" xfId="10" applyNumberFormat="1"/>
    <xf numFmtId="38" fontId="1" fillId="0" borderId="0" xfId="10" applyNumberFormat="1"/>
    <xf numFmtId="41" fontId="1" fillId="0" borderId="0" xfId="10" quotePrefix="1" applyNumberFormat="1" applyAlignment="1">
      <alignment horizontal="left"/>
    </xf>
    <xf numFmtId="0" fontId="1" fillId="0" borderId="0" xfId="10"/>
    <xf numFmtId="0" fontId="1" fillId="0" borderId="0" xfId="10" quotePrefix="1" applyAlignment="1">
      <alignment horizontal="left"/>
    </xf>
    <xf numFmtId="164" fontId="1" fillId="0" borderId="0" xfId="10" applyNumberFormat="1"/>
    <xf numFmtId="41" fontId="8" fillId="0" borderId="0" xfId="10" applyNumberFormat="1" applyFont="1"/>
    <xf numFmtId="41" fontId="1" fillId="0" borderId="0" xfId="10" applyNumberFormat="1" applyFont="1"/>
    <xf numFmtId="164" fontId="1" fillId="0" borderId="0" xfId="10" applyNumberFormat="1" applyFont="1"/>
  </cellXfs>
  <cellStyles count="11">
    <cellStyle name="Comma" xfId="1" builtinId="3"/>
    <cellStyle name="Comma 2" xfId="2" xr:uid="{00000000-0005-0000-0000-000001000000}"/>
    <cellStyle name="Comma 2 2" xfId="3" xr:uid="{00000000-0005-0000-0000-000002000000}"/>
    <cellStyle name="Comma 2 2 2" xfId="9" xr:uid="{CE90A226-03D9-42E0-990A-901C89B25B6A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5" xfId="7" xr:uid="{00000000-0005-0000-0000-000006000000}"/>
    <cellStyle name="Normal" xfId="0" builtinId="0"/>
    <cellStyle name="Normal 2" xfId="8" xr:uid="{00000000-0005-0000-0000-000008000000}"/>
    <cellStyle name="Normal 2 2" xfId="10" xr:uid="{4F418147-BCAB-4617-A448-B636975470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9"/>
  <sheetViews>
    <sheetView tabSelected="1"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28515625" customWidth="1"/>
    <col min="4" max="4" width="12.7109375" customWidth="1"/>
    <col min="5" max="5" width="16" customWidth="1"/>
    <col min="6" max="6" width="14.7109375" customWidth="1"/>
    <col min="7" max="7" width="14" customWidth="1"/>
    <col min="8" max="14" width="12.7109375" customWidth="1"/>
    <col min="15" max="15" width="14.85546875" bestFit="1" customWidth="1"/>
    <col min="16" max="16" width="12.7109375" customWidth="1"/>
    <col min="17" max="17" width="9.28515625" bestFit="1" customWidth="1"/>
  </cols>
  <sheetData>
    <row r="1" spans="1:18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x14ac:dyDescent="0.2">
      <c r="A5" s="20" t="s">
        <v>9</v>
      </c>
    </row>
    <row r="6" spans="1:18" x14ac:dyDescent="0.2">
      <c r="A6" s="21" t="s">
        <v>37</v>
      </c>
    </row>
    <row r="8" spans="1:18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5</v>
      </c>
      <c r="N8" s="2" t="s">
        <v>4</v>
      </c>
    </row>
    <row r="9" spans="1:18" x14ac:dyDescent="0.2">
      <c r="A9" s="8" t="s">
        <v>8</v>
      </c>
      <c r="M9" s="10">
        <v>11207022</v>
      </c>
    </row>
    <row r="10" spans="1:18" x14ac:dyDescent="0.2">
      <c r="A10" s="32">
        <v>44994</v>
      </c>
      <c r="C10" s="34">
        <v>111565486</v>
      </c>
      <c r="D10" s="35">
        <v>248490</v>
      </c>
      <c r="E10" s="35">
        <f>330745.228</f>
        <v>330745.228</v>
      </c>
      <c r="F10" s="35">
        <f>523424.44</f>
        <v>523424.44</v>
      </c>
      <c r="G10" s="14">
        <f t="shared" ref="G10:G15" si="0">E10-D10</f>
        <v>82255.228000000003</v>
      </c>
      <c r="H10" s="14">
        <f t="shared" ref="H10:H15" si="1">F10-D10</f>
        <v>274934.44</v>
      </c>
      <c r="I10" s="3">
        <v>0.21</v>
      </c>
      <c r="J10" s="3">
        <v>0.05</v>
      </c>
      <c r="K10" s="9">
        <f t="shared" ref="K10:K15" si="2">G10*I10-L10*I10-1314.56</f>
        <v>13072.226260000001</v>
      </c>
      <c r="L10" s="9">
        <f t="shared" ref="L10:L15" si="3">H10*J10</f>
        <v>13746.722000000002</v>
      </c>
      <c r="M10" s="15">
        <f t="shared" ref="M10:M15" si="4">M9+K10+L10</f>
        <v>11233840.94826</v>
      </c>
      <c r="N10" s="9">
        <v>0</v>
      </c>
      <c r="O10" s="33"/>
      <c r="R10" s="23"/>
    </row>
    <row r="11" spans="1:18" x14ac:dyDescent="0.2">
      <c r="A11" s="32">
        <v>45017</v>
      </c>
      <c r="C11" s="12">
        <v>165239614</v>
      </c>
      <c r="D11" s="13">
        <v>307085</v>
      </c>
      <c r="E11" s="35">
        <f>554387.48-52080.9</f>
        <v>502306.57999999996</v>
      </c>
      <c r="F11" s="35">
        <f>747066.64-52080.9</f>
        <v>694985.74</v>
      </c>
      <c r="G11" s="14">
        <f t="shared" si="0"/>
        <v>195221.57999999996</v>
      </c>
      <c r="H11" s="14">
        <f t="shared" si="1"/>
        <v>387900.74</v>
      </c>
      <c r="I11" s="3">
        <v>0.21</v>
      </c>
      <c r="J11" s="3">
        <v>0.05</v>
      </c>
      <c r="K11" s="9">
        <f t="shared" si="2"/>
        <v>35609.014029999991</v>
      </c>
      <c r="L11" s="9">
        <f t="shared" si="3"/>
        <v>19395.037</v>
      </c>
      <c r="M11" s="15">
        <f t="shared" si="4"/>
        <v>11288844.999290001</v>
      </c>
      <c r="N11" s="9">
        <v>0</v>
      </c>
      <c r="O11" s="33"/>
      <c r="Q11" s="9"/>
      <c r="R11" s="23"/>
    </row>
    <row r="12" spans="1:18" x14ac:dyDescent="0.2">
      <c r="A12" s="32">
        <v>45047</v>
      </c>
      <c r="C12" s="12">
        <v>168731156</v>
      </c>
      <c r="D12" s="13">
        <v>360076</v>
      </c>
      <c r="E12" s="35">
        <f>570754.09+11409.02</f>
        <v>582163.11</v>
      </c>
      <c r="F12" s="35">
        <f>763433.25+11409.02</f>
        <v>774842.27</v>
      </c>
      <c r="G12" s="14">
        <f t="shared" si="0"/>
        <v>222087.11</v>
      </c>
      <c r="H12" s="14">
        <f t="shared" si="1"/>
        <v>414766.27</v>
      </c>
      <c r="I12" s="3">
        <v>0.21</v>
      </c>
      <c r="J12" s="3">
        <v>0.05</v>
      </c>
      <c r="K12" s="9">
        <f t="shared" si="2"/>
        <v>40968.687265</v>
      </c>
      <c r="L12" s="9">
        <f t="shared" si="3"/>
        <v>20738.313500000004</v>
      </c>
      <c r="M12" s="15">
        <f t="shared" si="4"/>
        <v>11350552.000055</v>
      </c>
      <c r="N12" s="9">
        <v>0</v>
      </c>
      <c r="R12" s="23"/>
    </row>
    <row r="13" spans="1:18" x14ac:dyDescent="0.2">
      <c r="A13" s="32">
        <v>45078</v>
      </c>
      <c r="C13" s="12">
        <v>168731156</v>
      </c>
      <c r="D13" s="13">
        <v>354474</v>
      </c>
      <c r="E13" s="35">
        <f>570754.09+5811.02</f>
        <v>576565.11</v>
      </c>
      <c r="F13" s="35">
        <f>763433.25+5811.02</f>
        <v>769244.27</v>
      </c>
      <c r="G13" s="14">
        <f t="shared" si="0"/>
        <v>222091.11</v>
      </c>
      <c r="H13" s="14">
        <f t="shared" si="1"/>
        <v>414770.27</v>
      </c>
      <c r="I13" s="3">
        <v>0.21</v>
      </c>
      <c r="J13" s="3">
        <v>0.05</v>
      </c>
      <c r="K13" s="9">
        <f t="shared" si="2"/>
        <v>40969.485264999996</v>
      </c>
      <c r="L13" s="9">
        <f t="shared" si="3"/>
        <v>20738.513500000001</v>
      </c>
      <c r="M13" s="15">
        <f t="shared" si="4"/>
        <v>11412259.998819999</v>
      </c>
      <c r="N13" s="9">
        <v>0</v>
      </c>
      <c r="Q13" s="17"/>
      <c r="R13" s="23"/>
    </row>
    <row r="14" spans="1:18" x14ac:dyDescent="0.2">
      <c r="A14" s="32">
        <v>45108</v>
      </c>
      <c r="C14" s="12">
        <v>168731156</v>
      </c>
      <c r="D14" s="13">
        <v>354474</v>
      </c>
      <c r="E14" s="35">
        <f>570754.09+5811.02</f>
        <v>576565.11</v>
      </c>
      <c r="F14" s="35">
        <f>763433.25+5811.02</f>
        <v>769244.27</v>
      </c>
      <c r="G14" s="14">
        <f t="shared" si="0"/>
        <v>222091.11</v>
      </c>
      <c r="H14" s="14">
        <f t="shared" si="1"/>
        <v>414770.27</v>
      </c>
      <c r="I14" s="3">
        <v>0.21</v>
      </c>
      <c r="J14" s="3">
        <v>0.05</v>
      </c>
      <c r="K14" s="9">
        <f t="shared" si="2"/>
        <v>40969.485264999996</v>
      </c>
      <c r="L14" s="9">
        <f t="shared" si="3"/>
        <v>20738.513500000001</v>
      </c>
      <c r="M14" s="15">
        <f t="shared" si="4"/>
        <v>11473967.997584999</v>
      </c>
      <c r="N14" s="9">
        <v>0</v>
      </c>
      <c r="Q14" s="12"/>
      <c r="R14" s="23"/>
    </row>
    <row r="15" spans="1:18" x14ac:dyDescent="0.2">
      <c r="A15" s="32">
        <v>45139</v>
      </c>
      <c r="C15" s="12">
        <v>168731156</v>
      </c>
      <c r="D15" s="13">
        <v>354474</v>
      </c>
      <c r="E15" s="35">
        <f>570754.09+5811.02</f>
        <v>576565.11</v>
      </c>
      <c r="F15" s="35">
        <f>763433.25+5811.02</f>
        <v>769244.27</v>
      </c>
      <c r="G15" s="14">
        <f t="shared" si="0"/>
        <v>222091.11</v>
      </c>
      <c r="H15" s="14">
        <f t="shared" si="1"/>
        <v>414770.27</v>
      </c>
      <c r="I15" s="3">
        <v>0.21</v>
      </c>
      <c r="J15" s="3">
        <v>0.05</v>
      </c>
      <c r="K15" s="9">
        <f t="shared" si="2"/>
        <v>40969.485264999996</v>
      </c>
      <c r="L15" s="9">
        <f t="shared" si="3"/>
        <v>20738.513500000001</v>
      </c>
      <c r="M15" s="15">
        <f t="shared" si="4"/>
        <v>11535675.996349998</v>
      </c>
      <c r="N15" s="9">
        <v>0</v>
      </c>
      <c r="R15" s="23"/>
    </row>
    <row r="16" spans="1:18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34" t="s">
        <v>41</v>
      </c>
      <c r="D17" s="35"/>
      <c r="E17" s="35"/>
      <c r="F17" s="35"/>
      <c r="G17" s="36"/>
      <c r="H17" s="36"/>
      <c r="I17" s="36"/>
      <c r="J17" s="34"/>
      <c r="K17" s="34"/>
      <c r="L17" s="3"/>
      <c r="M17" s="3"/>
      <c r="N17" s="9"/>
      <c r="O17" s="15"/>
      <c r="P17" s="9"/>
    </row>
    <row r="18" spans="1:16" x14ac:dyDescent="0.2">
      <c r="A18" s="16"/>
      <c r="C18" s="34"/>
      <c r="D18" s="35"/>
      <c r="E18" s="35"/>
      <c r="F18" s="35"/>
      <c r="G18" s="36"/>
      <c r="H18" s="36"/>
      <c r="I18" s="36"/>
      <c r="J18" s="34"/>
      <c r="K18" s="34"/>
      <c r="L18" s="3"/>
      <c r="M18" s="3"/>
      <c r="N18" s="9"/>
      <c r="O18" s="15"/>
      <c r="P18" s="9"/>
    </row>
    <row r="19" spans="1:16" x14ac:dyDescent="0.2">
      <c r="C19" s="37" t="s">
        <v>29</v>
      </c>
      <c r="D19" s="38"/>
      <c r="E19" s="38"/>
      <c r="F19" s="38"/>
      <c r="G19" s="39"/>
      <c r="H19" s="39"/>
    </row>
    <row r="20" spans="1:16" x14ac:dyDescent="0.2">
      <c r="C20" s="37" t="s">
        <v>22</v>
      </c>
      <c r="D20" s="38"/>
      <c r="E20" s="38"/>
      <c r="F20" s="38"/>
      <c r="G20" s="39"/>
      <c r="H20" s="39"/>
    </row>
    <row r="21" spans="1:16" x14ac:dyDescent="0.2">
      <c r="C21" s="37" t="s">
        <v>44</v>
      </c>
      <c r="D21" s="38"/>
      <c r="E21" s="38"/>
      <c r="F21" s="38"/>
      <c r="G21" s="39"/>
      <c r="H21" s="39"/>
    </row>
    <row r="22" spans="1:16" x14ac:dyDescent="0.2">
      <c r="C22" s="9" t="s">
        <v>23</v>
      </c>
      <c r="D22" s="38"/>
      <c r="E22" s="38"/>
      <c r="F22" s="38"/>
      <c r="G22" s="39"/>
      <c r="H22" s="39"/>
    </row>
    <row r="23" spans="1:16" x14ac:dyDescent="0.2">
      <c r="C23" s="40"/>
      <c r="D23" s="38"/>
      <c r="E23" s="38"/>
      <c r="F23" s="38"/>
      <c r="G23" s="38"/>
      <c r="H23" s="38"/>
    </row>
    <row r="24" spans="1:16" x14ac:dyDescent="0.2">
      <c r="C24" s="9" t="s">
        <v>24</v>
      </c>
      <c r="D24" s="41" t="s">
        <v>25</v>
      </c>
      <c r="E24" s="39" t="s">
        <v>26</v>
      </c>
      <c r="F24" s="9" t="s">
        <v>27</v>
      </c>
      <c r="G24" s="3" t="s">
        <v>18</v>
      </c>
      <c r="H24" s="9" t="s">
        <v>28</v>
      </c>
    </row>
    <row r="25" spans="1:16" x14ac:dyDescent="0.2">
      <c r="C25" s="34">
        <v>2033858.4350000001</v>
      </c>
      <c r="D25" s="34">
        <v>354474</v>
      </c>
      <c r="E25" s="34">
        <v>7562.56</v>
      </c>
      <c r="F25" s="34">
        <f>-D25+E25</f>
        <v>-346911.44</v>
      </c>
      <c r="G25" s="3">
        <v>0.21</v>
      </c>
      <c r="H25" s="34">
        <f>F25*G25</f>
        <v>-72851.402399999992</v>
      </c>
    </row>
    <row r="26" spans="1:16" x14ac:dyDescent="0.2">
      <c r="C26" s="34">
        <v>4041284</v>
      </c>
      <c r="D26" s="34"/>
      <c r="E26" s="34">
        <v>16461.5</v>
      </c>
      <c r="F26" s="34">
        <f>E26</f>
        <v>16461.5</v>
      </c>
      <c r="G26" s="3">
        <v>0.21</v>
      </c>
      <c r="H26" s="34">
        <f t="shared" ref="H26:H32" si="5">F26*G26</f>
        <v>3456.915</v>
      </c>
    </row>
    <row r="27" spans="1:16" x14ac:dyDescent="0.2">
      <c r="C27" s="34">
        <v>199697</v>
      </c>
      <c r="D27" s="34"/>
      <c r="E27" s="34">
        <v>879.5</v>
      </c>
      <c r="F27" s="34">
        <f t="shared" ref="F27:F32" si="6">E27</f>
        <v>879.5</v>
      </c>
      <c r="G27" s="3">
        <v>0.21</v>
      </c>
      <c r="H27" s="34">
        <f t="shared" si="5"/>
        <v>184.69499999999999</v>
      </c>
    </row>
    <row r="28" spans="1:16" x14ac:dyDescent="0.2">
      <c r="C28" s="34">
        <v>39689535</v>
      </c>
      <c r="D28" s="34"/>
      <c r="E28" s="34">
        <v>188955.26</v>
      </c>
      <c r="F28" s="34">
        <f t="shared" si="6"/>
        <v>188955.26</v>
      </c>
      <c r="G28" s="3">
        <v>0.21</v>
      </c>
      <c r="H28" s="34">
        <f t="shared" si="5"/>
        <v>39680.604599999999</v>
      </c>
    </row>
    <row r="29" spans="1:16" x14ac:dyDescent="0.2">
      <c r="C29" s="34">
        <v>226548</v>
      </c>
      <c r="D29" s="34"/>
      <c r="E29" s="34">
        <v>1078.56</v>
      </c>
      <c r="F29" s="34">
        <f t="shared" si="6"/>
        <v>1078.56</v>
      </c>
      <c r="G29" s="3">
        <v>0.21</v>
      </c>
      <c r="H29" s="34">
        <f t="shared" si="5"/>
        <v>226.49759999999998</v>
      </c>
    </row>
    <row r="30" spans="1:16" x14ac:dyDescent="0.2">
      <c r="C30" s="34">
        <v>19943355</v>
      </c>
      <c r="D30" s="34"/>
      <c r="E30" s="34">
        <v>102658.42</v>
      </c>
      <c r="F30" s="34">
        <f t="shared" si="6"/>
        <v>102658.42</v>
      </c>
      <c r="G30" s="3">
        <v>0.21</v>
      </c>
      <c r="H30" s="34">
        <f t="shared" si="5"/>
        <v>21558.268199999999</v>
      </c>
      <c r="I30" s="31"/>
    </row>
    <row r="31" spans="1:16" x14ac:dyDescent="0.2">
      <c r="C31" s="34">
        <v>1516.95</v>
      </c>
      <c r="D31" s="34"/>
      <c r="E31" s="34">
        <v>7.81</v>
      </c>
      <c r="F31" s="34">
        <f t="shared" si="6"/>
        <v>7.81</v>
      </c>
      <c r="G31" s="3">
        <v>0.21</v>
      </c>
      <c r="H31" s="34">
        <f t="shared" si="5"/>
        <v>1.6400999999999999</v>
      </c>
    </row>
    <row r="32" spans="1:16" x14ac:dyDescent="0.2">
      <c r="C32" s="34">
        <v>2553020.2999999998</v>
      </c>
      <c r="D32" s="34"/>
      <c r="E32" s="34">
        <v>13141.67</v>
      </c>
      <c r="F32" s="34">
        <f t="shared" si="6"/>
        <v>13141.67</v>
      </c>
      <c r="G32" s="42">
        <v>0.21</v>
      </c>
      <c r="H32" s="34">
        <f t="shared" si="5"/>
        <v>2759.7507000000001</v>
      </c>
      <c r="I32" s="31"/>
    </row>
    <row r="33" spans="3:9" ht="15" x14ac:dyDescent="0.35">
      <c r="C33" s="34">
        <f>53674128+3491542</f>
        <v>57165670</v>
      </c>
      <c r="D33" s="34"/>
      <c r="E33" s="30">
        <f>167731.65+10911.07+67177</f>
        <v>245819.72</v>
      </c>
      <c r="F33" s="30">
        <f>E33</f>
        <v>245819.72</v>
      </c>
      <c r="G33" s="42">
        <v>0.21</v>
      </c>
      <c r="H33" s="30">
        <f>F33*G33</f>
        <v>51622.141199999998</v>
      </c>
    </row>
    <row r="34" spans="3:9" x14ac:dyDescent="0.2">
      <c r="C34" s="34"/>
      <c r="D34" s="34"/>
      <c r="E34" s="34">
        <f>SUM(E25:E33)</f>
        <v>576565</v>
      </c>
      <c r="F34" s="34">
        <f>SUM(F25:F33)</f>
        <v>222091</v>
      </c>
      <c r="G34" s="42" t="s">
        <v>42</v>
      </c>
      <c r="H34" s="34">
        <f>SUM(H25:H33)</f>
        <v>46639.11</v>
      </c>
    </row>
    <row r="35" spans="3:9" ht="15" x14ac:dyDescent="0.35">
      <c r="E35" s="9"/>
      <c r="F35" s="9"/>
      <c r="G35" s="31" t="s">
        <v>34</v>
      </c>
      <c r="H35" s="30">
        <f>-H48*0.21</f>
        <v>-4355.0867850000004</v>
      </c>
    </row>
    <row r="36" spans="3:9" x14ac:dyDescent="0.2">
      <c r="H36" s="34">
        <f>H34+H35</f>
        <v>42284.023215000001</v>
      </c>
    </row>
    <row r="37" spans="3:9" x14ac:dyDescent="0.2">
      <c r="H37" s="34">
        <f>H36-K15</f>
        <v>1314.5379500000054</v>
      </c>
      <c r="I37" s="31" t="s">
        <v>43</v>
      </c>
    </row>
    <row r="38" spans="3:9" x14ac:dyDescent="0.2">
      <c r="C38" s="9" t="s">
        <v>30</v>
      </c>
      <c r="D38" s="38" t="s">
        <v>25</v>
      </c>
      <c r="E38" s="39" t="s">
        <v>31</v>
      </c>
      <c r="F38" s="9" t="s">
        <v>32</v>
      </c>
      <c r="G38" s="3" t="s">
        <v>19</v>
      </c>
      <c r="H38" s="9" t="s">
        <v>33</v>
      </c>
    </row>
    <row r="39" spans="3:9" x14ac:dyDescent="0.2">
      <c r="C39" s="34">
        <v>4067716.87</v>
      </c>
      <c r="D39" s="34">
        <v>354474</v>
      </c>
      <c r="E39" s="34">
        <v>15125.13</v>
      </c>
      <c r="F39" s="34">
        <f>-D39+E39</f>
        <v>-339348.87</v>
      </c>
      <c r="G39" s="3">
        <v>0.05</v>
      </c>
      <c r="H39" s="34">
        <f>F39*G39</f>
        <v>-16967.443500000001</v>
      </c>
    </row>
    <row r="40" spans="3:9" x14ac:dyDescent="0.2">
      <c r="C40" s="34">
        <v>8082569</v>
      </c>
      <c r="D40" s="34"/>
      <c r="E40" s="34">
        <v>32923</v>
      </c>
      <c r="F40" s="34">
        <f>E40</f>
        <v>32923</v>
      </c>
      <c r="G40" s="3">
        <v>0.05</v>
      </c>
      <c r="H40" s="34">
        <f t="shared" ref="H40:H46" si="7">F40*G40</f>
        <v>1646.15</v>
      </c>
    </row>
    <row r="41" spans="3:9" x14ac:dyDescent="0.2">
      <c r="C41" s="34">
        <v>199697</v>
      </c>
      <c r="D41" s="34"/>
      <c r="E41" s="34">
        <v>879.5</v>
      </c>
      <c r="F41" s="34">
        <f t="shared" ref="F41:F46" si="8">E41</f>
        <v>879.5</v>
      </c>
      <c r="G41" s="3">
        <v>0.05</v>
      </c>
      <c r="H41" s="34">
        <f t="shared" si="7"/>
        <v>43.975000000000001</v>
      </c>
    </row>
    <row r="42" spans="3:9" x14ac:dyDescent="0.2">
      <c r="C42" s="34">
        <v>66149226</v>
      </c>
      <c r="D42" s="34"/>
      <c r="E42" s="34">
        <v>314925.44</v>
      </c>
      <c r="F42" s="34">
        <f t="shared" si="8"/>
        <v>314925.44</v>
      </c>
      <c r="G42" s="3">
        <v>0.05</v>
      </c>
      <c r="H42" s="34">
        <f t="shared" si="7"/>
        <v>15746.272000000001</v>
      </c>
    </row>
    <row r="43" spans="3:9" x14ac:dyDescent="0.2">
      <c r="C43" s="34">
        <v>226548</v>
      </c>
      <c r="D43" s="34"/>
      <c r="E43" s="34">
        <v>1078.56</v>
      </c>
      <c r="F43" s="34">
        <f t="shared" si="8"/>
        <v>1078.56</v>
      </c>
      <c r="G43" s="3">
        <v>0.05</v>
      </c>
      <c r="H43" s="34">
        <f t="shared" si="7"/>
        <v>53.927999999999997</v>
      </c>
    </row>
    <row r="44" spans="3:9" x14ac:dyDescent="0.2">
      <c r="C44" s="34">
        <v>28235715</v>
      </c>
      <c r="E44" s="34">
        <v>145343.34</v>
      </c>
      <c r="F44" s="34">
        <f t="shared" si="8"/>
        <v>145343.34</v>
      </c>
      <c r="G44" s="3">
        <v>0.05</v>
      </c>
      <c r="H44" s="34">
        <f t="shared" si="7"/>
        <v>7267.1670000000004</v>
      </c>
    </row>
    <row r="45" spans="3:9" x14ac:dyDescent="0.2">
      <c r="C45" s="34">
        <v>1516.95</v>
      </c>
      <c r="E45" s="34">
        <v>7.81</v>
      </c>
      <c r="F45" s="34">
        <f t="shared" si="8"/>
        <v>7.81</v>
      </c>
      <c r="G45" s="3">
        <v>0.05</v>
      </c>
      <c r="H45" s="34">
        <f t="shared" si="7"/>
        <v>0.39050000000000001</v>
      </c>
    </row>
    <row r="46" spans="3:9" x14ac:dyDescent="0.2">
      <c r="C46" s="34">
        <v>2553020.2999999998</v>
      </c>
      <c r="E46" s="34">
        <v>13141.67</v>
      </c>
      <c r="F46" s="34">
        <f t="shared" si="8"/>
        <v>13141.67</v>
      </c>
      <c r="G46" s="42">
        <v>0.05</v>
      </c>
      <c r="H46" s="34">
        <f t="shared" si="7"/>
        <v>657.08350000000007</v>
      </c>
      <c r="I46" s="31"/>
    </row>
    <row r="47" spans="3:9" ht="15" x14ac:dyDescent="0.35">
      <c r="C47" s="34">
        <f>C33</f>
        <v>57165670</v>
      </c>
      <c r="E47" s="30">
        <f>E33</f>
        <v>245819.72</v>
      </c>
      <c r="F47" s="30">
        <f>E47</f>
        <v>245819.72</v>
      </c>
      <c r="G47" s="42">
        <v>0.05</v>
      </c>
      <c r="H47" s="30">
        <f>F47*G47</f>
        <v>12290.986000000001</v>
      </c>
    </row>
    <row r="48" spans="3:9" x14ac:dyDescent="0.2">
      <c r="E48" s="34">
        <f>SUM(E39:E47)</f>
        <v>769244.16999999993</v>
      </c>
      <c r="F48" s="34">
        <f>SUM(F39:F47)</f>
        <v>414770.17000000004</v>
      </c>
      <c r="H48" s="34">
        <f>SUM(H39:H47)</f>
        <v>20738.508500000004</v>
      </c>
    </row>
    <row r="49" spans="8:8" x14ac:dyDescent="0.2">
      <c r="H49" s="9">
        <f>H48-L15</f>
        <v>-4.9999999973806553E-3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1 of 5
Clements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R39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7109375" customWidth="1"/>
    <col min="4" max="4" width="12.7109375" customWidth="1"/>
    <col min="5" max="5" width="16.42578125" customWidth="1"/>
    <col min="6" max="6" width="15" customWidth="1"/>
    <col min="7" max="16" width="12.7109375" customWidth="1"/>
    <col min="17" max="17" width="9.28515625" bestFit="1" customWidth="1"/>
  </cols>
  <sheetData>
    <row r="1" spans="1:18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x14ac:dyDescent="0.2">
      <c r="A5" s="6" t="s">
        <v>9</v>
      </c>
    </row>
    <row r="6" spans="1:18" x14ac:dyDescent="0.2">
      <c r="A6" s="18" t="s">
        <v>10</v>
      </c>
    </row>
    <row r="8" spans="1:18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5</v>
      </c>
      <c r="N8" s="2" t="s">
        <v>4</v>
      </c>
    </row>
    <row r="9" spans="1:18" x14ac:dyDescent="0.2">
      <c r="A9" s="8" t="s">
        <v>8</v>
      </c>
      <c r="M9" s="10">
        <v>1393388</v>
      </c>
    </row>
    <row r="10" spans="1:18" x14ac:dyDescent="0.2">
      <c r="A10" s="32">
        <v>44994</v>
      </c>
      <c r="C10" s="34">
        <v>7413755</v>
      </c>
      <c r="D10" s="35">
        <v>21905.5</v>
      </c>
      <c r="E10" s="35">
        <f>14288.6</f>
        <v>14288.6</v>
      </c>
      <c r="F10" s="35">
        <f>28577.2</f>
        <v>28577.200000000001</v>
      </c>
      <c r="G10" s="14">
        <f t="shared" ref="G10:G15" si="0">E10-D10</f>
        <v>-7616.9</v>
      </c>
      <c r="H10" s="14">
        <f t="shared" ref="H10:H15" si="1">F10-D10</f>
        <v>6671.7000000000007</v>
      </c>
      <c r="I10" s="3">
        <v>0.21</v>
      </c>
      <c r="J10" s="3">
        <v>0.05</v>
      </c>
      <c r="K10" s="9">
        <f>G10*I10-334*I10-1031.39</f>
        <v>-2701.0789999999997</v>
      </c>
      <c r="L10" s="9">
        <f t="shared" ref="L10:L15" si="2">H10*J10-1.88</f>
        <v>331.70500000000004</v>
      </c>
      <c r="M10" s="15">
        <f t="shared" ref="M10:M15" si="3">M9+K10+L10</f>
        <v>1391018.6260000002</v>
      </c>
      <c r="N10" s="9">
        <v>0</v>
      </c>
      <c r="O10" s="33"/>
      <c r="Q10" s="9"/>
      <c r="R10" s="23"/>
    </row>
    <row r="11" spans="1:18" x14ac:dyDescent="0.2">
      <c r="A11" s="32">
        <v>45017</v>
      </c>
      <c r="C11" s="12">
        <v>7413755</v>
      </c>
      <c r="D11" s="13">
        <v>21906</v>
      </c>
      <c r="E11" s="35">
        <f>14288.6</f>
        <v>14288.6</v>
      </c>
      <c r="F11" s="35">
        <f>28577.2</f>
        <v>28577.200000000001</v>
      </c>
      <c r="G11" s="14">
        <f t="shared" si="0"/>
        <v>-7617.4</v>
      </c>
      <c r="H11" s="14">
        <f t="shared" si="1"/>
        <v>6671.2000000000007</v>
      </c>
      <c r="I11" s="3">
        <v>0.21</v>
      </c>
      <c r="J11" s="3">
        <v>0.05</v>
      </c>
      <c r="K11" s="9">
        <f>G11*I11-334*I11-1031.39</f>
        <v>-2701.1840000000002</v>
      </c>
      <c r="L11" s="9">
        <f t="shared" si="2"/>
        <v>331.68000000000006</v>
      </c>
      <c r="M11" s="15">
        <f t="shared" si="3"/>
        <v>1388649.1220000002</v>
      </c>
      <c r="N11" s="9">
        <v>0</v>
      </c>
      <c r="O11" s="33"/>
      <c r="Q11" s="9"/>
      <c r="R11" s="23"/>
    </row>
    <row r="12" spans="1:18" x14ac:dyDescent="0.2">
      <c r="A12" s="32">
        <v>45047</v>
      </c>
      <c r="C12" s="12">
        <v>7413755</v>
      </c>
      <c r="D12" s="13">
        <v>21906</v>
      </c>
      <c r="E12" s="35">
        <f>14288.6</f>
        <v>14288.6</v>
      </c>
      <c r="F12" s="35">
        <f>28577.2</f>
        <v>28577.200000000001</v>
      </c>
      <c r="G12" s="14">
        <f t="shared" si="0"/>
        <v>-7617.4</v>
      </c>
      <c r="H12" s="14">
        <f t="shared" si="1"/>
        <v>6671.2000000000007</v>
      </c>
      <c r="I12" s="3">
        <v>0.21</v>
      </c>
      <c r="J12" s="3">
        <v>0.05</v>
      </c>
      <c r="K12" s="9">
        <f>G12*I12-334*I12-1031.39</f>
        <v>-2701.1840000000002</v>
      </c>
      <c r="L12" s="9">
        <f t="shared" si="2"/>
        <v>331.68000000000006</v>
      </c>
      <c r="M12" s="15">
        <f t="shared" si="3"/>
        <v>1386279.6180000002</v>
      </c>
      <c r="N12" s="9">
        <v>0</v>
      </c>
      <c r="R12" s="23"/>
    </row>
    <row r="13" spans="1:18" x14ac:dyDescent="0.2">
      <c r="A13" s="32">
        <v>45078</v>
      </c>
      <c r="C13" s="12">
        <v>7413755</v>
      </c>
      <c r="D13" s="13">
        <v>21905.5</v>
      </c>
      <c r="E13" s="35">
        <f>14289.4</f>
        <v>14289.4</v>
      </c>
      <c r="F13" s="35">
        <f>28577.4</f>
        <v>28577.4</v>
      </c>
      <c r="G13" s="14">
        <f t="shared" si="0"/>
        <v>-7616.1</v>
      </c>
      <c r="H13" s="14">
        <f t="shared" si="1"/>
        <v>6671.9000000000015</v>
      </c>
      <c r="I13" s="3">
        <v>0.21</v>
      </c>
      <c r="J13" s="3">
        <v>0.05</v>
      </c>
      <c r="K13" s="9">
        <f>G13*I13-334*I13-1031</f>
        <v>-2700.5210000000002</v>
      </c>
      <c r="L13" s="9">
        <f t="shared" si="2"/>
        <v>331.71500000000009</v>
      </c>
      <c r="M13" s="15">
        <f t="shared" si="3"/>
        <v>1383910.8120000004</v>
      </c>
      <c r="N13" s="9">
        <v>0</v>
      </c>
      <c r="R13" s="23"/>
    </row>
    <row r="14" spans="1:18" x14ac:dyDescent="0.2">
      <c r="A14" s="32">
        <v>45108</v>
      </c>
      <c r="C14" s="12">
        <v>7413755</v>
      </c>
      <c r="D14" s="13">
        <v>21906</v>
      </c>
      <c r="E14" s="35">
        <f>14288.6</f>
        <v>14288.6</v>
      </c>
      <c r="F14" s="35">
        <f>28577.2</f>
        <v>28577.200000000001</v>
      </c>
      <c r="G14" s="14">
        <f t="shared" si="0"/>
        <v>-7617.4</v>
      </c>
      <c r="H14" s="14">
        <f t="shared" si="1"/>
        <v>6671.2000000000007</v>
      </c>
      <c r="I14" s="3">
        <v>0.21</v>
      </c>
      <c r="J14" s="3">
        <v>0.05</v>
      </c>
      <c r="K14" s="9">
        <f>G14*I14-334*I14-1031.39</f>
        <v>-2701.1840000000002</v>
      </c>
      <c r="L14" s="9">
        <f t="shared" si="2"/>
        <v>331.68000000000006</v>
      </c>
      <c r="M14" s="15">
        <f t="shared" si="3"/>
        <v>1381541.3080000004</v>
      </c>
      <c r="N14" s="9">
        <v>0</v>
      </c>
      <c r="R14" s="23"/>
    </row>
    <row r="15" spans="1:18" x14ac:dyDescent="0.2">
      <c r="A15" s="32">
        <v>45139</v>
      </c>
      <c r="C15" s="12">
        <v>7413755</v>
      </c>
      <c r="D15" s="13">
        <v>21906</v>
      </c>
      <c r="E15" s="35">
        <f>14288.6</f>
        <v>14288.6</v>
      </c>
      <c r="F15" s="35">
        <f>28577.2</f>
        <v>28577.200000000001</v>
      </c>
      <c r="G15" s="14">
        <f t="shared" si="0"/>
        <v>-7617.4</v>
      </c>
      <c r="H15" s="14">
        <f t="shared" si="1"/>
        <v>6671.2000000000007</v>
      </c>
      <c r="I15" s="3">
        <v>0.21</v>
      </c>
      <c r="J15" s="3">
        <v>0.05</v>
      </c>
      <c r="K15" s="9">
        <f>G15*I15-334*I15-1031.39</f>
        <v>-2701.1840000000002</v>
      </c>
      <c r="L15" s="9">
        <f t="shared" si="2"/>
        <v>331.68000000000006</v>
      </c>
      <c r="M15" s="15">
        <f t="shared" si="3"/>
        <v>1379171.8040000005</v>
      </c>
      <c r="N15" s="9">
        <v>0</v>
      </c>
      <c r="R15" s="23"/>
    </row>
    <row r="16" spans="1:18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43" t="s">
        <v>45</v>
      </c>
      <c r="D17" s="44"/>
      <c r="E17" s="44"/>
      <c r="F17" s="44"/>
      <c r="G17" s="36"/>
      <c r="H17" s="36"/>
      <c r="I17" s="36"/>
      <c r="J17" s="43"/>
      <c r="K17" s="43"/>
      <c r="L17" s="3"/>
      <c r="M17" s="3"/>
      <c r="N17" s="9"/>
      <c r="O17" s="15"/>
      <c r="P17" s="9"/>
    </row>
    <row r="18" spans="1:16" x14ac:dyDescent="0.2">
      <c r="A18" s="16"/>
      <c r="C18" s="43"/>
      <c r="D18" s="44"/>
      <c r="E18" s="44"/>
      <c r="F18" s="44"/>
      <c r="G18" s="36"/>
      <c r="H18" s="36"/>
      <c r="I18" s="36"/>
      <c r="J18" s="43"/>
      <c r="K18" s="43"/>
      <c r="L18" s="3"/>
      <c r="M18" s="3"/>
      <c r="N18" s="9"/>
      <c r="O18" s="15"/>
      <c r="P18" s="9"/>
    </row>
    <row r="19" spans="1:16" x14ac:dyDescent="0.2">
      <c r="C19" s="45" t="s">
        <v>35</v>
      </c>
      <c r="D19" s="38"/>
      <c r="E19" s="38"/>
      <c r="F19" s="38"/>
      <c r="G19" s="39"/>
      <c r="H19" s="39"/>
      <c r="I19" s="46"/>
      <c r="J19" s="46"/>
      <c r="K19" s="46"/>
    </row>
    <row r="20" spans="1:16" x14ac:dyDescent="0.2">
      <c r="C20" s="45" t="s">
        <v>22</v>
      </c>
      <c r="D20" s="38"/>
      <c r="E20" s="38"/>
      <c r="F20" s="38"/>
      <c r="G20" s="39"/>
      <c r="H20" s="39"/>
      <c r="I20" s="46"/>
      <c r="J20" s="46"/>
      <c r="K20" s="46"/>
    </row>
    <row r="21" spans="1:16" x14ac:dyDescent="0.2">
      <c r="C21" s="45" t="s">
        <v>44</v>
      </c>
      <c r="D21" s="38"/>
      <c r="E21" s="38"/>
      <c r="F21" s="38"/>
      <c r="G21" s="39"/>
      <c r="H21" s="39"/>
      <c r="I21" s="46"/>
      <c r="J21" s="46"/>
      <c r="K21" s="46"/>
    </row>
    <row r="22" spans="1:16" x14ac:dyDescent="0.2">
      <c r="C22" s="43" t="s">
        <v>23</v>
      </c>
      <c r="D22" s="38"/>
      <c r="E22" s="38"/>
      <c r="F22" s="38"/>
      <c r="G22" s="39"/>
      <c r="H22" s="39"/>
      <c r="I22" s="46"/>
      <c r="J22" s="46"/>
      <c r="K22" s="46"/>
    </row>
    <row r="23" spans="1:16" x14ac:dyDescent="0.2">
      <c r="C23" s="47"/>
      <c r="D23" s="38"/>
      <c r="E23" s="38"/>
      <c r="F23" s="38"/>
      <c r="G23" s="38"/>
      <c r="H23" s="38"/>
      <c r="I23" s="46"/>
      <c r="J23" s="46"/>
      <c r="K23" s="46"/>
    </row>
    <row r="24" spans="1:16" x14ac:dyDescent="0.2">
      <c r="C24" s="43" t="s">
        <v>24</v>
      </c>
      <c r="D24" s="41" t="s">
        <v>25</v>
      </c>
      <c r="E24" s="39" t="s">
        <v>26</v>
      </c>
      <c r="F24" s="43" t="s">
        <v>27</v>
      </c>
      <c r="G24" s="48" t="s">
        <v>18</v>
      </c>
      <c r="H24" s="43" t="s">
        <v>28</v>
      </c>
      <c r="I24" s="46"/>
      <c r="J24" s="46"/>
      <c r="K24" s="46"/>
    </row>
    <row r="25" spans="1:16" x14ac:dyDescent="0.2">
      <c r="C25" s="43">
        <v>2318136</v>
      </c>
      <c r="D25" s="43">
        <v>21906</v>
      </c>
      <c r="E25" s="43">
        <v>8617.67</v>
      </c>
      <c r="F25" s="43">
        <f>-D25+E25</f>
        <v>-13288.33</v>
      </c>
      <c r="G25" s="48">
        <v>0.21</v>
      </c>
      <c r="H25" s="43">
        <f>F25*G25</f>
        <v>-2790.5492999999997</v>
      </c>
      <c r="I25" s="46"/>
      <c r="J25" s="46"/>
      <c r="K25" s="46"/>
    </row>
    <row r="26" spans="1:16" x14ac:dyDescent="0.2">
      <c r="C26" s="43">
        <v>-39771</v>
      </c>
      <c r="D26" s="43"/>
      <c r="E26" s="43">
        <v>-147.88</v>
      </c>
      <c r="F26" s="43">
        <f>E26</f>
        <v>-147.88</v>
      </c>
      <c r="G26" s="48">
        <v>0.21</v>
      </c>
      <c r="H26" s="43">
        <f t="shared" ref="H26:H28" si="4">F26*G26</f>
        <v>-31.054799999999997</v>
      </c>
      <c r="I26" s="46"/>
      <c r="J26" s="46"/>
      <c r="K26" s="46"/>
    </row>
    <row r="27" spans="1:16" x14ac:dyDescent="0.2">
      <c r="C27" s="43">
        <v>1088793</v>
      </c>
      <c r="D27" s="43"/>
      <c r="E27" s="43">
        <v>4435.0200000000004</v>
      </c>
      <c r="F27" s="43">
        <f t="shared" ref="F27:F28" si="5">E27</f>
        <v>4435.0200000000004</v>
      </c>
      <c r="G27" s="48">
        <v>0.21</v>
      </c>
      <c r="H27" s="43">
        <f t="shared" si="4"/>
        <v>931.35420000000011</v>
      </c>
      <c r="I27" s="46"/>
      <c r="J27" s="46"/>
      <c r="K27" s="46"/>
    </row>
    <row r="28" spans="1:16" ht="15" x14ac:dyDescent="0.35">
      <c r="C28" s="43">
        <v>339720</v>
      </c>
      <c r="D28" s="43"/>
      <c r="E28" s="49">
        <v>1383.79</v>
      </c>
      <c r="F28" s="49">
        <f t="shared" si="5"/>
        <v>1383.79</v>
      </c>
      <c r="G28" s="48">
        <v>0.21</v>
      </c>
      <c r="H28" s="49">
        <f t="shared" si="4"/>
        <v>290.59589999999997</v>
      </c>
      <c r="I28" s="46"/>
      <c r="J28" s="46"/>
      <c r="K28" s="46"/>
    </row>
    <row r="29" spans="1:16" x14ac:dyDescent="0.2">
      <c r="C29" s="43"/>
      <c r="D29" s="43"/>
      <c r="E29" s="43">
        <f>SUM(E25:E28)</f>
        <v>14288.600000000002</v>
      </c>
      <c r="F29" s="43">
        <f>SUM(F25:F28)</f>
        <v>-7617.3999999999987</v>
      </c>
      <c r="G29" s="48" t="s">
        <v>42</v>
      </c>
      <c r="H29" s="43">
        <f>SUM(H25:H28)</f>
        <v>-1599.6539999999993</v>
      </c>
      <c r="I29" s="46"/>
      <c r="J29" s="46"/>
      <c r="K29" s="46"/>
    </row>
    <row r="30" spans="1:16" ht="15" x14ac:dyDescent="0.35">
      <c r="C30" s="46"/>
      <c r="D30" s="46"/>
      <c r="E30" s="43"/>
      <c r="F30" s="43"/>
      <c r="G30" s="46" t="s">
        <v>34</v>
      </c>
      <c r="H30" s="49">
        <f>-H38*0.21</f>
        <v>-70.047495000000012</v>
      </c>
      <c r="I30" s="46"/>
      <c r="J30" s="46"/>
      <c r="K30" s="46"/>
    </row>
    <row r="31" spans="1:16" x14ac:dyDescent="0.2">
      <c r="C31" s="46"/>
      <c r="D31" s="46"/>
      <c r="E31" s="46"/>
      <c r="F31" s="46"/>
      <c r="G31" s="46"/>
      <c r="H31" s="43">
        <f>H29+H30</f>
        <v>-1669.7014949999993</v>
      </c>
      <c r="I31" s="46"/>
      <c r="J31" s="46"/>
      <c r="K31" s="46"/>
    </row>
    <row r="32" spans="1:16" x14ac:dyDescent="0.2">
      <c r="C32" s="46"/>
      <c r="D32" s="46"/>
      <c r="E32" s="46"/>
      <c r="F32" s="46"/>
      <c r="G32" s="46"/>
      <c r="H32" s="43">
        <f>H31-K15</f>
        <v>1031.4825050000009</v>
      </c>
      <c r="I32" s="46" t="s">
        <v>43</v>
      </c>
      <c r="J32" s="46"/>
      <c r="K32" s="46"/>
    </row>
    <row r="33" spans="3:9" x14ac:dyDescent="0.2">
      <c r="C33" s="43" t="s">
        <v>30</v>
      </c>
      <c r="D33" s="38" t="s">
        <v>25</v>
      </c>
      <c r="E33" s="39" t="s">
        <v>31</v>
      </c>
      <c r="F33" s="43" t="s">
        <v>32</v>
      </c>
      <c r="G33" s="48" t="s">
        <v>19</v>
      </c>
      <c r="H33" s="43" t="s">
        <v>33</v>
      </c>
    </row>
    <row r="34" spans="3:9" x14ac:dyDescent="0.2">
      <c r="C34" s="43">
        <v>4636272</v>
      </c>
      <c r="D34" s="43">
        <v>21906</v>
      </c>
      <c r="E34" s="43">
        <v>17235.34</v>
      </c>
      <c r="F34" s="43">
        <f>-D34+E34</f>
        <v>-4670.66</v>
      </c>
      <c r="G34" s="48">
        <v>0.05</v>
      </c>
      <c r="H34" s="43">
        <f>F34*G34</f>
        <v>-233.53300000000002</v>
      </c>
    </row>
    <row r="35" spans="3:9" x14ac:dyDescent="0.2">
      <c r="C35" s="43">
        <v>-79542</v>
      </c>
      <c r="D35" s="43"/>
      <c r="E35" s="43">
        <v>-295.76</v>
      </c>
      <c r="F35" s="43">
        <f>E35</f>
        <v>-295.76</v>
      </c>
      <c r="G35" s="48">
        <v>0.05</v>
      </c>
      <c r="H35" s="43">
        <f t="shared" ref="H35:H37" si="6">F35*G35</f>
        <v>-14.788</v>
      </c>
    </row>
    <row r="36" spans="3:9" x14ac:dyDescent="0.2">
      <c r="C36" s="43">
        <v>2177586</v>
      </c>
      <c r="D36" s="43"/>
      <c r="E36" s="43">
        <v>8870.0300000000007</v>
      </c>
      <c r="F36" s="43">
        <f t="shared" ref="F36:F37" si="7">E36</f>
        <v>8870.0300000000007</v>
      </c>
      <c r="G36" s="48">
        <v>0.05</v>
      </c>
      <c r="H36" s="43">
        <f t="shared" si="6"/>
        <v>443.50150000000008</v>
      </c>
    </row>
    <row r="37" spans="3:9" ht="15" x14ac:dyDescent="0.35">
      <c r="C37" s="43">
        <v>679439</v>
      </c>
      <c r="D37" s="43"/>
      <c r="E37" s="49">
        <v>2767.58</v>
      </c>
      <c r="F37" s="49">
        <f t="shared" si="7"/>
        <v>2767.58</v>
      </c>
      <c r="G37" s="48">
        <v>0.05</v>
      </c>
      <c r="H37" s="49">
        <f t="shared" si="6"/>
        <v>138.37899999999999</v>
      </c>
    </row>
    <row r="38" spans="3:9" x14ac:dyDescent="0.2">
      <c r="C38" s="46"/>
      <c r="D38" s="46"/>
      <c r="E38" s="43">
        <f>SUM(E34:E37)</f>
        <v>28577.190000000002</v>
      </c>
      <c r="F38" s="43">
        <f>SUM(F34:F37)</f>
        <v>6671.1900000000005</v>
      </c>
      <c r="G38" s="46"/>
      <c r="H38" s="43">
        <f>SUM(H34:H37)</f>
        <v>333.55950000000007</v>
      </c>
    </row>
    <row r="39" spans="3:9" x14ac:dyDescent="0.2">
      <c r="C39" s="46"/>
      <c r="D39" s="46"/>
      <c r="E39" s="46"/>
      <c r="F39" s="46"/>
      <c r="G39" s="46"/>
      <c r="H39" s="43">
        <f>H38-L15</f>
        <v>1.8795000000000073</v>
      </c>
      <c r="I39" s="46" t="s">
        <v>46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2 of 5
Clements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7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16" width="12.7109375" customWidth="1"/>
    <col min="17" max="17" width="9.28515625" bestFit="1" customWidth="1"/>
  </cols>
  <sheetData>
    <row r="1" spans="1:17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7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x14ac:dyDescent="0.2">
      <c r="A5" s="6" t="s">
        <v>12</v>
      </c>
    </row>
    <row r="6" spans="1:17" x14ac:dyDescent="0.2">
      <c r="A6" s="22" t="s">
        <v>38</v>
      </c>
    </row>
    <row r="8" spans="1:17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5</v>
      </c>
      <c r="N8" s="2" t="s">
        <v>4</v>
      </c>
    </row>
    <row r="9" spans="1:17" x14ac:dyDescent="0.2">
      <c r="A9" s="8" t="s">
        <v>8</v>
      </c>
      <c r="M9" s="10">
        <v>23403072</v>
      </c>
    </row>
    <row r="10" spans="1:17" x14ac:dyDescent="0.2">
      <c r="A10" s="32">
        <v>44994</v>
      </c>
      <c r="C10" s="34">
        <v>228618614</v>
      </c>
      <c r="D10" s="35">
        <v>920826.5</v>
      </c>
      <c r="E10" s="10">
        <f>1220445.28</f>
        <v>1220445.28</v>
      </c>
      <c r="F10" s="10">
        <f>1857450.24</f>
        <v>1857450.24</v>
      </c>
      <c r="G10" s="12">
        <f t="shared" ref="G10:G15" si="0">E10-D10</f>
        <v>299618.78000000003</v>
      </c>
      <c r="H10" s="12">
        <f t="shared" ref="H10:H15" si="1">F10-D10</f>
        <v>936623.74</v>
      </c>
      <c r="I10" s="3">
        <v>0.21</v>
      </c>
      <c r="J10" s="3">
        <v>0.05</v>
      </c>
      <c r="K10" s="9">
        <f>G10*I10-46831*I10-3214</f>
        <v>49871.433799999999</v>
      </c>
      <c r="L10" s="9">
        <f t="shared" ref="L10:L15" si="2">H10*J10-17</f>
        <v>46814.187000000005</v>
      </c>
      <c r="M10" s="15">
        <f t="shared" ref="M10:M15" si="3">M9+K10+L10</f>
        <v>23499757.6208</v>
      </c>
      <c r="N10" s="9">
        <v>0</v>
      </c>
      <c r="O10" s="33"/>
      <c r="Q10" s="23"/>
    </row>
    <row r="11" spans="1:17" x14ac:dyDescent="0.2">
      <c r="A11" s="32">
        <v>45017</v>
      </c>
      <c r="C11" s="34">
        <v>228618614</v>
      </c>
      <c r="D11" s="35">
        <v>920827</v>
      </c>
      <c r="E11" s="10">
        <f>1220445.28</f>
        <v>1220445.28</v>
      </c>
      <c r="F11" s="10">
        <f>1857450.24</f>
        <v>1857450.24</v>
      </c>
      <c r="G11" s="12">
        <f t="shared" si="0"/>
        <v>299618.28000000003</v>
      </c>
      <c r="H11" s="12">
        <f t="shared" si="1"/>
        <v>936623.24</v>
      </c>
      <c r="I11" s="3">
        <v>0.21</v>
      </c>
      <c r="J11" s="3">
        <v>0.05</v>
      </c>
      <c r="K11" s="9">
        <f>G11*I11-46831*I11-3214</f>
        <v>49871.328800000003</v>
      </c>
      <c r="L11" s="9">
        <f t="shared" si="2"/>
        <v>46814.162000000004</v>
      </c>
      <c r="M11" s="15">
        <f t="shared" si="3"/>
        <v>23596443.1116</v>
      </c>
      <c r="N11" s="9">
        <v>0</v>
      </c>
      <c r="O11" s="33"/>
      <c r="Q11" s="9"/>
    </row>
    <row r="12" spans="1:17" x14ac:dyDescent="0.2">
      <c r="A12" s="32">
        <v>45047</v>
      </c>
      <c r="C12" s="12">
        <v>230149304</v>
      </c>
      <c r="D12" s="13">
        <v>923926</v>
      </c>
      <c r="E12" s="10">
        <f>1232164.62-2713</f>
        <v>1229451.6200000001</v>
      </c>
      <c r="F12" s="10">
        <f>1869169.58-2713</f>
        <v>1866456.58</v>
      </c>
      <c r="G12" s="12">
        <f>E12-D12</f>
        <v>305525.62000000011</v>
      </c>
      <c r="H12" s="12">
        <f>F12-D12</f>
        <v>942530.58000000007</v>
      </c>
      <c r="I12" s="3">
        <v>0.21</v>
      </c>
      <c r="J12" s="3">
        <v>0.05</v>
      </c>
      <c r="K12" s="9">
        <f>G12*I12-47127*I12-3214</f>
        <v>51049.710200000023</v>
      </c>
      <c r="L12" s="9">
        <f t="shared" si="2"/>
        <v>47109.52900000001</v>
      </c>
      <c r="M12" s="15">
        <f t="shared" si="3"/>
        <v>23694602.3508</v>
      </c>
      <c r="N12" s="9">
        <v>0</v>
      </c>
      <c r="Q12" s="9"/>
    </row>
    <row r="13" spans="1:17" x14ac:dyDescent="0.2">
      <c r="A13" s="32">
        <v>45078</v>
      </c>
      <c r="C13" s="12">
        <v>230149304</v>
      </c>
      <c r="D13" s="13">
        <v>927026</v>
      </c>
      <c r="E13" s="10">
        <f>1232164.62+382</f>
        <v>1232546.6200000001</v>
      </c>
      <c r="F13" s="10">
        <f>1869169.58+382</f>
        <v>1869551.58</v>
      </c>
      <c r="G13" s="12">
        <f t="shared" si="0"/>
        <v>305520.62000000011</v>
      </c>
      <c r="H13" s="12">
        <f t="shared" si="1"/>
        <v>942525.58000000007</v>
      </c>
      <c r="I13" s="3">
        <v>0.21</v>
      </c>
      <c r="J13" s="3">
        <v>0.05</v>
      </c>
      <c r="K13" s="9">
        <f>G13*I13-47126*I13-3214</f>
        <v>51048.870200000019</v>
      </c>
      <c r="L13" s="9">
        <f t="shared" si="2"/>
        <v>47109.27900000001</v>
      </c>
      <c r="M13" s="15">
        <f t="shared" si="3"/>
        <v>23792760.5</v>
      </c>
      <c r="N13" s="9">
        <v>0</v>
      </c>
      <c r="Q13" s="12"/>
    </row>
    <row r="14" spans="1:17" x14ac:dyDescent="0.2">
      <c r="A14" s="32">
        <v>45108</v>
      </c>
      <c r="C14" s="12">
        <v>230149304</v>
      </c>
      <c r="D14" s="13">
        <v>927026</v>
      </c>
      <c r="E14" s="10">
        <f>1232164.62+389</f>
        <v>1232553.6200000001</v>
      </c>
      <c r="F14" s="10">
        <f>1869169.58+389</f>
        <v>1869558.58</v>
      </c>
      <c r="G14" s="12">
        <f>E14-D14</f>
        <v>305527.62000000011</v>
      </c>
      <c r="H14" s="12">
        <f>F14-D14</f>
        <v>942532.58000000007</v>
      </c>
      <c r="I14" s="3">
        <v>0.21</v>
      </c>
      <c r="J14" s="3">
        <v>0.05</v>
      </c>
      <c r="K14" s="9">
        <f>G14*I14-47127*I14-3214</f>
        <v>51050.130200000021</v>
      </c>
      <c r="L14" s="9">
        <f t="shared" si="2"/>
        <v>47109.629000000008</v>
      </c>
      <c r="M14" s="15">
        <f t="shared" si="3"/>
        <v>23890920.259199999</v>
      </c>
      <c r="N14" s="9">
        <v>0</v>
      </c>
      <c r="P14" s="12"/>
      <c r="Q14" s="9"/>
    </row>
    <row r="15" spans="1:17" x14ac:dyDescent="0.2">
      <c r="A15" s="32">
        <v>45139</v>
      </c>
      <c r="C15" s="12">
        <v>230149304</v>
      </c>
      <c r="D15" s="13">
        <v>927026.49</v>
      </c>
      <c r="E15" s="10">
        <f>1232164.62+387</f>
        <v>1232551.6200000001</v>
      </c>
      <c r="F15" s="10">
        <f>1869169.58+387</f>
        <v>1869556.58</v>
      </c>
      <c r="G15" s="12">
        <f t="shared" si="0"/>
        <v>305525.13000000012</v>
      </c>
      <c r="H15" s="12">
        <f t="shared" si="1"/>
        <v>942530.09000000008</v>
      </c>
      <c r="I15" s="3">
        <v>0.21</v>
      </c>
      <c r="J15" s="3">
        <v>0.05</v>
      </c>
      <c r="K15" s="9">
        <f>G15*I15-47127*I15-3214</f>
        <v>51049.607300000025</v>
      </c>
      <c r="L15" s="9">
        <f t="shared" si="2"/>
        <v>47109.50450000001</v>
      </c>
      <c r="M15" s="15">
        <f t="shared" si="3"/>
        <v>23989079.370999999</v>
      </c>
      <c r="N15" s="9">
        <v>0</v>
      </c>
      <c r="Q15" s="9"/>
    </row>
    <row r="16" spans="1:17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43" t="s">
        <v>45</v>
      </c>
      <c r="D17" s="44"/>
      <c r="E17" s="44"/>
      <c r="F17" s="44"/>
      <c r="G17" s="36"/>
      <c r="H17" s="36"/>
      <c r="I17" s="36"/>
      <c r="J17" s="43"/>
      <c r="K17" s="43"/>
      <c r="L17" s="3"/>
      <c r="M17" s="3"/>
      <c r="N17" s="9"/>
      <c r="O17" s="15"/>
      <c r="P17" s="9"/>
    </row>
    <row r="18" spans="1:16" x14ac:dyDescent="0.2">
      <c r="A18" s="16"/>
      <c r="C18" s="43"/>
      <c r="D18" s="44"/>
      <c r="E18" s="44"/>
      <c r="F18" s="44"/>
      <c r="G18" s="36"/>
      <c r="H18" s="36"/>
      <c r="I18" s="36"/>
      <c r="J18" s="43"/>
      <c r="K18" s="43"/>
      <c r="L18" s="3"/>
      <c r="M18" s="3"/>
      <c r="N18" s="9"/>
      <c r="O18" s="15"/>
      <c r="P18" s="9"/>
    </row>
    <row r="19" spans="1:16" x14ac:dyDescent="0.2">
      <c r="C19" s="45" t="s">
        <v>47</v>
      </c>
      <c r="D19" s="46"/>
      <c r="E19" s="46"/>
      <c r="F19" s="46"/>
      <c r="G19" s="46"/>
      <c r="H19" s="46"/>
      <c r="I19" s="46"/>
      <c r="J19" s="46"/>
      <c r="K19" s="46"/>
    </row>
    <row r="20" spans="1:16" x14ac:dyDescent="0.2">
      <c r="C20" s="45" t="s">
        <v>22</v>
      </c>
      <c r="D20" s="46"/>
      <c r="E20" s="46"/>
      <c r="F20" s="46"/>
      <c r="G20" s="46"/>
      <c r="H20" s="46"/>
      <c r="I20" s="46"/>
      <c r="J20" s="46"/>
      <c r="K20" s="46"/>
    </row>
    <row r="21" spans="1:16" x14ac:dyDescent="0.2">
      <c r="C21" s="45" t="s">
        <v>44</v>
      </c>
      <c r="D21" s="46"/>
      <c r="E21" s="46"/>
      <c r="F21" s="46"/>
      <c r="G21" s="46"/>
      <c r="H21" s="46"/>
      <c r="I21" s="46"/>
      <c r="J21" s="46"/>
      <c r="K21" s="46"/>
    </row>
    <row r="22" spans="1:16" x14ac:dyDescent="0.2">
      <c r="C22" s="43" t="s">
        <v>23</v>
      </c>
      <c r="D22" s="46"/>
      <c r="E22" s="46"/>
      <c r="F22" s="46"/>
      <c r="G22" s="46"/>
      <c r="H22" s="46"/>
      <c r="I22" s="46"/>
      <c r="J22" s="46"/>
      <c r="K22" s="46"/>
    </row>
    <row r="24" spans="1:16" x14ac:dyDescent="0.2">
      <c r="C24" s="43" t="s">
        <v>24</v>
      </c>
      <c r="D24" s="41" t="s">
        <v>25</v>
      </c>
      <c r="E24" s="39" t="s">
        <v>26</v>
      </c>
      <c r="F24" s="43" t="s">
        <v>27</v>
      </c>
      <c r="G24" s="48" t="s">
        <v>18</v>
      </c>
      <c r="H24" s="43" t="s">
        <v>28</v>
      </c>
      <c r="I24" s="46"/>
      <c r="J24" s="46"/>
      <c r="K24" s="46"/>
    </row>
    <row r="25" spans="1:16" x14ac:dyDescent="0.2">
      <c r="C25" s="43">
        <v>4378287</v>
      </c>
      <c r="D25" s="43">
        <v>927026</v>
      </c>
      <c r="E25" s="43">
        <v>12483.96</v>
      </c>
      <c r="F25" s="43">
        <f>-D25+E25</f>
        <v>-914542.04</v>
      </c>
      <c r="G25" s="48">
        <v>0.21</v>
      </c>
      <c r="H25" s="43">
        <f>F25*G25</f>
        <v>-192053.8284</v>
      </c>
      <c r="I25" s="46"/>
      <c r="J25" s="46"/>
      <c r="K25" s="46"/>
    </row>
    <row r="26" spans="1:16" x14ac:dyDescent="0.2">
      <c r="C26" s="43">
        <v>1178248</v>
      </c>
      <c r="D26" s="43"/>
      <c r="E26" s="43">
        <v>8050.87</v>
      </c>
      <c r="F26" s="43">
        <f>E26</f>
        <v>8050.87</v>
      </c>
      <c r="G26" s="48">
        <v>0.21</v>
      </c>
      <c r="H26" s="43">
        <f t="shared" ref="H26:H31" si="4">F26*G26</f>
        <v>1690.6826999999998</v>
      </c>
      <c r="I26" s="46"/>
      <c r="J26" s="46"/>
      <c r="K26" s="46"/>
    </row>
    <row r="27" spans="1:16" x14ac:dyDescent="0.2">
      <c r="C27" s="43">
        <v>527243</v>
      </c>
      <c r="D27" s="43"/>
      <c r="E27" s="43">
        <v>4393.3</v>
      </c>
      <c r="F27" s="43">
        <f t="shared" ref="F27:F31" si="5">E27</f>
        <v>4393.3</v>
      </c>
      <c r="G27" s="48">
        <v>0.21</v>
      </c>
      <c r="H27" s="43">
        <f t="shared" si="4"/>
        <v>922.59299999999996</v>
      </c>
      <c r="I27" s="46"/>
      <c r="J27" s="46"/>
      <c r="K27" s="46"/>
    </row>
    <row r="28" spans="1:16" x14ac:dyDescent="0.2">
      <c r="C28" s="43">
        <v>110974612</v>
      </c>
      <c r="D28" s="43"/>
      <c r="E28" s="43">
        <v>924705.2</v>
      </c>
      <c r="F28" s="43">
        <f t="shared" si="5"/>
        <v>924705.2</v>
      </c>
      <c r="G28" s="48">
        <v>0.21</v>
      </c>
      <c r="H28" s="43">
        <f t="shared" si="4"/>
        <v>194188.09199999998</v>
      </c>
      <c r="I28" s="46"/>
      <c r="J28" s="46"/>
      <c r="K28" s="46"/>
    </row>
    <row r="29" spans="1:16" x14ac:dyDescent="0.2">
      <c r="C29" s="43">
        <v>3397057.0700000003</v>
      </c>
      <c r="D29" s="43"/>
      <c r="E29" s="43">
        <v>29225.73</v>
      </c>
      <c r="F29" s="43">
        <f t="shared" si="5"/>
        <v>29225.73</v>
      </c>
      <c r="G29" s="48">
        <v>0.21</v>
      </c>
      <c r="H29" s="43">
        <f t="shared" si="4"/>
        <v>6137.4032999999999</v>
      </c>
      <c r="I29" s="46"/>
      <c r="J29" s="46"/>
      <c r="K29" s="46"/>
    </row>
    <row r="30" spans="1:16" x14ac:dyDescent="0.2">
      <c r="C30" s="43">
        <v>6388511.0600000005</v>
      </c>
      <c r="D30" s="43"/>
      <c r="E30" s="43">
        <v>54961.96</v>
      </c>
      <c r="F30" s="43">
        <f t="shared" si="5"/>
        <v>54961.96</v>
      </c>
      <c r="G30" s="48">
        <v>0.21</v>
      </c>
      <c r="H30" s="43">
        <f t="shared" si="4"/>
        <v>11542.0116</v>
      </c>
      <c r="I30" s="46"/>
      <c r="J30" s="46"/>
      <c r="K30" s="46"/>
    </row>
    <row r="31" spans="1:16" x14ac:dyDescent="0.2">
      <c r="C31" s="43">
        <v>20981002</v>
      </c>
      <c r="D31" s="43"/>
      <c r="E31" s="50">
        <v>186624.27</v>
      </c>
      <c r="F31" s="50">
        <f t="shared" si="5"/>
        <v>186624.27</v>
      </c>
      <c r="G31" s="51">
        <v>0.21</v>
      </c>
      <c r="H31" s="50">
        <f t="shared" si="4"/>
        <v>39191.096699999995</v>
      </c>
      <c r="I31" s="46"/>
      <c r="J31" s="46"/>
      <c r="K31" s="46"/>
    </row>
    <row r="32" spans="1:16" ht="15" x14ac:dyDescent="0.35">
      <c r="C32" s="43">
        <f>459207+1071483</f>
        <v>1530690</v>
      </c>
      <c r="D32" s="43"/>
      <c r="E32" s="49">
        <f>4464.51+3348.38+4293.3</f>
        <v>12106.19</v>
      </c>
      <c r="F32" s="49">
        <f>E32</f>
        <v>12106.19</v>
      </c>
      <c r="G32" s="51">
        <v>0.21</v>
      </c>
      <c r="H32" s="49">
        <f>F32*G32</f>
        <v>2542.2999</v>
      </c>
      <c r="I32" s="46"/>
      <c r="J32" s="46"/>
      <c r="K32" s="46"/>
    </row>
    <row r="33" spans="3:11" x14ac:dyDescent="0.2">
      <c r="C33" s="46"/>
      <c r="D33" s="46"/>
      <c r="E33" s="43">
        <f>SUM(E25:E32)</f>
        <v>1232551.4799999997</v>
      </c>
      <c r="F33" s="43">
        <f>SUM(F25:F32)</f>
        <v>305525.47999999992</v>
      </c>
      <c r="G33" s="46" t="s">
        <v>42</v>
      </c>
      <c r="H33" s="43">
        <f>SUM(H25:H32)</f>
        <v>64160.350799999971</v>
      </c>
      <c r="I33" s="46"/>
      <c r="J33" s="46"/>
      <c r="K33" s="46"/>
    </row>
    <row r="34" spans="3:11" ht="15" x14ac:dyDescent="0.35">
      <c r="C34" s="46"/>
      <c r="D34" s="46"/>
      <c r="E34" s="46"/>
      <c r="F34" s="46"/>
      <c r="G34" s="46" t="s">
        <v>34</v>
      </c>
      <c r="H34" s="49">
        <f>-H46*0.21</f>
        <v>-9896.5696200000002</v>
      </c>
      <c r="I34" s="46"/>
      <c r="J34" s="46"/>
      <c r="K34" s="46"/>
    </row>
    <row r="35" spans="3:11" x14ac:dyDescent="0.2">
      <c r="C35" s="46"/>
      <c r="D35" s="46"/>
      <c r="E35" s="46"/>
      <c r="F35" s="46"/>
      <c r="G35" s="46"/>
      <c r="H35" s="43">
        <f>H33+H34</f>
        <v>54263.781179999969</v>
      </c>
      <c r="I35" s="46"/>
      <c r="J35" s="46"/>
      <c r="K35" s="46"/>
    </row>
    <row r="36" spans="3:11" x14ac:dyDescent="0.2">
      <c r="C36" s="46"/>
      <c r="D36" s="46"/>
      <c r="E36" s="46"/>
      <c r="F36" s="46"/>
      <c r="G36" s="46"/>
      <c r="H36" s="43">
        <f>H35-K15</f>
        <v>3214.1738799999439</v>
      </c>
      <c r="I36" s="46" t="s">
        <v>43</v>
      </c>
      <c r="J36" s="46"/>
      <c r="K36" s="46"/>
    </row>
    <row r="37" spans="3:11" x14ac:dyDescent="0.2">
      <c r="C37" s="43" t="s">
        <v>30</v>
      </c>
      <c r="D37" s="38" t="s">
        <v>25</v>
      </c>
      <c r="E37" s="39" t="s">
        <v>31</v>
      </c>
      <c r="F37" s="43" t="s">
        <v>32</v>
      </c>
      <c r="G37" s="48" t="s">
        <v>19</v>
      </c>
      <c r="H37" s="43" t="s">
        <v>33</v>
      </c>
      <c r="I37" s="46"/>
      <c r="J37" s="46"/>
      <c r="K37" s="46"/>
    </row>
    <row r="38" spans="3:11" x14ac:dyDescent="0.2">
      <c r="C38" s="43">
        <v>8756574</v>
      </c>
      <c r="D38" s="43">
        <v>927026</v>
      </c>
      <c r="E38" s="43">
        <v>24967.91</v>
      </c>
      <c r="F38" s="43">
        <f>-D38+E38</f>
        <v>-902058.09</v>
      </c>
      <c r="G38" s="48">
        <v>0.05</v>
      </c>
      <c r="H38" s="43">
        <f>F38*G38</f>
        <v>-45102.904500000004</v>
      </c>
      <c r="I38" s="46"/>
      <c r="J38" s="46"/>
      <c r="K38" s="46"/>
    </row>
    <row r="39" spans="3:11" x14ac:dyDescent="0.2">
      <c r="C39" s="43">
        <v>2356496</v>
      </c>
      <c r="D39" s="46"/>
      <c r="E39" s="43">
        <v>16101.74</v>
      </c>
      <c r="F39" s="43">
        <f>E39</f>
        <v>16101.74</v>
      </c>
      <c r="G39" s="48">
        <v>0.05</v>
      </c>
      <c r="H39" s="43">
        <f t="shared" ref="H39:H44" si="6">F39*G39</f>
        <v>805.08699999999999</v>
      </c>
      <c r="I39" s="46"/>
      <c r="J39" s="46"/>
      <c r="K39" s="46"/>
    </row>
    <row r="40" spans="3:11" x14ac:dyDescent="0.2">
      <c r="C40" s="43">
        <v>527243</v>
      </c>
      <c r="D40" s="46"/>
      <c r="E40" s="43">
        <v>4393.3</v>
      </c>
      <c r="F40" s="43">
        <f t="shared" ref="F40:F44" si="7">E40</f>
        <v>4393.3</v>
      </c>
      <c r="G40" s="48">
        <v>0.05</v>
      </c>
      <c r="H40" s="43">
        <f t="shared" si="6"/>
        <v>219.66500000000002</v>
      </c>
      <c r="I40" s="46"/>
      <c r="J40" s="46"/>
      <c r="K40" s="46"/>
    </row>
    <row r="41" spans="3:11" x14ac:dyDescent="0.2">
      <c r="C41" s="43">
        <v>184957686</v>
      </c>
      <c r="D41" s="46"/>
      <c r="E41" s="43">
        <v>1541175.34</v>
      </c>
      <c r="F41" s="43">
        <f t="shared" si="7"/>
        <v>1541175.34</v>
      </c>
      <c r="G41" s="48">
        <v>0.05</v>
      </c>
      <c r="H41" s="43">
        <f t="shared" si="6"/>
        <v>77058.767000000007</v>
      </c>
      <c r="I41" s="46"/>
      <c r="J41" s="46"/>
      <c r="K41" s="46"/>
    </row>
    <row r="42" spans="3:11" x14ac:dyDescent="0.2">
      <c r="C42" s="43">
        <v>3397057.0700000003</v>
      </c>
      <c r="D42" s="46"/>
      <c r="E42" s="43">
        <v>29225.73</v>
      </c>
      <c r="F42" s="43">
        <f t="shared" si="7"/>
        <v>29225.73</v>
      </c>
      <c r="G42" s="48">
        <v>0.05</v>
      </c>
      <c r="H42" s="43">
        <f t="shared" si="6"/>
        <v>1461.2865000000002</v>
      </c>
      <c r="I42" s="46"/>
      <c r="J42" s="46"/>
      <c r="K42" s="46"/>
    </row>
    <row r="43" spans="3:11" x14ac:dyDescent="0.2">
      <c r="C43" s="43">
        <v>6388511.0600000005</v>
      </c>
      <c r="D43" s="46"/>
      <c r="E43" s="43">
        <v>54961.96</v>
      </c>
      <c r="F43" s="43">
        <f t="shared" si="7"/>
        <v>54961.96</v>
      </c>
      <c r="G43" s="48">
        <v>0.05</v>
      </c>
      <c r="H43" s="43">
        <f t="shared" si="6"/>
        <v>2748.098</v>
      </c>
      <c r="I43" s="46"/>
      <c r="J43" s="46"/>
      <c r="K43" s="46"/>
    </row>
    <row r="44" spans="3:11" x14ac:dyDescent="0.2">
      <c r="C44" s="43">
        <v>20981002</v>
      </c>
      <c r="D44" s="46"/>
      <c r="E44" s="50">
        <v>186624.27</v>
      </c>
      <c r="F44" s="50">
        <f t="shared" si="7"/>
        <v>186624.27</v>
      </c>
      <c r="G44" s="51">
        <v>0.05</v>
      </c>
      <c r="H44" s="50">
        <f t="shared" si="6"/>
        <v>9331.2134999999998</v>
      </c>
      <c r="I44" s="46"/>
      <c r="J44" s="46"/>
      <c r="K44" s="46"/>
    </row>
    <row r="45" spans="3:11" ht="15" x14ac:dyDescent="0.35">
      <c r="C45" s="43">
        <f>C32</f>
        <v>1530690</v>
      </c>
      <c r="D45" s="46"/>
      <c r="E45" s="49">
        <f>E32</f>
        <v>12106.19</v>
      </c>
      <c r="F45" s="49">
        <f>E45</f>
        <v>12106.19</v>
      </c>
      <c r="G45" s="51">
        <v>0.05</v>
      </c>
      <c r="H45" s="49">
        <f>F45*G45</f>
        <v>605.30950000000007</v>
      </c>
      <c r="I45" s="46"/>
      <c r="J45" s="46"/>
      <c r="K45" s="46"/>
    </row>
    <row r="46" spans="3:11" x14ac:dyDescent="0.2">
      <c r="C46" s="46"/>
      <c r="D46" s="46"/>
      <c r="E46" s="43">
        <f>SUM(E38:E45)</f>
        <v>1869556.44</v>
      </c>
      <c r="F46" s="43">
        <f>SUM(F38:F45)</f>
        <v>942530.44000000006</v>
      </c>
      <c r="G46" s="46"/>
      <c r="H46" s="43">
        <f>SUM(H38:H45)</f>
        <v>47126.522000000004</v>
      </c>
      <c r="I46" s="46"/>
      <c r="J46" s="46"/>
      <c r="K46" s="46"/>
    </row>
    <row r="47" spans="3:11" x14ac:dyDescent="0.2">
      <c r="C47" s="46"/>
      <c r="D47" s="46"/>
      <c r="E47" s="46"/>
      <c r="F47" s="46"/>
      <c r="G47" s="46"/>
      <c r="H47" s="43">
        <f>H46-L15</f>
        <v>17.01749999999447</v>
      </c>
      <c r="I47" s="46" t="s">
        <v>46</v>
      </c>
      <c r="J47" s="46"/>
      <c r="K47" s="46"/>
    </row>
  </sheetData>
  <pageMargins left="0.5" right="0.5" top="1.5" bottom="0.5" header="0.5" footer="0.5"/>
  <pageSetup scale="58" orientation="portrait" r:id="rId1"/>
  <headerFooter alignWithMargins="0">
    <oddHeader>&amp;R&amp;"Times New Roman,Bold"&amp;12Attachment to Response to Question No. 3
Page 3 of 5
Clements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9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42578125" customWidth="1"/>
    <col min="4" max="4" width="12.7109375" customWidth="1"/>
    <col min="5" max="5" width="15.8554687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20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20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0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0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 t="s">
        <v>11</v>
      </c>
      <c r="N4" s="4"/>
      <c r="O4" s="4"/>
      <c r="P4" s="4"/>
    </row>
    <row r="5" spans="1:20" x14ac:dyDescent="0.2">
      <c r="A5" s="6" t="s">
        <v>12</v>
      </c>
    </row>
    <row r="6" spans="1:20" x14ac:dyDescent="0.2">
      <c r="A6" s="22" t="s">
        <v>13</v>
      </c>
    </row>
    <row r="8" spans="1:20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5</v>
      </c>
      <c r="N8" s="2" t="s">
        <v>4</v>
      </c>
    </row>
    <row r="9" spans="1:20" x14ac:dyDescent="0.2">
      <c r="A9" s="8" t="s">
        <v>8</v>
      </c>
      <c r="M9" s="10">
        <v>4368160</v>
      </c>
    </row>
    <row r="10" spans="1:20" x14ac:dyDescent="0.2">
      <c r="A10" s="32">
        <v>44994</v>
      </c>
      <c r="C10" s="34">
        <v>44210372</v>
      </c>
      <c r="D10" s="35">
        <v>96526.49</v>
      </c>
      <c r="E10" s="35">
        <f>133776.51</f>
        <v>133776.51</v>
      </c>
      <c r="F10" s="35">
        <f>210356.02</f>
        <v>210356.02</v>
      </c>
      <c r="G10" s="14">
        <f t="shared" ref="G10:G13" si="0">E10-D10</f>
        <v>37250.020000000004</v>
      </c>
      <c r="H10" s="14">
        <f t="shared" ref="H10:H13" si="1">F10-D10</f>
        <v>113829.52999999998</v>
      </c>
      <c r="I10" s="3">
        <v>0.21</v>
      </c>
      <c r="J10" s="3">
        <v>0.05</v>
      </c>
      <c r="K10" s="9">
        <f>G10*I10-L10*I10-7.37</f>
        <v>6619.9241350000002</v>
      </c>
      <c r="L10" s="9">
        <f t="shared" ref="L10:L13" si="2">H10*J10</f>
        <v>5691.4764999999998</v>
      </c>
      <c r="M10" s="15">
        <f t="shared" ref="M10:M15" si="3">M9+K10+L10</f>
        <v>4380471.4006350003</v>
      </c>
      <c r="N10" s="9">
        <v>0</v>
      </c>
      <c r="O10" s="33"/>
    </row>
    <row r="11" spans="1:20" x14ac:dyDescent="0.2">
      <c r="A11" s="32">
        <v>45017</v>
      </c>
      <c r="C11" s="34">
        <v>44210372</v>
      </c>
      <c r="D11" s="35">
        <v>96526</v>
      </c>
      <c r="E11" s="35">
        <f>133776.51</f>
        <v>133776.51</v>
      </c>
      <c r="F11" s="35">
        <f>210356.02</f>
        <v>210356.02</v>
      </c>
      <c r="G11" s="14">
        <f t="shared" si="0"/>
        <v>37250.510000000009</v>
      </c>
      <c r="H11" s="14">
        <f t="shared" si="1"/>
        <v>113830.01999999999</v>
      </c>
      <c r="I11" s="3">
        <v>0.21</v>
      </c>
      <c r="J11" s="3">
        <v>0.05</v>
      </c>
      <c r="K11" s="9">
        <f>G11*I11-L11*I11-7.37</f>
        <v>6620.0218900000018</v>
      </c>
      <c r="L11" s="9">
        <f t="shared" si="2"/>
        <v>5691.5010000000002</v>
      </c>
      <c r="M11" s="15">
        <f t="shared" si="3"/>
        <v>4392782.9235250009</v>
      </c>
      <c r="N11" s="9">
        <v>0</v>
      </c>
      <c r="O11" s="33"/>
      <c r="Q11" s="9">
        <f>358619-M12</f>
        <v>-4047300.9995000008</v>
      </c>
      <c r="R11" s="17" t="s">
        <v>11</v>
      </c>
    </row>
    <row r="12" spans="1:20" x14ac:dyDescent="0.2">
      <c r="A12" s="32">
        <v>45047</v>
      </c>
      <c r="C12" s="12">
        <v>45463620</v>
      </c>
      <c r="D12" s="13">
        <v>97894</v>
      </c>
      <c r="E12" s="35">
        <f>139651.11-1197.77</f>
        <v>138453.34</v>
      </c>
      <c r="F12" s="35">
        <f>216230.62-1197.77</f>
        <v>215032.85</v>
      </c>
      <c r="G12" s="14">
        <f t="shared" si="0"/>
        <v>40559.339999999997</v>
      </c>
      <c r="H12" s="14">
        <f t="shared" si="1"/>
        <v>117138.85</v>
      </c>
      <c r="I12" s="3">
        <v>0.21</v>
      </c>
      <c r="J12" s="3">
        <v>0.05</v>
      </c>
      <c r="K12" s="9">
        <f>G12*I12-L12*I12-7.37</f>
        <v>7280.1334749999978</v>
      </c>
      <c r="L12" s="9">
        <f t="shared" si="2"/>
        <v>5856.942500000001</v>
      </c>
      <c r="M12" s="15">
        <f t="shared" si="3"/>
        <v>4405919.9995000008</v>
      </c>
      <c r="N12" s="9">
        <v>379810.06</v>
      </c>
      <c r="Q12">
        <f>+Q11/0.389</f>
        <v>-10404372.749357328</v>
      </c>
      <c r="R12" s="9"/>
    </row>
    <row r="13" spans="1:20" x14ac:dyDescent="0.2">
      <c r="A13" s="32">
        <v>45078</v>
      </c>
      <c r="C13" s="12">
        <v>45463620</v>
      </c>
      <c r="D13" s="13">
        <v>99262</v>
      </c>
      <c r="E13" s="35">
        <f>139651.11+169.93</f>
        <v>139821.03999999998</v>
      </c>
      <c r="F13" s="35">
        <f>216230.62+169.93</f>
        <v>216400.55</v>
      </c>
      <c r="G13" s="14">
        <f t="shared" si="0"/>
        <v>40559.039999999979</v>
      </c>
      <c r="H13" s="14">
        <f t="shared" si="1"/>
        <v>117138.54999999999</v>
      </c>
      <c r="I13" s="3">
        <v>0.21</v>
      </c>
      <c r="J13" s="3">
        <v>0.05</v>
      </c>
      <c r="K13" s="9">
        <f>G13*I13-L13*I13-7.37</f>
        <v>7280.0736249999945</v>
      </c>
      <c r="L13" s="9">
        <f t="shared" si="2"/>
        <v>5856.9274999999998</v>
      </c>
      <c r="M13" s="15">
        <f t="shared" si="3"/>
        <v>4419057.0006250013</v>
      </c>
      <c r="N13" s="9">
        <v>379810.06</v>
      </c>
      <c r="Q13" s="9">
        <f>374733-M14</f>
        <v>-4057461.0017500017</v>
      </c>
    </row>
    <row r="14" spans="1:20" x14ac:dyDescent="0.2">
      <c r="A14" s="32">
        <v>45108</v>
      </c>
      <c r="C14" s="12">
        <v>45463620</v>
      </c>
      <c r="D14" s="13">
        <v>99262</v>
      </c>
      <c r="E14" s="35">
        <f>139651.11+169.93</f>
        <v>139821.03999999998</v>
      </c>
      <c r="F14" s="35">
        <f>216230.62+169.93</f>
        <v>216400.55</v>
      </c>
      <c r="G14" s="14">
        <f>E14-D14</f>
        <v>40559.039999999979</v>
      </c>
      <c r="H14" s="14">
        <f>F14-D14</f>
        <v>117138.54999999999</v>
      </c>
      <c r="I14" s="3">
        <v>0.21</v>
      </c>
      <c r="J14" s="3">
        <v>0.05</v>
      </c>
      <c r="K14" s="9">
        <f>G14*I14-L14*I14-7.37</f>
        <v>7280.0736249999945</v>
      </c>
      <c r="L14" s="9">
        <f>H14*J14</f>
        <v>5856.9274999999998</v>
      </c>
      <c r="M14" s="15">
        <f t="shared" si="3"/>
        <v>4432194.0017500017</v>
      </c>
      <c r="N14" s="9">
        <v>379810.06</v>
      </c>
      <c r="Q14">
        <f>+Q13/0.389</f>
        <v>-10430491.007069413</v>
      </c>
      <c r="R14" s="9"/>
      <c r="S14" s="9"/>
      <c r="T14" s="9"/>
    </row>
    <row r="15" spans="1:20" x14ac:dyDescent="0.2">
      <c r="A15" s="32">
        <v>45139</v>
      </c>
      <c r="C15" s="12">
        <v>45463620</v>
      </c>
      <c r="D15" s="13">
        <v>99261.5</v>
      </c>
      <c r="E15" s="35">
        <f>139651.11+171</f>
        <v>139822.10999999999</v>
      </c>
      <c r="F15" s="35">
        <f>216230.62+171</f>
        <v>216401.62</v>
      </c>
      <c r="G15" s="14">
        <f>E15-D15</f>
        <v>40560.609999999986</v>
      </c>
      <c r="H15" s="14">
        <f>F15-D15</f>
        <v>117140.12</v>
      </c>
      <c r="I15" s="3">
        <v>0.21</v>
      </c>
      <c r="J15" s="3">
        <v>0.05</v>
      </c>
      <c r="K15" s="9">
        <f>G15*I15-L15*I15-7.25</f>
        <v>7280.5068399999964</v>
      </c>
      <c r="L15" s="9">
        <f>H15*J15</f>
        <v>5857.0060000000003</v>
      </c>
      <c r="M15" s="15">
        <f t="shared" si="3"/>
        <v>4445331.5145900017</v>
      </c>
      <c r="N15" s="9">
        <v>379810.06</v>
      </c>
      <c r="Q15" s="9">
        <f>+M15-386700</f>
        <v>4058631.5145900017</v>
      </c>
      <c r="R15" s="19"/>
      <c r="T15" s="9"/>
    </row>
    <row r="16" spans="1:20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  <c r="Q16">
        <f>+Q15/0.389</f>
        <v>10433500.037506431</v>
      </c>
    </row>
    <row r="17" spans="1:16" x14ac:dyDescent="0.2">
      <c r="A17" s="16"/>
      <c r="C17" s="34" t="s">
        <v>41</v>
      </c>
      <c r="D17" s="35"/>
      <c r="E17" s="35"/>
      <c r="F17" s="35"/>
      <c r="G17" s="36"/>
      <c r="H17" s="36"/>
      <c r="I17" s="36"/>
      <c r="J17" s="34"/>
      <c r="K17" s="34"/>
      <c r="L17" s="3"/>
      <c r="M17" s="3"/>
      <c r="N17" s="9"/>
      <c r="O17" s="15"/>
      <c r="P17" s="9"/>
    </row>
    <row r="18" spans="1:16" x14ac:dyDescent="0.2">
      <c r="A18" s="16"/>
      <c r="C18" s="34"/>
      <c r="D18" s="35"/>
      <c r="E18" s="35"/>
      <c r="F18" s="35"/>
      <c r="G18" s="36"/>
      <c r="H18" s="36"/>
      <c r="I18" s="36"/>
      <c r="J18" s="34"/>
      <c r="K18" s="34"/>
      <c r="L18" s="3"/>
      <c r="M18" s="3"/>
      <c r="N18" s="9"/>
      <c r="O18" s="15"/>
      <c r="P18" s="9"/>
    </row>
    <row r="19" spans="1:16" x14ac:dyDescent="0.2">
      <c r="C19" s="45" t="s">
        <v>36</v>
      </c>
      <c r="D19" s="38"/>
      <c r="E19" s="38"/>
      <c r="F19" s="38"/>
      <c r="G19" s="39"/>
      <c r="H19" s="39"/>
      <c r="I19" s="46"/>
      <c r="J19" s="46"/>
      <c r="K19" s="46"/>
    </row>
    <row r="20" spans="1:16" x14ac:dyDescent="0.2">
      <c r="C20" s="45" t="s">
        <v>22</v>
      </c>
      <c r="D20" s="38"/>
      <c r="E20" s="38"/>
      <c r="F20" s="38"/>
      <c r="G20" s="39"/>
      <c r="H20" s="39"/>
      <c r="I20" s="46"/>
      <c r="J20" s="46"/>
      <c r="K20" s="46"/>
    </row>
    <row r="21" spans="1:16" x14ac:dyDescent="0.2">
      <c r="C21" s="45" t="s">
        <v>44</v>
      </c>
      <c r="D21" s="38"/>
      <c r="E21" s="38"/>
      <c r="F21" s="38"/>
      <c r="G21" s="39"/>
      <c r="H21" s="39"/>
      <c r="I21" s="46"/>
      <c r="J21" s="46"/>
      <c r="K21" s="46"/>
    </row>
    <row r="22" spans="1:16" x14ac:dyDescent="0.2">
      <c r="C22" s="43" t="s">
        <v>23</v>
      </c>
      <c r="D22" s="38"/>
      <c r="E22" s="38"/>
      <c r="F22" s="38"/>
      <c r="G22" s="39"/>
      <c r="H22" s="39"/>
      <c r="I22" s="46"/>
      <c r="J22" s="46"/>
      <c r="K22" s="46"/>
    </row>
    <row r="23" spans="1:16" x14ac:dyDescent="0.2">
      <c r="C23" s="47"/>
      <c r="D23" s="38"/>
      <c r="E23" s="38"/>
      <c r="F23" s="38"/>
      <c r="G23" s="38"/>
      <c r="H23" s="38"/>
      <c r="I23" s="46"/>
      <c r="J23" s="46"/>
      <c r="K23" s="46"/>
    </row>
    <row r="24" spans="1:16" x14ac:dyDescent="0.2">
      <c r="C24" s="43" t="s">
        <v>24</v>
      </c>
      <c r="D24" s="41" t="s">
        <v>25</v>
      </c>
      <c r="E24" s="39" t="s">
        <v>26</v>
      </c>
      <c r="F24" s="43" t="s">
        <v>27</v>
      </c>
      <c r="G24" s="48" t="s">
        <v>18</v>
      </c>
      <c r="H24" s="43" t="s">
        <v>28</v>
      </c>
      <c r="I24" s="46"/>
      <c r="J24" s="46"/>
      <c r="K24" s="46"/>
    </row>
    <row r="25" spans="1:16" x14ac:dyDescent="0.2">
      <c r="C25" s="43">
        <v>189606.505</v>
      </c>
      <c r="D25" s="43">
        <v>99262</v>
      </c>
      <c r="E25" s="43">
        <v>772.33</v>
      </c>
      <c r="F25" s="43">
        <f>-D25+E25</f>
        <v>-98489.67</v>
      </c>
      <c r="G25" s="48">
        <v>0.21</v>
      </c>
      <c r="H25" s="43">
        <f>F25*G25</f>
        <v>-20682.830699999999</v>
      </c>
      <c r="I25" s="46"/>
      <c r="J25" s="46"/>
      <c r="K25" s="46"/>
    </row>
    <row r="26" spans="1:16" x14ac:dyDescent="0.2">
      <c r="C26" s="43">
        <v>27735645</v>
      </c>
      <c r="D26" s="43"/>
      <c r="E26" s="43">
        <v>132044.78</v>
      </c>
      <c r="F26" s="43">
        <f>E26</f>
        <v>132044.78</v>
      </c>
      <c r="G26" s="48">
        <v>0.21</v>
      </c>
      <c r="H26" s="43">
        <f>F26*G26</f>
        <v>27729.4038</v>
      </c>
      <c r="I26" s="46"/>
      <c r="J26" s="46"/>
      <c r="K26" s="46"/>
    </row>
    <row r="27" spans="1:16" x14ac:dyDescent="0.2">
      <c r="C27" s="43">
        <v>172425</v>
      </c>
      <c r="D27" s="43"/>
      <c r="E27" s="50">
        <v>959.4</v>
      </c>
      <c r="F27" s="50">
        <f>E27</f>
        <v>959.4</v>
      </c>
      <c r="G27" s="51">
        <v>0.21</v>
      </c>
      <c r="H27" s="50">
        <f>F27*G27</f>
        <v>201.47399999999999</v>
      </c>
      <c r="I27" s="46"/>
      <c r="J27" s="46"/>
      <c r="K27" s="46"/>
    </row>
    <row r="28" spans="1:16" ht="15" x14ac:dyDescent="0.35">
      <c r="C28" s="43">
        <v>1253248</v>
      </c>
      <c r="D28" s="43"/>
      <c r="E28" s="49">
        <f>3916.4+2129</f>
        <v>6045.4</v>
      </c>
      <c r="F28" s="49">
        <f>E28</f>
        <v>6045.4</v>
      </c>
      <c r="G28" s="51">
        <v>0.21</v>
      </c>
      <c r="H28" s="49">
        <f>F28*G28</f>
        <v>1269.5339999999999</v>
      </c>
      <c r="I28" s="46"/>
      <c r="J28" s="46"/>
      <c r="K28" s="46"/>
    </row>
    <row r="29" spans="1:16" x14ac:dyDescent="0.2">
      <c r="C29" s="43"/>
      <c r="D29" s="43"/>
      <c r="E29" s="43">
        <f>SUM(E25:E28)</f>
        <v>139821.90999999997</v>
      </c>
      <c r="F29" s="43">
        <f>SUM(F25:F28)</f>
        <v>40559.910000000003</v>
      </c>
      <c r="G29" s="48" t="s">
        <v>42</v>
      </c>
      <c r="H29" s="43">
        <f>SUM(H25:H28)</f>
        <v>8517.5811000000012</v>
      </c>
      <c r="I29" s="46"/>
      <c r="J29" s="46"/>
      <c r="K29" s="46"/>
    </row>
    <row r="30" spans="1:16" ht="15" x14ac:dyDescent="0.35">
      <c r="C30" s="43"/>
      <c r="D30" s="43"/>
      <c r="E30" s="43"/>
      <c r="F30" s="43"/>
      <c r="G30" s="46" t="s">
        <v>34</v>
      </c>
      <c r="H30" s="49">
        <f>-H38*0.21</f>
        <v>-1229.9639099999999</v>
      </c>
      <c r="I30" s="46"/>
      <c r="J30" s="46"/>
      <c r="K30" s="46"/>
    </row>
    <row r="31" spans="1:16" x14ac:dyDescent="0.2">
      <c r="C31" s="46"/>
      <c r="D31" s="46"/>
      <c r="E31" s="46"/>
      <c r="F31" s="46"/>
      <c r="G31" s="46"/>
      <c r="H31" s="43">
        <f>H29+H30</f>
        <v>7287.6171900000008</v>
      </c>
      <c r="I31" s="46"/>
      <c r="J31" s="46"/>
      <c r="K31" s="46"/>
    </row>
    <row r="32" spans="1:16" x14ac:dyDescent="0.2">
      <c r="C32" s="46"/>
      <c r="D32" s="46"/>
      <c r="E32" s="46"/>
      <c r="F32" s="46"/>
      <c r="G32" s="46"/>
      <c r="H32" s="43">
        <f>H31-K15</f>
        <v>7.1103500000044733</v>
      </c>
      <c r="I32" s="31" t="s">
        <v>43</v>
      </c>
      <c r="J32" s="46"/>
      <c r="K32" s="46"/>
    </row>
    <row r="33" spans="3:11" x14ac:dyDescent="0.2">
      <c r="C33" s="43" t="s">
        <v>30</v>
      </c>
      <c r="D33" s="38" t="s">
        <v>25</v>
      </c>
      <c r="E33" s="39" t="s">
        <v>31</v>
      </c>
      <c r="F33" s="43" t="s">
        <v>32</v>
      </c>
      <c r="G33" s="48" t="s">
        <v>19</v>
      </c>
      <c r="H33" s="43" t="s">
        <v>33</v>
      </c>
      <c r="I33" s="46"/>
      <c r="J33" s="46"/>
      <c r="K33" s="46"/>
    </row>
    <row r="34" spans="3:11" x14ac:dyDescent="0.2">
      <c r="C34" s="43">
        <v>379213.01</v>
      </c>
      <c r="D34" s="43">
        <v>99262</v>
      </c>
      <c r="E34" s="43">
        <v>1544.66</v>
      </c>
      <c r="F34" s="43">
        <f>-D34+E34</f>
        <v>-97717.34</v>
      </c>
      <c r="G34" s="48">
        <v>0.05</v>
      </c>
      <c r="H34" s="43">
        <f>F34*G34</f>
        <v>-4885.8670000000002</v>
      </c>
      <c r="I34" s="46"/>
      <c r="J34" s="46"/>
      <c r="K34" s="46"/>
    </row>
    <row r="35" spans="3:11" x14ac:dyDescent="0.2">
      <c r="C35" s="43">
        <v>43658734</v>
      </c>
      <c r="D35" s="43"/>
      <c r="E35" s="43">
        <v>207851.96</v>
      </c>
      <c r="F35" s="43">
        <f>E35</f>
        <v>207851.96</v>
      </c>
      <c r="G35" s="48">
        <v>0.05</v>
      </c>
      <c r="H35" s="43">
        <f>F35*G35</f>
        <v>10392.598</v>
      </c>
      <c r="I35" s="46"/>
      <c r="J35" s="46"/>
      <c r="K35" s="46"/>
    </row>
    <row r="36" spans="3:11" x14ac:dyDescent="0.2">
      <c r="C36" s="43">
        <v>172425</v>
      </c>
      <c r="D36" s="43"/>
      <c r="E36" s="50">
        <v>959.4</v>
      </c>
      <c r="F36" s="50">
        <f>E36</f>
        <v>959.4</v>
      </c>
      <c r="G36" s="51">
        <v>0.05</v>
      </c>
      <c r="H36" s="50">
        <f>F36*G36</f>
        <v>47.97</v>
      </c>
      <c r="I36" s="46"/>
      <c r="J36" s="46"/>
      <c r="K36" s="46"/>
    </row>
    <row r="37" spans="3:11" ht="15" x14ac:dyDescent="0.35">
      <c r="C37" s="43">
        <f>C28</f>
        <v>1253248</v>
      </c>
      <c r="D37" s="43"/>
      <c r="E37" s="49">
        <f>E28</f>
        <v>6045.4</v>
      </c>
      <c r="F37" s="49">
        <f>E37</f>
        <v>6045.4</v>
      </c>
      <c r="G37" s="51">
        <v>0.05</v>
      </c>
      <c r="H37" s="49">
        <f>F37*G37</f>
        <v>302.27</v>
      </c>
      <c r="I37" s="46"/>
      <c r="J37" s="46"/>
      <c r="K37" s="46"/>
    </row>
    <row r="38" spans="3:11" x14ac:dyDescent="0.2">
      <c r="C38" s="43"/>
      <c r="D38" s="43"/>
      <c r="E38" s="43">
        <f>SUM(E34:E37)</f>
        <v>216401.41999999998</v>
      </c>
      <c r="F38" s="43">
        <f>SUM(F34:F37)</f>
        <v>117139.41999999998</v>
      </c>
      <c r="G38" s="46"/>
      <c r="H38" s="43">
        <f>SUM(H34:H37)</f>
        <v>5856.9709999999995</v>
      </c>
      <c r="I38" s="46"/>
      <c r="J38" s="46"/>
      <c r="K38" s="46"/>
    </row>
    <row r="39" spans="3:11" x14ac:dyDescent="0.2">
      <c r="C39" s="43"/>
      <c r="D39" s="43"/>
      <c r="E39" s="43"/>
      <c r="F39" s="43"/>
      <c r="G39" s="48"/>
      <c r="H39" s="43">
        <f>H38-L15</f>
        <v>-3.5000000000763976E-2</v>
      </c>
      <c r="I39" s="46"/>
      <c r="J39" s="46"/>
      <c r="K39" s="46"/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4 of 5
Clements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6FFD6-7AD5-476B-B26B-F38D3E680E55}">
  <sheetPr>
    <pageSetUpPr fitToPage="1"/>
  </sheetPr>
  <dimension ref="A1:T33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42578125" customWidth="1"/>
    <col min="4" max="4" width="12.7109375" customWidth="1"/>
    <col min="5" max="5" width="15.8554687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20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20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0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0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 t="s">
        <v>11</v>
      </c>
      <c r="N4" s="4"/>
      <c r="O4" s="4"/>
      <c r="P4" s="4"/>
    </row>
    <row r="5" spans="1:20" x14ac:dyDescent="0.2">
      <c r="A5" s="6" t="s">
        <v>39</v>
      </c>
    </row>
    <row r="6" spans="1:20" x14ac:dyDescent="0.2">
      <c r="A6" s="22" t="s">
        <v>40</v>
      </c>
    </row>
    <row r="8" spans="1:20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5</v>
      </c>
      <c r="N8" s="2" t="s">
        <v>4</v>
      </c>
    </row>
    <row r="9" spans="1:20" x14ac:dyDescent="0.2">
      <c r="A9" s="8" t="s">
        <v>8</v>
      </c>
      <c r="M9" s="10">
        <v>116802</v>
      </c>
    </row>
    <row r="10" spans="1:20" x14ac:dyDescent="0.2">
      <c r="A10" s="32">
        <v>44994</v>
      </c>
      <c r="C10" s="34">
        <v>5281150</v>
      </c>
      <c r="D10" s="35">
        <v>20585</v>
      </c>
      <c r="E10" s="35">
        <f>46272.88-725.96</f>
        <v>45546.92</v>
      </c>
      <c r="F10" s="35">
        <f>46272.88-725.96</f>
        <v>45546.92</v>
      </c>
      <c r="G10" s="14">
        <f t="shared" ref="G10:G13" si="0">E10-D10</f>
        <v>24961.919999999998</v>
      </c>
      <c r="H10" s="14">
        <f t="shared" ref="H10:H13" si="1">F10-D10</f>
        <v>24961.919999999998</v>
      </c>
      <c r="I10" s="3">
        <v>0.21</v>
      </c>
      <c r="J10" s="3">
        <v>0.05</v>
      </c>
      <c r="K10" s="9">
        <f t="shared" ref="K10:K13" si="2">G10*I10-L10*I10</f>
        <v>4979.9030399999992</v>
      </c>
      <c r="L10" s="9">
        <f t="shared" ref="L10:L13" si="3">H10*J10</f>
        <v>1248.096</v>
      </c>
      <c r="M10" s="15">
        <f t="shared" ref="M10:M15" si="4">M9+K10+L10</f>
        <v>123029.99904000001</v>
      </c>
      <c r="N10" s="9">
        <v>0</v>
      </c>
      <c r="O10" s="34"/>
      <c r="P10" s="35" t="s">
        <v>11</v>
      </c>
    </row>
    <row r="11" spans="1:20" x14ac:dyDescent="0.2">
      <c r="A11" s="32">
        <v>45017</v>
      </c>
      <c r="C11" s="12">
        <v>5281150</v>
      </c>
      <c r="D11" s="13">
        <v>21389</v>
      </c>
      <c r="E11" s="35">
        <f>46272.88+82.06</f>
        <v>46354.939999999995</v>
      </c>
      <c r="F11" s="35">
        <f>46272.88+82.06</f>
        <v>46354.939999999995</v>
      </c>
      <c r="G11" s="14">
        <f t="shared" si="0"/>
        <v>24965.939999999995</v>
      </c>
      <c r="H11" s="14">
        <f t="shared" si="1"/>
        <v>24965.939999999995</v>
      </c>
      <c r="I11" s="3">
        <v>0.21</v>
      </c>
      <c r="J11" s="3">
        <v>0.05</v>
      </c>
      <c r="K11" s="9">
        <f t="shared" si="2"/>
        <v>4980.7050299999992</v>
      </c>
      <c r="L11" s="9">
        <f t="shared" si="3"/>
        <v>1248.2969999999998</v>
      </c>
      <c r="M11" s="15">
        <f t="shared" si="4"/>
        <v>129259.00107000001</v>
      </c>
      <c r="N11" s="9">
        <v>0</v>
      </c>
      <c r="O11" s="33"/>
      <c r="Q11" s="9">
        <f>358619-M12</f>
        <v>223130.99939499999</v>
      </c>
      <c r="R11" s="17" t="s">
        <v>11</v>
      </c>
    </row>
    <row r="12" spans="1:20" x14ac:dyDescent="0.2">
      <c r="A12" s="32">
        <v>45047</v>
      </c>
      <c r="C12" s="12">
        <v>5281150</v>
      </c>
      <c r="D12" s="13">
        <v>21389</v>
      </c>
      <c r="E12" s="35">
        <f>46272.88+82.05</f>
        <v>46354.93</v>
      </c>
      <c r="F12" s="35">
        <f>46272.88+82.05</f>
        <v>46354.93</v>
      </c>
      <c r="G12" s="14">
        <f t="shared" si="0"/>
        <v>24965.93</v>
      </c>
      <c r="H12" s="14">
        <f t="shared" si="1"/>
        <v>24965.93</v>
      </c>
      <c r="I12" s="3">
        <v>0.21</v>
      </c>
      <c r="J12" s="3">
        <v>0.05</v>
      </c>
      <c r="K12" s="9">
        <f t="shared" si="2"/>
        <v>4980.7030349999995</v>
      </c>
      <c r="L12" s="9">
        <f t="shared" si="3"/>
        <v>1248.2965000000002</v>
      </c>
      <c r="M12" s="15">
        <f t="shared" si="4"/>
        <v>135488.00060500001</v>
      </c>
      <c r="N12" s="9">
        <v>0</v>
      </c>
      <c r="Q12">
        <f>+Q11/0.389</f>
        <v>573601.5408611825</v>
      </c>
      <c r="R12" s="9"/>
    </row>
    <row r="13" spans="1:20" x14ac:dyDescent="0.2">
      <c r="A13" s="32">
        <v>45078</v>
      </c>
      <c r="C13" s="12">
        <v>5281150</v>
      </c>
      <c r="D13" s="13">
        <v>21389</v>
      </c>
      <c r="E13" s="35">
        <f>46272.88+78.04</f>
        <v>46350.92</v>
      </c>
      <c r="F13" s="35">
        <f>46272.88+78.04</f>
        <v>46350.92</v>
      </c>
      <c r="G13" s="14">
        <f t="shared" si="0"/>
        <v>24961.919999999998</v>
      </c>
      <c r="H13" s="14">
        <f t="shared" si="1"/>
        <v>24961.919999999998</v>
      </c>
      <c r="I13" s="3">
        <v>0.21</v>
      </c>
      <c r="J13" s="3">
        <v>0.05</v>
      </c>
      <c r="K13" s="9">
        <f t="shared" si="2"/>
        <v>4979.9030399999992</v>
      </c>
      <c r="L13" s="9">
        <f t="shared" si="3"/>
        <v>1248.096</v>
      </c>
      <c r="M13" s="15">
        <f t="shared" si="4"/>
        <v>141715.999645</v>
      </c>
      <c r="N13" s="9">
        <v>0</v>
      </c>
      <c r="Q13" s="9">
        <f>374733-M14</f>
        <v>226788.00081999999</v>
      </c>
    </row>
    <row r="14" spans="1:20" x14ac:dyDescent="0.2">
      <c r="A14" s="32">
        <v>45108</v>
      </c>
      <c r="C14" s="12">
        <v>5281150</v>
      </c>
      <c r="D14" s="13">
        <v>21389</v>
      </c>
      <c r="E14" s="35">
        <f>46272.88+82.05</f>
        <v>46354.93</v>
      </c>
      <c r="F14" s="35">
        <f>46272.88+82.05</f>
        <v>46354.93</v>
      </c>
      <c r="G14" s="14">
        <f>E14-D14</f>
        <v>24965.93</v>
      </c>
      <c r="H14" s="14">
        <f>F14-D14</f>
        <v>24965.93</v>
      </c>
      <c r="I14" s="3">
        <v>0.21</v>
      </c>
      <c r="J14" s="3">
        <v>0.05</v>
      </c>
      <c r="K14" s="9">
        <f>G14*I14-L14*I14</f>
        <v>4980.7030349999995</v>
      </c>
      <c r="L14" s="9">
        <f>H14*J14</f>
        <v>1248.2965000000002</v>
      </c>
      <c r="M14" s="15">
        <f t="shared" si="4"/>
        <v>147944.99918000001</v>
      </c>
      <c r="N14" s="9">
        <v>0</v>
      </c>
      <c r="Q14">
        <f>+Q13/0.389</f>
        <v>583002.57280205656</v>
      </c>
      <c r="R14" s="9"/>
      <c r="S14" s="9"/>
      <c r="T14" s="9"/>
    </row>
    <row r="15" spans="1:20" x14ac:dyDescent="0.2">
      <c r="A15" s="32">
        <v>45139</v>
      </c>
      <c r="C15" s="12">
        <v>5281150</v>
      </c>
      <c r="D15" s="13">
        <v>21389</v>
      </c>
      <c r="E15" s="35">
        <f>46272.88+82.05</f>
        <v>46354.93</v>
      </c>
      <c r="F15" s="35">
        <f>46272.88+82.05</f>
        <v>46354.93</v>
      </c>
      <c r="G15" s="14">
        <f>E15-D15</f>
        <v>24965.93</v>
      </c>
      <c r="H15" s="14">
        <f>F15-D15</f>
        <v>24965.93</v>
      </c>
      <c r="I15" s="3">
        <v>0.21</v>
      </c>
      <c r="J15" s="3">
        <v>0.05</v>
      </c>
      <c r="K15" s="9">
        <f>G15*I15-L15*I15</f>
        <v>4980.7030349999995</v>
      </c>
      <c r="L15" s="9">
        <f>H15*J15</f>
        <v>1248.2965000000002</v>
      </c>
      <c r="M15" s="15">
        <f t="shared" si="4"/>
        <v>154173.99871500002</v>
      </c>
      <c r="N15" s="9">
        <v>0</v>
      </c>
      <c r="Q15" s="9">
        <f>+M15-386700</f>
        <v>-232526.00128499998</v>
      </c>
      <c r="R15" s="19"/>
      <c r="T15" s="9"/>
    </row>
    <row r="16" spans="1:20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  <c r="Q16">
        <f>+Q15/0.389</f>
        <v>-597753.21667095111</v>
      </c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24"/>
      <c r="D19" s="25"/>
      <c r="E19" s="25"/>
      <c r="F19" s="25"/>
      <c r="G19" s="26"/>
      <c r="H19" s="26"/>
    </row>
    <row r="20" spans="1:16" x14ac:dyDescent="0.2">
      <c r="C20" s="24"/>
      <c r="D20" s="25"/>
      <c r="E20" s="25"/>
      <c r="F20" s="25"/>
      <c r="G20" s="26"/>
      <c r="H20" s="26"/>
    </row>
    <row r="21" spans="1:16" x14ac:dyDescent="0.2">
      <c r="C21" s="24"/>
      <c r="D21" s="25"/>
      <c r="E21" s="25"/>
      <c r="F21" s="25"/>
      <c r="G21" s="26"/>
      <c r="H21" s="26"/>
    </row>
    <row r="22" spans="1:16" x14ac:dyDescent="0.2">
      <c r="C22" s="15"/>
      <c r="D22" s="25"/>
      <c r="E22" s="25"/>
      <c r="F22" s="25"/>
      <c r="G22" s="26"/>
      <c r="H22" s="26"/>
    </row>
    <row r="23" spans="1:16" x14ac:dyDescent="0.2">
      <c r="C23" s="27"/>
      <c r="D23" s="25"/>
      <c r="E23" s="25"/>
      <c r="F23" s="25"/>
      <c r="G23" s="25"/>
      <c r="H23" s="25"/>
    </row>
    <row r="24" spans="1:16" x14ac:dyDescent="0.2">
      <c r="C24" s="15"/>
      <c r="D24" s="28"/>
      <c r="E24" s="26"/>
      <c r="F24" s="15"/>
      <c r="G24" s="29"/>
      <c r="H24" s="15"/>
    </row>
    <row r="25" spans="1:16" x14ac:dyDescent="0.2">
      <c r="C25" s="34"/>
      <c r="D25" s="34"/>
      <c r="E25" s="34"/>
      <c r="F25" s="34"/>
      <c r="G25" s="3"/>
      <c r="H25" s="34"/>
    </row>
    <row r="26" spans="1:16" ht="15" x14ac:dyDescent="0.35">
      <c r="C26" s="34"/>
      <c r="D26" s="34"/>
      <c r="E26" s="34"/>
      <c r="F26" s="34"/>
      <c r="G26" s="31"/>
      <c r="H26" s="30"/>
    </row>
    <row r="27" spans="1:16" x14ac:dyDescent="0.2">
      <c r="H27" s="34"/>
    </row>
    <row r="28" spans="1:16" x14ac:dyDescent="0.2">
      <c r="H28" s="34"/>
    </row>
    <row r="29" spans="1:16" x14ac:dyDescent="0.2">
      <c r="C29" s="15"/>
      <c r="D29" s="25"/>
      <c r="E29" s="26"/>
      <c r="F29" s="15"/>
      <c r="G29" s="29"/>
      <c r="H29" s="15"/>
    </row>
    <row r="30" spans="1:16" x14ac:dyDescent="0.2">
      <c r="C30" s="34"/>
      <c r="D30" s="34"/>
      <c r="E30" s="34"/>
      <c r="F30" s="34"/>
      <c r="G30" s="3"/>
      <c r="H30" s="34"/>
    </row>
    <row r="31" spans="1:16" x14ac:dyDescent="0.2">
      <c r="C31" s="34"/>
      <c r="D31" s="34"/>
      <c r="E31" s="34"/>
      <c r="F31" s="34"/>
      <c r="H31" s="34"/>
    </row>
    <row r="32" spans="1:16" x14ac:dyDescent="0.2">
      <c r="C32" s="12"/>
      <c r="D32" s="12"/>
      <c r="E32" s="12"/>
      <c r="F32" s="12"/>
      <c r="G32" s="3"/>
      <c r="H32" s="12"/>
    </row>
    <row r="33" spans="3:8" x14ac:dyDescent="0.2">
      <c r="C33" s="12"/>
      <c r="D33" s="12"/>
      <c r="E33" s="12"/>
      <c r="F33" s="12"/>
      <c r="H33" s="12"/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5 of 5
Clements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2023-00375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LGE</Value>
    </Compa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4291FA-978D-4575-A1AD-B98CFCF7D864}">
  <ds:schemaRefs>
    <ds:schemaRef ds:uri="http://schemas.openxmlformats.org/package/2006/metadata/core-properties"/>
    <ds:schemaRef ds:uri="http://purl.org/dc/elements/1.1/"/>
    <ds:schemaRef ds:uri="65bfb563-8fe2-4d34-a09f-38a217d8feea"/>
    <ds:schemaRef ds:uri="http://schemas.microsoft.com/office/2006/documentManagement/types"/>
    <ds:schemaRef ds:uri="http://purl.org/dc/dcmitype/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1DFE0B1-3DB1-4D00-8EA2-01950DCC53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10C4C7-78D6-4151-AAF3-89948BE8C4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Project 24</vt:lpstr>
      <vt:lpstr>Project 25</vt:lpstr>
      <vt:lpstr>Project 29</vt:lpstr>
      <vt:lpstr>Project 30</vt:lpstr>
      <vt:lpstr>Project 31</vt:lpstr>
      <vt:lpstr>'Project 24'!Print_Area</vt:lpstr>
      <vt:lpstr>'Project 25'!Print_Area</vt:lpstr>
      <vt:lpstr>'Project 29'!Print_Area</vt:lpstr>
      <vt:lpstr>'Project 30'!Print_Area</vt:lpstr>
      <vt:lpstr>'Project 31'!Print_Area</vt:lpstr>
    </vt:vector>
  </TitlesOfParts>
  <Company>LG&amp;E Energy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N093419</dc:creator>
  <cp:lastModifiedBy>Fackler, Andrea</cp:lastModifiedBy>
  <cp:lastPrinted>2024-02-14T20:14:07Z</cp:lastPrinted>
  <dcterms:created xsi:type="dcterms:W3CDTF">2006-06-09T14:23:56Z</dcterms:created>
  <dcterms:modified xsi:type="dcterms:W3CDTF">2024-02-14T20:14:15Z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2024-01-25T19:05:49Z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ad7a9a47-8d9c-4e4f-98a3-299aff332e15</vt:lpwstr>
  </property>
  <property fmtid="{D5CDD505-2E9C-101B-9397-08002B2CF9AE}" pid="8" name="MSIP_Label_e0c8e74a-db15-49f1-980d-3d74f2e3ff07_ContentBits">
    <vt:lpwstr>2</vt:lpwstr>
  </property>
  <property fmtid="{D5CDD505-2E9C-101B-9397-08002B2CF9AE}" pid="9" name="ContentTypeId">
    <vt:lpwstr>0x010100FF510F20E04BCF41BE361D2F61EE6FFA</vt:lpwstr>
  </property>
  <property fmtid="{D5CDD505-2E9C-101B-9397-08002B2CF9AE}" pid="10" name="MSIP_Label_d662fcd2-3ff9-4261-9b26-9dd5808d0bb4_Enabled">
    <vt:lpwstr>true</vt:lpwstr>
  </property>
  <property fmtid="{D5CDD505-2E9C-101B-9397-08002B2CF9AE}" pid="11" name="MSIP_Label_d662fcd2-3ff9-4261-9b26-9dd5808d0bb4_SetDate">
    <vt:lpwstr>2024-02-14T20:14:15Z</vt:lpwstr>
  </property>
  <property fmtid="{D5CDD505-2E9C-101B-9397-08002B2CF9AE}" pid="12" name="MSIP_Label_d662fcd2-3ff9-4261-9b26-9dd5808d0bb4_Method">
    <vt:lpwstr>Privileged</vt:lpwstr>
  </property>
  <property fmtid="{D5CDD505-2E9C-101B-9397-08002B2CF9AE}" pid="13" name="MSIP_Label_d662fcd2-3ff9-4261-9b26-9dd5808d0bb4_Name">
    <vt:lpwstr>d662fcd2-3ff9-4261-9b26-9dd5808d0bb4</vt:lpwstr>
  </property>
  <property fmtid="{D5CDD505-2E9C-101B-9397-08002B2CF9AE}" pid="14" name="MSIP_Label_d662fcd2-3ff9-4261-9b26-9dd5808d0bb4_SiteId">
    <vt:lpwstr>5ee3b0ba-a559-45ee-a69e-6d3e963a3e72</vt:lpwstr>
  </property>
  <property fmtid="{D5CDD505-2E9C-101B-9397-08002B2CF9AE}" pid="15" name="MSIP_Label_d662fcd2-3ff9-4261-9b26-9dd5808d0bb4_ActionId">
    <vt:lpwstr>214e5f77-b027-40ab-a44d-93b3241c4e9c</vt:lpwstr>
  </property>
  <property fmtid="{D5CDD505-2E9C-101B-9397-08002B2CF9AE}" pid="16" name="MSIP_Label_d662fcd2-3ff9-4261-9b26-9dd5808d0bb4_ContentBits">
    <vt:lpwstr>0</vt:lpwstr>
  </property>
</Properties>
</file>