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\rates\CN2023\CNs-00375-00376 - L K ECR 2-year review (Sep19-Aug23)\3 - Data Requests and Testimony\LGE\0 - efiled 02-14-2024\"/>
    </mc:Choice>
  </mc:AlternateContent>
  <xr:revisionPtr revIDLastSave="0" documentId="13_ncr:1_{05CD4873-D93C-49C5-9AE4-C39F165376F5}" xr6:coauthVersionLast="47" xr6:coauthVersionMax="47" xr10:uidLastSave="{00000000-0000-0000-0000-000000000000}"/>
  <bookViews>
    <workbookView xWindow="-120" yWindow="-120" windowWidth="29040" windowHeight="17025" xr2:uid="{64E1A95E-A710-4319-A2BF-16F23230C097}"/>
  </bookViews>
  <sheets>
    <sheet name="Project 23" sheetId="1" r:id="rId1"/>
    <sheet name="Project 24" sheetId="2" r:id="rId2"/>
    <sheet name="Project 25" sheetId="3" r:id="rId3"/>
    <sheet name="Project 26" sheetId="4" r:id="rId4"/>
    <sheet name="Project 27" sheetId="5" r:id="rId5"/>
    <sheet name="Project 28" sheetId="6" r:id="rId6"/>
    <sheet name="Project 29" sheetId="7" r:id="rId7"/>
    <sheet name="Project 30" sheetId="8" r:id="rId8"/>
    <sheet name="Project 31" sheetId="9" r:id="rId9"/>
  </sheets>
  <definedNames>
    <definedName name="_xlnm.Print_Area" localSheetId="0">'Project 23'!$A$1:$N$33</definedName>
    <definedName name="_xlnm.Print_Area" localSheetId="1">'Project 24'!$A$1:$N$65</definedName>
    <definedName name="_xlnm.Print_Area" localSheetId="2">'Project 25'!$A$1:$N$57</definedName>
    <definedName name="_xlnm.Print_Area" localSheetId="3">'Project 26'!$A$1:$N$117</definedName>
    <definedName name="_xlnm.Print_Area" localSheetId="4">'Project 27'!$A$1:$N$61</definedName>
    <definedName name="_xlnm.Print_Area" localSheetId="5">'Project 28'!$A$1:$N$74</definedName>
    <definedName name="_xlnm.Print_Area" localSheetId="6">'Project 29'!$A$1:$N$63</definedName>
    <definedName name="_xlnm.Print_Area" localSheetId="7">'Project 30'!$A$1:$N$55</definedName>
    <definedName name="_xlnm.Print_Area" localSheetId="8">'Project 31'!$A$1:$N$33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8" l="1"/>
  <c r="E20" i="8"/>
  <c r="E28" i="7"/>
  <c r="F28" i="7"/>
  <c r="F23" i="7"/>
  <c r="E23" i="7"/>
  <c r="F21" i="7"/>
  <c r="E21" i="7"/>
  <c r="E22" i="3"/>
  <c r="F22" i="3"/>
  <c r="G27" i="2"/>
  <c r="F27" i="2"/>
  <c r="H27" i="2" s="1"/>
  <c r="L27" i="2" s="1"/>
  <c r="K27" i="2" s="1"/>
  <c r="E27" i="2"/>
  <c r="H26" i="2"/>
  <c r="L26" i="2" s="1"/>
  <c r="F26" i="2"/>
  <c r="E26" i="2"/>
  <c r="G26" i="2" s="1"/>
  <c r="K26" i="2" s="1"/>
  <c r="H25" i="2"/>
  <c r="L25" i="2" s="1"/>
  <c r="G25" i="2"/>
  <c r="F25" i="2"/>
  <c r="E25" i="2"/>
  <c r="G24" i="2"/>
  <c r="K24" i="2" s="1"/>
  <c r="F24" i="2"/>
  <c r="H24" i="2" s="1"/>
  <c r="L24" i="2" s="1"/>
  <c r="E24" i="2"/>
  <c r="F23" i="2"/>
  <c r="H23" i="2" s="1"/>
  <c r="L23" i="2" s="1"/>
  <c r="E23" i="2"/>
  <c r="G23" i="2" s="1"/>
  <c r="F22" i="2"/>
  <c r="H22" i="2" s="1"/>
  <c r="L22" i="2" s="1"/>
  <c r="E22" i="2"/>
  <c r="G22" i="2" s="1"/>
  <c r="K22" i="2" s="1"/>
  <c r="M22" i="2" s="1"/>
  <c r="K25" i="2" l="1"/>
  <c r="K23" i="2"/>
  <c r="M23" i="2"/>
  <c r="M24" i="2" s="1"/>
  <c r="M25" i="2" l="1"/>
  <c r="M26" i="2" s="1"/>
  <c r="M27" i="2" s="1"/>
  <c r="G10" i="9" l="1"/>
  <c r="H10" i="9"/>
  <c r="K10" i="9"/>
  <c r="L10" i="9"/>
  <c r="M10" i="9"/>
  <c r="G11" i="9"/>
  <c r="H11" i="9"/>
  <c r="L11" i="9" s="1"/>
  <c r="K11" i="9" s="1"/>
  <c r="G12" i="9"/>
  <c r="H12" i="9"/>
  <c r="L12" i="9"/>
  <c r="K12" i="9" s="1"/>
  <c r="M12" i="9" s="1"/>
  <c r="G13" i="9"/>
  <c r="K13" i="9" s="1"/>
  <c r="M13" i="9" s="1"/>
  <c r="H13" i="9"/>
  <c r="L13" i="9"/>
  <c r="G14" i="9"/>
  <c r="K14" i="9" s="1"/>
  <c r="M14" i="9" s="1"/>
  <c r="H14" i="9"/>
  <c r="L14" i="9"/>
  <c r="G15" i="9"/>
  <c r="H15" i="9"/>
  <c r="L15" i="9"/>
  <c r="K15" i="9" s="1"/>
  <c r="F33" i="9"/>
  <c r="H33" i="9" s="1"/>
  <c r="L33" i="9" s="1"/>
  <c r="E33" i="9"/>
  <c r="G33" i="9" s="1"/>
  <c r="F32" i="9"/>
  <c r="H32" i="9" s="1"/>
  <c r="L32" i="9" s="1"/>
  <c r="E32" i="9"/>
  <c r="G32" i="9" s="1"/>
  <c r="H31" i="9"/>
  <c r="L31" i="9" s="1"/>
  <c r="G31" i="9"/>
  <c r="H30" i="9"/>
  <c r="L30" i="9" s="1"/>
  <c r="G30" i="9"/>
  <c r="H29" i="9"/>
  <c r="L29" i="9" s="1"/>
  <c r="G29" i="9"/>
  <c r="H28" i="9"/>
  <c r="L28" i="9" s="1"/>
  <c r="G28" i="9"/>
  <c r="F27" i="9"/>
  <c r="H27" i="9" s="1"/>
  <c r="L27" i="9" s="1"/>
  <c r="E27" i="9"/>
  <c r="G27" i="9" s="1"/>
  <c r="F26" i="9"/>
  <c r="H26" i="9" s="1"/>
  <c r="L26" i="9" s="1"/>
  <c r="E26" i="9"/>
  <c r="G26" i="9" s="1"/>
  <c r="F25" i="9"/>
  <c r="H25" i="9" s="1"/>
  <c r="L25" i="9" s="1"/>
  <c r="E25" i="9"/>
  <c r="G25" i="9" s="1"/>
  <c r="F24" i="9"/>
  <c r="H24" i="9" s="1"/>
  <c r="L24" i="9" s="1"/>
  <c r="E24" i="9"/>
  <c r="G24" i="9" s="1"/>
  <c r="F23" i="9"/>
  <c r="H23" i="9" s="1"/>
  <c r="L23" i="9" s="1"/>
  <c r="E23" i="9"/>
  <c r="G23" i="9" s="1"/>
  <c r="F22" i="9"/>
  <c r="H22" i="9" s="1"/>
  <c r="L22" i="9" s="1"/>
  <c r="E22" i="9"/>
  <c r="G22" i="9" s="1"/>
  <c r="K22" i="9" s="1"/>
  <c r="F21" i="9"/>
  <c r="H21" i="9" s="1"/>
  <c r="L21" i="9" s="1"/>
  <c r="E21" i="9"/>
  <c r="G21" i="9" s="1"/>
  <c r="F20" i="9"/>
  <c r="H20" i="9" s="1"/>
  <c r="L20" i="9" s="1"/>
  <c r="E20" i="9"/>
  <c r="G20" i="9" s="1"/>
  <c r="H19" i="9"/>
  <c r="L19" i="9" s="1"/>
  <c r="G19" i="9"/>
  <c r="H18" i="9"/>
  <c r="L18" i="9" s="1"/>
  <c r="G18" i="9"/>
  <c r="H17" i="9"/>
  <c r="L17" i="9" s="1"/>
  <c r="G17" i="9"/>
  <c r="H16" i="9"/>
  <c r="L16" i="9" s="1"/>
  <c r="G16" i="9"/>
  <c r="E54" i="8"/>
  <c r="H53" i="8"/>
  <c r="F53" i="8"/>
  <c r="F52" i="8"/>
  <c r="H52" i="8" s="1"/>
  <c r="F51" i="8"/>
  <c r="H51" i="8" s="1"/>
  <c r="E46" i="8"/>
  <c r="F45" i="8"/>
  <c r="H45" i="8" s="1"/>
  <c r="H44" i="8"/>
  <c r="F44" i="8"/>
  <c r="H43" i="8"/>
  <c r="H46" i="8" s="1"/>
  <c r="F43" i="8"/>
  <c r="F46" i="8" s="1"/>
  <c r="G33" i="8"/>
  <c r="F33" i="8"/>
  <c r="H33" i="8" s="1"/>
  <c r="L33" i="8" s="1"/>
  <c r="K33" i="8" s="1"/>
  <c r="E33" i="8"/>
  <c r="H32" i="8"/>
  <c r="L32" i="8" s="1"/>
  <c r="F32" i="8"/>
  <c r="E32" i="8"/>
  <c r="G32" i="8" s="1"/>
  <c r="L31" i="8"/>
  <c r="H31" i="8"/>
  <c r="G31" i="8"/>
  <c r="K31" i="8" s="1"/>
  <c r="L30" i="8"/>
  <c r="H30" i="8"/>
  <c r="G30" i="8"/>
  <c r="K30" i="8" s="1"/>
  <c r="L29" i="8"/>
  <c r="K29" i="8"/>
  <c r="H29" i="8"/>
  <c r="G29" i="8"/>
  <c r="H28" i="8"/>
  <c r="L28" i="8" s="1"/>
  <c r="K28" i="8" s="1"/>
  <c r="G28" i="8"/>
  <c r="F27" i="8"/>
  <c r="H27" i="8" s="1"/>
  <c r="L27" i="8" s="1"/>
  <c r="E27" i="8"/>
  <c r="G27" i="8" s="1"/>
  <c r="F26" i="8"/>
  <c r="H26" i="8" s="1"/>
  <c r="L26" i="8" s="1"/>
  <c r="E26" i="8"/>
  <c r="G26" i="8" s="1"/>
  <c r="K26" i="8" s="1"/>
  <c r="F25" i="8"/>
  <c r="H25" i="8" s="1"/>
  <c r="L25" i="8" s="1"/>
  <c r="E25" i="8"/>
  <c r="G25" i="8" s="1"/>
  <c r="K25" i="8" s="1"/>
  <c r="F24" i="8"/>
  <c r="H24" i="8" s="1"/>
  <c r="L24" i="8" s="1"/>
  <c r="E24" i="8"/>
  <c r="G24" i="8" s="1"/>
  <c r="K24" i="8" s="1"/>
  <c r="H23" i="8"/>
  <c r="L23" i="8" s="1"/>
  <c r="F23" i="8"/>
  <c r="E23" i="8"/>
  <c r="G23" i="8" s="1"/>
  <c r="H22" i="8"/>
  <c r="L22" i="8" s="1"/>
  <c r="G22" i="8"/>
  <c r="F22" i="8"/>
  <c r="E22" i="8"/>
  <c r="G21" i="8"/>
  <c r="F21" i="8"/>
  <c r="H21" i="8" s="1"/>
  <c r="L21" i="8" s="1"/>
  <c r="K21" i="8" s="1"/>
  <c r="E21" i="8"/>
  <c r="H20" i="8"/>
  <c r="L20" i="8" s="1"/>
  <c r="G20" i="8"/>
  <c r="H19" i="8"/>
  <c r="L19" i="8" s="1"/>
  <c r="G19" i="8"/>
  <c r="K19" i="8" s="1"/>
  <c r="F19" i="8"/>
  <c r="E19" i="8"/>
  <c r="G18" i="8"/>
  <c r="F18" i="8"/>
  <c r="H18" i="8" s="1"/>
  <c r="L18" i="8" s="1"/>
  <c r="E18" i="8"/>
  <c r="F17" i="8"/>
  <c r="H17" i="8" s="1"/>
  <c r="L17" i="8" s="1"/>
  <c r="E17" i="8"/>
  <c r="G17" i="8" s="1"/>
  <c r="D17" i="8"/>
  <c r="C17" i="8"/>
  <c r="G16" i="8"/>
  <c r="K16" i="8" s="1"/>
  <c r="M16" i="8" s="1"/>
  <c r="F16" i="8"/>
  <c r="H16" i="8" s="1"/>
  <c r="L16" i="8" s="1"/>
  <c r="E16" i="8"/>
  <c r="D16" i="8"/>
  <c r="C16" i="8"/>
  <c r="E62" i="7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H62" i="7" s="1"/>
  <c r="E50" i="7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H50" i="7" s="1"/>
  <c r="L33" i="7"/>
  <c r="H33" i="7"/>
  <c r="F33" i="7"/>
  <c r="E33" i="7"/>
  <c r="G33" i="7" s="1"/>
  <c r="K33" i="7" s="1"/>
  <c r="K32" i="7"/>
  <c r="G32" i="7"/>
  <c r="F32" i="7"/>
  <c r="H32" i="7" s="1"/>
  <c r="L32" i="7" s="1"/>
  <c r="E32" i="7"/>
  <c r="H31" i="7"/>
  <c r="L31" i="7" s="1"/>
  <c r="F31" i="7"/>
  <c r="E31" i="7"/>
  <c r="G31" i="7" s="1"/>
  <c r="G30" i="7"/>
  <c r="F30" i="7"/>
  <c r="H30" i="7" s="1"/>
  <c r="L30" i="7" s="1"/>
  <c r="E30" i="7"/>
  <c r="F29" i="7"/>
  <c r="H29" i="7" s="1"/>
  <c r="L29" i="7" s="1"/>
  <c r="E29" i="7"/>
  <c r="G29" i="7" s="1"/>
  <c r="K29" i="7" s="1"/>
  <c r="H28" i="7"/>
  <c r="L28" i="7" s="1"/>
  <c r="G28" i="7"/>
  <c r="H27" i="7"/>
  <c r="L27" i="7" s="1"/>
  <c r="F27" i="7"/>
  <c r="E27" i="7"/>
  <c r="G26" i="7"/>
  <c r="F26" i="7"/>
  <c r="H26" i="7" s="1"/>
  <c r="L26" i="7" s="1"/>
  <c r="E26" i="7"/>
  <c r="F25" i="7"/>
  <c r="H25" i="7" s="1"/>
  <c r="L25" i="7" s="1"/>
  <c r="E25" i="7"/>
  <c r="G25" i="7" s="1"/>
  <c r="K25" i="7" s="1"/>
  <c r="F24" i="7"/>
  <c r="H24" i="7" s="1"/>
  <c r="L24" i="7" s="1"/>
  <c r="E24" i="7"/>
  <c r="G24" i="7" s="1"/>
  <c r="K24" i="7" s="1"/>
  <c r="H23" i="7"/>
  <c r="L23" i="7" s="1"/>
  <c r="G23" i="7"/>
  <c r="H22" i="7"/>
  <c r="L22" i="7" s="1"/>
  <c r="G22" i="7"/>
  <c r="K22" i="7" s="1"/>
  <c r="F22" i="7"/>
  <c r="E22" i="7"/>
  <c r="G21" i="7"/>
  <c r="K21" i="7" s="1"/>
  <c r="H21" i="7"/>
  <c r="L21" i="7" s="1"/>
  <c r="F20" i="7"/>
  <c r="H20" i="7" s="1"/>
  <c r="L20" i="7" s="1"/>
  <c r="E20" i="7"/>
  <c r="G20" i="7" s="1"/>
  <c r="K20" i="7" s="1"/>
  <c r="L19" i="7"/>
  <c r="H19" i="7"/>
  <c r="F19" i="7"/>
  <c r="E19" i="7"/>
  <c r="G19" i="7" s="1"/>
  <c r="K19" i="7" s="1"/>
  <c r="G18" i="7"/>
  <c r="F18" i="7"/>
  <c r="E18" i="7"/>
  <c r="D18" i="7"/>
  <c r="H18" i="7" s="1"/>
  <c r="L18" i="7" s="1"/>
  <c r="K18" i="7" s="1"/>
  <c r="C18" i="7"/>
  <c r="F17" i="7"/>
  <c r="E17" i="7"/>
  <c r="G17" i="7" s="1"/>
  <c r="D17" i="7"/>
  <c r="H17" i="7" s="1"/>
  <c r="L17" i="7" s="1"/>
  <c r="C17" i="7"/>
  <c r="F16" i="7"/>
  <c r="H16" i="7" s="1"/>
  <c r="L16" i="7" s="1"/>
  <c r="E16" i="7"/>
  <c r="G16" i="7" s="1"/>
  <c r="D16" i="7"/>
  <c r="C16" i="7"/>
  <c r="G16" i="6"/>
  <c r="K16" i="6" s="1"/>
  <c r="H16" i="6"/>
  <c r="L16" i="6" s="1"/>
  <c r="G17" i="6"/>
  <c r="K17" i="6" s="1"/>
  <c r="H17" i="6"/>
  <c r="L17" i="6"/>
  <c r="G18" i="6"/>
  <c r="H18" i="6"/>
  <c r="L18" i="6" s="1"/>
  <c r="G19" i="6"/>
  <c r="K19" i="6" s="1"/>
  <c r="H19" i="6"/>
  <c r="L19" i="6"/>
  <c r="G20" i="6"/>
  <c r="K20" i="6" s="1"/>
  <c r="H20" i="6"/>
  <c r="L20" i="6" s="1"/>
  <c r="G21" i="6"/>
  <c r="K21" i="6" s="1"/>
  <c r="H21" i="6"/>
  <c r="L21" i="6"/>
  <c r="G22" i="6"/>
  <c r="H22" i="6"/>
  <c r="L22" i="6" s="1"/>
  <c r="G23" i="6"/>
  <c r="K23" i="6" s="1"/>
  <c r="H23" i="6"/>
  <c r="L23" i="6"/>
  <c r="G24" i="6"/>
  <c r="K24" i="6" s="1"/>
  <c r="H24" i="6"/>
  <c r="L24" i="6" s="1"/>
  <c r="G25" i="6"/>
  <c r="K25" i="6" s="1"/>
  <c r="H25" i="6"/>
  <c r="L25" i="6"/>
  <c r="G26" i="6"/>
  <c r="H26" i="6"/>
  <c r="L26" i="6" s="1"/>
  <c r="G27" i="6"/>
  <c r="K27" i="6" s="1"/>
  <c r="H27" i="6"/>
  <c r="L27" i="6"/>
  <c r="G28" i="6"/>
  <c r="H28" i="6"/>
  <c r="L28" i="6" s="1"/>
  <c r="G29" i="6"/>
  <c r="K29" i="6" s="1"/>
  <c r="H29" i="6"/>
  <c r="L29" i="6"/>
  <c r="G30" i="6"/>
  <c r="H30" i="6"/>
  <c r="L30" i="6" s="1"/>
  <c r="G31" i="6"/>
  <c r="K31" i="6" s="1"/>
  <c r="H31" i="6"/>
  <c r="L31" i="6"/>
  <c r="G32" i="6"/>
  <c r="K32" i="6" s="1"/>
  <c r="H32" i="6"/>
  <c r="L32" i="6" s="1"/>
  <c r="G33" i="6"/>
  <c r="K33" i="6" s="1"/>
  <c r="H33" i="6"/>
  <c r="L33" i="6"/>
  <c r="G16" i="5"/>
  <c r="K16" i="5" s="1"/>
  <c r="H16" i="5"/>
  <c r="L16" i="5"/>
  <c r="G17" i="5"/>
  <c r="H17" i="5"/>
  <c r="L17" i="5"/>
  <c r="K17" i="5" s="1"/>
  <c r="G18" i="5"/>
  <c r="H18" i="5"/>
  <c r="L18" i="5"/>
  <c r="K18" i="5" s="1"/>
  <c r="G19" i="5"/>
  <c r="H19" i="5"/>
  <c r="L19" i="5"/>
  <c r="K19" i="5" s="1"/>
  <c r="G20" i="5"/>
  <c r="H20" i="5"/>
  <c r="L20" i="5"/>
  <c r="K20" i="5" s="1"/>
  <c r="G21" i="5"/>
  <c r="H21" i="5"/>
  <c r="L21" i="5"/>
  <c r="K21" i="5" s="1"/>
  <c r="G22" i="5"/>
  <c r="H22" i="5"/>
  <c r="L22" i="5"/>
  <c r="K22" i="5" s="1"/>
  <c r="G23" i="5"/>
  <c r="H23" i="5"/>
  <c r="L23" i="5"/>
  <c r="K23" i="5" s="1"/>
  <c r="G24" i="5"/>
  <c r="H24" i="5"/>
  <c r="L24" i="5"/>
  <c r="K24" i="5" s="1"/>
  <c r="G25" i="5"/>
  <c r="H25" i="5"/>
  <c r="L25" i="5"/>
  <c r="K25" i="5" s="1"/>
  <c r="G26" i="5"/>
  <c r="H26" i="5"/>
  <c r="L26" i="5"/>
  <c r="K26" i="5" s="1"/>
  <c r="G27" i="5"/>
  <c r="H27" i="5"/>
  <c r="L27" i="5"/>
  <c r="K27" i="5" s="1"/>
  <c r="G28" i="5"/>
  <c r="K28" i="5" s="1"/>
  <c r="H28" i="5"/>
  <c r="L28" i="5"/>
  <c r="G29" i="5"/>
  <c r="H29" i="5"/>
  <c r="L29" i="5"/>
  <c r="K29" i="5" s="1"/>
  <c r="G30" i="5"/>
  <c r="K30" i="5" s="1"/>
  <c r="H30" i="5"/>
  <c r="L30" i="5"/>
  <c r="G31" i="5"/>
  <c r="H31" i="5"/>
  <c r="L31" i="5"/>
  <c r="K31" i="5" s="1"/>
  <c r="G32" i="5"/>
  <c r="K32" i="5" s="1"/>
  <c r="H32" i="5"/>
  <c r="L32" i="5"/>
  <c r="G33" i="5"/>
  <c r="H33" i="5"/>
  <c r="L33" i="5"/>
  <c r="K33" i="5" s="1"/>
  <c r="G16" i="4"/>
  <c r="K16" i="4" s="1"/>
  <c r="H16" i="4"/>
  <c r="L16" i="4" s="1"/>
  <c r="G17" i="4"/>
  <c r="K17" i="4" s="1"/>
  <c r="H17" i="4"/>
  <c r="L17" i="4" s="1"/>
  <c r="G18" i="4"/>
  <c r="H18" i="4"/>
  <c r="L18" i="4" s="1"/>
  <c r="G19" i="4"/>
  <c r="H19" i="4"/>
  <c r="L19" i="4" s="1"/>
  <c r="G20" i="4"/>
  <c r="K20" i="4" s="1"/>
  <c r="H20" i="4"/>
  <c r="L20" i="4" s="1"/>
  <c r="G21" i="4"/>
  <c r="K21" i="4" s="1"/>
  <c r="H21" i="4"/>
  <c r="L21" i="4" s="1"/>
  <c r="G22" i="4"/>
  <c r="H22" i="4"/>
  <c r="L22" i="4" s="1"/>
  <c r="G23" i="4"/>
  <c r="H23" i="4"/>
  <c r="L23" i="4" s="1"/>
  <c r="G24" i="4"/>
  <c r="K24" i="4" s="1"/>
  <c r="H24" i="4"/>
  <c r="L24" i="4" s="1"/>
  <c r="G25" i="4"/>
  <c r="K25" i="4" s="1"/>
  <c r="H25" i="4"/>
  <c r="L25" i="4" s="1"/>
  <c r="G26" i="4"/>
  <c r="H26" i="4"/>
  <c r="L26" i="4" s="1"/>
  <c r="G27" i="4"/>
  <c r="H27" i="4"/>
  <c r="L27" i="4" s="1"/>
  <c r="G28" i="4"/>
  <c r="K28" i="4" s="1"/>
  <c r="H28" i="4"/>
  <c r="L28" i="4" s="1"/>
  <c r="G29" i="4"/>
  <c r="K29" i="4" s="1"/>
  <c r="H29" i="4"/>
  <c r="L29" i="4" s="1"/>
  <c r="G30" i="4"/>
  <c r="H30" i="4"/>
  <c r="L30" i="4" s="1"/>
  <c r="G31" i="4"/>
  <c r="H31" i="4"/>
  <c r="L31" i="4" s="1"/>
  <c r="G32" i="4"/>
  <c r="K32" i="4" s="1"/>
  <c r="H32" i="4"/>
  <c r="L32" i="4" s="1"/>
  <c r="G33" i="4"/>
  <c r="K33" i="4" s="1"/>
  <c r="H33" i="4"/>
  <c r="L33" i="4" s="1"/>
  <c r="E56" i="3"/>
  <c r="F55" i="3"/>
  <c r="H55" i="3" s="1"/>
  <c r="F54" i="3"/>
  <c r="H54" i="3" s="1"/>
  <c r="F53" i="3"/>
  <c r="H53" i="3" s="1"/>
  <c r="F52" i="3"/>
  <c r="F56" i="3" s="1"/>
  <c r="E47" i="3"/>
  <c r="F46" i="3"/>
  <c r="H46" i="3" s="1"/>
  <c r="F45" i="3"/>
  <c r="H45" i="3" s="1"/>
  <c r="F44" i="3"/>
  <c r="H44" i="3" s="1"/>
  <c r="F43" i="3"/>
  <c r="F47" i="3" s="1"/>
  <c r="G33" i="3"/>
  <c r="K33" i="3" s="1"/>
  <c r="F33" i="3"/>
  <c r="H33" i="3" s="1"/>
  <c r="L33" i="3" s="1"/>
  <c r="E33" i="3"/>
  <c r="F32" i="3"/>
  <c r="H32" i="3" s="1"/>
  <c r="L32" i="3" s="1"/>
  <c r="E32" i="3"/>
  <c r="G32" i="3" s="1"/>
  <c r="K32" i="3" s="1"/>
  <c r="H31" i="3"/>
  <c r="L31" i="3" s="1"/>
  <c r="G31" i="3"/>
  <c r="L30" i="3"/>
  <c r="K30" i="3"/>
  <c r="H30" i="3"/>
  <c r="G30" i="3"/>
  <c r="H29" i="3"/>
  <c r="L29" i="3" s="1"/>
  <c r="G29" i="3"/>
  <c r="K29" i="3" s="1"/>
  <c r="H28" i="3"/>
  <c r="L28" i="3" s="1"/>
  <c r="G28" i="3"/>
  <c r="F27" i="3"/>
  <c r="H27" i="3" s="1"/>
  <c r="L27" i="3" s="1"/>
  <c r="E27" i="3"/>
  <c r="G27" i="3" s="1"/>
  <c r="F26" i="3"/>
  <c r="H26" i="3" s="1"/>
  <c r="L26" i="3" s="1"/>
  <c r="E26" i="3"/>
  <c r="G26" i="3" s="1"/>
  <c r="F25" i="3"/>
  <c r="H25" i="3" s="1"/>
  <c r="L25" i="3" s="1"/>
  <c r="E25" i="3"/>
  <c r="G25" i="3" s="1"/>
  <c r="F24" i="3"/>
  <c r="H24" i="3" s="1"/>
  <c r="L24" i="3" s="1"/>
  <c r="E24" i="3"/>
  <c r="G24" i="3" s="1"/>
  <c r="K24" i="3" s="1"/>
  <c r="H23" i="3"/>
  <c r="L23" i="3" s="1"/>
  <c r="F23" i="3"/>
  <c r="E23" i="3"/>
  <c r="G23" i="3" s="1"/>
  <c r="K23" i="3" s="1"/>
  <c r="H22" i="3"/>
  <c r="L22" i="3" s="1"/>
  <c r="G22" i="3"/>
  <c r="G21" i="3"/>
  <c r="F21" i="3"/>
  <c r="H21" i="3" s="1"/>
  <c r="L21" i="3" s="1"/>
  <c r="K21" i="3" s="1"/>
  <c r="E21" i="3"/>
  <c r="H20" i="3"/>
  <c r="L20" i="3" s="1"/>
  <c r="F20" i="3"/>
  <c r="E20" i="3"/>
  <c r="G20" i="3" s="1"/>
  <c r="K20" i="3" s="1"/>
  <c r="D20" i="3"/>
  <c r="C20" i="3"/>
  <c r="F19" i="3"/>
  <c r="H19" i="3" s="1"/>
  <c r="L19" i="3" s="1"/>
  <c r="E19" i="3"/>
  <c r="D19" i="3"/>
  <c r="G19" i="3" s="1"/>
  <c r="C19" i="3"/>
  <c r="L18" i="3"/>
  <c r="H18" i="3"/>
  <c r="F18" i="3"/>
  <c r="E18" i="3"/>
  <c r="G18" i="3" s="1"/>
  <c r="K18" i="3" s="1"/>
  <c r="D18" i="3"/>
  <c r="C18" i="3"/>
  <c r="F17" i="3"/>
  <c r="H17" i="3" s="1"/>
  <c r="L17" i="3" s="1"/>
  <c r="E17" i="3"/>
  <c r="G17" i="3" s="1"/>
  <c r="D17" i="3"/>
  <c r="C17" i="3"/>
  <c r="G16" i="3"/>
  <c r="F16" i="3"/>
  <c r="H16" i="3" s="1"/>
  <c r="L16" i="3" s="1"/>
  <c r="E16" i="3"/>
  <c r="D16" i="3"/>
  <c r="C16" i="3"/>
  <c r="E64" i="2"/>
  <c r="F63" i="2"/>
  <c r="H63" i="2" s="1"/>
  <c r="F62" i="2"/>
  <c r="H62" i="2" s="1"/>
  <c r="F61" i="2"/>
  <c r="H61" i="2" s="1"/>
  <c r="F60" i="2"/>
  <c r="H60" i="2" s="1"/>
  <c r="F59" i="2"/>
  <c r="H59" i="2" s="1"/>
  <c r="F58" i="2"/>
  <c r="H58" i="2" s="1"/>
  <c r="F57" i="2"/>
  <c r="H57" i="2" s="1"/>
  <c r="F56" i="2"/>
  <c r="F64" i="2" s="1"/>
  <c r="E51" i="2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F51" i="2" s="1"/>
  <c r="H33" i="2"/>
  <c r="L33" i="2" s="1"/>
  <c r="E33" i="2"/>
  <c r="G33" i="2" s="1"/>
  <c r="K33" i="2" s="1"/>
  <c r="H32" i="2"/>
  <c r="L32" i="2" s="1"/>
  <c r="E32" i="2"/>
  <c r="G32" i="2" s="1"/>
  <c r="K32" i="2" s="1"/>
  <c r="H31" i="2"/>
  <c r="L31" i="2" s="1"/>
  <c r="K31" i="2" s="1"/>
  <c r="G31" i="2"/>
  <c r="H30" i="2"/>
  <c r="L30" i="2" s="1"/>
  <c r="G30" i="2"/>
  <c r="H29" i="2"/>
  <c r="L29" i="2" s="1"/>
  <c r="K29" i="2" s="1"/>
  <c r="G29" i="2"/>
  <c r="H28" i="2"/>
  <c r="L28" i="2" s="1"/>
  <c r="K28" i="2" s="1"/>
  <c r="M28" i="2" s="1"/>
  <c r="G28" i="2"/>
  <c r="F21" i="2"/>
  <c r="H21" i="2" s="1"/>
  <c r="L21" i="2" s="1"/>
  <c r="E21" i="2"/>
  <c r="G21" i="2" s="1"/>
  <c r="F20" i="2"/>
  <c r="H20" i="2" s="1"/>
  <c r="L20" i="2" s="1"/>
  <c r="E20" i="2"/>
  <c r="G20" i="2" s="1"/>
  <c r="K20" i="2" s="1"/>
  <c r="D20" i="2"/>
  <c r="C20" i="2"/>
  <c r="F19" i="2"/>
  <c r="H19" i="2" s="1"/>
  <c r="L19" i="2" s="1"/>
  <c r="E19" i="2"/>
  <c r="G19" i="2" s="1"/>
  <c r="K19" i="2" s="1"/>
  <c r="D19" i="2"/>
  <c r="C19" i="2"/>
  <c r="F18" i="2"/>
  <c r="H18" i="2" s="1"/>
  <c r="L18" i="2" s="1"/>
  <c r="E18" i="2"/>
  <c r="G18" i="2" s="1"/>
  <c r="K18" i="2" s="1"/>
  <c r="D18" i="2"/>
  <c r="C18" i="2"/>
  <c r="G17" i="2"/>
  <c r="F17" i="2"/>
  <c r="H17" i="2" s="1"/>
  <c r="L17" i="2" s="1"/>
  <c r="E17" i="2"/>
  <c r="D17" i="2"/>
  <c r="C17" i="2"/>
  <c r="H16" i="2"/>
  <c r="L16" i="2" s="1"/>
  <c r="G16" i="2"/>
  <c r="F16" i="2"/>
  <c r="E16" i="2"/>
  <c r="D16" i="2"/>
  <c r="C16" i="2"/>
  <c r="G16" i="1"/>
  <c r="H16" i="1"/>
  <c r="L16" i="1" s="1"/>
  <c r="K16" i="1" s="1"/>
  <c r="G17" i="1"/>
  <c r="K17" i="1" s="1"/>
  <c r="H17" i="1"/>
  <c r="L17" i="1"/>
  <c r="G18" i="1"/>
  <c r="H18" i="1"/>
  <c r="L18" i="1" s="1"/>
  <c r="K18" i="1" s="1"/>
  <c r="G19" i="1"/>
  <c r="K19" i="1" s="1"/>
  <c r="H19" i="1"/>
  <c r="L19" i="1"/>
  <c r="G20" i="1"/>
  <c r="H20" i="1"/>
  <c r="L20" i="1" s="1"/>
  <c r="K20" i="1" s="1"/>
  <c r="G21" i="1"/>
  <c r="K21" i="1" s="1"/>
  <c r="H21" i="1"/>
  <c r="L21" i="1"/>
  <c r="G22" i="1"/>
  <c r="H22" i="1"/>
  <c r="L22" i="1" s="1"/>
  <c r="K22" i="1" s="1"/>
  <c r="G23" i="1"/>
  <c r="K23" i="1" s="1"/>
  <c r="H23" i="1"/>
  <c r="L23" i="1"/>
  <c r="G24" i="1"/>
  <c r="H24" i="1"/>
  <c r="L24" i="1" s="1"/>
  <c r="K24" i="1" s="1"/>
  <c r="G25" i="1"/>
  <c r="K25" i="1" s="1"/>
  <c r="H25" i="1"/>
  <c r="L25" i="1"/>
  <c r="G26" i="1"/>
  <c r="H26" i="1"/>
  <c r="L26" i="1" s="1"/>
  <c r="K26" i="1" s="1"/>
  <c r="G27" i="1"/>
  <c r="K27" i="1" s="1"/>
  <c r="H27" i="1"/>
  <c r="L27" i="1"/>
  <c r="G28" i="1"/>
  <c r="H28" i="1"/>
  <c r="L28" i="1" s="1"/>
  <c r="K28" i="1" s="1"/>
  <c r="G29" i="1"/>
  <c r="K29" i="1" s="1"/>
  <c r="H29" i="1"/>
  <c r="L29" i="1"/>
  <c r="G30" i="1"/>
  <c r="H30" i="1"/>
  <c r="L30" i="1" s="1"/>
  <c r="K30" i="1" s="1"/>
  <c r="G31" i="1"/>
  <c r="K31" i="1" s="1"/>
  <c r="H31" i="1"/>
  <c r="L31" i="1"/>
  <c r="G32" i="1"/>
  <c r="H32" i="1"/>
  <c r="L32" i="1" s="1"/>
  <c r="K32" i="1" s="1"/>
  <c r="G33" i="1"/>
  <c r="K33" i="1" s="1"/>
  <c r="H33" i="1"/>
  <c r="L33" i="1"/>
  <c r="H15" i="8"/>
  <c r="L15" i="8" s="1"/>
  <c r="G15" i="8"/>
  <c r="K15" i="8" s="1"/>
  <c r="F15" i="8"/>
  <c r="E15" i="8"/>
  <c r="H14" i="8"/>
  <c r="L14" i="8" s="1"/>
  <c r="G14" i="8"/>
  <c r="F14" i="8"/>
  <c r="E14" i="8"/>
  <c r="H13" i="8"/>
  <c r="L13" i="8" s="1"/>
  <c r="G13" i="8"/>
  <c r="K13" i="8" s="1"/>
  <c r="F13" i="8"/>
  <c r="E13" i="8"/>
  <c r="H12" i="8"/>
  <c r="L12" i="8" s="1"/>
  <c r="G12" i="8"/>
  <c r="F12" i="8"/>
  <c r="E12" i="8"/>
  <c r="H11" i="8"/>
  <c r="L11" i="8" s="1"/>
  <c r="F11" i="8"/>
  <c r="E11" i="8"/>
  <c r="G11" i="8" s="1"/>
  <c r="H10" i="8"/>
  <c r="L10" i="8" s="1"/>
  <c r="F10" i="8"/>
  <c r="E10" i="8"/>
  <c r="G10" i="8" s="1"/>
  <c r="F15" i="7"/>
  <c r="H15" i="7" s="1"/>
  <c r="L15" i="7" s="1"/>
  <c r="E15" i="7"/>
  <c r="G15" i="7" s="1"/>
  <c r="K15" i="7" s="1"/>
  <c r="F14" i="7"/>
  <c r="H14" i="7" s="1"/>
  <c r="L14" i="7" s="1"/>
  <c r="E14" i="7"/>
  <c r="G14" i="7" s="1"/>
  <c r="K14" i="7" s="1"/>
  <c r="N13" i="7"/>
  <c r="F13" i="7"/>
  <c r="H13" i="7" s="1"/>
  <c r="L13" i="7" s="1"/>
  <c r="E13" i="7"/>
  <c r="G13" i="7" s="1"/>
  <c r="K13" i="7" s="1"/>
  <c r="N12" i="7"/>
  <c r="F12" i="7"/>
  <c r="H12" i="7" s="1"/>
  <c r="L12" i="7" s="1"/>
  <c r="E12" i="7"/>
  <c r="G12" i="7" s="1"/>
  <c r="K12" i="7" s="1"/>
  <c r="N11" i="7"/>
  <c r="F11" i="7"/>
  <c r="H11" i="7" s="1"/>
  <c r="L11" i="7" s="1"/>
  <c r="E11" i="7"/>
  <c r="G11" i="7" s="1"/>
  <c r="N10" i="7"/>
  <c r="G10" i="7"/>
  <c r="K10" i="7" s="1"/>
  <c r="M10" i="7" s="1"/>
  <c r="F10" i="7"/>
  <c r="H10" i="7" s="1"/>
  <c r="L10" i="7" s="1"/>
  <c r="E10" i="7"/>
  <c r="E73" i="6"/>
  <c r="F72" i="6"/>
  <c r="H72" i="6" s="1"/>
  <c r="F71" i="6"/>
  <c r="H71" i="6" s="1"/>
  <c r="F70" i="6"/>
  <c r="H70" i="6" s="1"/>
  <c r="F69" i="6"/>
  <c r="H69" i="6" s="1"/>
  <c r="F68" i="6"/>
  <c r="H68" i="6" s="1"/>
  <c r="F67" i="6"/>
  <c r="H67" i="6" s="1"/>
  <c r="F66" i="6"/>
  <c r="H66" i="6" s="1"/>
  <c r="F65" i="6"/>
  <c r="H65" i="6" s="1"/>
  <c r="F64" i="6"/>
  <c r="H64" i="6" s="1"/>
  <c r="F63" i="6"/>
  <c r="H63" i="6" s="1"/>
  <c r="F62" i="6"/>
  <c r="H62" i="6" s="1"/>
  <c r="F61" i="6"/>
  <c r="H61" i="6" s="1"/>
  <c r="D60" i="6"/>
  <c r="F60" i="6" s="1"/>
  <c r="F73" i="6" s="1"/>
  <c r="E55" i="6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H46" i="6"/>
  <c r="F46" i="6"/>
  <c r="F45" i="6"/>
  <c r="H45" i="6" s="1"/>
  <c r="F44" i="6"/>
  <c r="H44" i="6" s="1"/>
  <c r="F43" i="6"/>
  <c r="H43" i="6" s="1"/>
  <c r="H42" i="6"/>
  <c r="F42" i="6"/>
  <c r="F41" i="6"/>
  <c r="Q15" i="6"/>
  <c r="H15" i="6"/>
  <c r="L15" i="6" s="1"/>
  <c r="G15" i="6"/>
  <c r="K15" i="6" s="1"/>
  <c r="H14" i="6"/>
  <c r="L14" i="6" s="1"/>
  <c r="G14" i="6"/>
  <c r="Q13" i="6"/>
  <c r="Q14" i="6" s="1"/>
  <c r="F13" i="6"/>
  <c r="H13" i="6" s="1"/>
  <c r="L13" i="6" s="1"/>
  <c r="E13" i="6"/>
  <c r="G13" i="6" s="1"/>
  <c r="F12" i="6"/>
  <c r="H12" i="6" s="1"/>
  <c r="L12" i="6" s="1"/>
  <c r="E12" i="6"/>
  <c r="G12" i="6" s="1"/>
  <c r="F11" i="6"/>
  <c r="H11" i="6" s="1"/>
  <c r="L11" i="6" s="1"/>
  <c r="E11" i="6"/>
  <c r="G11" i="6" s="1"/>
  <c r="F10" i="6"/>
  <c r="H10" i="6" s="1"/>
  <c r="L10" i="6" s="1"/>
  <c r="E10" i="6"/>
  <c r="G10" i="6" s="1"/>
  <c r="K10" i="6" s="1"/>
  <c r="M10" i="6" s="1"/>
  <c r="E60" i="5"/>
  <c r="F59" i="5"/>
  <c r="H59" i="5" s="1"/>
  <c r="F58" i="5"/>
  <c r="H58" i="5" s="1"/>
  <c r="F57" i="5"/>
  <c r="H57" i="5" s="1"/>
  <c r="F56" i="5"/>
  <c r="H56" i="5" s="1"/>
  <c r="F55" i="5"/>
  <c r="H55" i="5" s="1"/>
  <c r="F54" i="5"/>
  <c r="H54" i="5" s="1"/>
  <c r="D53" i="5"/>
  <c r="F53" i="5" s="1"/>
  <c r="H53" i="5" s="1"/>
  <c r="E48" i="5"/>
  <c r="F47" i="5"/>
  <c r="H47" i="5" s="1"/>
  <c r="F46" i="5"/>
  <c r="H46" i="5" s="1"/>
  <c r="F45" i="5"/>
  <c r="H45" i="5" s="1"/>
  <c r="F44" i="5"/>
  <c r="H44" i="5" s="1"/>
  <c r="F43" i="5"/>
  <c r="H43" i="5" s="1"/>
  <c r="F42" i="5"/>
  <c r="H42" i="5" s="1"/>
  <c r="H41" i="5"/>
  <c r="F41" i="5"/>
  <c r="Q15" i="5"/>
  <c r="Q16" i="5" s="1"/>
  <c r="L15" i="5"/>
  <c r="H15" i="5"/>
  <c r="G15" i="5"/>
  <c r="K15" i="5" s="1"/>
  <c r="Q14" i="5"/>
  <c r="H14" i="5"/>
  <c r="L14" i="5" s="1"/>
  <c r="G14" i="5"/>
  <c r="Q13" i="5"/>
  <c r="F13" i="5"/>
  <c r="H13" i="5" s="1"/>
  <c r="L13" i="5" s="1"/>
  <c r="E13" i="5"/>
  <c r="G13" i="5" s="1"/>
  <c r="F12" i="5"/>
  <c r="H12" i="5" s="1"/>
  <c r="L12" i="5" s="1"/>
  <c r="E12" i="5"/>
  <c r="G12" i="5" s="1"/>
  <c r="K12" i="5" s="1"/>
  <c r="F11" i="5"/>
  <c r="H11" i="5" s="1"/>
  <c r="L11" i="5" s="1"/>
  <c r="E11" i="5"/>
  <c r="G11" i="5" s="1"/>
  <c r="K11" i="5" s="1"/>
  <c r="F10" i="5"/>
  <c r="H10" i="5" s="1"/>
  <c r="L10" i="5" s="1"/>
  <c r="E10" i="5"/>
  <c r="G10" i="5" s="1"/>
  <c r="F114" i="4"/>
  <c r="H114" i="4" s="1"/>
  <c r="C114" i="4"/>
  <c r="E113" i="4"/>
  <c r="F113" i="4" s="1"/>
  <c r="H113" i="4" s="1"/>
  <c r="F112" i="4"/>
  <c r="H112" i="4" s="1"/>
  <c r="E111" i="4"/>
  <c r="F111" i="4" s="1"/>
  <c r="H111" i="4" s="1"/>
  <c r="E110" i="4"/>
  <c r="F109" i="4"/>
  <c r="H109" i="4" s="1"/>
  <c r="F108" i="4"/>
  <c r="H108" i="4" s="1"/>
  <c r="F107" i="4"/>
  <c r="H107" i="4" s="1"/>
  <c r="F106" i="4"/>
  <c r="H106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H99" i="4"/>
  <c r="F99" i="4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H91" i="4"/>
  <c r="F91" i="4"/>
  <c r="F90" i="4"/>
  <c r="H90" i="4" s="1"/>
  <c r="F89" i="4"/>
  <c r="H89" i="4" s="1"/>
  <c r="F88" i="4"/>
  <c r="H88" i="4" s="1"/>
  <c r="H87" i="4"/>
  <c r="F87" i="4"/>
  <c r="F86" i="4"/>
  <c r="H86" i="4" s="1"/>
  <c r="F85" i="4"/>
  <c r="H85" i="4" s="1"/>
  <c r="F84" i="4"/>
  <c r="H84" i="4" s="1"/>
  <c r="D83" i="4"/>
  <c r="F83" i="4" s="1"/>
  <c r="E77" i="4"/>
  <c r="E78" i="4" s="1"/>
  <c r="C77" i="4"/>
  <c r="C115" i="4" s="1"/>
  <c r="F76" i="4"/>
  <c r="H76" i="4" s="1"/>
  <c r="E75" i="4"/>
  <c r="F75" i="4" s="1"/>
  <c r="H75" i="4" s="1"/>
  <c r="C75" i="4"/>
  <c r="C113" i="4" s="1"/>
  <c r="F74" i="4"/>
  <c r="H74" i="4" s="1"/>
  <c r="F73" i="4"/>
  <c r="H73" i="4" s="1"/>
  <c r="F72" i="4"/>
  <c r="H72" i="4" s="1"/>
  <c r="F71" i="4"/>
  <c r="H71" i="4" s="1"/>
  <c r="H70" i="4"/>
  <c r="F70" i="4"/>
  <c r="F69" i="4"/>
  <c r="H69" i="4" s="1"/>
  <c r="F68" i="4"/>
  <c r="H68" i="4" s="1"/>
  <c r="F67" i="4"/>
  <c r="H67" i="4" s="1"/>
  <c r="F66" i="4"/>
  <c r="H66" i="4" s="1"/>
  <c r="F65" i="4"/>
  <c r="H65" i="4" s="1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H58" i="4"/>
  <c r="F58" i="4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Q15" i="4"/>
  <c r="Q16" i="4" s="1"/>
  <c r="H15" i="4"/>
  <c r="L15" i="4" s="1"/>
  <c r="G15" i="4"/>
  <c r="K15" i="4" s="1"/>
  <c r="H14" i="4"/>
  <c r="L14" i="4" s="1"/>
  <c r="K14" i="4" s="1"/>
  <c r="G14" i="4"/>
  <c r="Q13" i="4"/>
  <c r="Q14" i="4" s="1"/>
  <c r="F13" i="4"/>
  <c r="H13" i="4" s="1"/>
  <c r="L13" i="4" s="1"/>
  <c r="E13" i="4"/>
  <c r="G13" i="4" s="1"/>
  <c r="K13" i="4" s="1"/>
  <c r="G12" i="4"/>
  <c r="F12" i="4"/>
  <c r="H12" i="4" s="1"/>
  <c r="L12" i="4" s="1"/>
  <c r="E12" i="4"/>
  <c r="F11" i="4"/>
  <c r="H11" i="4" s="1"/>
  <c r="L11" i="4" s="1"/>
  <c r="E11" i="4"/>
  <c r="G11" i="4" s="1"/>
  <c r="G10" i="4"/>
  <c r="F10" i="4"/>
  <c r="H10" i="4" s="1"/>
  <c r="L10" i="4" s="1"/>
  <c r="E10" i="4"/>
  <c r="F15" i="3"/>
  <c r="H15" i="3" s="1"/>
  <c r="L15" i="3" s="1"/>
  <c r="E15" i="3"/>
  <c r="G15" i="3" s="1"/>
  <c r="K15" i="3" s="1"/>
  <c r="F14" i="3"/>
  <c r="H14" i="3" s="1"/>
  <c r="L14" i="3" s="1"/>
  <c r="E14" i="3"/>
  <c r="G14" i="3" s="1"/>
  <c r="F13" i="3"/>
  <c r="H13" i="3" s="1"/>
  <c r="L13" i="3" s="1"/>
  <c r="E13" i="3"/>
  <c r="G13" i="3" s="1"/>
  <c r="L12" i="3"/>
  <c r="H12" i="3"/>
  <c r="F12" i="3"/>
  <c r="E12" i="3"/>
  <c r="G12" i="3" s="1"/>
  <c r="K12" i="3" s="1"/>
  <c r="G11" i="3"/>
  <c r="F11" i="3"/>
  <c r="H11" i="3" s="1"/>
  <c r="L11" i="3" s="1"/>
  <c r="K11" i="3" s="1"/>
  <c r="E11" i="3"/>
  <c r="H10" i="3"/>
  <c r="L10" i="3" s="1"/>
  <c r="F10" i="3"/>
  <c r="E10" i="3"/>
  <c r="G10" i="3" s="1"/>
  <c r="F15" i="2"/>
  <c r="H15" i="2" s="1"/>
  <c r="L15" i="2" s="1"/>
  <c r="E15" i="2"/>
  <c r="G15" i="2" s="1"/>
  <c r="H14" i="2"/>
  <c r="L14" i="2" s="1"/>
  <c r="F14" i="2"/>
  <c r="E14" i="2"/>
  <c r="G14" i="2" s="1"/>
  <c r="G13" i="2"/>
  <c r="K13" i="2" s="1"/>
  <c r="F13" i="2"/>
  <c r="H13" i="2" s="1"/>
  <c r="L13" i="2" s="1"/>
  <c r="E13" i="2"/>
  <c r="F12" i="2"/>
  <c r="H12" i="2" s="1"/>
  <c r="L12" i="2" s="1"/>
  <c r="E12" i="2"/>
  <c r="G12" i="2" s="1"/>
  <c r="K12" i="2" s="1"/>
  <c r="H11" i="2"/>
  <c r="L11" i="2" s="1"/>
  <c r="F11" i="2"/>
  <c r="E11" i="2"/>
  <c r="G11" i="2" s="1"/>
  <c r="G10" i="2"/>
  <c r="K10" i="2" s="1"/>
  <c r="M10" i="2" s="1"/>
  <c r="F10" i="2"/>
  <c r="H10" i="2" s="1"/>
  <c r="L10" i="2" s="1"/>
  <c r="E10" i="2"/>
  <c r="L15" i="1"/>
  <c r="H15" i="1"/>
  <c r="G15" i="1"/>
  <c r="K15" i="1" s="1"/>
  <c r="H14" i="1"/>
  <c r="L14" i="1" s="1"/>
  <c r="G14" i="1"/>
  <c r="H13" i="1"/>
  <c r="L13" i="1" s="1"/>
  <c r="F13" i="1"/>
  <c r="E13" i="1"/>
  <c r="G13" i="1" s="1"/>
  <c r="K13" i="1" s="1"/>
  <c r="L12" i="1"/>
  <c r="H12" i="1"/>
  <c r="G12" i="1"/>
  <c r="K12" i="1" s="1"/>
  <c r="F12" i="1"/>
  <c r="E12" i="1"/>
  <c r="L11" i="1"/>
  <c r="H11" i="1"/>
  <c r="G11" i="1"/>
  <c r="K11" i="1" s="1"/>
  <c r="F11" i="1"/>
  <c r="E11" i="1"/>
  <c r="L10" i="1"/>
  <c r="H10" i="1"/>
  <c r="G10" i="1"/>
  <c r="K10" i="1" s="1"/>
  <c r="M10" i="1" s="1"/>
  <c r="F10" i="1"/>
  <c r="E10" i="1"/>
  <c r="K20" i="8" l="1"/>
  <c r="K23" i="7"/>
  <c r="K22" i="3"/>
  <c r="M22" i="3" s="1"/>
  <c r="M29" i="2"/>
  <c r="K32" i="9"/>
  <c r="K25" i="9"/>
  <c r="K19" i="9"/>
  <c r="K17" i="9"/>
  <c r="K28" i="9"/>
  <c r="K31" i="9"/>
  <c r="K26" i="9"/>
  <c r="K23" i="9"/>
  <c r="K16" i="9"/>
  <c r="M16" i="9" s="1"/>
  <c r="K29" i="9"/>
  <c r="K27" i="9"/>
  <c r="K33" i="9"/>
  <c r="K21" i="9"/>
  <c r="K30" i="9"/>
  <c r="K24" i="9"/>
  <c r="K20" i="9"/>
  <c r="K18" i="9"/>
  <c r="H54" i="8"/>
  <c r="F54" i="8"/>
  <c r="K32" i="8"/>
  <c r="K22" i="8"/>
  <c r="K23" i="8"/>
  <c r="K27" i="8"/>
  <c r="K17" i="8"/>
  <c r="M17" i="8" s="1"/>
  <c r="M18" i="8" s="1"/>
  <c r="M19" i="8" s="1"/>
  <c r="M20" i="8" s="1"/>
  <c r="M21" i="8" s="1"/>
  <c r="K18" i="8"/>
  <c r="H63" i="7"/>
  <c r="H51" i="7"/>
  <c r="H52" i="7" s="1"/>
  <c r="H53" i="7" s="1"/>
  <c r="K30" i="7"/>
  <c r="K28" i="7"/>
  <c r="K31" i="7"/>
  <c r="F50" i="7"/>
  <c r="F62" i="7"/>
  <c r="K26" i="7"/>
  <c r="G27" i="7"/>
  <c r="K27" i="7" s="1"/>
  <c r="K17" i="7"/>
  <c r="K16" i="7"/>
  <c r="M16" i="7" s="1"/>
  <c r="K28" i="6"/>
  <c r="K18" i="6"/>
  <c r="K30" i="6"/>
  <c r="K22" i="6"/>
  <c r="K26" i="6"/>
  <c r="K11" i="6"/>
  <c r="M11" i="6" s="1"/>
  <c r="M12" i="6" s="1"/>
  <c r="K13" i="6"/>
  <c r="F55" i="6"/>
  <c r="F48" i="5"/>
  <c r="K19" i="4"/>
  <c r="K31" i="4"/>
  <c r="K27" i="4"/>
  <c r="K23" i="4"/>
  <c r="K30" i="4"/>
  <c r="K26" i="4"/>
  <c r="K22" i="4"/>
  <c r="K18" i="4"/>
  <c r="K11" i="4"/>
  <c r="K28" i="3"/>
  <c r="K31" i="3"/>
  <c r="H52" i="3"/>
  <c r="H56" i="3" s="1"/>
  <c r="H43" i="3"/>
  <c r="H47" i="3" s="1"/>
  <c r="K25" i="3"/>
  <c r="M23" i="3"/>
  <c r="M24" i="3" s="1"/>
  <c r="K26" i="3"/>
  <c r="K27" i="3"/>
  <c r="K16" i="3"/>
  <c r="M16" i="3" s="1"/>
  <c r="M17" i="3" s="1"/>
  <c r="M18" i="3" s="1"/>
  <c r="M19" i="3" s="1"/>
  <c r="M20" i="3" s="1"/>
  <c r="M21" i="3" s="1"/>
  <c r="K17" i="3"/>
  <c r="K19" i="3"/>
  <c r="K30" i="2"/>
  <c r="M30" i="2" s="1"/>
  <c r="M31" i="2" s="1"/>
  <c r="M32" i="2" s="1"/>
  <c r="M33" i="2" s="1"/>
  <c r="H56" i="2"/>
  <c r="H64" i="2" s="1"/>
  <c r="H43" i="2"/>
  <c r="H51" i="2" s="1"/>
  <c r="K17" i="2"/>
  <c r="K16" i="2"/>
  <c r="M16" i="2" s="1"/>
  <c r="M17" i="2" s="1"/>
  <c r="M18" i="2" s="1"/>
  <c r="M19" i="2" s="1"/>
  <c r="M20" i="2" s="1"/>
  <c r="M21" i="2" s="1"/>
  <c r="K21" i="2"/>
  <c r="H60" i="5"/>
  <c r="K10" i="4"/>
  <c r="M10" i="4" s="1"/>
  <c r="M11" i="4" s="1"/>
  <c r="K12" i="4"/>
  <c r="K13" i="5"/>
  <c r="M11" i="2"/>
  <c r="M12" i="2" s="1"/>
  <c r="M13" i="2" s="1"/>
  <c r="M14" i="2" s="1"/>
  <c r="M15" i="2" s="1"/>
  <c r="K10" i="3"/>
  <c r="M10" i="3" s="1"/>
  <c r="M11" i="3" s="1"/>
  <c r="M12" i="3" s="1"/>
  <c r="M13" i="3" s="1"/>
  <c r="M14" i="3" s="1"/>
  <c r="M11" i="1"/>
  <c r="M12" i="1" s="1"/>
  <c r="M13" i="1" s="1"/>
  <c r="K14" i="1"/>
  <c r="K11" i="2"/>
  <c r="K14" i="2"/>
  <c r="H83" i="4"/>
  <c r="K10" i="5"/>
  <c r="M10" i="5" s="1"/>
  <c r="M11" i="5" s="1"/>
  <c r="M12" i="5" s="1"/>
  <c r="K14" i="6"/>
  <c r="K10" i="8"/>
  <c r="M10" i="8" s="1"/>
  <c r="M11" i="8" s="1"/>
  <c r="M12" i="8" s="1"/>
  <c r="K12" i="8"/>
  <c r="K14" i="8"/>
  <c r="K13" i="3"/>
  <c r="K14" i="5"/>
  <c r="H48" i="5"/>
  <c r="K11" i="7"/>
  <c r="M11" i="7" s="1"/>
  <c r="K15" i="2"/>
  <c r="K14" i="3"/>
  <c r="K12" i="6"/>
  <c r="K11" i="8"/>
  <c r="H41" i="6"/>
  <c r="H55" i="6" s="1"/>
  <c r="F60" i="5"/>
  <c r="F77" i="4"/>
  <c r="H77" i="4" s="1"/>
  <c r="F110" i="4"/>
  <c r="H110" i="4" s="1"/>
  <c r="H60" i="6"/>
  <c r="H73" i="6" s="1"/>
  <c r="E115" i="4"/>
  <c r="F115" i="4" s="1"/>
  <c r="H115" i="4" s="1"/>
  <c r="H43" i="4"/>
  <c r="H78" i="4" s="1"/>
  <c r="M22" i="8" l="1"/>
  <c r="M23" i="8" s="1"/>
  <c r="M24" i="8" s="1"/>
  <c r="M25" i="8" s="1"/>
  <c r="M26" i="8" s="1"/>
  <c r="M27" i="8" s="1"/>
  <c r="M28" i="8" s="1"/>
  <c r="M29" i="8" s="1"/>
  <c r="M30" i="8" s="1"/>
  <c r="M31" i="8" s="1"/>
  <c r="M32" i="8" s="1"/>
  <c r="M33" i="8" s="1"/>
  <c r="M17" i="9"/>
  <c r="M18" i="9" s="1"/>
  <c r="M19" i="9" s="1"/>
  <c r="M20" i="9" s="1"/>
  <c r="H55" i="8"/>
  <c r="H47" i="8"/>
  <c r="H48" i="8" s="1"/>
  <c r="H49" i="8" s="1"/>
  <c r="M17" i="7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H116" i="4"/>
  <c r="F116" i="4"/>
  <c r="H49" i="3"/>
  <c r="H50" i="3" s="1"/>
  <c r="H57" i="3"/>
  <c r="H48" i="3"/>
  <c r="M25" i="3"/>
  <c r="M26" i="3" s="1"/>
  <c r="M27" i="3" s="1"/>
  <c r="M28" i="3" s="1"/>
  <c r="M29" i="3" s="1"/>
  <c r="M30" i="3" s="1"/>
  <c r="M31" i="3" s="1"/>
  <c r="M32" i="3" s="1"/>
  <c r="M33" i="3" s="1"/>
  <c r="H65" i="2"/>
  <c r="H52" i="2"/>
  <c r="H53" i="2"/>
  <c r="H54" i="2" s="1"/>
  <c r="M12" i="7"/>
  <c r="M13" i="7" s="1"/>
  <c r="M14" i="7" s="1"/>
  <c r="M15" i="7" s="1"/>
  <c r="Q11" i="6"/>
  <c r="Q12" i="6" s="1"/>
  <c r="M13" i="6"/>
  <c r="H117" i="4"/>
  <c r="H79" i="4"/>
  <c r="H80" i="4" s="1"/>
  <c r="H81" i="4" s="1"/>
  <c r="H74" i="6"/>
  <c r="H56" i="6"/>
  <c r="H57" i="6" s="1"/>
  <c r="H58" i="6" s="1"/>
  <c r="E116" i="4"/>
  <c r="F78" i="4"/>
  <c r="M12" i="4"/>
  <c r="M15" i="3"/>
  <c r="Q11" i="8"/>
  <c r="Q12" i="8" s="1"/>
  <c r="M13" i="8"/>
  <c r="M14" i="8" s="1"/>
  <c r="Q11" i="5"/>
  <c r="Q12" i="5" s="1"/>
  <c r="M13" i="5"/>
  <c r="H49" i="5"/>
  <c r="H50" i="5" s="1"/>
  <c r="H51" i="5" s="1"/>
  <c r="H61" i="5"/>
  <c r="Q17" i="9" l="1"/>
  <c r="Q18" i="9" s="1"/>
  <c r="Q19" i="9"/>
  <c r="Q20" i="9" s="1"/>
  <c r="M21" i="9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Q11" i="4"/>
  <c r="Q12" i="4" s="1"/>
  <c r="M13" i="4"/>
  <c r="Q13" i="8"/>
  <c r="Q14" i="8" s="1"/>
  <c r="M15" i="8"/>
  <c r="Q15" i="8" s="1"/>
  <c r="Q16" i="8" s="1"/>
  <c r="Q21" i="9" l="1"/>
  <c r="Q22" i="9" s="1"/>
</calcChain>
</file>

<file path=xl/sharedStrings.xml><?xml version="1.0" encoding="utf-8"?>
<sst xmlns="http://schemas.openxmlformats.org/spreadsheetml/2006/main" count="314" uniqueCount="58">
  <si>
    <t>Louisville Gas and Electric Company</t>
  </si>
  <si>
    <t>Deferred Tax Calculations</t>
  </si>
  <si>
    <t>Environmental Compliance Plans, by Approved Project</t>
  </si>
  <si>
    <t>2009 - Plan</t>
  </si>
  <si>
    <t>Project 23 - Trimble County Ash Treatment Basis (BAP/GSP)</t>
  </si>
  <si>
    <t>Month</t>
  </si>
  <si>
    <t>Plant Balance</t>
  </si>
  <si>
    <t>Book Depreciation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</si>
  <si>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</si>
  <si>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</si>
  <si>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</si>
  <si>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</si>
  <si>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</si>
  <si>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</si>
  <si>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</si>
  <si>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</si>
  <si>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>Accumulated Deferred Taxes</t>
  </si>
  <si>
    <t>Deferred Taxes on Retirements</t>
  </si>
  <si>
    <t>Beg Balance</t>
  </si>
  <si>
    <t>Project 24 - Trimble County CCP Storage (Landfill - Phase I)</t>
  </si>
  <si>
    <t>The federal deferred tax column includes an amount for amortization of excess deferred tax amounts.</t>
  </si>
  <si>
    <t xml:space="preserve">Due to Bonus Depreciation for tax purposes taken on certain components of Project 24, the deferred tax calculation for this project 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</si>
  <si>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</si>
  <si>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</si>
  <si>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</si>
  <si>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</si>
  <si>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</si>
  <si>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</si>
  <si>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Def Tax</t>
  </si>
  <si>
    <t>Subtotal</t>
  </si>
  <si>
    <t>State Offset</t>
  </si>
  <si>
    <t>Excess fed deferred tax amortization</t>
  </si>
  <si>
    <t>State Basis</t>
  </si>
  <si>
    <t>State Tax Depr</t>
  </si>
  <si>
    <t>St. Difference</t>
  </si>
  <si>
    <t>St Def Tax</t>
  </si>
  <si>
    <t>Project 25 -Beneficial Reuse</t>
  </si>
  <si>
    <t xml:space="preserve">Due to Bonus Depreciation for tax purposes taken on certain components of Project 25, the deferred tax calculation for this project </t>
  </si>
  <si>
    <t>Excess deferred tax amortization</t>
  </si>
  <si>
    <t>2011 - Plan</t>
  </si>
  <si>
    <t>Project 26 - Mill Creek Station Air Compliance</t>
  </si>
  <si>
    <t xml:space="preserve">Due to Bonus Depreciation for tax purposes taken on certain components of Project 26, the deferred tax calculation for this project </t>
  </si>
  <si>
    <t>depreciation, which reduces the Federal tax basis to 50% of the plant balance.  A sample calculation of deferred taxes for Jun 2021</t>
  </si>
  <si>
    <t>Project 27 - Trimble County Unit 1 Air Compliance</t>
  </si>
  <si>
    <t xml:space="preserve">Due to Bonus Depreciation for tax purposes taken on certain components of Project 27, the deferred tax calculation for this project </t>
  </si>
  <si>
    <t>2016 - Plan</t>
  </si>
  <si>
    <t>Project 28 - Supplemental Mecury Control</t>
  </si>
  <si>
    <t xml:space="preserve"> </t>
  </si>
  <si>
    <t xml:space="preserve">Due to Bonus Depreciation for tax purposes taken on certain components of Project 28, the deferred tax calculation for this project </t>
  </si>
  <si>
    <t>Project 29 - Mill Creek New Process Water Systems</t>
  </si>
  <si>
    <t xml:space="preserve">Due to Bonus Depreciation for tax purposes taken on certain components of Project 29, the deferred tax calculation for this project </t>
  </si>
  <si>
    <t>Project 30 - Trimble County New Process Water Systems</t>
  </si>
  <si>
    <t xml:space="preserve">Due to Bonus Depreciation for tax purposes taken on certain components of Project 30, the deferred tax calculation for this project </t>
  </si>
  <si>
    <t>depreciation, which reduces the Federal tax basis to 50% of the plant balance.  A sample calculation of deferred taxes for Feb 2023</t>
  </si>
  <si>
    <t>The federal and state deferred tax columns include an amount for amortization of excess deferred tax amounts.</t>
  </si>
  <si>
    <t>Excess state deferred tax amortization</t>
  </si>
  <si>
    <t>2020 - Plan</t>
  </si>
  <si>
    <t>Project 31 - Mill Creek ELG Water Treatment System and Diffuser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</si>
</sst>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0%"/>
  </numFmts>
  <fonts count="5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Continuous"/>
    </xf>
    <xf numFmtId="164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0" fontId="3" fillId="0" borderId="0" xfId="0" quotePrefix="1" applyFont="1" applyAlignment="1">
      <alignment horizontal="left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0" fillId="0" borderId="0" xfId="0" applyNumberFormat="1"/>
    <xf numFmtId="165" fontId="3" fillId="0" borderId="0" xfId="1" applyNumberFormat="1"/>
    <xf numFmtId="164" fontId="3" fillId="0" borderId="0" xfId="2" applyNumberFormat="1" applyAlignment="1">
      <alignment horizontal="left"/>
    </xf>
    <xf numFmtId="41" fontId="3" fillId="0" borderId="0" xfId="0" applyNumberFormat="1" applyFont="1"/>
    <xf numFmtId="38" fontId="3" fillId="0" borderId="0" xfId="0" applyNumberFormat="1" applyFont="1"/>
    <xf numFmtId="166" fontId="0" fillId="0" borderId="0" xfId="0" applyNumberFormat="1"/>
    <xf numFmtId="41" fontId="0" fillId="0" borderId="0" xfId="0" applyNumberFormat="1"/>
    <xf numFmtId="43" fontId="0" fillId="0" borderId="0" xfId="1" applyFont="1"/>
    <xf numFmtId="165" fontId="0" fillId="0" borderId="0" xfId="0" applyNumberFormat="1"/>
    <xf numFmtId="165" fontId="3" fillId="0" borderId="0" xfId="1" applyNumberFormat="1" applyFont="1"/>
    <xf numFmtId="164" fontId="3" fillId="0" borderId="0" xfId="0" applyNumberFormat="1" applyFont="1" applyAlignment="1">
      <alignment horizontal="left"/>
    </xf>
    <xf numFmtId="164" fontId="2" fillId="0" borderId="0" xfId="0" quotePrefix="1" applyNumberFormat="1" applyFont="1" applyAlignment="1">
      <alignment horizontal="left"/>
    </xf>
    <xf numFmtId="164" fontId="1" fillId="0" borderId="0" xfId="0" quotePrefix="1" applyNumberFormat="1" applyFont="1" applyAlignment="1">
      <alignment horizontal="left"/>
    </xf>
    <xf numFmtId="0" fontId="3" fillId="0" borderId="0" xfId="0" applyFont="1"/>
    <xf numFmtId="41" fontId="3" fillId="0" borderId="0" xfId="0" quotePrefix="1" applyNumberFormat="1" applyFont="1" applyAlignment="1">
      <alignment horizontal="left"/>
    </xf>
    <xf numFmtId="165" fontId="3" fillId="0" borderId="0" xfId="3" applyNumberFormat="1" applyFont="1" applyFill="1"/>
    <xf numFmtId="43" fontId="3" fillId="0" borderId="0" xfId="3" applyFont="1" applyFill="1"/>
    <xf numFmtId="165" fontId="3" fillId="0" borderId="0" xfId="3" quotePrefix="1" applyNumberFormat="1" applyFont="1" applyFill="1" applyAlignment="1">
      <alignment horizontal="left"/>
    </xf>
    <xf numFmtId="41" fontId="4" fillId="0" borderId="0" xfId="0" applyNumberFormat="1" applyFont="1"/>
    <xf numFmtId="166" fontId="3" fillId="0" borderId="0" xfId="0" applyNumberFormat="1" applyFont="1"/>
    <xf numFmtId="38" fontId="0" fillId="0" borderId="0" xfId="0" applyNumberFormat="1"/>
    <xf numFmtId="41" fontId="3" fillId="0" borderId="1" xfId="0" applyNumberFormat="1" applyFont="1" applyBorder="1"/>
    <xf numFmtId="38" fontId="3" fillId="0" borderId="0" xfId="4" applyNumberFormat="1"/>
    <xf numFmtId="165" fontId="3" fillId="0" borderId="0" xfId="5" applyNumberFormat="1" applyFont="1" applyFill="1"/>
    <xf numFmtId="43" fontId="3" fillId="0" borderId="0" xfId="5" applyFont="1" applyFill="1"/>
    <xf numFmtId="165" fontId="3" fillId="0" borderId="0" xfId="5" quotePrefix="1" applyNumberFormat="1" applyFont="1" applyFill="1" applyAlignment="1">
      <alignment horizontal="left"/>
    </xf>
    <xf numFmtId="41" fontId="3" fillId="0" borderId="0" xfId="4" applyNumberFormat="1"/>
    <xf numFmtId="41" fontId="3" fillId="0" borderId="0" xfId="4" quotePrefix="1" applyNumberFormat="1" applyAlignment="1">
      <alignment horizontal="left"/>
    </xf>
    <xf numFmtId="0" fontId="3" fillId="0" borderId="0" xfId="4"/>
    <xf numFmtId="0" fontId="3" fillId="0" borderId="0" xfId="4" quotePrefix="1" applyAlignment="1">
      <alignment horizontal="left"/>
    </xf>
    <xf numFmtId="166" fontId="3" fillId="0" borderId="0" xfId="4" applyNumberFormat="1"/>
    <xf numFmtId="41" fontId="4" fillId="0" borderId="0" xfId="4" applyNumberFormat="1" applyFont="1"/>
  </cellXfs>
  <cellStyles count="6">
    <cellStyle name="Comma" xfId="1" builtinId="3"/>
    <cellStyle name="Comma 2 2" xfId="3" xr:uid="{7832380E-96C1-4CBA-9DF7-40D3004A0231}"/>
    <cellStyle name="Comma 2 2 2" xfId="5" xr:uid="{C41F3C5E-C598-4E7A-85D7-89E962C456EB}"/>
    <cellStyle name="Normal" xfId="0" builtinId="0"/>
    <cellStyle name="Normal 2" xfId="2" xr:uid="{D8654767-F5CB-454F-BF51-A30740171C49}"/>
    <cellStyle name="Normal 2 2" xfId="4" xr:uid="{18D891A6-5D36-4611-BF3D-61E6972218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A1A88-ACDE-4A5D-AD9E-56EA60EEB149}">
  <sheetPr>
    <pageSetUpPr fitToPage="1"/>
  </sheetPr>
  <dimension ref="A1:S33"/>
  <sheetViews>
    <sheetView tabSelected="1" zoomScaleNormal="100" workbookViewId="0"/>
  </sheetViews>
  <sheetFormatPr defaultRowHeight="12.75" x14ac:dyDescent="0.2"/>
  <cols>
    <col min="1" max="1" width="11.28515625" style="9" customWidth="1"/>
    <col min="2" max="2" width="1.7109375" customWidth="1"/>
    <col min="3" max="16" width="12.7109375" customWidth="1"/>
    <col min="17" max="17" width="9.28515625" bestFit="1" customWidth="1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x14ac:dyDescent="0.2">
      <c r="A5" s="4" t="s">
        <v>3</v>
      </c>
    </row>
    <row r="6" spans="1:19" x14ac:dyDescent="0.2">
      <c r="A6" s="5" t="s">
        <v>4</v>
      </c>
    </row>
    <row r="8" spans="1:19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9" x14ac:dyDescent="0.2">
      <c r="A9" s="9" t="s">
        <v>18</v>
      </c>
      <c r="M9" s="10">
        <v>-187344</v>
      </c>
    </row>
    <row r="10" spans="1:19" x14ac:dyDescent="0.2">
      <c r="A10" s="11">
        <v>44264</v>
      </c>
      <c r="C10" s="12">
        <v>9599354</v>
      </c>
      <c r="D10" s="13">
        <v>16570</v>
      </c>
      <c r="E10" s="10">
        <f>35693.85+2</f>
        <v>35695.85</v>
      </c>
      <c r="F10" s="10">
        <f>35693.85</f>
        <v>35693.85</v>
      </c>
      <c r="G10" s="12">
        <f t="shared" ref="G10:G15" si="0">E10-D10</f>
        <v>19125.849999999999</v>
      </c>
      <c r="H10" s="12">
        <f t="shared" ref="H10:H15" si="1">F10-D10</f>
        <v>19123.849999999999</v>
      </c>
      <c r="I10" s="14">
        <v>0.21</v>
      </c>
      <c r="J10" s="14">
        <v>0.05</v>
      </c>
      <c r="K10" s="15">
        <f t="shared" ref="K10:K15" si="2">G10*I10-L10*I10</f>
        <v>3815.6280749999996</v>
      </c>
      <c r="L10" s="15">
        <f t="shared" ref="L10:L15" si="3">H10*J10</f>
        <v>956.1925</v>
      </c>
      <c r="M10" s="15">
        <f t="shared" ref="M10:M13" si="4">M9+K10+L10</f>
        <v>-182572.17942500001</v>
      </c>
      <c r="N10" s="15">
        <v>0</v>
      </c>
      <c r="O10" s="16"/>
      <c r="Q10" s="17"/>
    </row>
    <row r="11" spans="1:19" x14ac:dyDescent="0.2">
      <c r="A11" s="11">
        <v>44287</v>
      </c>
      <c r="C11" s="12">
        <v>9599354</v>
      </c>
      <c r="D11" s="13">
        <v>16570</v>
      </c>
      <c r="E11" s="10">
        <f>35693.85</f>
        <v>35693.85</v>
      </c>
      <c r="F11" s="10">
        <f>35693.85</f>
        <v>35693.85</v>
      </c>
      <c r="G11" s="12">
        <f t="shared" si="0"/>
        <v>19123.849999999999</v>
      </c>
      <c r="H11" s="12">
        <f t="shared" si="1"/>
        <v>19123.849999999999</v>
      </c>
      <c r="I11" s="14">
        <v>0.21</v>
      </c>
      <c r="J11" s="14">
        <v>0.05</v>
      </c>
      <c r="K11" s="15">
        <f t="shared" si="2"/>
        <v>3815.2080749999996</v>
      </c>
      <c r="L11" s="15">
        <f t="shared" si="3"/>
        <v>956.1925</v>
      </c>
      <c r="M11" s="15">
        <f t="shared" si="4"/>
        <v>-177800.77885</v>
      </c>
      <c r="N11" s="15">
        <v>0</v>
      </c>
      <c r="O11" s="16"/>
      <c r="Q11" s="15"/>
      <c r="S11" s="15"/>
    </row>
    <row r="12" spans="1:19" x14ac:dyDescent="0.2">
      <c r="A12" s="11">
        <v>44317</v>
      </c>
      <c r="C12" s="12">
        <v>9599354</v>
      </c>
      <c r="D12" s="13">
        <v>16570</v>
      </c>
      <c r="E12" s="10">
        <f>35693.85</f>
        <v>35693.85</v>
      </c>
      <c r="F12" s="10">
        <f>35693.85</f>
        <v>35693.85</v>
      </c>
      <c r="G12" s="12">
        <f t="shared" si="0"/>
        <v>19123.849999999999</v>
      </c>
      <c r="H12" s="12">
        <f t="shared" si="1"/>
        <v>19123.849999999999</v>
      </c>
      <c r="I12" s="14">
        <v>0.21</v>
      </c>
      <c r="J12" s="14">
        <v>0.05</v>
      </c>
      <c r="K12" s="15">
        <f t="shared" si="2"/>
        <v>3815.2080749999996</v>
      </c>
      <c r="L12" s="15">
        <f t="shared" si="3"/>
        <v>956.1925</v>
      </c>
      <c r="M12" s="15">
        <f t="shared" si="4"/>
        <v>-173029.378275</v>
      </c>
      <c r="N12" s="15">
        <v>0</v>
      </c>
      <c r="Q12" s="15"/>
    </row>
    <row r="13" spans="1:19" x14ac:dyDescent="0.2">
      <c r="A13" s="11">
        <v>44348</v>
      </c>
      <c r="C13" s="12">
        <v>9599354</v>
      </c>
      <c r="D13" s="13">
        <v>16570</v>
      </c>
      <c r="E13" s="10">
        <f>35693.85</f>
        <v>35693.85</v>
      </c>
      <c r="F13" s="10">
        <f>35693.85</f>
        <v>35693.85</v>
      </c>
      <c r="G13" s="12">
        <f t="shared" si="0"/>
        <v>19123.849999999999</v>
      </c>
      <c r="H13" s="12">
        <f t="shared" si="1"/>
        <v>19123.849999999999</v>
      </c>
      <c r="I13" s="14">
        <v>0.21</v>
      </c>
      <c r="J13" s="14">
        <v>0.05</v>
      </c>
      <c r="K13" s="15">
        <f t="shared" si="2"/>
        <v>3815.2080749999996</v>
      </c>
      <c r="L13" s="15">
        <f t="shared" si="3"/>
        <v>956.1925</v>
      </c>
      <c r="M13" s="15">
        <f t="shared" si="4"/>
        <v>-168257.97769999999</v>
      </c>
      <c r="N13" s="15">
        <v>0</v>
      </c>
      <c r="Q13" s="12"/>
    </row>
    <row r="14" spans="1:19" x14ac:dyDescent="0.2">
      <c r="A14" s="11">
        <v>44378</v>
      </c>
      <c r="C14" s="12"/>
      <c r="D14" s="13"/>
      <c r="E14" s="10"/>
      <c r="F14" s="10"/>
      <c r="G14" s="12">
        <f t="shared" si="0"/>
        <v>0</v>
      </c>
      <c r="H14" s="12">
        <f t="shared" si="1"/>
        <v>0</v>
      </c>
      <c r="I14" s="14">
        <v>0.21</v>
      </c>
      <c r="J14" s="14">
        <v>0.05</v>
      </c>
      <c r="K14" s="15">
        <f t="shared" si="2"/>
        <v>0</v>
      </c>
      <c r="L14" s="15">
        <f t="shared" si="3"/>
        <v>0</v>
      </c>
      <c r="M14" s="15">
        <v>0</v>
      </c>
      <c r="N14" s="15">
        <v>0</v>
      </c>
      <c r="P14" s="12"/>
      <c r="Q14" s="15"/>
    </row>
    <row r="15" spans="1:19" x14ac:dyDescent="0.2">
      <c r="A15" s="11">
        <v>44409</v>
      </c>
      <c r="C15" s="12"/>
      <c r="D15" s="13"/>
      <c r="E15" s="18"/>
      <c r="F15" s="18"/>
      <c r="G15" s="12">
        <f t="shared" si="0"/>
        <v>0</v>
      </c>
      <c r="H15" s="12">
        <f t="shared" si="1"/>
        <v>0</v>
      </c>
      <c r="I15" s="14">
        <v>0.21</v>
      </c>
      <c r="J15" s="14">
        <v>0.05</v>
      </c>
      <c r="K15" s="15">
        <f t="shared" si="2"/>
        <v>0</v>
      </c>
      <c r="L15" s="15">
        <f t="shared" si="3"/>
        <v>0</v>
      </c>
      <c r="M15" s="15">
        <v>0</v>
      </c>
      <c r="N15" s="15">
        <v>0</v>
      </c>
      <c r="Q15" s="15"/>
    </row>
    <row r="16" spans="1:19" x14ac:dyDescent="0.2">
      <c r="A16" s="11">
        <v>44448</v>
      </c>
      <c r="C16" s="12"/>
      <c r="D16" s="13"/>
      <c r="E16" s="13"/>
      <c r="F16" s="13"/>
      <c r="G16" s="12">
        <f t="shared" ref="G16:G33" si="5">E16-D16</f>
        <v>0</v>
      </c>
      <c r="H16" s="12">
        <f t="shared" ref="H16:H33" si="6">F16-D16</f>
        <v>0</v>
      </c>
      <c r="I16" s="14">
        <v>0.21</v>
      </c>
      <c r="J16" s="14">
        <v>0.05</v>
      </c>
      <c r="K16" s="15">
        <f t="shared" ref="K16:K33" si="7">G16*I16-L16*I16</f>
        <v>0</v>
      </c>
      <c r="L16" s="15">
        <f t="shared" ref="L16:L33" si="8">H16*J16</f>
        <v>0</v>
      </c>
      <c r="M16" s="15">
        <v>0</v>
      </c>
      <c r="N16" s="15">
        <v>0</v>
      </c>
      <c r="O16" s="15"/>
      <c r="P16" s="15"/>
    </row>
    <row r="17" spans="1:16" x14ac:dyDescent="0.2">
      <c r="A17" s="11">
        <v>44470</v>
      </c>
      <c r="C17" s="12"/>
      <c r="D17" s="13"/>
      <c r="E17" s="13"/>
      <c r="F17" s="13"/>
      <c r="G17" s="12">
        <f t="shared" si="5"/>
        <v>0</v>
      </c>
      <c r="H17" s="12">
        <f t="shared" si="6"/>
        <v>0</v>
      </c>
      <c r="I17" s="14">
        <v>0.21</v>
      </c>
      <c r="J17" s="14">
        <v>0.05</v>
      </c>
      <c r="K17" s="15">
        <f t="shared" si="7"/>
        <v>0</v>
      </c>
      <c r="L17" s="15">
        <f t="shared" si="8"/>
        <v>0</v>
      </c>
      <c r="M17" s="15">
        <v>0</v>
      </c>
      <c r="N17" s="15">
        <v>0</v>
      </c>
      <c r="O17" s="15"/>
      <c r="P17" s="15"/>
    </row>
    <row r="18" spans="1:16" x14ac:dyDescent="0.2">
      <c r="A18" s="11">
        <v>44501</v>
      </c>
      <c r="C18" s="12"/>
      <c r="D18" s="13"/>
      <c r="E18" s="13"/>
      <c r="F18" s="13"/>
      <c r="G18" s="12">
        <f t="shared" si="5"/>
        <v>0</v>
      </c>
      <c r="H18" s="12">
        <f t="shared" si="6"/>
        <v>0</v>
      </c>
      <c r="I18" s="14">
        <v>0.21</v>
      </c>
      <c r="J18" s="14">
        <v>0.05</v>
      </c>
      <c r="K18" s="15">
        <f t="shared" si="7"/>
        <v>0</v>
      </c>
      <c r="L18" s="15">
        <f t="shared" si="8"/>
        <v>0</v>
      </c>
      <c r="M18" s="15">
        <v>0</v>
      </c>
      <c r="N18" s="15">
        <v>0</v>
      </c>
      <c r="O18" s="15"/>
      <c r="P18" s="15"/>
    </row>
    <row r="19" spans="1:16" x14ac:dyDescent="0.2">
      <c r="A19" s="11">
        <v>44531</v>
      </c>
      <c r="G19" s="12">
        <f t="shared" si="5"/>
        <v>0</v>
      </c>
      <c r="H19" s="12">
        <f t="shared" si="6"/>
        <v>0</v>
      </c>
      <c r="I19" s="14">
        <v>0.21</v>
      </c>
      <c r="J19" s="14">
        <v>0.05</v>
      </c>
      <c r="K19" s="15">
        <f t="shared" si="7"/>
        <v>0</v>
      </c>
      <c r="L19" s="15">
        <f t="shared" si="8"/>
        <v>0</v>
      </c>
      <c r="M19" s="15">
        <v>0</v>
      </c>
      <c r="N19" s="15">
        <v>0</v>
      </c>
    </row>
    <row r="20" spans="1:16" x14ac:dyDescent="0.2">
      <c r="A20" s="11">
        <v>44562</v>
      </c>
      <c r="G20" s="12">
        <f t="shared" si="5"/>
        <v>0</v>
      </c>
      <c r="H20" s="12">
        <f t="shared" si="6"/>
        <v>0</v>
      </c>
      <c r="I20" s="14">
        <v>0.21</v>
      </c>
      <c r="J20" s="14">
        <v>0.05</v>
      </c>
      <c r="K20" s="15">
        <f t="shared" si="7"/>
        <v>0</v>
      </c>
      <c r="L20" s="15">
        <f t="shared" si="8"/>
        <v>0</v>
      </c>
      <c r="M20" s="15">
        <v>0</v>
      </c>
      <c r="N20" s="15">
        <v>0</v>
      </c>
    </row>
    <row r="21" spans="1:16" x14ac:dyDescent="0.2">
      <c r="A21" s="11">
        <v>44593</v>
      </c>
      <c r="G21" s="12">
        <f t="shared" si="5"/>
        <v>0</v>
      </c>
      <c r="H21" s="12">
        <f t="shared" si="6"/>
        <v>0</v>
      </c>
      <c r="I21" s="14">
        <v>0.21</v>
      </c>
      <c r="J21" s="14">
        <v>0.05</v>
      </c>
      <c r="K21" s="15">
        <f t="shared" si="7"/>
        <v>0</v>
      </c>
      <c r="L21" s="15">
        <f t="shared" si="8"/>
        <v>0</v>
      </c>
      <c r="M21" s="15">
        <v>0</v>
      </c>
      <c r="N21" s="15">
        <v>0</v>
      </c>
    </row>
    <row r="22" spans="1:16" x14ac:dyDescent="0.2">
      <c r="A22" s="11">
        <v>44629</v>
      </c>
      <c r="G22" s="12">
        <f t="shared" si="5"/>
        <v>0</v>
      </c>
      <c r="H22" s="12">
        <f t="shared" si="6"/>
        <v>0</v>
      </c>
      <c r="I22" s="14">
        <v>0.21</v>
      </c>
      <c r="J22" s="14">
        <v>0.05</v>
      </c>
      <c r="K22" s="15">
        <f t="shared" si="7"/>
        <v>0</v>
      </c>
      <c r="L22" s="15">
        <f t="shared" si="8"/>
        <v>0</v>
      </c>
      <c r="M22" s="15">
        <v>0</v>
      </c>
      <c r="N22" s="15">
        <v>0</v>
      </c>
    </row>
    <row r="23" spans="1:16" x14ac:dyDescent="0.2">
      <c r="A23" s="11">
        <v>44652</v>
      </c>
      <c r="G23" s="12">
        <f t="shared" si="5"/>
        <v>0</v>
      </c>
      <c r="H23" s="12">
        <f t="shared" si="6"/>
        <v>0</v>
      </c>
      <c r="I23" s="14">
        <v>0.21</v>
      </c>
      <c r="J23" s="14">
        <v>0.05</v>
      </c>
      <c r="K23" s="15">
        <f t="shared" si="7"/>
        <v>0</v>
      </c>
      <c r="L23" s="15">
        <f t="shared" si="8"/>
        <v>0</v>
      </c>
      <c r="M23" s="15">
        <v>0</v>
      </c>
      <c r="N23" s="15">
        <v>0</v>
      </c>
    </row>
    <row r="24" spans="1:16" x14ac:dyDescent="0.2">
      <c r="A24" s="11">
        <v>44682</v>
      </c>
      <c r="G24" s="12">
        <f t="shared" si="5"/>
        <v>0</v>
      </c>
      <c r="H24" s="12">
        <f t="shared" si="6"/>
        <v>0</v>
      </c>
      <c r="I24" s="14">
        <v>0.21</v>
      </c>
      <c r="J24" s="14">
        <v>0.05</v>
      </c>
      <c r="K24" s="15">
        <f t="shared" si="7"/>
        <v>0</v>
      </c>
      <c r="L24" s="15">
        <f t="shared" si="8"/>
        <v>0</v>
      </c>
      <c r="M24" s="15">
        <v>0</v>
      </c>
      <c r="N24" s="15">
        <v>0</v>
      </c>
    </row>
    <row r="25" spans="1:16" x14ac:dyDescent="0.2">
      <c r="A25" s="11">
        <v>44713</v>
      </c>
      <c r="G25" s="12">
        <f t="shared" si="5"/>
        <v>0</v>
      </c>
      <c r="H25" s="12">
        <f t="shared" si="6"/>
        <v>0</v>
      </c>
      <c r="I25" s="14">
        <v>0.21</v>
      </c>
      <c r="J25" s="14">
        <v>0.05</v>
      </c>
      <c r="K25" s="15">
        <f t="shared" si="7"/>
        <v>0</v>
      </c>
      <c r="L25" s="15">
        <f t="shared" si="8"/>
        <v>0</v>
      </c>
      <c r="M25" s="15">
        <v>0</v>
      </c>
      <c r="N25" s="15">
        <v>0</v>
      </c>
    </row>
    <row r="26" spans="1:16" x14ac:dyDescent="0.2">
      <c r="A26" s="11">
        <v>44743</v>
      </c>
      <c r="G26" s="12">
        <f t="shared" si="5"/>
        <v>0</v>
      </c>
      <c r="H26" s="12">
        <f t="shared" si="6"/>
        <v>0</v>
      </c>
      <c r="I26" s="14">
        <v>0.21</v>
      </c>
      <c r="J26" s="14">
        <v>0.05</v>
      </c>
      <c r="K26" s="15">
        <f t="shared" si="7"/>
        <v>0</v>
      </c>
      <c r="L26" s="15">
        <f t="shared" si="8"/>
        <v>0</v>
      </c>
      <c r="M26" s="15">
        <v>0</v>
      </c>
      <c r="N26" s="15">
        <v>0</v>
      </c>
    </row>
    <row r="27" spans="1:16" x14ac:dyDescent="0.2">
      <c r="A27" s="11">
        <v>44774</v>
      </c>
      <c r="G27" s="12">
        <f t="shared" si="5"/>
        <v>0</v>
      </c>
      <c r="H27" s="12">
        <f t="shared" si="6"/>
        <v>0</v>
      </c>
      <c r="I27" s="14">
        <v>0.21</v>
      </c>
      <c r="J27" s="14">
        <v>0.05</v>
      </c>
      <c r="K27" s="15">
        <f t="shared" si="7"/>
        <v>0</v>
      </c>
      <c r="L27" s="15">
        <f t="shared" si="8"/>
        <v>0</v>
      </c>
      <c r="M27" s="15">
        <v>0</v>
      </c>
      <c r="N27" s="15">
        <v>0</v>
      </c>
    </row>
    <row r="28" spans="1:16" x14ac:dyDescent="0.2">
      <c r="A28" s="11">
        <v>44813</v>
      </c>
      <c r="G28" s="12">
        <f t="shared" si="5"/>
        <v>0</v>
      </c>
      <c r="H28" s="12">
        <f t="shared" si="6"/>
        <v>0</v>
      </c>
      <c r="I28" s="14">
        <v>0.21</v>
      </c>
      <c r="J28" s="14">
        <v>0.05</v>
      </c>
      <c r="K28" s="15">
        <f t="shared" si="7"/>
        <v>0</v>
      </c>
      <c r="L28" s="15">
        <f t="shared" si="8"/>
        <v>0</v>
      </c>
      <c r="M28" s="15">
        <v>0</v>
      </c>
      <c r="N28" s="15">
        <v>0</v>
      </c>
    </row>
    <row r="29" spans="1:16" x14ac:dyDescent="0.2">
      <c r="A29" s="11">
        <v>44835</v>
      </c>
      <c r="G29" s="12">
        <f t="shared" si="5"/>
        <v>0</v>
      </c>
      <c r="H29" s="12">
        <f t="shared" si="6"/>
        <v>0</v>
      </c>
      <c r="I29" s="14">
        <v>0.21</v>
      </c>
      <c r="J29" s="14">
        <v>0.05</v>
      </c>
      <c r="K29" s="15">
        <f t="shared" si="7"/>
        <v>0</v>
      </c>
      <c r="L29" s="15">
        <f t="shared" si="8"/>
        <v>0</v>
      </c>
      <c r="M29" s="15">
        <v>0</v>
      </c>
      <c r="N29" s="15">
        <v>0</v>
      </c>
    </row>
    <row r="30" spans="1:16" x14ac:dyDescent="0.2">
      <c r="A30" s="11">
        <v>44866</v>
      </c>
      <c r="G30" s="12">
        <f t="shared" si="5"/>
        <v>0</v>
      </c>
      <c r="H30" s="12">
        <f t="shared" si="6"/>
        <v>0</v>
      </c>
      <c r="I30" s="14">
        <v>0.21</v>
      </c>
      <c r="J30" s="14">
        <v>0.05</v>
      </c>
      <c r="K30" s="15">
        <f t="shared" si="7"/>
        <v>0</v>
      </c>
      <c r="L30" s="15">
        <f t="shared" si="8"/>
        <v>0</v>
      </c>
      <c r="M30" s="15">
        <v>0</v>
      </c>
      <c r="N30" s="15">
        <v>0</v>
      </c>
    </row>
    <row r="31" spans="1:16" x14ac:dyDescent="0.2">
      <c r="A31" s="11">
        <v>44896</v>
      </c>
      <c r="G31" s="12">
        <f t="shared" si="5"/>
        <v>0</v>
      </c>
      <c r="H31" s="12">
        <f t="shared" si="6"/>
        <v>0</v>
      </c>
      <c r="I31" s="14">
        <v>0.21</v>
      </c>
      <c r="J31" s="14">
        <v>0.05</v>
      </c>
      <c r="K31" s="15">
        <f t="shared" si="7"/>
        <v>0</v>
      </c>
      <c r="L31" s="15">
        <f t="shared" si="8"/>
        <v>0</v>
      </c>
      <c r="M31" s="15">
        <v>0</v>
      </c>
      <c r="N31" s="15">
        <v>0</v>
      </c>
    </row>
    <row r="32" spans="1:16" x14ac:dyDescent="0.2">
      <c r="A32" s="11">
        <v>44927</v>
      </c>
      <c r="G32" s="12">
        <f t="shared" si="5"/>
        <v>0</v>
      </c>
      <c r="H32" s="12">
        <f t="shared" si="6"/>
        <v>0</v>
      </c>
      <c r="I32" s="14">
        <v>0.21</v>
      </c>
      <c r="J32" s="14">
        <v>0.05</v>
      </c>
      <c r="K32" s="15">
        <f t="shared" si="7"/>
        <v>0</v>
      </c>
      <c r="L32" s="15">
        <f t="shared" si="8"/>
        <v>0</v>
      </c>
      <c r="M32" s="15">
        <v>0</v>
      </c>
      <c r="N32" s="15">
        <v>0</v>
      </c>
    </row>
    <row r="33" spans="1:14" x14ac:dyDescent="0.2">
      <c r="A33" s="11">
        <v>44958</v>
      </c>
      <c r="G33" s="12">
        <f t="shared" si="5"/>
        <v>0</v>
      </c>
      <c r="H33" s="12">
        <f t="shared" si="6"/>
        <v>0</v>
      </c>
      <c r="I33" s="14">
        <v>0.21</v>
      </c>
      <c r="J33" s="14">
        <v>0.05</v>
      </c>
      <c r="K33" s="15">
        <f t="shared" si="7"/>
        <v>0</v>
      </c>
      <c r="L33" s="15">
        <f t="shared" si="8"/>
        <v>0</v>
      </c>
      <c r="M33" s="15">
        <v>0</v>
      </c>
      <c r="N33" s="15">
        <v>0</v>
      </c>
    </row>
  </sheetData>
  <pageMargins left="0.5" right="0.5" top="1.5" bottom="0.5" header="0.5" footer="0.5"/>
  <pageSetup scale="58" orientation="portrait" r:id="rId1"/>
  <headerFooter alignWithMargins="0">
    <oddHeader>&amp;R&amp;"Times New Roman,Bold"&amp;12Attachment to Response to Question No. 3
Page 1 of 9
Clements</oddHeader>
    <oddFooter>&amp;L_x000D_&amp;1#&amp;"Calibri"&amp;14&amp;K000000 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D7B2-7B97-4A2D-B3AD-A1CFD5FBC4D9}">
  <sheetPr>
    <pageSetUpPr fitToPage="1"/>
  </sheetPr>
  <dimension ref="A1:R65"/>
  <sheetViews>
    <sheetView zoomScaleNormal="100" workbookViewId="0"/>
  </sheetViews>
  <sheetFormatPr defaultRowHeight="12.75" x14ac:dyDescent="0.2"/>
  <cols>
    <col min="1" max="1" width="11.28515625" style="9" customWidth="1"/>
    <col min="2" max="2" width="1.7109375" customWidth="1"/>
    <col min="3" max="3" width="13.28515625" customWidth="1"/>
    <col min="4" max="4" width="12.7109375" customWidth="1"/>
    <col min="5" max="5" width="16" customWidth="1"/>
    <col min="6" max="6" width="14.7109375" customWidth="1"/>
    <col min="7" max="7" width="14" customWidth="1"/>
    <col min="8" max="16" width="12.7109375" customWidth="1"/>
    <col min="17" max="17" width="9.28515625" bestFit="1" customWidth="1"/>
  </cols>
  <sheetData>
    <row r="1" spans="1: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x14ac:dyDescent="0.2">
      <c r="A5" s="20" t="s">
        <v>3</v>
      </c>
    </row>
    <row r="6" spans="1:18" x14ac:dyDescent="0.2">
      <c r="A6" s="21" t="s">
        <v>19</v>
      </c>
    </row>
    <row r="8" spans="1:18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8" x14ac:dyDescent="0.2">
      <c r="A9" s="9" t="s">
        <v>18</v>
      </c>
      <c r="M9" s="10">
        <v>10292082</v>
      </c>
    </row>
    <row r="10" spans="1:18" x14ac:dyDescent="0.2">
      <c r="A10" s="11">
        <v>44264</v>
      </c>
      <c r="C10" s="12">
        <v>110849018</v>
      </c>
      <c r="D10" s="13">
        <v>223666</v>
      </c>
      <c r="E10" s="13">
        <f>385995.72</f>
        <v>385995.72</v>
      </c>
      <c r="F10" s="13">
        <f t="shared" ref="F10:F13" si="0">610631.76</f>
        <v>610631.76</v>
      </c>
      <c r="G10" s="18">
        <f t="shared" ref="G10:G33" si="1">E10-D10</f>
        <v>162329.71999999997</v>
      </c>
      <c r="H10" s="18">
        <f t="shared" ref="H10:H33" si="2">F10-D10</f>
        <v>386965.76000000001</v>
      </c>
      <c r="I10" s="14">
        <v>0.21</v>
      </c>
      <c r="J10" s="14">
        <v>0.05</v>
      </c>
      <c r="K10" s="15">
        <f>G10*I10-L10*I10-150.58</f>
        <v>29875.520719999986</v>
      </c>
      <c r="L10" s="15">
        <f t="shared" ref="L10:L33" si="3">H10*J10</f>
        <v>19348.288</v>
      </c>
      <c r="M10" s="15">
        <f t="shared" ref="M10:M33" si="4">M9+K10+L10</f>
        <v>10341305.80872</v>
      </c>
      <c r="N10" s="15">
        <v>296464.3</v>
      </c>
      <c r="R10" s="17"/>
    </row>
    <row r="11" spans="1:18" x14ac:dyDescent="0.2">
      <c r="A11" s="11">
        <v>44287</v>
      </c>
      <c r="C11" s="12">
        <v>110849018</v>
      </c>
      <c r="D11" s="13">
        <v>223666</v>
      </c>
      <c r="E11" s="13">
        <f>385995.72</f>
        <v>385995.72</v>
      </c>
      <c r="F11" s="13">
        <f t="shared" si="0"/>
        <v>610631.76</v>
      </c>
      <c r="G11" s="18">
        <f t="shared" si="1"/>
        <v>162329.71999999997</v>
      </c>
      <c r="H11" s="18">
        <f t="shared" si="2"/>
        <v>386965.76000000001</v>
      </c>
      <c r="I11" s="14">
        <v>0.21</v>
      </c>
      <c r="J11" s="14">
        <v>0.05</v>
      </c>
      <c r="K11" s="15">
        <f>G11*I11-L11*I11-150.58</f>
        <v>29875.520719999986</v>
      </c>
      <c r="L11" s="15">
        <f t="shared" si="3"/>
        <v>19348.288</v>
      </c>
      <c r="M11" s="15">
        <f t="shared" si="4"/>
        <v>10390529.61744</v>
      </c>
      <c r="N11" s="15">
        <v>296464.3</v>
      </c>
      <c r="Q11" s="15"/>
      <c r="R11" s="17"/>
    </row>
    <row r="12" spans="1:18" x14ac:dyDescent="0.2">
      <c r="A12" s="11">
        <v>44317</v>
      </c>
      <c r="C12" s="12">
        <v>110849018</v>
      </c>
      <c r="D12" s="13">
        <v>223666</v>
      </c>
      <c r="E12" s="13">
        <f>385995.72</f>
        <v>385995.72</v>
      </c>
      <c r="F12" s="13">
        <f t="shared" si="0"/>
        <v>610631.76</v>
      </c>
      <c r="G12" s="18">
        <f t="shared" si="1"/>
        <v>162329.71999999997</v>
      </c>
      <c r="H12" s="18">
        <f t="shared" si="2"/>
        <v>386965.76000000001</v>
      </c>
      <c r="I12" s="14">
        <v>0.21</v>
      </c>
      <c r="J12" s="14">
        <v>0.05</v>
      </c>
      <c r="K12" s="15">
        <f>G12*I12-L12*I12-150.58</f>
        <v>29875.520719999986</v>
      </c>
      <c r="L12" s="15">
        <f t="shared" si="3"/>
        <v>19348.288</v>
      </c>
      <c r="M12" s="15">
        <f t="shared" si="4"/>
        <v>10439753.42616</v>
      </c>
      <c r="N12" s="15">
        <v>296464.3</v>
      </c>
      <c r="R12" s="17"/>
    </row>
    <row r="13" spans="1:18" x14ac:dyDescent="0.2">
      <c r="A13" s="11">
        <v>44348</v>
      </c>
      <c r="C13" s="12">
        <v>110849018</v>
      </c>
      <c r="D13" s="13">
        <v>223666</v>
      </c>
      <c r="E13" s="13">
        <f>385995.72</f>
        <v>385995.72</v>
      </c>
      <c r="F13" s="13">
        <f t="shared" si="0"/>
        <v>610631.76</v>
      </c>
      <c r="G13" s="18">
        <f t="shared" si="1"/>
        <v>162329.71999999997</v>
      </c>
      <c r="H13" s="18">
        <f t="shared" si="2"/>
        <v>386965.76000000001</v>
      </c>
      <c r="I13" s="14">
        <v>0.21</v>
      </c>
      <c r="J13" s="14">
        <v>0.05</v>
      </c>
      <c r="K13" s="15">
        <f>G13*I13-L13*I13-150.58</f>
        <v>29875.520719999986</v>
      </c>
      <c r="L13" s="15">
        <f t="shared" si="3"/>
        <v>19348.288</v>
      </c>
      <c r="M13" s="15">
        <f t="shared" si="4"/>
        <v>10488977.23488</v>
      </c>
      <c r="N13" s="15">
        <v>296464.3</v>
      </c>
      <c r="Q13" s="22"/>
      <c r="R13" s="17"/>
    </row>
    <row r="14" spans="1:18" x14ac:dyDescent="0.2">
      <c r="A14" s="11">
        <v>44378</v>
      </c>
      <c r="C14" s="12">
        <v>111441953</v>
      </c>
      <c r="D14" s="13">
        <v>248490</v>
      </c>
      <c r="E14" s="13">
        <f>385995.72-1311.2</f>
        <v>384684.51999999996</v>
      </c>
      <c r="F14" s="13">
        <f>610631.76-1311.2</f>
        <v>609320.56000000006</v>
      </c>
      <c r="G14" s="18">
        <f t="shared" si="1"/>
        <v>136194.51999999996</v>
      </c>
      <c r="H14" s="18">
        <f t="shared" si="2"/>
        <v>360830.56000000006</v>
      </c>
      <c r="I14" s="14">
        <v>0.21</v>
      </c>
      <c r="J14" s="14">
        <v>0.05</v>
      </c>
      <c r="K14" s="15">
        <f t="shared" ref="K14:K19" si="5">G14*I14-L14*I14-477.89</f>
        <v>24334.238319999989</v>
      </c>
      <c r="L14" s="15">
        <f t="shared" si="3"/>
        <v>18041.528000000002</v>
      </c>
      <c r="M14" s="15">
        <f t="shared" si="4"/>
        <v>10531353.001200002</v>
      </c>
      <c r="N14" s="15">
        <v>0</v>
      </c>
      <c r="Q14" s="12"/>
      <c r="R14" s="17"/>
    </row>
    <row r="15" spans="1:18" x14ac:dyDescent="0.2">
      <c r="A15" s="11">
        <v>44409</v>
      </c>
      <c r="C15" s="12">
        <v>111441953</v>
      </c>
      <c r="D15" s="13">
        <v>248490</v>
      </c>
      <c r="E15" s="13">
        <f>385995.72-1314.28</f>
        <v>384681.43999999994</v>
      </c>
      <c r="F15" s="13">
        <f>610631.76-1314.28</f>
        <v>609317.48</v>
      </c>
      <c r="G15" s="18">
        <f t="shared" si="1"/>
        <v>136191.43999999994</v>
      </c>
      <c r="H15" s="18">
        <f t="shared" si="2"/>
        <v>360827.48</v>
      </c>
      <c r="I15" s="14">
        <v>0.21</v>
      </c>
      <c r="J15" s="14">
        <v>0.05</v>
      </c>
      <c r="K15" s="15">
        <f t="shared" si="5"/>
        <v>24333.623859999989</v>
      </c>
      <c r="L15" s="15">
        <f t="shared" si="3"/>
        <v>18041.374</v>
      </c>
      <c r="M15" s="15">
        <f t="shared" si="4"/>
        <v>10573727.999060001</v>
      </c>
      <c r="N15" s="15">
        <v>0</v>
      </c>
      <c r="R15" s="17"/>
    </row>
    <row r="16" spans="1:18" x14ac:dyDescent="0.2">
      <c r="A16" s="11">
        <v>44448</v>
      </c>
      <c r="C16" s="12">
        <f>111441953</f>
        <v>111441953</v>
      </c>
      <c r="D16" s="13">
        <f>248490</f>
        <v>248490</v>
      </c>
      <c r="E16" s="13">
        <f>385995.72-1310.26</f>
        <v>384685.45999999996</v>
      </c>
      <c r="F16" s="13">
        <f>610631.76-1310.26</f>
        <v>609321.5</v>
      </c>
      <c r="G16" s="18">
        <f t="shared" si="1"/>
        <v>136195.45999999996</v>
      </c>
      <c r="H16" s="18">
        <f t="shared" si="2"/>
        <v>360831.5</v>
      </c>
      <c r="I16" s="14">
        <v>0.21</v>
      </c>
      <c r="J16" s="14">
        <v>0.05</v>
      </c>
      <c r="K16" s="15">
        <f t="shared" si="5"/>
        <v>24334.425849999992</v>
      </c>
      <c r="L16" s="15">
        <f t="shared" si="3"/>
        <v>18041.575000000001</v>
      </c>
      <c r="M16" s="15">
        <f t="shared" si="4"/>
        <v>10616103.999910001</v>
      </c>
      <c r="N16" s="15">
        <v>0</v>
      </c>
      <c r="O16" s="16"/>
      <c r="P16" s="15"/>
    </row>
    <row r="17" spans="1:16" x14ac:dyDescent="0.2">
      <c r="A17" s="11">
        <v>44470</v>
      </c>
      <c r="C17" s="12">
        <f>111441953</f>
        <v>111441953</v>
      </c>
      <c r="D17" s="13">
        <f>248490</f>
        <v>248490</v>
      </c>
      <c r="E17" s="13">
        <f>385995.72-1314.27</f>
        <v>384681.44999999995</v>
      </c>
      <c r="F17" s="13">
        <f>610631.76-1314.27</f>
        <v>609317.49</v>
      </c>
      <c r="G17" s="18">
        <f t="shared" si="1"/>
        <v>136191.44999999995</v>
      </c>
      <c r="H17" s="18">
        <f t="shared" si="2"/>
        <v>360827.49</v>
      </c>
      <c r="I17" s="14">
        <v>0.21</v>
      </c>
      <c r="J17" s="14">
        <v>0.05</v>
      </c>
      <c r="K17" s="15">
        <f t="shared" si="5"/>
        <v>24333.625854999991</v>
      </c>
      <c r="L17" s="15">
        <f t="shared" si="3"/>
        <v>18041.374500000002</v>
      </c>
      <c r="M17" s="15">
        <f t="shared" si="4"/>
        <v>10658479.000265002</v>
      </c>
      <c r="N17" s="15">
        <v>0</v>
      </c>
      <c r="O17" s="16"/>
      <c r="P17" s="15"/>
    </row>
    <row r="18" spans="1:16" x14ac:dyDescent="0.2">
      <c r="A18" s="11">
        <v>44501</v>
      </c>
      <c r="C18" s="12">
        <f>111441953</f>
        <v>111441953</v>
      </c>
      <c r="D18" s="13">
        <f>248490</f>
        <v>248490</v>
      </c>
      <c r="E18" s="13">
        <f>385995.72-1310.27</f>
        <v>384685.44999999995</v>
      </c>
      <c r="F18" s="13">
        <f>610631.76-1310.27</f>
        <v>609321.49</v>
      </c>
      <c r="G18" s="18">
        <f t="shared" si="1"/>
        <v>136195.44999999995</v>
      </c>
      <c r="H18" s="18">
        <f t="shared" si="2"/>
        <v>360831.49</v>
      </c>
      <c r="I18" s="14">
        <v>0.21</v>
      </c>
      <c r="J18" s="14">
        <v>0.05</v>
      </c>
      <c r="K18" s="15">
        <f t="shared" si="5"/>
        <v>24334.42385499999</v>
      </c>
      <c r="L18" s="15">
        <f t="shared" si="3"/>
        <v>18041.574499999999</v>
      </c>
      <c r="M18" s="15">
        <f t="shared" si="4"/>
        <v>10700854.998620002</v>
      </c>
      <c r="N18" s="15">
        <v>0</v>
      </c>
      <c r="O18" s="15"/>
      <c r="P18" s="15"/>
    </row>
    <row r="19" spans="1:16" x14ac:dyDescent="0.2">
      <c r="A19" s="11">
        <v>44531</v>
      </c>
      <c r="C19" s="12">
        <f>111441953</f>
        <v>111441953</v>
      </c>
      <c r="D19" s="13">
        <f>248490</f>
        <v>248490</v>
      </c>
      <c r="E19" s="13">
        <f>385995.72-1314.27</f>
        <v>384681.44999999995</v>
      </c>
      <c r="F19" s="13">
        <f>610631.76-1314.27</f>
        <v>609317.49</v>
      </c>
      <c r="G19" s="18">
        <f t="shared" si="1"/>
        <v>136191.44999999995</v>
      </c>
      <c r="H19" s="18">
        <f t="shared" si="2"/>
        <v>360827.49</v>
      </c>
      <c r="I19" s="14">
        <v>0.21</v>
      </c>
      <c r="J19" s="14">
        <v>0.05</v>
      </c>
      <c r="K19" s="15">
        <f t="shared" si="5"/>
        <v>24333.625854999991</v>
      </c>
      <c r="L19" s="15">
        <f t="shared" si="3"/>
        <v>18041.374500000002</v>
      </c>
      <c r="M19" s="15">
        <f t="shared" si="4"/>
        <v>10743229.998975003</v>
      </c>
      <c r="N19" s="15">
        <v>0</v>
      </c>
    </row>
    <row r="20" spans="1:16" x14ac:dyDescent="0.2">
      <c r="A20" s="11">
        <v>44562</v>
      </c>
      <c r="C20" s="12">
        <f>111441953</f>
        <v>111441953</v>
      </c>
      <c r="D20" s="13">
        <f>248490</f>
        <v>248490</v>
      </c>
      <c r="E20" s="13">
        <f>357063.53</f>
        <v>357063.53</v>
      </c>
      <c r="F20" s="13">
        <f>564867.61</f>
        <v>564867.61</v>
      </c>
      <c r="G20" s="18">
        <f t="shared" si="1"/>
        <v>108573.53000000003</v>
      </c>
      <c r="H20" s="18">
        <f t="shared" si="2"/>
        <v>316377.61</v>
      </c>
      <c r="I20" s="14">
        <v>0.21</v>
      </c>
      <c r="J20" s="14">
        <v>0.05</v>
      </c>
      <c r="K20" s="15">
        <f>G20*I20-L20*I20-1117.77</f>
        <v>18360.706395000005</v>
      </c>
      <c r="L20" s="15">
        <f t="shared" si="3"/>
        <v>15818.880499999999</v>
      </c>
      <c r="M20" s="15">
        <f t="shared" si="4"/>
        <v>10777409.585870003</v>
      </c>
      <c r="N20" s="15">
        <v>0</v>
      </c>
    </row>
    <row r="21" spans="1:16" x14ac:dyDescent="0.2">
      <c r="A21" s="11">
        <v>44593</v>
      </c>
      <c r="C21" s="12">
        <v>111441953</v>
      </c>
      <c r="D21" s="13">
        <v>248490</v>
      </c>
      <c r="E21" s="13">
        <f>357063.53</f>
        <v>357063.53</v>
      </c>
      <c r="F21" s="13">
        <f>564867.61</f>
        <v>564867.61</v>
      </c>
      <c r="G21" s="18">
        <f t="shared" si="1"/>
        <v>108573.53000000003</v>
      </c>
      <c r="H21" s="18">
        <f t="shared" si="2"/>
        <v>316377.61</v>
      </c>
      <c r="I21" s="14">
        <v>0.21</v>
      </c>
      <c r="J21" s="14">
        <v>0.05</v>
      </c>
      <c r="K21" s="15">
        <f>G21*I21-L21*I21-1117.77</f>
        <v>18360.706395000005</v>
      </c>
      <c r="L21" s="15">
        <f t="shared" si="3"/>
        <v>15818.880499999999</v>
      </c>
      <c r="M21" s="15">
        <f t="shared" si="4"/>
        <v>10811589.172765004</v>
      </c>
      <c r="N21" s="15">
        <v>0</v>
      </c>
    </row>
    <row r="22" spans="1:16" x14ac:dyDescent="0.2">
      <c r="A22" s="11">
        <v>44629</v>
      </c>
      <c r="C22" s="12">
        <v>111441953</v>
      </c>
      <c r="D22" s="13">
        <v>248490</v>
      </c>
      <c r="E22" s="13">
        <f>357063.53</f>
        <v>357063.53</v>
      </c>
      <c r="F22" s="13">
        <f t="shared" ref="F22:F27" si="6">564867.61</f>
        <v>564867.61</v>
      </c>
      <c r="G22" s="18">
        <f t="shared" si="1"/>
        <v>108573.53000000003</v>
      </c>
      <c r="H22" s="18">
        <f t="shared" si="2"/>
        <v>316377.61</v>
      </c>
      <c r="I22" s="14">
        <v>0.21</v>
      </c>
      <c r="J22" s="14">
        <v>0.05</v>
      </c>
      <c r="K22" s="35">
        <f t="shared" ref="K22:K27" si="7">G22*I22-L22*I22-1117.77</f>
        <v>18360.706395000005</v>
      </c>
      <c r="L22" s="15">
        <f t="shared" si="3"/>
        <v>15818.880499999999</v>
      </c>
      <c r="M22" s="15">
        <f t="shared" si="4"/>
        <v>10845768.759660004</v>
      </c>
      <c r="N22" s="15">
        <v>0</v>
      </c>
    </row>
    <row r="23" spans="1:16" x14ac:dyDescent="0.2">
      <c r="A23" s="11">
        <v>44652</v>
      </c>
      <c r="C23" s="12">
        <v>111441953</v>
      </c>
      <c r="D23" s="13">
        <v>248490</v>
      </c>
      <c r="E23" s="13">
        <f t="shared" ref="E23:E27" si="8">357063.53</f>
        <v>357063.53</v>
      </c>
      <c r="F23" s="13">
        <f t="shared" si="6"/>
        <v>564867.61</v>
      </c>
      <c r="G23" s="18">
        <f t="shared" si="1"/>
        <v>108573.53000000003</v>
      </c>
      <c r="H23" s="18">
        <f t="shared" si="2"/>
        <v>316377.61</v>
      </c>
      <c r="I23" s="14">
        <v>0.21</v>
      </c>
      <c r="J23" s="14">
        <v>0.05</v>
      </c>
      <c r="K23" s="35">
        <f t="shared" si="7"/>
        <v>18360.706395000005</v>
      </c>
      <c r="L23" s="15">
        <f t="shared" si="3"/>
        <v>15818.880499999999</v>
      </c>
      <c r="M23" s="15">
        <f t="shared" si="4"/>
        <v>10879948.346555004</v>
      </c>
      <c r="N23" s="15">
        <v>0</v>
      </c>
    </row>
    <row r="24" spans="1:16" x14ac:dyDescent="0.2">
      <c r="A24" s="11">
        <v>44682</v>
      </c>
      <c r="C24" s="12">
        <v>111441953</v>
      </c>
      <c r="D24" s="13">
        <v>248490</v>
      </c>
      <c r="E24" s="13">
        <f t="shared" si="8"/>
        <v>357063.53</v>
      </c>
      <c r="F24" s="13">
        <f t="shared" si="6"/>
        <v>564867.61</v>
      </c>
      <c r="G24" s="18">
        <f t="shared" si="1"/>
        <v>108573.53000000003</v>
      </c>
      <c r="H24" s="18">
        <f t="shared" si="2"/>
        <v>316377.61</v>
      </c>
      <c r="I24" s="14">
        <v>0.21</v>
      </c>
      <c r="J24" s="14">
        <v>0.05</v>
      </c>
      <c r="K24" s="35">
        <f t="shared" si="7"/>
        <v>18360.706395000005</v>
      </c>
      <c r="L24" s="15">
        <f t="shared" si="3"/>
        <v>15818.880499999999</v>
      </c>
      <c r="M24" s="15">
        <f t="shared" si="4"/>
        <v>10914127.933450004</v>
      </c>
      <c r="N24" s="15">
        <v>0</v>
      </c>
    </row>
    <row r="25" spans="1:16" x14ac:dyDescent="0.2">
      <c r="A25" s="11">
        <v>44713</v>
      </c>
      <c r="C25" s="12">
        <v>111441953</v>
      </c>
      <c r="D25" s="13">
        <v>248490.49</v>
      </c>
      <c r="E25" s="13">
        <f t="shared" si="8"/>
        <v>357063.53</v>
      </c>
      <c r="F25" s="13">
        <f t="shared" si="6"/>
        <v>564867.61</v>
      </c>
      <c r="G25" s="18">
        <f t="shared" si="1"/>
        <v>108573.04000000004</v>
      </c>
      <c r="H25" s="18">
        <f t="shared" si="2"/>
        <v>316377.12</v>
      </c>
      <c r="I25" s="14">
        <v>0.21</v>
      </c>
      <c r="J25" s="14">
        <v>0.05</v>
      </c>
      <c r="K25" s="35">
        <f t="shared" si="7"/>
        <v>18360.608640000009</v>
      </c>
      <c r="L25" s="15">
        <f t="shared" si="3"/>
        <v>15818.856</v>
      </c>
      <c r="M25" s="15">
        <f t="shared" si="4"/>
        <v>10948307.398090005</v>
      </c>
      <c r="N25" s="15">
        <v>0</v>
      </c>
    </row>
    <row r="26" spans="1:16" x14ac:dyDescent="0.2">
      <c r="A26" s="11">
        <v>44743</v>
      </c>
      <c r="C26" s="12">
        <v>111441953</v>
      </c>
      <c r="D26" s="13">
        <v>248490</v>
      </c>
      <c r="E26" s="13">
        <f t="shared" si="8"/>
        <v>357063.53</v>
      </c>
      <c r="F26" s="13">
        <f t="shared" si="6"/>
        <v>564867.61</v>
      </c>
      <c r="G26" s="18">
        <f t="shared" si="1"/>
        <v>108573.53000000003</v>
      </c>
      <c r="H26" s="18">
        <f t="shared" si="2"/>
        <v>316377.61</v>
      </c>
      <c r="I26" s="14">
        <v>0.21</v>
      </c>
      <c r="J26" s="14">
        <v>0.05</v>
      </c>
      <c r="K26" s="35">
        <f t="shared" si="7"/>
        <v>18360.706395000005</v>
      </c>
      <c r="L26" s="15">
        <f t="shared" si="3"/>
        <v>15818.880499999999</v>
      </c>
      <c r="M26" s="15">
        <f t="shared" si="4"/>
        <v>10982486.984985005</v>
      </c>
      <c r="N26" s="15">
        <v>0</v>
      </c>
    </row>
    <row r="27" spans="1:16" x14ac:dyDescent="0.2">
      <c r="A27" s="11">
        <v>44774</v>
      </c>
      <c r="C27" s="12">
        <v>111441953</v>
      </c>
      <c r="D27" s="13">
        <v>248490.49</v>
      </c>
      <c r="E27" s="13">
        <f t="shared" si="8"/>
        <v>357063.53</v>
      </c>
      <c r="F27" s="13">
        <f t="shared" si="6"/>
        <v>564867.61</v>
      </c>
      <c r="G27" s="18">
        <f t="shared" si="1"/>
        <v>108573.04000000004</v>
      </c>
      <c r="H27" s="18">
        <f t="shared" si="2"/>
        <v>316377.12</v>
      </c>
      <c r="I27" s="14">
        <v>0.21</v>
      </c>
      <c r="J27" s="14">
        <v>0.05</v>
      </c>
      <c r="K27" s="35">
        <f t="shared" si="7"/>
        <v>18360.608640000009</v>
      </c>
      <c r="L27" s="15">
        <f t="shared" si="3"/>
        <v>15818.856</v>
      </c>
      <c r="M27" s="15">
        <f t="shared" si="4"/>
        <v>11016666.449625006</v>
      </c>
      <c r="N27" s="15">
        <v>0</v>
      </c>
    </row>
    <row r="28" spans="1:16" x14ac:dyDescent="0.2">
      <c r="A28" s="11">
        <v>44813</v>
      </c>
      <c r="C28" s="12">
        <v>111441953</v>
      </c>
      <c r="D28" s="13">
        <v>248490</v>
      </c>
      <c r="E28" s="31">
        <v>357063.53</v>
      </c>
      <c r="F28" s="31">
        <v>564867.61</v>
      </c>
      <c r="G28" s="18">
        <f t="shared" si="1"/>
        <v>108573.53000000003</v>
      </c>
      <c r="H28" s="18">
        <f t="shared" si="2"/>
        <v>316377.61</v>
      </c>
      <c r="I28" s="14">
        <v>0.21</v>
      </c>
      <c r="J28" s="14">
        <v>0.05</v>
      </c>
      <c r="K28" s="15">
        <f>G28*I28-L28*I28-1117.77</f>
        <v>18360.706395000005</v>
      </c>
      <c r="L28" s="15">
        <f t="shared" si="3"/>
        <v>15818.880499999999</v>
      </c>
      <c r="M28" s="15">
        <f t="shared" si="4"/>
        <v>11050846.036520006</v>
      </c>
      <c r="N28" s="15">
        <v>0</v>
      </c>
    </row>
    <row r="29" spans="1:16" x14ac:dyDescent="0.2">
      <c r="A29" s="11">
        <v>44835</v>
      </c>
      <c r="C29" s="12">
        <v>111441953</v>
      </c>
      <c r="D29" s="13">
        <v>248490.49</v>
      </c>
      <c r="E29" s="31">
        <v>357063.53</v>
      </c>
      <c r="F29" s="31">
        <v>564867.5</v>
      </c>
      <c r="G29" s="18">
        <f t="shared" si="1"/>
        <v>108573.04000000004</v>
      </c>
      <c r="H29" s="18">
        <f t="shared" si="2"/>
        <v>316377.01</v>
      </c>
      <c r="I29" s="14">
        <v>0.21</v>
      </c>
      <c r="J29" s="14">
        <v>0.05</v>
      </c>
      <c r="K29" s="15">
        <f>G29*I29-L29*I29-1117.77</f>
        <v>18360.609795000008</v>
      </c>
      <c r="L29" s="15">
        <f t="shared" si="3"/>
        <v>15818.8505</v>
      </c>
      <c r="M29" s="15">
        <f t="shared" si="4"/>
        <v>11085025.496815007</v>
      </c>
      <c r="N29" s="15">
        <v>0</v>
      </c>
    </row>
    <row r="30" spans="1:16" x14ac:dyDescent="0.2">
      <c r="A30" s="11">
        <v>44866</v>
      </c>
      <c r="C30" s="12">
        <v>111441953</v>
      </c>
      <c r="D30" s="13">
        <v>248490</v>
      </c>
      <c r="E30" s="31">
        <v>357063.53</v>
      </c>
      <c r="F30" s="31">
        <v>564867.61</v>
      </c>
      <c r="G30" s="18">
        <f t="shared" si="1"/>
        <v>108573.53000000003</v>
      </c>
      <c r="H30" s="18">
        <f t="shared" si="2"/>
        <v>316377.61</v>
      </c>
      <c r="I30" s="14">
        <v>0.21</v>
      </c>
      <c r="J30" s="14">
        <v>0.05</v>
      </c>
      <c r="K30" s="15">
        <f>G30*I30-L30*I30-1117.77</f>
        <v>18360.706395000005</v>
      </c>
      <c r="L30" s="15">
        <f t="shared" si="3"/>
        <v>15818.880499999999</v>
      </c>
      <c r="M30" s="15">
        <f t="shared" si="4"/>
        <v>11119205.083710007</v>
      </c>
      <c r="N30" s="15">
        <v>0</v>
      </c>
    </row>
    <row r="31" spans="1:16" x14ac:dyDescent="0.2">
      <c r="A31" s="11">
        <v>44896</v>
      </c>
      <c r="C31" s="12">
        <v>111565486</v>
      </c>
      <c r="D31" s="13">
        <v>248490.49</v>
      </c>
      <c r="E31" s="31">
        <v>357063.4</v>
      </c>
      <c r="F31" s="31">
        <v>564867.4</v>
      </c>
      <c r="G31" s="18">
        <f t="shared" si="1"/>
        <v>108572.91000000003</v>
      </c>
      <c r="H31" s="18">
        <f t="shared" si="2"/>
        <v>316376.91000000003</v>
      </c>
      <c r="I31" s="14">
        <v>0.21</v>
      </c>
      <c r="J31" s="14">
        <v>0.05</v>
      </c>
      <c r="K31" s="15">
        <f>G31*I31-L31*I31-1117.8</f>
        <v>18360.553545000006</v>
      </c>
      <c r="L31" s="15">
        <f t="shared" si="3"/>
        <v>15818.845500000003</v>
      </c>
      <c r="M31" s="15">
        <f t="shared" si="4"/>
        <v>11153384.482755007</v>
      </c>
      <c r="N31" s="15">
        <v>0</v>
      </c>
    </row>
    <row r="32" spans="1:16" x14ac:dyDescent="0.2">
      <c r="A32" s="11">
        <v>44927</v>
      </c>
      <c r="C32" s="12">
        <v>111565486</v>
      </c>
      <c r="D32" s="13">
        <v>248490</v>
      </c>
      <c r="E32" s="13">
        <f>330745.28</f>
        <v>330745.28000000003</v>
      </c>
      <c r="F32" s="13">
        <v>523424.44</v>
      </c>
      <c r="G32" s="18">
        <f t="shared" si="1"/>
        <v>82255.280000000028</v>
      </c>
      <c r="H32" s="18">
        <f t="shared" si="2"/>
        <v>274934.44</v>
      </c>
      <c r="I32" s="14">
        <v>0.21</v>
      </c>
      <c r="J32" s="14">
        <v>0.05</v>
      </c>
      <c r="K32" s="15">
        <f>G32*I32-L32*I32-1314.56</f>
        <v>13072.237180000006</v>
      </c>
      <c r="L32" s="15">
        <f t="shared" si="3"/>
        <v>13746.722000000002</v>
      </c>
      <c r="M32" s="15">
        <f t="shared" si="4"/>
        <v>11180203.441935007</v>
      </c>
      <c r="N32" s="15">
        <v>0</v>
      </c>
    </row>
    <row r="33" spans="1:14" x14ac:dyDescent="0.2">
      <c r="A33" s="11">
        <v>44958</v>
      </c>
      <c r="C33" s="12">
        <v>111565486</v>
      </c>
      <c r="D33" s="13">
        <v>248490</v>
      </c>
      <c r="E33" s="13">
        <f>330745.28</f>
        <v>330745.28000000003</v>
      </c>
      <c r="F33" s="13">
        <v>523424.44</v>
      </c>
      <c r="G33" s="18">
        <f t="shared" si="1"/>
        <v>82255.280000000028</v>
      </c>
      <c r="H33" s="18">
        <f t="shared" si="2"/>
        <v>274934.44</v>
      </c>
      <c r="I33" s="14">
        <v>0.21</v>
      </c>
      <c r="J33" s="14">
        <v>0.05</v>
      </c>
      <c r="K33" s="15">
        <f>G33*I33-L33*I33-1314.56</f>
        <v>13072.237180000006</v>
      </c>
      <c r="L33" s="15">
        <f t="shared" si="3"/>
        <v>13746.722000000002</v>
      </c>
      <c r="M33" s="15">
        <f t="shared" si="4"/>
        <v>11207022.401115006</v>
      </c>
      <c r="N33" s="15">
        <v>0</v>
      </c>
    </row>
    <row r="34" spans="1:14" x14ac:dyDescent="0.2">
      <c r="A34" s="19"/>
      <c r="C34" s="12"/>
      <c r="D34" s="13"/>
      <c r="E34" s="13"/>
      <c r="F34" s="13"/>
      <c r="G34" s="18"/>
      <c r="H34" s="18"/>
      <c r="I34" s="18"/>
      <c r="J34" s="12"/>
      <c r="K34" s="12"/>
      <c r="L34" s="14"/>
      <c r="M34" s="14"/>
      <c r="N34" s="15"/>
    </row>
    <row r="35" spans="1:14" x14ac:dyDescent="0.2">
      <c r="A35" s="19"/>
      <c r="C35" s="12" t="s">
        <v>20</v>
      </c>
      <c r="D35" s="13"/>
      <c r="E35" s="13"/>
      <c r="F35" s="13"/>
      <c r="G35" s="18"/>
      <c r="H35" s="18"/>
      <c r="I35" s="18"/>
      <c r="J35" s="12"/>
      <c r="K35" s="12"/>
      <c r="L35" s="14"/>
      <c r="M35" s="14"/>
      <c r="N35" s="15"/>
    </row>
    <row r="36" spans="1:14" x14ac:dyDescent="0.2">
      <c r="A36" s="19"/>
      <c r="C36" s="12"/>
      <c r="D36" s="13"/>
      <c r="E36" s="13"/>
      <c r="F36" s="13"/>
      <c r="G36" s="18"/>
      <c r="H36" s="18"/>
      <c r="I36" s="18"/>
      <c r="J36" s="12"/>
      <c r="K36" s="12"/>
      <c r="L36" s="14"/>
      <c r="M36" s="14"/>
      <c r="N36" s="15"/>
    </row>
    <row r="37" spans="1:14" x14ac:dyDescent="0.2">
      <c r="C37" s="23" t="s">
        <v>21</v>
      </c>
      <c r="D37" s="32"/>
      <c r="E37" s="32"/>
      <c r="F37" s="32"/>
      <c r="G37" s="33"/>
      <c r="H37" s="33"/>
    </row>
    <row r="38" spans="1:14" x14ac:dyDescent="0.2">
      <c r="C38" s="23" t="s">
        <v>22</v>
      </c>
      <c r="D38" s="32"/>
      <c r="E38" s="32"/>
      <c r="F38" s="32"/>
      <c r="G38" s="33"/>
      <c r="H38" s="33"/>
    </row>
    <row r="39" spans="1:14" x14ac:dyDescent="0.2">
      <c r="C39" s="23" t="s">
        <v>53</v>
      </c>
      <c r="D39" s="32"/>
      <c r="E39" s="32"/>
      <c r="F39" s="32"/>
      <c r="G39" s="33"/>
      <c r="H39" s="33"/>
    </row>
    <row r="40" spans="1:14" x14ac:dyDescent="0.2">
      <c r="C40" s="15" t="s">
        <v>23</v>
      </c>
      <c r="D40" s="32"/>
      <c r="E40" s="32"/>
      <c r="F40" s="32"/>
      <c r="G40" s="33"/>
      <c r="H40" s="33"/>
    </row>
    <row r="41" spans="1:14" x14ac:dyDescent="0.2">
      <c r="C41" s="5"/>
      <c r="D41" s="32"/>
      <c r="E41" s="32"/>
      <c r="F41" s="32"/>
      <c r="G41" s="32"/>
      <c r="H41" s="32"/>
    </row>
    <row r="42" spans="1:14" x14ac:dyDescent="0.2">
      <c r="C42" s="15" t="s">
        <v>24</v>
      </c>
      <c r="D42" s="34" t="s">
        <v>25</v>
      </c>
      <c r="E42" s="33" t="s">
        <v>26</v>
      </c>
      <c r="F42" s="15" t="s">
        <v>27</v>
      </c>
      <c r="G42" s="14" t="s">
        <v>12</v>
      </c>
      <c r="H42" s="15" t="s">
        <v>28</v>
      </c>
    </row>
    <row r="43" spans="1:14" x14ac:dyDescent="0.2">
      <c r="C43" s="12">
        <v>2033858.4350000001</v>
      </c>
      <c r="D43" s="12">
        <v>248490</v>
      </c>
      <c r="E43" s="12">
        <v>7562.56</v>
      </c>
      <c r="F43" s="12">
        <f>-D43+E43</f>
        <v>-240927.44</v>
      </c>
      <c r="G43" s="14">
        <v>0.21</v>
      </c>
      <c r="H43" s="12">
        <f>F43*G43</f>
        <v>-50594.7624</v>
      </c>
    </row>
    <row r="44" spans="1:14" x14ac:dyDescent="0.2">
      <c r="C44" s="12">
        <v>4041284</v>
      </c>
      <c r="D44" s="12"/>
      <c r="E44" s="12">
        <v>16461.5</v>
      </c>
      <c r="F44" s="12">
        <f>E44</f>
        <v>16461.5</v>
      </c>
      <c r="G44" s="14">
        <v>0.21</v>
      </c>
      <c r="H44" s="12">
        <f t="shared" ref="H44:H50" si="9">F44*G44</f>
        <v>3456.915</v>
      </c>
    </row>
    <row r="45" spans="1:14" x14ac:dyDescent="0.2">
      <c r="C45" s="12">
        <v>199697</v>
      </c>
      <c r="D45" s="12"/>
      <c r="E45" s="12">
        <v>879.5</v>
      </c>
      <c r="F45" s="12">
        <f t="shared" ref="F45:F50" si="10">E45</f>
        <v>879.5</v>
      </c>
      <c r="G45" s="14">
        <v>0.21</v>
      </c>
      <c r="H45" s="12">
        <f t="shared" si="9"/>
        <v>184.69499999999999</v>
      </c>
    </row>
    <row r="46" spans="1:14" x14ac:dyDescent="0.2">
      <c r="C46" s="12">
        <v>39689535</v>
      </c>
      <c r="D46" s="12"/>
      <c r="E46" s="12">
        <v>188955.26</v>
      </c>
      <c r="F46" s="12">
        <f t="shared" si="10"/>
        <v>188955.26</v>
      </c>
      <c r="G46" s="14">
        <v>0.21</v>
      </c>
      <c r="H46" s="12">
        <f t="shared" si="9"/>
        <v>39680.604599999999</v>
      </c>
    </row>
    <row r="47" spans="1:14" x14ac:dyDescent="0.2">
      <c r="C47" s="12">
        <v>226548</v>
      </c>
      <c r="D47" s="12"/>
      <c r="E47" s="12">
        <v>1078.56</v>
      </c>
      <c r="F47" s="12">
        <f t="shared" si="10"/>
        <v>1078.56</v>
      </c>
      <c r="G47" s="14">
        <v>0.21</v>
      </c>
      <c r="H47" s="12">
        <f t="shared" si="9"/>
        <v>226.49759999999998</v>
      </c>
    </row>
    <row r="48" spans="1:14" x14ac:dyDescent="0.2">
      <c r="C48" s="12">
        <v>19943355</v>
      </c>
      <c r="D48" s="12"/>
      <c r="E48" s="12">
        <v>102658.42</v>
      </c>
      <c r="F48" s="12">
        <f t="shared" si="10"/>
        <v>102658.42</v>
      </c>
      <c r="G48" s="14">
        <v>0.21</v>
      </c>
      <c r="H48" s="12">
        <f t="shared" si="9"/>
        <v>21558.268199999999</v>
      </c>
      <c r="I48" s="22"/>
    </row>
    <row r="49" spans="3:9" x14ac:dyDescent="0.2">
      <c r="C49" s="12">
        <v>1516.95</v>
      </c>
      <c r="D49" s="12"/>
      <c r="E49" s="12">
        <v>7.81</v>
      </c>
      <c r="F49" s="12">
        <f t="shared" si="10"/>
        <v>7.81</v>
      </c>
      <c r="G49" s="14">
        <v>0.21</v>
      </c>
      <c r="H49" s="12">
        <f t="shared" si="9"/>
        <v>1.6400999999999999</v>
      </c>
    </row>
    <row r="50" spans="3:9" ht="15" x14ac:dyDescent="0.35">
      <c r="C50" s="12">
        <v>2553020.2999999998</v>
      </c>
      <c r="D50" s="12"/>
      <c r="E50" s="27">
        <v>13141.67</v>
      </c>
      <c r="F50" s="27">
        <f t="shared" si="10"/>
        <v>13141.67</v>
      </c>
      <c r="G50" s="14">
        <v>0.21</v>
      </c>
      <c r="H50" s="27">
        <f t="shared" si="9"/>
        <v>2759.7507000000001</v>
      </c>
    </row>
    <row r="51" spans="3:9" x14ac:dyDescent="0.2">
      <c r="C51" s="12"/>
      <c r="D51" s="12"/>
      <c r="E51" s="12">
        <f>SUM(E43:E50)</f>
        <v>330745.27999999997</v>
      </c>
      <c r="F51" s="12">
        <f>SUM(F43:F50)</f>
        <v>82255.28</v>
      </c>
      <c r="G51" s="28" t="s">
        <v>29</v>
      </c>
      <c r="H51" s="12">
        <f>SUM(H43:H50)</f>
        <v>17273.608799999998</v>
      </c>
    </row>
    <row r="52" spans="3:9" ht="15" x14ac:dyDescent="0.35">
      <c r="E52" s="15"/>
      <c r="F52" s="15"/>
      <c r="G52" s="22" t="s">
        <v>30</v>
      </c>
      <c r="H52" s="27">
        <f>-H64*0.21</f>
        <v>-2886.811725</v>
      </c>
    </row>
    <row r="53" spans="3:9" x14ac:dyDescent="0.2">
      <c r="H53" s="12">
        <f>H51+H52</f>
        <v>14386.797074999999</v>
      </c>
    </row>
    <row r="54" spans="3:9" x14ac:dyDescent="0.2">
      <c r="H54" s="12">
        <f>H53-K33</f>
        <v>1314.559894999993</v>
      </c>
      <c r="I54" s="22" t="s">
        <v>31</v>
      </c>
    </row>
    <row r="55" spans="3:9" x14ac:dyDescent="0.2">
      <c r="C55" s="15" t="s">
        <v>32</v>
      </c>
      <c r="D55" s="32" t="s">
        <v>25</v>
      </c>
      <c r="E55" s="33" t="s">
        <v>33</v>
      </c>
      <c r="F55" s="15" t="s">
        <v>34</v>
      </c>
      <c r="G55" s="14" t="s">
        <v>13</v>
      </c>
      <c r="H55" s="15" t="s">
        <v>35</v>
      </c>
    </row>
    <row r="56" spans="3:9" x14ac:dyDescent="0.2">
      <c r="C56" s="12">
        <v>4067716.87</v>
      </c>
      <c r="D56" s="12">
        <v>248490</v>
      </c>
      <c r="E56" s="12">
        <v>15125.13</v>
      </c>
      <c r="F56" s="12">
        <f>-D56+E56</f>
        <v>-233364.87</v>
      </c>
      <c r="G56" s="14">
        <v>0.05</v>
      </c>
      <c r="H56" s="12">
        <f>F56*G56</f>
        <v>-11668.2435</v>
      </c>
    </row>
    <row r="57" spans="3:9" x14ac:dyDescent="0.2">
      <c r="C57" s="12">
        <v>8082569</v>
      </c>
      <c r="D57" s="12"/>
      <c r="E57" s="12">
        <v>32923</v>
      </c>
      <c r="F57" s="12">
        <f>E57</f>
        <v>32923</v>
      </c>
      <c r="G57" s="14">
        <v>0.05</v>
      </c>
      <c r="H57" s="12">
        <f t="shared" ref="H57:H63" si="11">F57*G57</f>
        <v>1646.15</v>
      </c>
    </row>
    <row r="58" spans="3:9" x14ac:dyDescent="0.2">
      <c r="C58" s="12">
        <v>199697</v>
      </c>
      <c r="D58" s="12"/>
      <c r="E58" s="12">
        <v>879.5</v>
      </c>
      <c r="F58" s="12">
        <f t="shared" ref="F58:F63" si="12">E58</f>
        <v>879.5</v>
      </c>
      <c r="G58" s="14">
        <v>0.05</v>
      </c>
      <c r="H58" s="12">
        <f t="shared" si="11"/>
        <v>43.975000000000001</v>
      </c>
    </row>
    <row r="59" spans="3:9" x14ac:dyDescent="0.2">
      <c r="C59" s="12">
        <v>66149226</v>
      </c>
      <c r="D59" s="12"/>
      <c r="E59" s="12">
        <v>314925.44</v>
      </c>
      <c r="F59" s="12">
        <f t="shared" si="12"/>
        <v>314925.44</v>
      </c>
      <c r="G59" s="14">
        <v>0.05</v>
      </c>
      <c r="H59" s="12">
        <f t="shared" si="11"/>
        <v>15746.272000000001</v>
      </c>
    </row>
    <row r="60" spans="3:9" x14ac:dyDescent="0.2">
      <c r="C60" s="12">
        <v>226548</v>
      </c>
      <c r="D60" s="12"/>
      <c r="E60" s="12">
        <v>1078.56</v>
      </c>
      <c r="F60" s="12">
        <f t="shared" si="12"/>
        <v>1078.56</v>
      </c>
      <c r="G60" s="14">
        <v>0.05</v>
      </c>
      <c r="H60" s="12">
        <f t="shared" si="11"/>
        <v>53.927999999999997</v>
      </c>
    </row>
    <row r="61" spans="3:9" x14ac:dyDescent="0.2">
      <c r="C61" s="12">
        <v>28235715</v>
      </c>
      <c r="E61" s="12">
        <v>145343.34</v>
      </c>
      <c r="F61" s="12">
        <f t="shared" si="12"/>
        <v>145343.34</v>
      </c>
      <c r="G61" s="14">
        <v>0.05</v>
      </c>
      <c r="H61" s="12">
        <f t="shared" si="11"/>
        <v>7267.1670000000004</v>
      </c>
    </row>
    <row r="62" spans="3:9" x14ac:dyDescent="0.2">
      <c r="C62" s="12">
        <v>1516.95</v>
      </c>
      <c r="E62" s="12">
        <v>7.81</v>
      </c>
      <c r="F62" s="12">
        <f t="shared" si="12"/>
        <v>7.81</v>
      </c>
      <c r="G62" s="14">
        <v>0.05</v>
      </c>
      <c r="H62" s="12">
        <f t="shared" si="11"/>
        <v>0.39050000000000001</v>
      </c>
    </row>
    <row r="63" spans="3:9" ht="15" x14ac:dyDescent="0.35">
      <c r="C63" s="12">
        <v>2553020.2999999998</v>
      </c>
      <c r="E63" s="27">
        <v>13141.67</v>
      </c>
      <c r="F63" s="27">
        <f t="shared" si="12"/>
        <v>13141.67</v>
      </c>
      <c r="G63" s="14">
        <v>0.05</v>
      </c>
      <c r="H63" s="27">
        <f t="shared" si="11"/>
        <v>657.08350000000007</v>
      </c>
    </row>
    <row r="64" spans="3:9" x14ac:dyDescent="0.2">
      <c r="E64" s="12">
        <f>SUM(E56:E63)</f>
        <v>523424.44999999995</v>
      </c>
      <c r="F64" s="12">
        <f>SUM(F56:F63)</f>
        <v>274934.45</v>
      </c>
      <c r="H64" s="12">
        <f>SUM(H56:H63)</f>
        <v>13746.722500000002</v>
      </c>
    </row>
    <row r="65" spans="8:8" x14ac:dyDescent="0.2">
      <c r="H65" s="15">
        <f>H64-L33</f>
        <v>5.0000000010186341E-4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2 of 9
Clements</oddHeader>
    <oddFooter>&amp;L_x000D_&amp;1#&amp;"Calibri"&amp;14&amp;K000000 Business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2DA5F-F10B-4307-9BFB-CD146CE5E321}">
  <sheetPr>
    <pageSetUpPr fitToPage="1"/>
  </sheetPr>
  <dimension ref="A1:R57"/>
  <sheetViews>
    <sheetView zoomScaleNormal="100" workbookViewId="0"/>
  </sheetViews>
  <sheetFormatPr defaultRowHeight="12.75" x14ac:dyDescent="0.2"/>
  <cols>
    <col min="1" max="1" width="11.28515625" style="9" customWidth="1"/>
    <col min="2" max="2" width="1.7109375" customWidth="1"/>
    <col min="3" max="3" width="13.7109375" customWidth="1"/>
    <col min="4" max="4" width="12.7109375" customWidth="1"/>
    <col min="5" max="5" width="16.42578125" customWidth="1"/>
    <col min="6" max="6" width="15" customWidth="1"/>
    <col min="7" max="16" width="12.7109375" customWidth="1"/>
    <col min="17" max="17" width="9.28515625" bestFit="1" customWidth="1"/>
  </cols>
  <sheetData>
    <row r="1" spans="1: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x14ac:dyDescent="0.2">
      <c r="A5" s="4" t="s">
        <v>3</v>
      </c>
    </row>
    <row r="6" spans="1:18" x14ac:dyDescent="0.2">
      <c r="A6" s="5" t="s">
        <v>36</v>
      </c>
    </row>
    <row r="8" spans="1:18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8" x14ac:dyDescent="0.2">
      <c r="A9" s="9" t="s">
        <v>18</v>
      </c>
      <c r="M9" s="10">
        <v>1439780</v>
      </c>
    </row>
    <row r="10" spans="1:18" x14ac:dyDescent="0.2">
      <c r="A10" s="11">
        <v>44264</v>
      </c>
      <c r="C10" s="12">
        <v>7413755</v>
      </c>
      <c r="D10" s="13">
        <v>19482</v>
      </c>
      <c r="E10" s="13">
        <f>15256.58+216.66</f>
        <v>15473.24</v>
      </c>
      <c r="F10" s="13">
        <f>30513.16+216.66</f>
        <v>30729.82</v>
      </c>
      <c r="G10" s="18">
        <f t="shared" ref="G10:G33" si="0">E10-D10</f>
        <v>-4008.76</v>
      </c>
      <c r="H10" s="18">
        <f t="shared" ref="H10:H33" si="1">F10-D10</f>
        <v>11247.82</v>
      </c>
      <c r="I10" s="14">
        <v>0.21</v>
      </c>
      <c r="J10" s="14">
        <v>0.05</v>
      </c>
      <c r="K10" s="15">
        <f t="shared" ref="K10:K15" si="2">G10*I10-L10*I10-737.45</f>
        <v>-1697.3917100000001</v>
      </c>
      <c r="L10" s="15">
        <f t="shared" ref="L10:L31" si="3">H10*J10</f>
        <v>562.39099999999996</v>
      </c>
      <c r="M10" s="15">
        <f t="shared" ref="M10:M33" si="4">M9+K10+L10</f>
        <v>1438644.9992899999</v>
      </c>
      <c r="N10" s="15">
        <v>0</v>
      </c>
      <c r="Q10" s="15"/>
      <c r="R10" s="17"/>
    </row>
    <row r="11" spans="1:18" x14ac:dyDescent="0.2">
      <c r="A11" s="11">
        <v>44287</v>
      </c>
      <c r="C11" s="12">
        <v>7413755</v>
      </c>
      <c r="D11" s="13">
        <v>19482</v>
      </c>
      <c r="E11" s="13">
        <f>15256.58+216.66</f>
        <v>15473.24</v>
      </c>
      <c r="F11" s="13">
        <f>30513.16+216.66</f>
        <v>30729.82</v>
      </c>
      <c r="G11" s="18">
        <f t="shared" si="0"/>
        <v>-4008.76</v>
      </c>
      <c r="H11" s="18">
        <f t="shared" si="1"/>
        <v>11247.82</v>
      </c>
      <c r="I11" s="14">
        <v>0.21</v>
      </c>
      <c r="J11" s="14">
        <v>0.05</v>
      </c>
      <c r="K11" s="15">
        <f t="shared" si="2"/>
        <v>-1697.3917100000001</v>
      </c>
      <c r="L11" s="15">
        <f t="shared" si="3"/>
        <v>562.39099999999996</v>
      </c>
      <c r="M11" s="15">
        <f t="shared" si="4"/>
        <v>1437509.9985799999</v>
      </c>
      <c r="N11" s="15">
        <v>0</v>
      </c>
      <c r="Q11" s="15"/>
      <c r="R11" s="17"/>
    </row>
    <row r="12" spans="1:18" x14ac:dyDescent="0.2">
      <c r="A12" s="11">
        <v>44317</v>
      </c>
      <c r="C12" s="12">
        <v>7413755</v>
      </c>
      <c r="D12" s="13">
        <v>19482</v>
      </c>
      <c r="E12" s="13">
        <f>15256.58+216.66</f>
        <v>15473.24</v>
      </c>
      <c r="F12" s="13">
        <f>30513.16+216.66</f>
        <v>30729.82</v>
      </c>
      <c r="G12" s="18">
        <f t="shared" si="0"/>
        <v>-4008.76</v>
      </c>
      <c r="H12" s="18">
        <f t="shared" si="1"/>
        <v>11247.82</v>
      </c>
      <c r="I12" s="14">
        <v>0.21</v>
      </c>
      <c r="J12" s="14">
        <v>0.05</v>
      </c>
      <c r="K12" s="15">
        <f t="shared" si="2"/>
        <v>-1697.3917100000001</v>
      </c>
      <c r="L12" s="15">
        <f t="shared" si="3"/>
        <v>562.39099999999996</v>
      </c>
      <c r="M12" s="15">
        <f t="shared" si="4"/>
        <v>1436374.9978699998</v>
      </c>
      <c r="N12" s="15">
        <v>0</v>
      </c>
      <c r="R12" s="17"/>
    </row>
    <row r="13" spans="1:18" x14ac:dyDescent="0.2">
      <c r="A13" s="11">
        <v>44348</v>
      </c>
      <c r="C13" s="12">
        <v>7413755</v>
      </c>
      <c r="D13" s="13">
        <v>19482</v>
      </c>
      <c r="E13" s="13">
        <f>15256.58+216.66</f>
        <v>15473.24</v>
      </c>
      <c r="F13" s="13">
        <f>30513.16+216.66</f>
        <v>30729.82</v>
      </c>
      <c r="G13" s="18">
        <f t="shared" si="0"/>
        <v>-4008.76</v>
      </c>
      <c r="H13" s="18">
        <f t="shared" si="1"/>
        <v>11247.82</v>
      </c>
      <c r="I13" s="14">
        <v>0.21</v>
      </c>
      <c r="J13" s="14">
        <v>0.05</v>
      </c>
      <c r="K13" s="15">
        <f t="shared" si="2"/>
        <v>-1697.3917100000001</v>
      </c>
      <c r="L13" s="15">
        <f t="shared" si="3"/>
        <v>562.39099999999996</v>
      </c>
      <c r="M13" s="15">
        <f t="shared" si="4"/>
        <v>1435239.9971599998</v>
      </c>
      <c r="N13" s="15">
        <v>0</v>
      </c>
      <c r="R13" s="17"/>
    </row>
    <row r="14" spans="1:18" x14ac:dyDescent="0.2">
      <c r="A14" s="11">
        <v>44378</v>
      </c>
      <c r="C14" s="12">
        <v>7413755</v>
      </c>
      <c r="D14" s="13">
        <v>21906</v>
      </c>
      <c r="E14" s="13">
        <f>15256.58+216.66-433.7</f>
        <v>15039.539999999999</v>
      </c>
      <c r="F14" s="13">
        <f>30513.16+216.66-433.7</f>
        <v>30296.12</v>
      </c>
      <c r="G14" s="18">
        <f t="shared" si="0"/>
        <v>-6866.4600000000009</v>
      </c>
      <c r="H14" s="18">
        <f t="shared" si="1"/>
        <v>8390.119999999999</v>
      </c>
      <c r="I14" s="14">
        <v>0.21</v>
      </c>
      <c r="J14" s="14">
        <v>0.05</v>
      </c>
      <c r="K14" s="15">
        <f t="shared" si="2"/>
        <v>-2267.5028600000005</v>
      </c>
      <c r="L14" s="15">
        <f t="shared" si="3"/>
        <v>419.50599999999997</v>
      </c>
      <c r="M14" s="15">
        <f t="shared" si="4"/>
        <v>1433392.0003</v>
      </c>
      <c r="N14" s="15">
        <v>0</v>
      </c>
      <c r="O14" s="16"/>
      <c r="R14" s="17"/>
    </row>
    <row r="15" spans="1:18" x14ac:dyDescent="0.2">
      <c r="A15" s="11">
        <v>44409</v>
      </c>
      <c r="C15" s="12">
        <v>7413755</v>
      </c>
      <c r="D15" s="13">
        <v>21906</v>
      </c>
      <c r="E15" s="13">
        <f>15256.58+216.66-433.7</f>
        <v>15039.539999999999</v>
      </c>
      <c r="F15" s="13">
        <f>30513.16+216.66-433.7</f>
        <v>30296.12</v>
      </c>
      <c r="G15" s="18">
        <f t="shared" si="0"/>
        <v>-6866.4600000000009</v>
      </c>
      <c r="H15" s="18">
        <f t="shared" si="1"/>
        <v>8390.119999999999</v>
      </c>
      <c r="I15" s="14">
        <v>0.21</v>
      </c>
      <c r="J15" s="14">
        <v>0.05</v>
      </c>
      <c r="K15" s="15">
        <f t="shared" si="2"/>
        <v>-2267.5028600000005</v>
      </c>
      <c r="L15" s="15">
        <f t="shared" si="3"/>
        <v>419.50599999999997</v>
      </c>
      <c r="M15" s="15">
        <f t="shared" si="4"/>
        <v>1431544.0034400001</v>
      </c>
      <c r="N15" s="15">
        <v>0</v>
      </c>
      <c r="O15" s="16"/>
      <c r="R15" s="17"/>
    </row>
    <row r="16" spans="1:18" x14ac:dyDescent="0.2">
      <c r="A16" s="11">
        <v>44448</v>
      </c>
      <c r="C16" s="12">
        <f>7413755</f>
        <v>7413755</v>
      </c>
      <c r="D16" s="13">
        <f>21906</f>
        <v>21906</v>
      </c>
      <c r="E16" s="13">
        <f>15256.58-217.05</f>
        <v>15039.53</v>
      </c>
      <c r="F16" s="13">
        <f>30513.16-217.05</f>
        <v>30296.11</v>
      </c>
      <c r="G16" s="18">
        <f t="shared" si="0"/>
        <v>-6866.4699999999993</v>
      </c>
      <c r="H16" s="18">
        <f t="shared" si="1"/>
        <v>8390.11</v>
      </c>
      <c r="I16" s="14">
        <v>0.21</v>
      </c>
      <c r="J16" s="14">
        <v>0.05</v>
      </c>
      <c r="K16" s="15">
        <f>G16*I16-L16*I16-737.45</f>
        <v>-2267.5048550000001</v>
      </c>
      <c r="L16" s="15">
        <f t="shared" si="3"/>
        <v>419.50550000000004</v>
      </c>
      <c r="M16" s="15">
        <f t="shared" si="4"/>
        <v>1429696.0040850001</v>
      </c>
      <c r="N16" s="15">
        <v>0</v>
      </c>
      <c r="O16" s="15"/>
      <c r="P16" s="15"/>
    </row>
    <row r="17" spans="1:16" x14ac:dyDescent="0.2">
      <c r="A17" s="11">
        <v>44470</v>
      </c>
      <c r="C17" s="12">
        <f>7413755</f>
        <v>7413755</v>
      </c>
      <c r="D17" s="13">
        <f>21906</f>
        <v>21906</v>
      </c>
      <c r="E17" s="13">
        <f>15256.58-217.06</f>
        <v>15039.52</v>
      </c>
      <c r="F17" s="13">
        <f>30513.16-217.06</f>
        <v>30296.1</v>
      </c>
      <c r="G17" s="18">
        <f t="shared" si="0"/>
        <v>-6866.48</v>
      </c>
      <c r="H17" s="18">
        <f t="shared" si="1"/>
        <v>8390.0999999999985</v>
      </c>
      <c r="I17" s="14">
        <v>0.21</v>
      </c>
      <c r="J17" s="14">
        <v>0.05</v>
      </c>
      <c r="K17" s="15">
        <f>G17*I17-L17*I17-737.45</f>
        <v>-2267.5068499999998</v>
      </c>
      <c r="L17" s="15">
        <f t="shared" si="3"/>
        <v>419.50499999999994</v>
      </c>
      <c r="M17" s="15">
        <f t="shared" si="4"/>
        <v>1427848.002235</v>
      </c>
      <c r="N17" s="15">
        <v>0</v>
      </c>
      <c r="O17" s="15"/>
      <c r="P17" s="15"/>
    </row>
    <row r="18" spans="1:16" x14ac:dyDescent="0.2">
      <c r="A18" s="11">
        <v>44501</v>
      </c>
      <c r="C18" s="12">
        <f>7413755</f>
        <v>7413755</v>
      </c>
      <c r="D18" s="13">
        <f>21906</f>
        <v>21906</v>
      </c>
      <c r="E18" s="13">
        <f>15256.58-217.06</f>
        <v>15039.52</v>
      </c>
      <c r="F18" s="13">
        <f>30513.16-217.06</f>
        <v>30296.1</v>
      </c>
      <c r="G18" s="18">
        <f t="shared" si="0"/>
        <v>-6866.48</v>
      </c>
      <c r="H18" s="18">
        <f t="shared" si="1"/>
        <v>8390.0999999999985</v>
      </c>
      <c r="I18" s="14">
        <v>0.21</v>
      </c>
      <c r="J18" s="14">
        <v>0.05</v>
      </c>
      <c r="K18" s="15">
        <f>G18*I18-L18*I18-737.45</f>
        <v>-2267.5068499999998</v>
      </c>
      <c r="L18" s="15">
        <f t="shared" si="3"/>
        <v>419.50499999999994</v>
      </c>
      <c r="M18" s="15">
        <f t="shared" si="4"/>
        <v>1426000.0003849999</v>
      </c>
      <c r="N18" s="15">
        <v>0</v>
      </c>
      <c r="O18" s="15"/>
      <c r="P18" s="15"/>
    </row>
    <row r="19" spans="1:16" x14ac:dyDescent="0.2">
      <c r="A19" s="11">
        <v>44531</v>
      </c>
      <c r="C19" s="12">
        <f>7413755</f>
        <v>7413755</v>
      </c>
      <c r="D19" s="13">
        <f>21906</f>
        <v>21906</v>
      </c>
      <c r="E19" s="13">
        <f>15256.58-217.06</f>
        <v>15039.52</v>
      </c>
      <c r="F19" s="13">
        <f>30513.16-217.06</f>
        <v>30296.1</v>
      </c>
      <c r="G19" s="18">
        <f t="shared" si="0"/>
        <v>-6866.48</v>
      </c>
      <c r="H19" s="18">
        <f t="shared" si="1"/>
        <v>8390.0999999999985</v>
      </c>
      <c r="I19" s="14">
        <v>0.21</v>
      </c>
      <c r="J19" s="14">
        <v>0.05</v>
      </c>
      <c r="K19" s="15">
        <f>G19*I19-L19*I19-737.45</f>
        <v>-2267.5068499999998</v>
      </c>
      <c r="L19" s="15">
        <f t="shared" si="3"/>
        <v>419.50499999999994</v>
      </c>
      <c r="M19" s="15">
        <f t="shared" si="4"/>
        <v>1424151.9985349998</v>
      </c>
      <c r="N19" s="15">
        <v>0</v>
      </c>
    </row>
    <row r="20" spans="1:16" x14ac:dyDescent="0.2">
      <c r="A20" s="11">
        <v>44562</v>
      </c>
      <c r="C20" s="12">
        <f>7413755</f>
        <v>7413755</v>
      </c>
      <c r="D20" s="13">
        <f>21906</f>
        <v>21906</v>
      </c>
      <c r="E20" s="13">
        <f>14761.14</f>
        <v>14761.14</v>
      </c>
      <c r="F20" s="13">
        <f>29522.28</f>
        <v>29522.28</v>
      </c>
      <c r="G20" s="18">
        <f t="shared" si="0"/>
        <v>-7144.8600000000006</v>
      </c>
      <c r="H20" s="18">
        <f t="shared" si="1"/>
        <v>7616.2799999999988</v>
      </c>
      <c r="I20" s="14">
        <v>0.21</v>
      </c>
      <c r="J20" s="14">
        <v>0.05</v>
      </c>
      <c r="K20" s="15">
        <f>G20*I20-L20*I20-969.15</f>
        <v>-2549.5415400000002</v>
      </c>
      <c r="L20" s="15">
        <f t="shared" si="3"/>
        <v>380.81399999999996</v>
      </c>
      <c r="M20" s="15">
        <f t="shared" si="4"/>
        <v>1421983.2709949999</v>
      </c>
      <c r="N20" s="15">
        <v>0</v>
      </c>
    </row>
    <row r="21" spans="1:16" x14ac:dyDescent="0.2">
      <c r="A21" s="11">
        <v>44593</v>
      </c>
      <c r="C21" s="12">
        <v>7413755</v>
      </c>
      <c r="D21" s="13">
        <v>21906.49</v>
      </c>
      <c r="E21" s="13">
        <f>14761.14</f>
        <v>14761.14</v>
      </c>
      <c r="F21" s="13">
        <f>29522.28</f>
        <v>29522.28</v>
      </c>
      <c r="G21" s="18">
        <f t="shared" si="0"/>
        <v>-7145.3500000000022</v>
      </c>
      <c r="H21" s="18">
        <f t="shared" si="1"/>
        <v>7615.7899999999972</v>
      </c>
      <c r="I21" s="14">
        <v>0.21</v>
      </c>
      <c r="J21" s="14">
        <v>0.05</v>
      </c>
      <c r="K21" s="15">
        <f>G21*I21-L21*I21-969.15</f>
        <v>-2549.6392950000004</v>
      </c>
      <c r="L21" s="15">
        <f t="shared" si="3"/>
        <v>380.78949999999986</v>
      </c>
      <c r="M21" s="15">
        <f t="shared" si="4"/>
        <v>1419814.4212</v>
      </c>
      <c r="N21" s="15">
        <v>0</v>
      </c>
    </row>
    <row r="22" spans="1:16" x14ac:dyDescent="0.2">
      <c r="A22" s="11">
        <v>44629</v>
      </c>
      <c r="C22" s="12">
        <v>7413755</v>
      </c>
      <c r="D22" s="13">
        <v>21906.49</v>
      </c>
      <c r="E22" s="13">
        <f>14760.5</f>
        <v>14760.5</v>
      </c>
      <c r="F22" s="13">
        <f>29521.5</f>
        <v>29521.5</v>
      </c>
      <c r="G22" s="18">
        <f t="shared" si="0"/>
        <v>-7145.9900000000016</v>
      </c>
      <c r="H22" s="18">
        <f t="shared" si="1"/>
        <v>7615.0099999999984</v>
      </c>
      <c r="I22" s="14">
        <v>0.21</v>
      </c>
      <c r="J22" s="14">
        <v>0.05</v>
      </c>
      <c r="K22" s="15">
        <f t="shared" ref="K22:K27" si="5">G22*I22-L22*I22-969.15</f>
        <v>-2549.7655050000003</v>
      </c>
      <c r="L22" s="15">
        <f t="shared" si="3"/>
        <v>380.75049999999993</v>
      </c>
      <c r="M22" s="15">
        <f t="shared" si="4"/>
        <v>1417645.406195</v>
      </c>
      <c r="N22" s="15">
        <v>0</v>
      </c>
    </row>
    <row r="23" spans="1:16" x14ac:dyDescent="0.2">
      <c r="A23" s="11">
        <v>44652</v>
      </c>
      <c r="C23" s="12">
        <v>7413755</v>
      </c>
      <c r="D23" s="13">
        <v>21906</v>
      </c>
      <c r="E23" s="13">
        <f>14761.14</f>
        <v>14761.14</v>
      </c>
      <c r="F23" s="13">
        <f>29522.28</f>
        <v>29522.28</v>
      </c>
      <c r="G23" s="18">
        <f t="shared" si="0"/>
        <v>-7144.8600000000006</v>
      </c>
      <c r="H23" s="18">
        <f t="shared" si="1"/>
        <v>7616.2799999999988</v>
      </c>
      <c r="I23" s="14">
        <v>0.21</v>
      </c>
      <c r="J23" s="14">
        <v>0.05</v>
      </c>
      <c r="K23" s="15">
        <f t="shared" si="5"/>
        <v>-2549.5415400000002</v>
      </c>
      <c r="L23" s="15">
        <f t="shared" si="3"/>
        <v>380.81399999999996</v>
      </c>
      <c r="M23" s="15">
        <f t="shared" si="4"/>
        <v>1415476.6786550002</v>
      </c>
      <c r="N23" s="15">
        <v>0</v>
      </c>
    </row>
    <row r="24" spans="1:16" x14ac:dyDescent="0.2">
      <c r="A24" s="11">
        <v>44682</v>
      </c>
      <c r="C24" s="12">
        <v>7413755</v>
      </c>
      <c r="D24" s="13">
        <v>21906</v>
      </c>
      <c r="E24" s="13">
        <f>14761.14</f>
        <v>14761.14</v>
      </c>
      <c r="F24" s="13">
        <f>29522.028</f>
        <v>29522.027999999998</v>
      </c>
      <c r="G24" s="18">
        <f t="shared" si="0"/>
        <v>-7144.8600000000006</v>
      </c>
      <c r="H24" s="18">
        <f t="shared" si="1"/>
        <v>7616.0279999999984</v>
      </c>
      <c r="I24" s="14">
        <v>0.21</v>
      </c>
      <c r="J24" s="14">
        <v>0.05</v>
      </c>
      <c r="K24" s="15">
        <f t="shared" si="5"/>
        <v>-2549.5388940000003</v>
      </c>
      <c r="L24" s="15">
        <f t="shared" si="3"/>
        <v>380.80139999999994</v>
      </c>
      <c r="M24" s="15">
        <f t="shared" si="4"/>
        <v>1413307.9411610002</v>
      </c>
      <c r="N24" s="15">
        <v>0</v>
      </c>
    </row>
    <row r="25" spans="1:16" x14ac:dyDescent="0.2">
      <c r="A25" s="11">
        <v>44713</v>
      </c>
      <c r="C25" s="12">
        <v>7413755</v>
      </c>
      <c r="D25" s="13">
        <v>21906</v>
      </c>
      <c r="E25" s="13">
        <f>14761.14</f>
        <v>14761.14</v>
      </c>
      <c r="F25" s="13">
        <f>29522.28</f>
        <v>29522.28</v>
      </c>
      <c r="G25" s="18">
        <f t="shared" si="0"/>
        <v>-7144.8600000000006</v>
      </c>
      <c r="H25" s="18">
        <f t="shared" si="1"/>
        <v>7616.2799999999988</v>
      </c>
      <c r="I25" s="14">
        <v>0.21</v>
      </c>
      <c r="J25" s="14">
        <v>0.05</v>
      </c>
      <c r="K25" s="15">
        <f t="shared" si="5"/>
        <v>-2549.5415400000002</v>
      </c>
      <c r="L25" s="15">
        <f t="shared" si="3"/>
        <v>380.81399999999996</v>
      </c>
      <c r="M25" s="15">
        <f t="shared" si="4"/>
        <v>1411139.2136210003</v>
      </c>
      <c r="N25" s="15">
        <v>0</v>
      </c>
    </row>
    <row r="26" spans="1:16" x14ac:dyDescent="0.2">
      <c r="A26" s="11">
        <v>44743</v>
      </c>
      <c r="C26" s="12">
        <v>7413755</v>
      </c>
      <c r="D26" s="13">
        <v>21905.5</v>
      </c>
      <c r="E26" s="13">
        <f>14761.49</f>
        <v>14761.49</v>
      </c>
      <c r="F26" s="13">
        <f>29522.28</f>
        <v>29522.28</v>
      </c>
      <c r="G26" s="18">
        <f t="shared" si="0"/>
        <v>-7144.01</v>
      </c>
      <c r="H26" s="18">
        <f t="shared" si="1"/>
        <v>7616.7799999999988</v>
      </c>
      <c r="I26" s="14">
        <v>0.21</v>
      </c>
      <c r="J26" s="14">
        <v>0.05</v>
      </c>
      <c r="K26" s="15">
        <f t="shared" si="5"/>
        <v>-2549.3682899999999</v>
      </c>
      <c r="L26" s="15">
        <f t="shared" si="3"/>
        <v>380.83899999999994</v>
      </c>
      <c r="M26" s="15">
        <f t="shared" si="4"/>
        <v>1408970.6843310003</v>
      </c>
      <c r="N26" s="15">
        <v>0</v>
      </c>
    </row>
    <row r="27" spans="1:16" x14ac:dyDescent="0.2">
      <c r="A27" s="11">
        <v>44774</v>
      </c>
      <c r="C27" s="12">
        <v>7413755</v>
      </c>
      <c r="D27" s="13">
        <v>21906</v>
      </c>
      <c r="E27" s="13">
        <f>14761.14</f>
        <v>14761.14</v>
      </c>
      <c r="F27" s="13">
        <f>29522.28</f>
        <v>29522.28</v>
      </c>
      <c r="G27" s="18">
        <f t="shared" si="0"/>
        <v>-7144.8600000000006</v>
      </c>
      <c r="H27" s="18">
        <f t="shared" si="1"/>
        <v>7616.2799999999988</v>
      </c>
      <c r="I27" s="14">
        <v>0.21</v>
      </c>
      <c r="J27" s="14">
        <v>0.05</v>
      </c>
      <c r="K27" s="15">
        <f t="shared" si="5"/>
        <v>-2549.5415400000002</v>
      </c>
      <c r="L27" s="15">
        <f t="shared" si="3"/>
        <v>380.81399999999996</v>
      </c>
      <c r="M27" s="15">
        <f t="shared" si="4"/>
        <v>1406801.9567910004</v>
      </c>
      <c r="N27" s="15">
        <v>0</v>
      </c>
    </row>
    <row r="28" spans="1:16" x14ac:dyDescent="0.2">
      <c r="A28" s="11">
        <v>44813</v>
      </c>
      <c r="C28" s="12">
        <v>7413755</v>
      </c>
      <c r="D28" s="13">
        <v>21906</v>
      </c>
      <c r="E28" s="31">
        <v>14761.14</v>
      </c>
      <c r="F28" s="31">
        <v>29522.28</v>
      </c>
      <c r="G28" s="18">
        <f t="shared" si="0"/>
        <v>-7144.8600000000006</v>
      </c>
      <c r="H28" s="18">
        <f t="shared" si="1"/>
        <v>7616.2799999999988</v>
      </c>
      <c r="I28" s="14">
        <v>0.21</v>
      </c>
      <c r="J28" s="14">
        <v>0.05</v>
      </c>
      <c r="K28" s="15">
        <f>G28*I28-L28*I28-969.15</f>
        <v>-2549.5415400000002</v>
      </c>
      <c r="L28" s="15">
        <f t="shared" si="3"/>
        <v>380.81399999999996</v>
      </c>
      <c r="M28" s="15">
        <f t="shared" si="4"/>
        <v>1404633.2292510006</v>
      </c>
      <c r="N28" s="15">
        <v>0</v>
      </c>
    </row>
    <row r="29" spans="1:16" x14ac:dyDescent="0.2">
      <c r="A29" s="11">
        <v>44835</v>
      </c>
      <c r="C29" s="12">
        <v>7413755</v>
      </c>
      <c r="D29" s="13">
        <v>21906.49</v>
      </c>
      <c r="E29" s="31">
        <v>14761.14</v>
      </c>
      <c r="F29" s="31">
        <v>29522.28</v>
      </c>
      <c r="G29" s="18">
        <f t="shared" si="0"/>
        <v>-7145.3500000000022</v>
      </c>
      <c r="H29" s="18">
        <f t="shared" si="1"/>
        <v>7615.7899999999972</v>
      </c>
      <c r="I29" s="14">
        <v>0.21</v>
      </c>
      <c r="J29" s="14">
        <v>0.05</v>
      </c>
      <c r="K29" s="15">
        <f>G29*I29-L29*I29-969.15</f>
        <v>-2549.6392950000004</v>
      </c>
      <c r="L29" s="15">
        <f t="shared" si="3"/>
        <v>380.78949999999986</v>
      </c>
      <c r="M29" s="15">
        <f t="shared" si="4"/>
        <v>1402464.3794560006</v>
      </c>
      <c r="N29" s="15">
        <v>0</v>
      </c>
    </row>
    <row r="30" spans="1:16" x14ac:dyDescent="0.2">
      <c r="A30" s="11">
        <v>44866</v>
      </c>
      <c r="C30" s="12">
        <v>7413755</v>
      </c>
      <c r="D30" s="13">
        <v>21906</v>
      </c>
      <c r="E30" s="31">
        <v>14761.14</v>
      </c>
      <c r="F30" s="31">
        <v>29522.28</v>
      </c>
      <c r="G30" s="18">
        <f t="shared" si="0"/>
        <v>-7144.8600000000006</v>
      </c>
      <c r="H30" s="18">
        <f t="shared" si="1"/>
        <v>7616.2799999999988</v>
      </c>
      <c r="I30" s="14">
        <v>0.21</v>
      </c>
      <c r="J30" s="14">
        <v>0.05</v>
      </c>
      <c r="K30" s="15">
        <f>G30*I30-L30*I30-969.15</f>
        <v>-2549.5415400000002</v>
      </c>
      <c r="L30" s="15">
        <f t="shared" si="3"/>
        <v>380.81399999999996</v>
      </c>
      <c r="M30" s="15">
        <f t="shared" si="4"/>
        <v>1400295.6519160008</v>
      </c>
      <c r="N30" s="15">
        <v>0</v>
      </c>
    </row>
    <row r="31" spans="1:16" x14ac:dyDescent="0.2">
      <c r="A31" s="11">
        <v>44896</v>
      </c>
      <c r="C31" s="12">
        <v>7413755</v>
      </c>
      <c r="D31" s="13">
        <v>21906</v>
      </c>
      <c r="E31" s="31">
        <v>14761.14</v>
      </c>
      <c r="F31" s="31">
        <v>29522.28</v>
      </c>
      <c r="G31" s="18">
        <f t="shared" si="0"/>
        <v>-7144.8600000000006</v>
      </c>
      <c r="H31" s="18">
        <f t="shared" si="1"/>
        <v>7616.2799999999988</v>
      </c>
      <c r="I31" s="14">
        <v>0.21</v>
      </c>
      <c r="J31" s="14">
        <v>0.05</v>
      </c>
      <c r="K31" s="15">
        <f>G31*I31-L31*I31-969.15</f>
        <v>-2549.5415400000002</v>
      </c>
      <c r="L31" s="15">
        <f t="shared" si="3"/>
        <v>380.81399999999996</v>
      </c>
      <c r="M31" s="15">
        <f t="shared" si="4"/>
        <v>1398126.9243760009</v>
      </c>
      <c r="N31" s="15">
        <v>0</v>
      </c>
    </row>
    <row r="32" spans="1:16" x14ac:dyDescent="0.2">
      <c r="A32" s="11">
        <v>44927</v>
      </c>
      <c r="C32" s="12">
        <v>7413755</v>
      </c>
      <c r="D32" s="13">
        <v>21905.49</v>
      </c>
      <c r="E32" s="13">
        <f>14288.6</f>
        <v>14288.6</v>
      </c>
      <c r="F32" s="13">
        <f>28577.2</f>
        <v>28577.200000000001</v>
      </c>
      <c r="G32" s="18">
        <f t="shared" si="0"/>
        <v>-7616.8900000000012</v>
      </c>
      <c r="H32" s="18">
        <f t="shared" si="1"/>
        <v>6671.7099999999991</v>
      </c>
      <c r="I32" s="14">
        <v>0.21</v>
      </c>
      <c r="J32" s="14">
        <v>0.05</v>
      </c>
      <c r="K32" s="15">
        <f>G32*I32-334*I32-1031.39</f>
        <v>-2701.0769000000005</v>
      </c>
      <c r="L32" s="15">
        <f>H32*J32-1.88</f>
        <v>331.70549999999997</v>
      </c>
      <c r="M32" s="15">
        <f t="shared" si="4"/>
        <v>1395757.5529760008</v>
      </c>
      <c r="N32" s="15">
        <v>0</v>
      </c>
    </row>
    <row r="33" spans="1:14" x14ac:dyDescent="0.2">
      <c r="A33" s="11">
        <v>44958</v>
      </c>
      <c r="C33" s="12">
        <v>7413755</v>
      </c>
      <c r="D33" s="13">
        <v>21906</v>
      </c>
      <c r="E33" s="13">
        <f>14288.6</f>
        <v>14288.6</v>
      </c>
      <c r="F33" s="13">
        <f>28577.2</f>
        <v>28577.200000000001</v>
      </c>
      <c r="G33" s="18">
        <f t="shared" si="0"/>
        <v>-7617.4</v>
      </c>
      <c r="H33" s="18">
        <f t="shared" si="1"/>
        <v>6671.2000000000007</v>
      </c>
      <c r="I33" s="14">
        <v>0.21</v>
      </c>
      <c r="J33" s="14">
        <v>0.05</v>
      </c>
      <c r="K33" s="15">
        <f>G33*I33-334*I33-1031.39</f>
        <v>-2701.1840000000002</v>
      </c>
      <c r="L33" s="15">
        <f>H33*J33-1.88</f>
        <v>331.68000000000006</v>
      </c>
      <c r="M33" s="15">
        <f t="shared" si="4"/>
        <v>1393388.0489760009</v>
      </c>
      <c r="N33" s="15">
        <v>0</v>
      </c>
    </row>
    <row r="34" spans="1:14" x14ac:dyDescent="0.2">
      <c r="A34" s="19"/>
      <c r="C34" s="12"/>
      <c r="D34" s="13"/>
      <c r="E34" s="13"/>
      <c r="F34" s="13"/>
      <c r="G34" s="18"/>
      <c r="H34" s="18"/>
      <c r="I34" s="18"/>
      <c r="J34" s="12"/>
      <c r="K34" s="12"/>
      <c r="L34" s="14"/>
      <c r="M34" s="14"/>
      <c r="N34" s="15"/>
    </row>
    <row r="35" spans="1:14" x14ac:dyDescent="0.2">
      <c r="A35" s="19"/>
      <c r="C35" s="35" t="s">
        <v>54</v>
      </c>
      <c r="D35" s="31"/>
      <c r="E35" s="31"/>
      <c r="F35" s="31"/>
      <c r="G35" s="18"/>
      <c r="H35" s="18"/>
      <c r="I35" s="18"/>
      <c r="J35" s="35"/>
      <c r="K35" s="35"/>
      <c r="L35" s="14"/>
      <c r="M35" s="14"/>
      <c r="N35" s="15"/>
    </row>
    <row r="36" spans="1:14" x14ac:dyDescent="0.2">
      <c r="A36" s="19"/>
      <c r="C36" s="35"/>
      <c r="D36" s="31"/>
      <c r="E36" s="31"/>
      <c r="F36" s="31"/>
      <c r="G36" s="18"/>
      <c r="H36" s="18"/>
      <c r="I36" s="18"/>
      <c r="J36" s="35"/>
      <c r="K36" s="35"/>
      <c r="L36" s="14"/>
      <c r="M36" s="14"/>
      <c r="N36" s="15"/>
    </row>
    <row r="37" spans="1:14" x14ac:dyDescent="0.2">
      <c r="C37" s="36" t="s">
        <v>37</v>
      </c>
      <c r="D37" s="32"/>
      <c r="E37" s="32"/>
      <c r="F37" s="32"/>
      <c r="G37" s="33"/>
      <c r="H37" s="33"/>
      <c r="I37" s="37"/>
      <c r="J37" s="37"/>
      <c r="K37" s="37"/>
    </row>
    <row r="38" spans="1:14" x14ac:dyDescent="0.2">
      <c r="C38" s="36" t="s">
        <v>22</v>
      </c>
      <c r="D38" s="32"/>
      <c r="E38" s="32"/>
      <c r="F38" s="32"/>
      <c r="G38" s="33"/>
      <c r="H38" s="33"/>
      <c r="I38" s="37"/>
      <c r="J38" s="37"/>
      <c r="K38" s="37"/>
    </row>
    <row r="39" spans="1:14" x14ac:dyDescent="0.2">
      <c r="C39" s="36" t="s">
        <v>53</v>
      </c>
      <c r="D39" s="32"/>
      <c r="E39" s="32"/>
      <c r="F39" s="32"/>
      <c r="G39" s="33"/>
      <c r="H39" s="33"/>
      <c r="I39" s="37"/>
      <c r="J39" s="37"/>
      <c r="K39" s="37"/>
    </row>
    <row r="40" spans="1:14" x14ac:dyDescent="0.2">
      <c r="C40" s="35" t="s">
        <v>23</v>
      </c>
      <c r="D40" s="32"/>
      <c r="E40" s="32"/>
      <c r="F40" s="32"/>
      <c r="G40" s="33"/>
      <c r="H40" s="33"/>
      <c r="I40" s="37"/>
      <c r="J40" s="37"/>
      <c r="K40" s="37"/>
    </row>
    <row r="41" spans="1:14" x14ac:dyDescent="0.2">
      <c r="C41" s="38"/>
      <c r="D41" s="32"/>
      <c r="E41" s="32"/>
      <c r="F41" s="32"/>
      <c r="G41" s="32"/>
      <c r="H41" s="32"/>
      <c r="I41" s="37"/>
      <c r="J41" s="37"/>
      <c r="K41" s="37"/>
    </row>
    <row r="42" spans="1:14" x14ac:dyDescent="0.2">
      <c r="C42" s="35" t="s">
        <v>24</v>
      </c>
      <c r="D42" s="34" t="s">
        <v>25</v>
      </c>
      <c r="E42" s="33" t="s">
        <v>26</v>
      </c>
      <c r="F42" s="35" t="s">
        <v>27</v>
      </c>
      <c r="G42" s="39" t="s">
        <v>12</v>
      </c>
      <c r="H42" s="35" t="s">
        <v>28</v>
      </c>
      <c r="I42" s="37"/>
      <c r="J42" s="37"/>
      <c r="K42" s="37"/>
    </row>
    <row r="43" spans="1:14" x14ac:dyDescent="0.2">
      <c r="C43" s="35">
        <v>2318136</v>
      </c>
      <c r="D43" s="35">
        <v>21906</v>
      </c>
      <c r="E43" s="35">
        <v>8617.67</v>
      </c>
      <c r="F43" s="35">
        <f>-D43+E43</f>
        <v>-13288.33</v>
      </c>
      <c r="G43" s="39">
        <v>0.21</v>
      </c>
      <c r="H43" s="35">
        <f>F43*G43</f>
        <v>-2790.5492999999997</v>
      </c>
      <c r="I43" s="37"/>
      <c r="J43" s="37"/>
      <c r="K43" s="37"/>
    </row>
    <row r="44" spans="1:14" x14ac:dyDescent="0.2">
      <c r="C44" s="35">
        <v>-39771</v>
      </c>
      <c r="D44" s="35"/>
      <c r="E44" s="35">
        <v>-147.88</v>
      </c>
      <c r="F44" s="35">
        <f>E44</f>
        <v>-147.88</v>
      </c>
      <c r="G44" s="39">
        <v>0.21</v>
      </c>
      <c r="H44" s="35">
        <f t="shared" ref="H44:H46" si="6">F44*G44</f>
        <v>-31.054799999999997</v>
      </c>
      <c r="I44" s="37"/>
      <c r="J44" s="37"/>
      <c r="K44" s="37"/>
    </row>
    <row r="45" spans="1:14" x14ac:dyDescent="0.2">
      <c r="C45" s="35">
        <v>1088793</v>
      </c>
      <c r="D45" s="35"/>
      <c r="E45" s="35">
        <v>4435.0200000000004</v>
      </c>
      <c r="F45" s="35">
        <f t="shared" ref="F45:F46" si="7">E45</f>
        <v>4435.0200000000004</v>
      </c>
      <c r="G45" s="39">
        <v>0.21</v>
      </c>
      <c r="H45" s="35">
        <f t="shared" si="6"/>
        <v>931.35420000000011</v>
      </c>
      <c r="I45" s="37"/>
      <c r="J45" s="37"/>
      <c r="K45" s="37"/>
    </row>
    <row r="46" spans="1:14" ht="15" x14ac:dyDescent="0.35">
      <c r="C46" s="35">
        <v>339720</v>
      </c>
      <c r="D46" s="35"/>
      <c r="E46" s="40">
        <v>1383.79</v>
      </c>
      <c r="F46" s="40">
        <f t="shared" si="7"/>
        <v>1383.79</v>
      </c>
      <c r="G46" s="39">
        <v>0.21</v>
      </c>
      <c r="H46" s="40">
        <f t="shared" si="6"/>
        <v>290.59589999999997</v>
      </c>
      <c r="I46" s="37"/>
      <c r="J46" s="37"/>
      <c r="K46" s="37"/>
    </row>
    <row r="47" spans="1:14" x14ac:dyDescent="0.2">
      <c r="C47" s="35"/>
      <c r="D47" s="35"/>
      <c r="E47" s="35">
        <f>SUM(E43:E46)</f>
        <v>14288.600000000002</v>
      </c>
      <c r="F47" s="35">
        <f>SUM(F43:F46)</f>
        <v>-7617.3999999999987</v>
      </c>
      <c r="G47" s="39" t="s">
        <v>29</v>
      </c>
      <c r="H47" s="35">
        <f>SUM(H43:H46)</f>
        <v>-1599.6539999999993</v>
      </c>
      <c r="I47" s="37"/>
      <c r="J47" s="37"/>
      <c r="K47" s="37"/>
    </row>
    <row r="48" spans="1:14" ht="15" x14ac:dyDescent="0.35">
      <c r="C48" s="37"/>
      <c r="D48" s="37"/>
      <c r="E48" s="35"/>
      <c r="F48" s="35"/>
      <c r="G48" s="37" t="s">
        <v>30</v>
      </c>
      <c r="H48" s="40">
        <f>-H56*0.21</f>
        <v>-70.047495000000012</v>
      </c>
      <c r="I48" s="37"/>
      <c r="J48" s="37"/>
      <c r="K48" s="37"/>
    </row>
    <row r="49" spans="3:11" x14ac:dyDescent="0.2">
      <c r="C49" s="37"/>
      <c r="D49" s="37"/>
      <c r="E49" s="37"/>
      <c r="F49" s="37"/>
      <c r="G49" s="37"/>
      <c r="H49" s="35">
        <f>H47+H48</f>
        <v>-1669.7014949999993</v>
      </c>
      <c r="I49" s="37"/>
      <c r="J49" s="37"/>
      <c r="K49" s="37"/>
    </row>
    <row r="50" spans="3:11" x14ac:dyDescent="0.2">
      <c r="C50" s="37"/>
      <c r="D50" s="37"/>
      <c r="E50" s="37"/>
      <c r="F50" s="37"/>
      <c r="G50" s="37"/>
      <c r="H50" s="35">
        <f>H49-K33</f>
        <v>1031.4825050000009</v>
      </c>
      <c r="I50" s="37" t="s">
        <v>31</v>
      </c>
      <c r="J50" s="37"/>
      <c r="K50" s="37"/>
    </row>
    <row r="51" spans="3:11" x14ac:dyDescent="0.2">
      <c r="C51" s="35" t="s">
        <v>32</v>
      </c>
      <c r="D51" s="32" t="s">
        <v>25</v>
      </c>
      <c r="E51" s="33" t="s">
        <v>33</v>
      </c>
      <c r="F51" s="35" t="s">
        <v>34</v>
      </c>
      <c r="G51" s="39" t="s">
        <v>13</v>
      </c>
      <c r="H51" s="35" t="s">
        <v>35</v>
      </c>
    </row>
    <row r="52" spans="3:11" x14ac:dyDescent="0.2">
      <c r="C52" s="35">
        <v>4636272</v>
      </c>
      <c r="D52" s="35">
        <v>21906</v>
      </c>
      <c r="E52" s="35">
        <v>17235.34</v>
      </c>
      <c r="F52" s="35">
        <f>-D52+E52</f>
        <v>-4670.66</v>
      </c>
      <c r="G52" s="39">
        <v>0.05</v>
      </c>
      <c r="H52" s="35">
        <f>F52*G52</f>
        <v>-233.53300000000002</v>
      </c>
    </row>
    <row r="53" spans="3:11" x14ac:dyDescent="0.2">
      <c r="C53" s="35">
        <v>-79542</v>
      </c>
      <c r="D53" s="35"/>
      <c r="E53" s="35">
        <v>-295.76</v>
      </c>
      <c r="F53" s="35">
        <f>E53</f>
        <v>-295.76</v>
      </c>
      <c r="G53" s="39">
        <v>0.05</v>
      </c>
      <c r="H53" s="35">
        <f t="shared" ref="H53:H55" si="8">F53*G53</f>
        <v>-14.788</v>
      </c>
    </row>
    <row r="54" spans="3:11" x14ac:dyDescent="0.2">
      <c r="C54" s="35">
        <v>2177586</v>
      </c>
      <c r="D54" s="35"/>
      <c r="E54" s="35">
        <v>8870.0300000000007</v>
      </c>
      <c r="F54" s="35">
        <f t="shared" ref="F54:F55" si="9">E54</f>
        <v>8870.0300000000007</v>
      </c>
      <c r="G54" s="39">
        <v>0.05</v>
      </c>
      <c r="H54" s="35">
        <f t="shared" si="8"/>
        <v>443.50150000000008</v>
      </c>
    </row>
    <row r="55" spans="3:11" ht="15" x14ac:dyDescent="0.35">
      <c r="C55" s="35">
        <v>679439</v>
      </c>
      <c r="D55" s="35"/>
      <c r="E55" s="40">
        <v>2767.58</v>
      </c>
      <c r="F55" s="40">
        <f t="shared" si="9"/>
        <v>2767.58</v>
      </c>
      <c r="G55" s="39">
        <v>0.05</v>
      </c>
      <c r="H55" s="40">
        <f t="shared" si="8"/>
        <v>138.37899999999999</v>
      </c>
    </row>
    <row r="56" spans="3:11" x14ac:dyDescent="0.2">
      <c r="C56" s="37"/>
      <c r="D56" s="37"/>
      <c r="E56" s="35">
        <f>SUM(E52:E55)</f>
        <v>28577.190000000002</v>
      </c>
      <c r="F56" s="35">
        <f>SUM(F52:F55)</f>
        <v>6671.1900000000005</v>
      </c>
      <c r="G56" s="37"/>
      <c r="H56" s="35">
        <f>SUM(H52:H55)</f>
        <v>333.55950000000007</v>
      </c>
    </row>
    <row r="57" spans="3:11" x14ac:dyDescent="0.2">
      <c r="C57" s="37"/>
      <c r="D57" s="37"/>
      <c r="E57" s="37"/>
      <c r="F57" s="37"/>
      <c r="G57" s="37"/>
      <c r="H57" s="35">
        <f>H56-L33</f>
        <v>1.8795000000000073</v>
      </c>
      <c r="I57" s="37" t="s">
        <v>55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3 of 9
Clements</oddHeader>
    <oddFooter>&amp;L_x000D_&amp;1#&amp;"Calibri"&amp;14&amp;K000000 Business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6D423-E4DC-4FE8-8AD1-467D2B37CD58}">
  <sheetPr>
    <pageSetUpPr fitToPage="1"/>
  </sheetPr>
  <dimension ref="A1:S117"/>
  <sheetViews>
    <sheetView zoomScaleNormal="100" workbookViewId="0"/>
  </sheetViews>
  <sheetFormatPr defaultRowHeight="12.75" x14ac:dyDescent="0.2"/>
  <cols>
    <col min="1" max="1" width="11.28515625" style="9" customWidth="1"/>
    <col min="2" max="2" width="1.7109375" customWidth="1"/>
    <col min="3" max="3" width="14" customWidth="1"/>
    <col min="4" max="4" width="12.7109375" customWidth="1"/>
    <col min="5" max="5" width="16.7109375" customWidth="1"/>
    <col min="6" max="6" width="15" customWidth="1"/>
    <col min="7" max="14" width="12.7109375" customWidth="1"/>
    <col min="15" max="15" width="13.5703125" bestFit="1" customWidth="1"/>
    <col min="16" max="16" width="12.7109375" customWidth="1"/>
    <col min="17" max="17" width="9.28515625" hidden="1" customWidth="1"/>
    <col min="18" max="18" width="11.7109375" bestFit="1" customWidth="1"/>
    <col min="19" max="19" width="12.42578125" bestFit="1" customWidth="1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x14ac:dyDescent="0.2">
      <c r="A5" s="4" t="s">
        <v>39</v>
      </c>
    </row>
    <row r="6" spans="1:19" x14ac:dyDescent="0.2">
      <c r="A6" s="5" t="s">
        <v>40</v>
      </c>
    </row>
    <row r="8" spans="1:19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9" x14ac:dyDescent="0.2">
      <c r="A9" s="9" t="s">
        <v>18</v>
      </c>
      <c r="M9" s="10">
        <v>243605643</v>
      </c>
    </row>
    <row r="10" spans="1:19" x14ac:dyDescent="0.2">
      <c r="A10" s="11">
        <v>44264</v>
      </c>
      <c r="C10" s="12">
        <v>1038657007</v>
      </c>
      <c r="D10" s="13">
        <v>4396151</v>
      </c>
      <c r="E10" s="13">
        <f>3146634.5</f>
        <v>3146634.5</v>
      </c>
      <c r="F10" s="13">
        <f>6202308.31</f>
        <v>6202308.3099999996</v>
      </c>
      <c r="G10" s="18">
        <f t="shared" ref="G10:G15" si="0">E10-D10</f>
        <v>-1249516.5</v>
      </c>
      <c r="H10" s="18">
        <f t="shared" ref="H10:H15" si="1">F10-D10</f>
        <v>1806157.3099999996</v>
      </c>
      <c r="I10" s="14">
        <v>0.21</v>
      </c>
      <c r="J10" s="14">
        <v>0.05</v>
      </c>
      <c r="K10" s="15">
        <f>G10*I10-L10*I10-216719</f>
        <v>-498082.11675499997</v>
      </c>
      <c r="L10" s="15">
        <f t="shared" ref="L10:L15" si="2">H10*J10</f>
        <v>90307.865499999985</v>
      </c>
      <c r="M10" s="15">
        <f t="shared" ref="M10:M13" si="3">M9+K10+L10</f>
        <v>243197868.74874499</v>
      </c>
      <c r="N10" s="15">
        <v>283944.40000000002</v>
      </c>
      <c r="O10" s="16"/>
      <c r="S10" s="17"/>
    </row>
    <row r="11" spans="1:19" x14ac:dyDescent="0.2">
      <c r="A11" s="11">
        <v>44287</v>
      </c>
      <c r="C11" s="12">
        <v>1039571916</v>
      </c>
      <c r="D11" s="13">
        <v>4398495</v>
      </c>
      <c r="E11" s="13">
        <f>3150446.62-2087.35</f>
        <v>3148359.27</v>
      </c>
      <c r="F11" s="13">
        <f>6206120.43-2087.35</f>
        <v>6204033.0800000001</v>
      </c>
      <c r="G11" s="18">
        <f t="shared" si="0"/>
        <v>-1250135.73</v>
      </c>
      <c r="H11" s="18">
        <f t="shared" si="1"/>
        <v>1805538.08</v>
      </c>
      <c r="I11" s="14">
        <v>0.21</v>
      </c>
      <c r="J11" s="14">
        <v>0.05</v>
      </c>
      <c r="K11" s="15">
        <f>G11*I11-L11*I11-216719</f>
        <v>-498205.65314000001</v>
      </c>
      <c r="L11" s="15">
        <f t="shared" si="2"/>
        <v>90276.90400000001</v>
      </c>
      <c r="M11" s="15">
        <f t="shared" si="3"/>
        <v>242789939.999605</v>
      </c>
      <c r="N11" s="15">
        <v>368892.42</v>
      </c>
      <c r="O11" s="16"/>
      <c r="Q11" s="15">
        <f>358619-M12</f>
        <v>-242023392.998965</v>
      </c>
      <c r="S11" s="17"/>
    </row>
    <row r="12" spans="1:19" x14ac:dyDescent="0.2">
      <c r="A12" s="11">
        <v>44317</v>
      </c>
      <c r="C12" s="12">
        <v>1039571916</v>
      </c>
      <c r="D12" s="13">
        <v>4400839</v>
      </c>
      <c r="E12" s="13">
        <f>3150446.62+259.65</f>
        <v>3150706.27</v>
      </c>
      <c r="F12" s="13">
        <f>6206120.43+259.65</f>
        <v>6206380.0800000001</v>
      </c>
      <c r="G12" s="18">
        <f t="shared" si="0"/>
        <v>-1250132.73</v>
      </c>
      <c r="H12" s="18">
        <f t="shared" si="1"/>
        <v>1805541.08</v>
      </c>
      <c r="I12" s="14">
        <v>0.21</v>
      </c>
      <c r="J12" s="14">
        <v>0.05</v>
      </c>
      <c r="K12" s="15">
        <f>G12*I12-L12*I12-216719</f>
        <v>-498205.05463999999</v>
      </c>
      <c r="L12" s="15">
        <f t="shared" si="2"/>
        <v>90277.054000000004</v>
      </c>
      <c r="M12" s="15">
        <f t="shared" si="3"/>
        <v>242382011.998965</v>
      </c>
      <c r="N12" s="15">
        <v>495504.78</v>
      </c>
      <c r="Q12">
        <f>+Q11/0.389</f>
        <v>-622168105.3957969</v>
      </c>
      <c r="R12" s="15"/>
      <c r="S12" s="17"/>
    </row>
    <row r="13" spans="1:19" x14ac:dyDescent="0.2">
      <c r="A13" s="11">
        <v>44348</v>
      </c>
      <c r="C13" s="12">
        <v>1040712482</v>
      </c>
      <c r="D13" s="13">
        <v>4403458</v>
      </c>
      <c r="E13" s="13">
        <f>3156556.8-1989</f>
        <v>3154567.8</v>
      </c>
      <c r="F13" s="13">
        <f>6212230.61-1989</f>
        <v>6210241.6100000003</v>
      </c>
      <c r="G13" s="18">
        <f t="shared" si="0"/>
        <v>-1248890.2000000002</v>
      </c>
      <c r="H13" s="18">
        <f t="shared" si="1"/>
        <v>1806783.6100000003</v>
      </c>
      <c r="I13" s="14">
        <v>0.21</v>
      </c>
      <c r="J13" s="14">
        <v>0.05</v>
      </c>
      <c r="K13" s="15">
        <f>G13*I13-L13*I13-216719</f>
        <v>-497957.16990500002</v>
      </c>
      <c r="L13" s="15">
        <f t="shared" si="2"/>
        <v>90339.180500000017</v>
      </c>
      <c r="M13" s="15">
        <f t="shared" si="3"/>
        <v>241974394.00955999</v>
      </c>
      <c r="N13" s="15">
        <v>492243.74</v>
      </c>
      <c r="Q13" s="15">
        <f>374733-M14</f>
        <v>374733</v>
      </c>
      <c r="S13" s="17"/>
    </row>
    <row r="14" spans="1:19" x14ac:dyDescent="0.2">
      <c r="A14" s="11">
        <v>44378</v>
      </c>
      <c r="C14" s="12"/>
      <c r="D14" s="13"/>
      <c r="E14" s="13"/>
      <c r="F14" s="13"/>
      <c r="G14" s="18">
        <f t="shared" si="0"/>
        <v>0</v>
      </c>
      <c r="H14" s="18">
        <f t="shared" si="1"/>
        <v>0</v>
      </c>
      <c r="I14" s="14">
        <v>0.21</v>
      </c>
      <c r="J14" s="14">
        <v>0.05</v>
      </c>
      <c r="K14" s="15">
        <f t="shared" ref="K14:K15" si="4">G14*I14-L14*I14</f>
        <v>0</v>
      </c>
      <c r="L14" s="15">
        <f t="shared" si="2"/>
        <v>0</v>
      </c>
      <c r="M14" s="15">
        <v>0</v>
      </c>
      <c r="N14" s="15">
        <v>0</v>
      </c>
      <c r="Q14">
        <f>+Q13/0.389</f>
        <v>963323.90745501278</v>
      </c>
      <c r="R14" s="15"/>
      <c r="S14" s="17"/>
    </row>
    <row r="15" spans="1:19" x14ac:dyDescent="0.2">
      <c r="A15" s="11">
        <v>44409</v>
      </c>
      <c r="C15" s="12"/>
      <c r="D15" s="13"/>
      <c r="E15" s="13"/>
      <c r="F15" s="13"/>
      <c r="G15" s="18">
        <f t="shared" si="0"/>
        <v>0</v>
      </c>
      <c r="H15" s="18">
        <f t="shared" si="1"/>
        <v>0</v>
      </c>
      <c r="I15" s="14">
        <v>0.21</v>
      </c>
      <c r="J15" s="14">
        <v>0.05</v>
      </c>
      <c r="K15" s="15">
        <f t="shared" si="4"/>
        <v>0</v>
      </c>
      <c r="L15" s="15">
        <f t="shared" si="2"/>
        <v>0</v>
      </c>
      <c r="M15" s="15">
        <v>0</v>
      </c>
      <c r="N15" s="15">
        <v>0</v>
      </c>
      <c r="Q15" s="15">
        <f>+M15-386700</f>
        <v>-386700</v>
      </c>
      <c r="R15" s="29"/>
      <c r="S15" s="17"/>
    </row>
    <row r="16" spans="1:19" x14ac:dyDescent="0.2">
      <c r="A16" s="11">
        <v>44448</v>
      </c>
      <c r="C16" s="12"/>
      <c r="D16" s="13"/>
      <c r="E16" s="13"/>
      <c r="F16" s="13"/>
      <c r="G16" s="18">
        <f t="shared" ref="G16:G33" si="5">E16-D16</f>
        <v>0</v>
      </c>
      <c r="H16" s="18">
        <f t="shared" ref="H16:H33" si="6">F16-D16</f>
        <v>0</v>
      </c>
      <c r="I16" s="14">
        <v>0.21</v>
      </c>
      <c r="J16" s="14">
        <v>0.05</v>
      </c>
      <c r="K16" s="15">
        <f t="shared" ref="K16:K33" si="7">G16*I16-L16*I16</f>
        <v>0</v>
      </c>
      <c r="L16" s="15">
        <f t="shared" ref="L16:L33" si="8">H16*J16</f>
        <v>0</v>
      </c>
      <c r="M16" s="15">
        <v>0</v>
      </c>
      <c r="N16" s="15">
        <v>0</v>
      </c>
      <c r="O16" s="15"/>
      <c r="P16" s="15"/>
      <c r="Q16">
        <f>+Q15/0.389</f>
        <v>-994087.40359897166</v>
      </c>
    </row>
    <row r="17" spans="1:16" x14ac:dyDescent="0.2">
      <c r="A17" s="11">
        <v>44470</v>
      </c>
      <c r="G17" s="18">
        <f t="shared" si="5"/>
        <v>0</v>
      </c>
      <c r="H17" s="18">
        <f t="shared" si="6"/>
        <v>0</v>
      </c>
      <c r="I17" s="14">
        <v>0.21</v>
      </c>
      <c r="J17" s="14">
        <v>0.05</v>
      </c>
      <c r="K17" s="15">
        <f t="shared" si="7"/>
        <v>0</v>
      </c>
      <c r="L17" s="15">
        <f t="shared" si="8"/>
        <v>0</v>
      </c>
      <c r="M17" s="15">
        <v>0</v>
      </c>
      <c r="N17" s="15">
        <v>0</v>
      </c>
      <c r="O17" s="15"/>
      <c r="P17" s="15"/>
    </row>
    <row r="18" spans="1:16" x14ac:dyDescent="0.2">
      <c r="A18" s="11">
        <v>44501</v>
      </c>
      <c r="G18" s="18">
        <f t="shared" si="5"/>
        <v>0</v>
      </c>
      <c r="H18" s="18">
        <f t="shared" si="6"/>
        <v>0</v>
      </c>
      <c r="I18" s="14">
        <v>0.21</v>
      </c>
      <c r="J18" s="14">
        <v>0.05</v>
      </c>
      <c r="K18" s="15">
        <f t="shared" si="7"/>
        <v>0</v>
      </c>
      <c r="L18" s="15">
        <f t="shared" si="8"/>
        <v>0</v>
      </c>
      <c r="M18" s="15">
        <v>0</v>
      </c>
      <c r="N18" s="15">
        <v>0</v>
      </c>
      <c r="O18" s="15"/>
      <c r="P18" s="15"/>
    </row>
    <row r="19" spans="1:16" x14ac:dyDescent="0.2">
      <c r="A19" s="11">
        <v>44531</v>
      </c>
      <c r="G19" s="18">
        <f t="shared" si="5"/>
        <v>0</v>
      </c>
      <c r="H19" s="18">
        <f t="shared" si="6"/>
        <v>0</v>
      </c>
      <c r="I19" s="14">
        <v>0.21</v>
      </c>
      <c r="J19" s="14">
        <v>0.05</v>
      </c>
      <c r="K19" s="15">
        <f t="shared" si="7"/>
        <v>0</v>
      </c>
      <c r="L19" s="15">
        <f t="shared" si="8"/>
        <v>0</v>
      </c>
      <c r="M19" s="15">
        <v>0</v>
      </c>
      <c r="N19" s="15">
        <v>0</v>
      </c>
    </row>
    <row r="20" spans="1:16" x14ac:dyDescent="0.2">
      <c r="A20" s="11">
        <v>44562</v>
      </c>
      <c r="G20" s="18">
        <f t="shared" si="5"/>
        <v>0</v>
      </c>
      <c r="H20" s="18">
        <f t="shared" si="6"/>
        <v>0</v>
      </c>
      <c r="I20" s="14">
        <v>0.21</v>
      </c>
      <c r="J20" s="14">
        <v>0.05</v>
      </c>
      <c r="K20" s="15">
        <f t="shared" si="7"/>
        <v>0</v>
      </c>
      <c r="L20" s="15">
        <f t="shared" si="8"/>
        <v>0</v>
      </c>
      <c r="M20" s="15">
        <v>0</v>
      </c>
      <c r="N20" s="15">
        <v>0</v>
      </c>
    </row>
    <row r="21" spans="1:16" x14ac:dyDescent="0.2">
      <c r="A21" s="11">
        <v>44593</v>
      </c>
      <c r="G21" s="18">
        <f t="shared" si="5"/>
        <v>0</v>
      </c>
      <c r="H21" s="18">
        <f t="shared" si="6"/>
        <v>0</v>
      </c>
      <c r="I21" s="14">
        <v>0.21</v>
      </c>
      <c r="J21" s="14">
        <v>0.05</v>
      </c>
      <c r="K21" s="15">
        <f t="shared" si="7"/>
        <v>0</v>
      </c>
      <c r="L21" s="15">
        <f t="shared" si="8"/>
        <v>0</v>
      </c>
      <c r="M21" s="15">
        <v>0</v>
      </c>
      <c r="N21" s="15">
        <v>0</v>
      </c>
    </row>
    <row r="22" spans="1:16" x14ac:dyDescent="0.2">
      <c r="A22" s="11">
        <v>44629</v>
      </c>
      <c r="G22" s="18">
        <f t="shared" si="5"/>
        <v>0</v>
      </c>
      <c r="H22" s="18">
        <f t="shared" si="6"/>
        <v>0</v>
      </c>
      <c r="I22" s="14">
        <v>0.21</v>
      </c>
      <c r="J22" s="14">
        <v>0.05</v>
      </c>
      <c r="K22" s="15">
        <f t="shared" si="7"/>
        <v>0</v>
      </c>
      <c r="L22" s="15">
        <f t="shared" si="8"/>
        <v>0</v>
      </c>
      <c r="M22" s="15">
        <v>0</v>
      </c>
      <c r="N22" s="15">
        <v>0</v>
      </c>
    </row>
    <row r="23" spans="1:16" x14ac:dyDescent="0.2">
      <c r="A23" s="11">
        <v>44652</v>
      </c>
      <c r="G23" s="18">
        <f t="shared" si="5"/>
        <v>0</v>
      </c>
      <c r="H23" s="18">
        <f t="shared" si="6"/>
        <v>0</v>
      </c>
      <c r="I23" s="14">
        <v>0.21</v>
      </c>
      <c r="J23" s="14">
        <v>0.05</v>
      </c>
      <c r="K23" s="15">
        <f t="shared" si="7"/>
        <v>0</v>
      </c>
      <c r="L23" s="15">
        <f t="shared" si="8"/>
        <v>0</v>
      </c>
      <c r="M23" s="15">
        <v>0</v>
      </c>
      <c r="N23" s="15">
        <v>0</v>
      </c>
    </row>
    <row r="24" spans="1:16" x14ac:dyDescent="0.2">
      <c r="A24" s="11">
        <v>44682</v>
      </c>
      <c r="G24" s="18">
        <f t="shared" si="5"/>
        <v>0</v>
      </c>
      <c r="H24" s="18">
        <f t="shared" si="6"/>
        <v>0</v>
      </c>
      <c r="I24" s="14">
        <v>0.21</v>
      </c>
      <c r="J24" s="14">
        <v>0.05</v>
      </c>
      <c r="K24" s="15">
        <f t="shared" si="7"/>
        <v>0</v>
      </c>
      <c r="L24" s="15">
        <f t="shared" si="8"/>
        <v>0</v>
      </c>
      <c r="M24" s="15">
        <v>0</v>
      </c>
      <c r="N24" s="15">
        <v>0</v>
      </c>
    </row>
    <row r="25" spans="1:16" x14ac:dyDescent="0.2">
      <c r="A25" s="11">
        <v>44713</v>
      </c>
      <c r="G25" s="18">
        <f t="shared" si="5"/>
        <v>0</v>
      </c>
      <c r="H25" s="18">
        <f t="shared" si="6"/>
        <v>0</v>
      </c>
      <c r="I25" s="14">
        <v>0.21</v>
      </c>
      <c r="J25" s="14">
        <v>0.05</v>
      </c>
      <c r="K25" s="15">
        <f t="shared" si="7"/>
        <v>0</v>
      </c>
      <c r="L25" s="15">
        <f t="shared" si="8"/>
        <v>0</v>
      </c>
      <c r="M25" s="15">
        <v>0</v>
      </c>
      <c r="N25" s="15">
        <v>0</v>
      </c>
    </row>
    <row r="26" spans="1:16" x14ac:dyDescent="0.2">
      <c r="A26" s="11">
        <v>44743</v>
      </c>
      <c r="G26" s="18">
        <f t="shared" si="5"/>
        <v>0</v>
      </c>
      <c r="H26" s="18">
        <f t="shared" si="6"/>
        <v>0</v>
      </c>
      <c r="I26" s="14">
        <v>0.21</v>
      </c>
      <c r="J26" s="14">
        <v>0.05</v>
      </c>
      <c r="K26" s="15">
        <f t="shared" si="7"/>
        <v>0</v>
      </c>
      <c r="L26" s="15">
        <f t="shared" si="8"/>
        <v>0</v>
      </c>
      <c r="M26" s="15">
        <v>0</v>
      </c>
      <c r="N26" s="15">
        <v>0</v>
      </c>
    </row>
    <row r="27" spans="1:16" x14ac:dyDescent="0.2">
      <c r="A27" s="11">
        <v>44774</v>
      </c>
      <c r="G27" s="18">
        <f t="shared" si="5"/>
        <v>0</v>
      </c>
      <c r="H27" s="18">
        <f t="shared" si="6"/>
        <v>0</v>
      </c>
      <c r="I27" s="14">
        <v>0.21</v>
      </c>
      <c r="J27" s="14">
        <v>0.05</v>
      </c>
      <c r="K27" s="15">
        <f t="shared" si="7"/>
        <v>0</v>
      </c>
      <c r="L27" s="15">
        <f t="shared" si="8"/>
        <v>0</v>
      </c>
      <c r="M27" s="15">
        <v>0</v>
      </c>
      <c r="N27" s="15">
        <v>0</v>
      </c>
    </row>
    <row r="28" spans="1:16" x14ac:dyDescent="0.2">
      <c r="A28" s="11">
        <v>44813</v>
      </c>
      <c r="G28" s="18">
        <f t="shared" si="5"/>
        <v>0</v>
      </c>
      <c r="H28" s="18">
        <f t="shared" si="6"/>
        <v>0</v>
      </c>
      <c r="I28" s="14">
        <v>0.21</v>
      </c>
      <c r="J28" s="14">
        <v>0.05</v>
      </c>
      <c r="K28" s="15">
        <f t="shared" si="7"/>
        <v>0</v>
      </c>
      <c r="L28" s="15">
        <f t="shared" si="8"/>
        <v>0</v>
      </c>
      <c r="M28" s="15">
        <v>0</v>
      </c>
      <c r="N28" s="15">
        <v>0</v>
      </c>
    </row>
    <row r="29" spans="1:16" x14ac:dyDescent="0.2">
      <c r="A29" s="11">
        <v>44835</v>
      </c>
      <c r="G29" s="18">
        <f t="shared" si="5"/>
        <v>0</v>
      </c>
      <c r="H29" s="18">
        <f t="shared" si="6"/>
        <v>0</v>
      </c>
      <c r="I29" s="14">
        <v>0.21</v>
      </c>
      <c r="J29" s="14">
        <v>0.05</v>
      </c>
      <c r="K29" s="15">
        <f t="shared" si="7"/>
        <v>0</v>
      </c>
      <c r="L29" s="15">
        <f t="shared" si="8"/>
        <v>0</v>
      </c>
      <c r="M29" s="15">
        <v>0</v>
      </c>
      <c r="N29" s="15">
        <v>0</v>
      </c>
    </row>
    <row r="30" spans="1:16" x14ac:dyDescent="0.2">
      <c r="A30" s="11">
        <v>44866</v>
      </c>
      <c r="G30" s="18">
        <f t="shared" si="5"/>
        <v>0</v>
      </c>
      <c r="H30" s="18">
        <f t="shared" si="6"/>
        <v>0</v>
      </c>
      <c r="I30" s="14">
        <v>0.21</v>
      </c>
      <c r="J30" s="14">
        <v>0.05</v>
      </c>
      <c r="K30" s="15">
        <f t="shared" si="7"/>
        <v>0</v>
      </c>
      <c r="L30" s="15">
        <f t="shared" si="8"/>
        <v>0</v>
      </c>
      <c r="M30" s="15">
        <v>0</v>
      </c>
      <c r="N30" s="15">
        <v>0</v>
      </c>
    </row>
    <row r="31" spans="1:16" x14ac:dyDescent="0.2">
      <c r="A31" s="11">
        <v>44896</v>
      </c>
      <c r="G31" s="18">
        <f t="shared" si="5"/>
        <v>0</v>
      </c>
      <c r="H31" s="18">
        <f t="shared" si="6"/>
        <v>0</v>
      </c>
      <c r="I31" s="14">
        <v>0.21</v>
      </c>
      <c r="J31" s="14">
        <v>0.05</v>
      </c>
      <c r="K31" s="15">
        <f t="shared" si="7"/>
        <v>0</v>
      </c>
      <c r="L31" s="15">
        <f t="shared" si="8"/>
        <v>0</v>
      </c>
      <c r="M31" s="15">
        <v>0</v>
      </c>
      <c r="N31" s="15">
        <v>0</v>
      </c>
    </row>
    <row r="32" spans="1:16" x14ac:dyDescent="0.2">
      <c r="A32" s="11">
        <v>44927</v>
      </c>
      <c r="G32" s="18">
        <f t="shared" si="5"/>
        <v>0</v>
      </c>
      <c r="H32" s="18">
        <f t="shared" si="6"/>
        <v>0</v>
      </c>
      <c r="I32" s="14">
        <v>0.21</v>
      </c>
      <c r="J32" s="14">
        <v>0.05</v>
      </c>
      <c r="K32" s="15">
        <f t="shared" si="7"/>
        <v>0</v>
      </c>
      <c r="L32" s="15">
        <f t="shared" si="8"/>
        <v>0</v>
      </c>
      <c r="M32" s="15">
        <v>0</v>
      </c>
      <c r="N32" s="15">
        <v>0</v>
      </c>
    </row>
    <row r="33" spans="1:14" x14ac:dyDescent="0.2">
      <c r="A33" s="11">
        <v>44958</v>
      </c>
      <c r="G33" s="18">
        <f t="shared" si="5"/>
        <v>0</v>
      </c>
      <c r="H33" s="18">
        <f t="shared" si="6"/>
        <v>0</v>
      </c>
      <c r="I33" s="14">
        <v>0.21</v>
      </c>
      <c r="J33" s="14">
        <v>0.05</v>
      </c>
      <c r="K33" s="15">
        <f t="shared" si="7"/>
        <v>0</v>
      </c>
      <c r="L33" s="15">
        <f t="shared" si="8"/>
        <v>0</v>
      </c>
      <c r="M33" s="15">
        <v>0</v>
      </c>
      <c r="N33" s="15">
        <v>0</v>
      </c>
    </row>
    <row r="35" spans="1:14" x14ac:dyDescent="0.2">
      <c r="C35" s="15" t="s">
        <v>20</v>
      </c>
      <c r="D35" s="13"/>
      <c r="E35" s="13"/>
      <c r="F35" s="13"/>
      <c r="G35" s="18"/>
      <c r="H35" s="18"/>
      <c r="I35" s="18"/>
      <c r="J35" s="12"/>
    </row>
    <row r="36" spans="1:14" x14ac:dyDescent="0.2">
      <c r="C36" s="12"/>
      <c r="D36" s="13"/>
      <c r="E36" s="13"/>
      <c r="F36" s="13"/>
      <c r="G36" s="18"/>
      <c r="H36" s="18"/>
      <c r="I36" s="18"/>
      <c r="J36" s="12"/>
    </row>
    <row r="37" spans="1:14" x14ac:dyDescent="0.2">
      <c r="C37" s="23" t="s">
        <v>41</v>
      </c>
      <c r="D37" s="24"/>
      <c r="E37" s="24"/>
      <c r="F37" s="24"/>
      <c r="G37" s="25"/>
      <c r="H37" s="25"/>
    </row>
    <row r="38" spans="1:14" x14ac:dyDescent="0.2">
      <c r="C38" s="23" t="s">
        <v>22</v>
      </c>
      <c r="D38" s="24"/>
      <c r="E38" s="24"/>
      <c r="F38" s="24"/>
      <c r="G38" s="25"/>
      <c r="H38" s="25"/>
    </row>
    <row r="39" spans="1:14" x14ac:dyDescent="0.2">
      <c r="C39" s="23" t="s">
        <v>42</v>
      </c>
      <c r="D39" s="24"/>
      <c r="E39" s="24"/>
      <c r="F39" s="24"/>
      <c r="G39" s="25"/>
      <c r="H39" s="25"/>
    </row>
    <row r="40" spans="1:14" x14ac:dyDescent="0.2">
      <c r="C40" s="15" t="s">
        <v>23</v>
      </c>
      <c r="D40" s="24"/>
      <c r="E40" s="24"/>
      <c r="F40" s="24"/>
      <c r="G40" s="25"/>
      <c r="H40" s="25"/>
    </row>
    <row r="41" spans="1:14" x14ac:dyDescent="0.2">
      <c r="C41" s="5"/>
      <c r="D41" s="24"/>
      <c r="E41" s="24"/>
      <c r="F41" s="24"/>
      <c r="G41" s="24"/>
      <c r="H41" s="24"/>
    </row>
    <row r="42" spans="1:14" x14ac:dyDescent="0.2">
      <c r="C42" s="15" t="s">
        <v>24</v>
      </c>
      <c r="D42" s="26" t="s">
        <v>25</v>
      </c>
      <c r="E42" s="25" t="s">
        <v>26</v>
      </c>
      <c r="F42" s="15" t="s">
        <v>27</v>
      </c>
      <c r="G42" s="14" t="s">
        <v>12</v>
      </c>
      <c r="H42" s="15" t="s">
        <v>28</v>
      </c>
    </row>
    <row r="43" spans="1:14" x14ac:dyDescent="0.2">
      <c r="C43" s="12">
        <v>360851</v>
      </c>
      <c r="D43" s="12">
        <v>4403458</v>
      </c>
      <c r="E43" s="12">
        <v>0</v>
      </c>
      <c r="F43" s="12">
        <f>E43-D43</f>
        <v>-4403458</v>
      </c>
      <c r="G43" s="14">
        <v>0.21</v>
      </c>
      <c r="H43" s="12">
        <f>F43*G43</f>
        <v>-924726.17999999993</v>
      </c>
    </row>
    <row r="44" spans="1:14" x14ac:dyDescent="0.2">
      <c r="C44" s="12">
        <v>982514</v>
      </c>
      <c r="D44" s="12"/>
      <c r="E44" s="12">
        <v>3652.5</v>
      </c>
      <c r="F44" s="12">
        <f>E44</f>
        <v>3652.5</v>
      </c>
      <c r="G44" s="14">
        <v>0.21</v>
      </c>
      <c r="H44" s="12">
        <f t="shared" ref="H44:H77" si="9">F44*G44</f>
        <v>767.02499999999998</v>
      </c>
    </row>
    <row r="45" spans="1:14" x14ac:dyDescent="0.2">
      <c r="C45" s="12">
        <v>9377.5</v>
      </c>
      <c r="D45" s="12"/>
      <c r="E45" s="12">
        <v>0</v>
      </c>
      <c r="F45" s="12">
        <f t="shared" ref="F45:F77" si="10">E45</f>
        <v>0</v>
      </c>
      <c r="G45" s="14">
        <v>0.21</v>
      </c>
      <c r="H45" s="12">
        <f t="shared" si="9"/>
        <v>0</v>
      </c>
    </row>
    <row r="46" spans="1:14" x14ac:dyDescent="0.2">
      <c r="C46" s="12">
        <v>2975815</v>
      </c>
      <c r="D46" s="12"/>
      <c r="E46" s="12">
        <v>11065.07</v>
      </c>
      <c r="F46" s="12">
        <f t="shared" si="10"/>
        <v>11065.07</v>
      </c>
      <c r="G46" s="14">
        <v>0.21</v>
      </c>
      <c r="H46" s="12">
        <f t="shared" si="9"/>
        <v>2323.6646999999998</v>
      </c>
    </row>
    <row r="47" spans="1:14" x14ac:dyDescent="0.2">
      <c r="C47" s="12">
        <v>-5631.44</v>
      </c>
      <c r="D47" s="12"/>
      <c r="E47" s="12">
        <v>-21.4</v>
      </c>
      <c r="F47" s="12">
        <f t="shared" si="10"/>
        <v>-21.4</v>
      </c>
      <c r="G47" s="14">
        <v>0.21</v>
      </c>
      <c r="H47" s="12">
        <f t="shared" si="9"/>
        <v>-4.4939999999999998</v>
      </c>
    </row>
    <row r="48" spans="1:14" x14ac:dyDescent="0.2">
      <c r="C48" s="12">
        <v>64989652.743999988</v>
      </c>
      <c r="D48" s="12"/>
      <c r="E48" s="12">
        <v>244902.67</v>
      </c>
      <c r="F48" s="12">
        <f t="shared" si="10"/>
        <v>244902.67</v>
      </c>
      <c r="G48" s="14">
        <v>0.21</v>
      </c>
      <c r="H48" s="12">
        <f t="shared" si="9"/>
        <v>51429.560700000002</v>
      </c>
    </row>
    <row r="49" spans="3:8" x14ac:dyDescent="0.2">
      <c r="C49" s="12">
        <v>97484479.115999967</v>
      </c>
      <c r="D49" s="12"/>
      <c r="E49" s="12">
        <v>1063818.72</v>
      </c>
      <c r="F49" s="12">
        <f t="shared" si="10"/>
        <v>1063818.72</v>
      </c>
      <c r="G49" s="14">
        <v>0.21</v>
      </c>
      <c r="H49" s="12">
        <f t="shared" si="9"/>
        <v>223401.93119999999</v>
      </c>
    </row>
    <row r="50" spans="3:8" x14ac:dyDescent="0.2">
      <c r="C50" s="12">
        <v>3354199.04</v>
      </c>
      <c r="D50" s="12"/>
      <c r="E50" s="12">
        <v>12639.74</v>
      </c>
      <c r="F50" s="12">
        <f t="shared" si="10"/>
        <v>12639.74</v>
      </c>
      <c r="G50" s="14">
        <v>0.21</v>
      </c>
      <c r="H50" s="12">
        <f t="shared" si="9"/>
        <v>2654.3453999999997</v>
      </c>
    </row>
    <row r="51" spans="3:8" x14ac:dyDescent="0.2">
      <c r="C51" s="12">
        <v>2749178.17</v>
      </c>
      <c r="D51" s="12"/>
      <c r="E51" s="12">
        <v>11198.32</v>
      </c>
      <c r="F51" s="12">
        <f t="shared" si="10"/>
        <v>11198.32</v>
      </c>
      <c r="G51" s="14">
        <v>0.21</v>
      </c>
      <c r="H51" s="12">
        <f t="shared" si="9"/>
        <v>2351.6471999999999</v>
      </c>
    </row>
    <row r="52" spans="3:8" x14ac:dyDescent="0.2">
      <c r="C52" s="12">
        <v>4123767.2549999999</v>
      </c>
      <c r="D52" s="12"/>
      <c r="E52" s="12">
        <v>49092.467321428565</v>
      </c>
      <c r="F52" s="12">
        <f t="shared" si="10"/>
        <v>49092.467321428565</v>
      </c>
      <c r="G52" s="14">
        <v>0.21</v>
      </c>
      <c r="H52" s="12">
        <f t="shared" si="9"/>
        <v>10309.418137499999</v>
      </c>
    </row>
    <row r="53" spans="3:8" x14ac:dyDescent="0.2">
      <c r="C53" s="12">
        <v>73250212.46800001</v>
      </c>
      <c r="D53" s="12"/>
      <c r="E53" s="12">
        <v>298372.53000000003</v>
      </c>
      <c r="F53" s="12">
        <f t="shared" si="10"/>
        <v>298372.53000000003</v>
      </c>
      <c r="G53" s="14">
        <v>0.21</v>
      </c>
      <c r="H53" s="12">
        <f t="shared" si="9"/>
        <v>62658.231300000007</v>
      </c>
    </row>
    <row r="54" spans="3:8" x14ac:dyDescent="0.2">
      <c r="C54" s="12">
        <v>109875318.70200001</v>
      </c>
      <c r="D54" s="12"/>
      <c r="E54" s="12"/>
      <c r="F54" s="12">
        <f t="shared" si="10"/>
        <v>0</v>
      </c>
      <c r="G54" s="14">
        <v>0.21</v>
      </c>
      <c r="H54" s="12">
        <f t="shared" si="9"/>
        <v>0</v>
      </c>
    </row>
    <row r="55" spans="3:8" x14ac:dyDescent="0.2">
      <c r="C55" s="12">
        <v>787778.5340000001</v>
      </c>
      <c r="D55" s="12"/>
      <c r="E55" s="12">
        <v>3208.88</v>
      </c>
      <c r="F55" s="12">
        <f t="shared" si="10"/>
        <v>3208.88</v>
      </c>
      <c r="G55" s="14">
        <v>0.21</v>
      </c>
      <c r="H55" s="12">
        <f t="shared" si="9"/>
        <v>673.86479999999995</v>
      </c>
    </row>
    <row r="56" spans="3:8" x14ac:dyDescent="0.2">
      <c r="C56" s="12">
        <v>1181667.801</v>
      </c>
      <c r="D56" s="12"/>
      <c r="E56" s="12">
        <v>14067.47</v>
      </c>
      <c r="F56" s="12">
        <f t="shared" si="10"/>
        <v>14067.47</v>
      </c>
      <c r="G56" s="14">
        <v>0.21</v>
      </c>
      <c r="H56" s="12">
        <f t="shared" si="9"/>
        <v>2954.1686999999997</v>
      </c>
    </row>
    <row r="57" spans="3:8" x14ac:dyDescent="0.2">
      <c r="C57" s="12">
        <v>2965892.7320000008</v>
      </c>
      <c r="D57" s="12"/>
      <c r="E57" s="12">
        <v>12081.07</v>
      </c>
      <c r="F57" s="12">
        <f t="shared" si="10"/>
        <v>12081.07</v>
      </c>
      <c r="G57" s="14">
        <v>0.21</v>
      </c>
      <c r="H57" s="12">
        <f t="shared" si="9"/>
        <v>2537.0246999999999</v>
      </c>
    </row>
    <row r="58" spans="3:8" x14ac:dyDescent="0.2">
      <c r="C58" s="12">
        <v>4448839.0980000012</v>
      </c>
      <c r="D58" s="12"/>
      <c r="E58" s="12"/>
      <c r="F58" s="12">
        <f t="shared" si="10"/>
        <v>0</v>
      </c>
      <c r="G58" s="14">
        <v>0.21</v>
      </c>
      <c r="H58" s="12">
        <f t="shared" si="9"/>
        <v>0</v>
      </c>
    </row>
    <row r="59" spans="3:8" x14ac:dyDescent="0.2">
      <c r="C59" s="12">
        <v>61477.070000000007</v>
      </c>
      <c r="D59" s="12"/>
      <c r="E59" s="12">
        <v>250.42</v>
      </c>
      <c r="F59" s="12">
        <f t="shared" si="10"/>
        <v>250.42</v>
      </c>
      <c r="G59" s="14">
        <v>0.21</v>
      </c>
      <c r="H59" s="12">
        <f t="shared" si="9"/>
        <v>52.588199999999993</v>
      </c>
    </row>
    <row r="60" spans="3:8" x14ac:dyDescent="0.2">
      <c r="C60" s="12">
        <v>48864.22</v>
      </c>
      <c r="D60" s="12"/>
      <c r="E60" s="12">
        <v>215.21</v>
      </c>
      <c r="F60" s="12">
        <f t="shared" si="10"/>
        <v>215.21</v>
      </c>
      <c r="G60" s="14">
        <v>0.21</v>
      </c>
      <c r="H60" s="12">
        <f t="shared" si="9"/>
        <v>45.194099999999999</v>
      </c>
    </row>
    <row r="61" spans="3:8" x14ac:dyDescent="0.2">
      <c r="C61" s="12">
        <v>59018708.316</v>
      </c>
      <c r="D61" s="12"/>
      <c r="E61" s="12">
        <v>259928.23</v>
      </c>
      <c r="F61" s="12">
        <f t="shared" si="10"/>
        <v>259928.23</v>
      </c>
      <c r="G61" s="14">
        <v>0.21</v>
      </c>
      <c r="H61" s="12">
        <f t="shared" si="9"/>
        <v>54584.9283</v>
      </c>
    </row>
    <row r="62" spans="3:8" x14ac:dyDescent="0.2">
      <c r="C62" s="12">
        <v>88528062.473999992</v>
      </c>
      <c r="D62" s="12"/>
      <c r="E62" s="12">
        <v>1053905.51</v>
      </c>
      <c r="F62" s="12">
        <f t="shared" si="10"/>
        <v>1053905.51</v>
      </c>
      <c r="G62" s="14">
        <v>0.21</v>
      </c>
      <c r="H62" s="12">
        <f t="shared" si="9"/>
        <v>221320.15709999998</v>
      </c>
    </row>
    <row r="63" spans="3:8" x14ac:dyDescent="0.2">
      <c r="C63" s="12">
        <v>2761999.0980000007</v>
      </c>
      <c r="D63" s="12"/>
      <c r="E63" s="12">
        <v>12164.3</v>
      </c>
      <c r="F63" s="12">
        <f t="shared" si="10"/>
        <v>12164.3</v>
      </c>
      <c r="G63" s="14">
        <v>0.21</v>
      </c>
      <c r="H63" s="12">
        <f t="shared" si="9"/>
        <v>2554.5029999999997</v>
      </c>
    </row>
    <row r="64" spans="3:8" x14ac:dyDescent="0.2">
      <c r="C64" s="12">
        <v>1834207.4429999997</v>
      </c>
      <c r="D64" s="12"/>
      <c r="E64" s="12">
        <v>17832.57</v>
      </c>
      <c r="F64" s="12">
        <f t="shared" si="10"/>
        <v>17832.57</v>
      </c>
      <c r="G64" s="14">
        <v>0.21</v>
      </c>
      <c r="H64" s="12">
        <f t="shared" si="9"/>
        <v>3744.8397</v>
      </c>
    </row>
    <row r="65" spans="3:8" x14ac:dyDescent="0.2">
      <c r="C65" s="12">
        <v>2308791.2039999999</v>
      </c>
      <c r="D65" s="12"/>
      <c r="E65" s="12">
        <v>27485.61</v>
      </c>
      <c r="F65" s="12">
        <f t="shared" si="10"/>
        <v>27485.61</v>
      </c>
      <c r="G65" s="14">
        <v>0.21</v>
      </c>
      <c r="H65" s="12">
        <f t="shared" si="9"/>
        <v>5771.9781000000003</v>
      </c>
    </row>
    <row r="66" spans="3:8" x14ac:dyDescent="0.2">
      <c r="C66" s="12">
        <v>28925</v>
      </c>
      <c r="D66" s="12"/>
      <c r="E66" s="12">
        <v>137.71</v>
      </c>
      <c r="F66" s="12">
        <f t="shared" si="10"/>
        <v>137.71</v>
      </c>
      <c r="G66" s="14">
        <v>0.21</v>
      </c>
      <c r="H66" s="12">
        <f t="shared" si="9"/>
        <v>28.9191</v>
      </c>
    </row>
    <row r="67" spans="3:8" x14ac:dyDescent="0.2">
      <c r="C67" s="12">
        <v>1678783</v>
      </c>
      <c r="D67" s="12"/>
      <c r="E67" s="12">
        <v>7992.41</v>
      </c>
      <c r="F67" s="12">
        <f t="shared" si="10"/>
        <v>7992.41</v>
      </c>
      <c r="G67" s="14">
        <v>0.21</v>
      </c>
      <c r="H67" s="12">
        <f t="shared" si="9"/>
        <v>1678.4060999999999</v>
      </c>
    </row>
    <row r="68" spans="3:8" x14ac:dyDescent="0.2">
      <c r="C68" s="12">
        <v>5224318</v>
      </c>
      <c r="D68" s="12"/>
      <c r="E68" s="12"/>
      <c r="F68" s="12">
        <f t="shared" si="10"/>
        <v>0</v>
      </c>
      <c r="G68" s="14">
        <v>0.21</v>
      </c>
      <c r="H68" s="12">
        <f t="shared" si="9"/>
        <v>0</v>
      </c>
    </row>
    <row r="69" spans="3:8" x14ac:dyDescent="0.2">
      <c r="C69" s="12">
        <v>2238219</v>
      </c>
      <c r="D69" s="12"/>
      <c r="E69" s="12">
        <v>11521.23</v>
      </c>
      <c r="F69" s="12">
        <f t="shared" si="10"/>
        <v>11521.23</v>
      </c>
      <c r="G69" s="14">
        <v>0.21</v>
      </c>
      <c r="H69" s="12">
        <f t="shared" si="9"/>
        <v>2419.4582999999998</v>
      </c>
    </row>
    <row r="70" spans="3:8" x14ac:dyDescent="0.2">
      <c r="C70" s="12">
        <v>2433435</v>
      </c>
      <c r="D70" s="12"/>
      <c r="E70" s="12">
        <v>28969.46</v>
      </c>
      <c r="F70" s="12">
        <f t="shared" si="10"/>
        <v>28969.46</v>
      </c>
      <c r="G70" s="14">
        <v>0.21</v>
      </c>
      <c r="H70" s="12">
        <f t="shared" si="9"/>
        <v>6083.5865999999996</v>
      </c>
    </row>
    <row r="71" spans="3:8" x14ac:dyDescent="0.2">
      <c r="C71" s="12">
        <v>923894</v>
      </c>
      <c r="D71" s="12"/>
      <c r="E71" s="12">
        <v>15398.23</v>
      </c>
      <c r="F71" s="12">
        <f t="shared" si="10"/>
        <v>15398.23</v>
      </c>
      <c r="G71" s="28">
        <v>0.21</v>
      </c>
      <c r="H71" s="12">
        <f t="shared" si="9"/>
        <v>3233.6282999999999</v>
      </c>
    </row>
    <row r="72" spans="3:8" x14ac:dyDescent="0.2">
      <c r="C72" s="12">
        <v>2547757</v>
      </c>
      <c r="D72" s="12"/>
      <c r="E72" s="12">
        <v>23444.09</v>
      </c>
      <c r="F72" s="12">
        <f t="shared" si="10"/>
        <v>23444.09</v>
      </c>
      <c r="G72" s="28">
        <v>0.21</v>
      </c>
      <c r="H72" s="12">
        <f t="shared" si="9"/>
        <v>4923.2588999999998</v>
      </c>
    </row>
    <row r="73" spans="3:8" x14ac:dyDescent="0.2">
      <c r="C73" s="12">
        <v>-5508918</v>
      </c>
      <c r="D73" s="12"/>
      <c r="E73" s="12">
        <v>-51834.14</v>
      </c>
      <c r="F73" s="12">
        <f t="shared" si="10"/>
        <v>-51834.14</v>
      </c>
      <c r="G73" s="28">
        <v>0.21</v>
      </c>
      <c r="H73" s="12">
        <f t="shared" si="9"/>
        <v>-10885.169399999999</v>
      </c>
    </row>
    <row r="74" spans="3:8" x14ac:dyDescent="0.2">
      <c r="C74" s="12">
        <v>5285</v>
      </c>
      <c r="D74" s="12"/>
      <c r="E74" s="12">
        <v>29.41</v>
      </c>
      <c r="F74" s="12">
        <f t="shared" si="10"/>
        <v>29.41</v>
      </c>
      <c r="G74" s="28">
        <v>0.21</v>
      </c>
      <c r="H74" s="12">
        <f t="shared" si="9"/>
        <v>6.1760999999999999</v>
      </c>
    </row>
    <row r="75" spans="3:8" x14ac:dyDescent="0.2">
      <c r="C75" s="12">
        <f>1004143.76+1507731.31</f>
        <v>2511875.0700000003</v>
      </c>
      <c r="D75" s="12"/>
      <c r="E75" s="12">
        <f>6040.76+9070.26</f>
        <v>15111.02</v>
      </c>
      <c r="F75" s="12">
        <f t="shared" si="10"/>
        <v>15111.02</v>
      </c>
      <c r="G75" s="28">
        <v>0.21</v>
      </c>
      <c r="H75" s="12">
        <f t="shared" si="9"/>
        <v>3173.3141999999998</v>
      </c>
    </row>
    <row r="76" spans="3:8" x14ac:dyDescent="0.2">
      <c r="C76" s="12">
        <v>1523.16</v>
      </c>
      <c r="D76" s="12"/>
      <c r="E76" s="12">
        <v>4.76</v>
      </c>
      <c r="F76" s="12">
        <f t="shared" si="10"/>
        <v>4.76</v>
      </c>
      <c r="G76" s="28">
        <v>0.21</v>
      </c>
      <c r="H76" s="12">
        <f t="shared" si="9"/>
        <v>0.99959999999999993</v>
      </c>
    </row>
    <row r="77" spans="3:8" ht="15" x14ac:dyDescent="0.35">
      <c r="C77" s="12">
        <f>914908+1140567</f>
        <v>2055475</v>
      </c>
      <c r="D77" s="12"/>
      <c r="E77" s="27">
        <f>2859.09+3564.27+1510</f>
        <v>7933.3600000000006</v>
      </c>
      <c r="F77" s="27">
        <f t="shared" si="10"/>
        <v>7933.3600000000006</v>
      </c>
      <c r="G77" s="28">
        <v>0.21</v>
      </c>
      <c r="H77" s="27">
        <f t="shared" si="9"/>
        <v>1666.0056</v>
      </c>
    </row>
    <row r="78" spans="3:8" x14ac:dyDescent="0.2">
      <c r="E78" s="12">
        <f>SUM(E43:E77)</f>
        <v>3154567.4273214275</v>
      </c>
      <c r="F78" s="12">
        <f>SUM(F43:F77)</f>
        <v>-1248890.572678572</v>
      </c>
      <c r="G78" s="22" t="s">
        <v>29</v>
      </c>
      <c r="H78" s="12">
        <f>SUM(H43:H77)</f>
        <v>-262267.02026250004</v>
      </c>
    </row>
    <row r="79" spans="3:8" ht="15" x14ac:dyDescent="0.35">
      <c r="E79" s="15"/>
      <c r="F79" s="15"/>
      <c r="G79" s="22" t="s">
        <v>30</v>
      </c>
      <c r="H79" s="27">
        <f>-H116*0.21</f>
        <v>-18971.224125000001</v>
      </c>
    </row>
    <row r="80" spans="3:8" x14ac:dyDescent="0.2">
      <c r="H80" s="15">
        <f>H78+H79</f>
        <v>-281238.24438750005</v>
      </c>
    </row>
    <row r="81" spans="3:9" x14ac:dyDescent="0.2">
      <c r="H81" s="15">
        <f>H80-K13</f>
        <v>216718.92551749997</v>
      </c>
      <c r="I81" s="22" t="s">
        <v>38</v>
      </c>
    </row>
    <row r="82" spans="3:9" x14ac:dyDescent="0.2">
      <c r="C82" s="15" t="s">
        <v>32</v>
      </c>
      <c r="D82" s="24" t="s">
        <v>25</v>
      </c>
      <c r="E82" s="25" t="s">
        <v>33</v>
      </c>
      <c r="F82" s="15" t="s">
        <v>34</v>
      </c>
      <c r="G82" s="14" t="s">
        <v>13</v>
      </c>
      <c r="H82" s="15" t="s">
        <v>35</v>
      </c>
    </row>
    <row r="83" spans="3:9" x14ac:dyDescent="0.2">
      <c r="C83" s="12">
        <v>360851</v>
      </c>
      <c r="D83" s="12">
        <f>D43</f>
        <v>4403458</v>
      </c>
      <c r="E83" s="12">
        <v>0</v>
      </c>
      <c r="F83" s="12">
        <f>E83-D83</f>
        <v>-4403458</v>
      </c>
      <c r="G83" s="14">
        <v>0.05</v>
      </c>
      <c r="H83" s="12">
        <f>F83*G83</f>
        <v>-220172.90000000002</v>
      </c>
    </row>
    <row r="84" spans="3:9" x14ac:dyDescent="0.2">
      <c r="C84" s="12">
        <v>1965028</v>
      </c>
      <c r="D84" s="12"/>
      <c r="E84" s="12">
        <v>7304.99</v>
      </c>
      <c r="F84" s="12">
        <f>E84</f>
        <v>7304.99</v>
      </c>
      <c r="G84" s="14">
        <v>0.05</v>
      </c>
      <c r="H84" s="12">
        <f t="shared" ref="H84:H115" si="11">F84*G84</f>
        <v>365.24950000000001</v>
      </c>
    </row>
    <row r="85" spans="3:9" x14ac:dyDescent="0.2">
      <c r="C85" s="12">
        <v>18755</v>
      </c>
      <c r="D85" s="12"/>
      <c r="E85" s="12"/>
      <c r="F85" s="12">
        <f t="shared" ref="F85:F115" si="12">E85</f>
        <v>0</v>
      </c>
      <c r="G85" s="14">
        <v>0.05</v>
      </c>
      <c r="H85" s="12">
        <f t="shared" si="11"/>
        <v>0</v>
      </c>
    </row>
    <row r="86" spans="3:9" x14ac:dyDescent="0.2">
      <c r="C86" s="12">
        <v>3107470</v>
      </c>
      <c r="D86" s="12"/>
      <c r="E86" s="12">
        <v>11554.61</v>
      </c>
      <c r="F86" s="12">
        <f t="shared" si="12"/>
        <v>11554.61</v>
      </c>
      <c r="G86" s="14">
        <v>0.05</v>
      </c>
      <c r="H86" s="12">
        <f t="shared" si="11"/>
        <v>577.73050000000001</v>
      </c>
    </row>
    <row r="87" spans="3:9" x14ac:dyDescent="0.2">
      <c r="C87" s="12">
        <v>-5725</v>
      </c>
      <c r="D87" s="12"/>
      <c r="E87" s="12">
        <v>-21.57</v>
      </c>
      <c r="F87" s="12">
        <f t="shared" si="12"/>
        <v>-21.57</v>
      </c>
      <c r="G87" s="14">
        <v>0.05</v>
      </c>
      <c r="H87" s="12">
        <f t="shared" si="11"/>
        <v>-1.0785</v>
      </c>
    </row>
    <row r="88" spans="3:9" x14ac:dyDescent="0.2">
      <c r="C88" s="12">
        <v>127918333.47199999</v>
      </c>
      <c r="D88" s="12"/>
      <c r="E88" s="12">
        <v>482038.92</v>
      </c>
      <c r="F88" s="12">
        <f t="shared" si="12"/>
        <v>482038.92</v>
      </c>
      <c r="G88" s="14">
        <v>0.05</v>
      </c>
      <c r="H88" s="12">
        <f t="shared" si="11"/>
        <v>24101.946</v>
      </c>
    </row>
    <row r="89" spans="3:9" x14ac:dyDescent="0.2">
      <c r="C89" s="12">
        <v>191877500.20799997</v>
      </c>
      <c r="D89" s="12"/>
      <c r="E89" s="12">
        <v>2093901.29</v>
      </c>
      <c r="F89" s="12">
        <f t="shared" si="12"/>
        <v>2093901.29</v>
      </c>
      <c r="G89" s="14">
        <v>0.05</v>
      </c>
      <c r="H89" s="12">
        <f t="shared" si="11"/>
        <v>104695.06450000001</v>
      </c>
    </row>
    <row r="90" spans="3:9" x14ac:dyDescent="0.2">
      <c r="C90" s="12">
        <v>3354199.04</v>
      </c>
      <c r="D90" s="12"/>
      <c r="E90" s="12">
        <v>12639.74</v>
      </c>
      <c r="F90" s="12">
        <f t="shared" si="12"/>
        <v>12639.74</v>
      </c>
      <c r="G90" s="14">
        <v>0.05</v>
      </c>
      <c r="H90" s="12">
        <f t="shared" si="11"/>
        <v>631.98700000000008</v>
      </c>
    </row>
    <row r="91" spans="3:9" x14ac:dyDescent="0.2">
      <c r="C91" s="12">
        <v>5411173.5480000004</v>
      </c>
      <c r="D91" s="12"/>
      <c r="E91" s="12">
        <v>22041.51</v>
      </c>
      <c r="F91" s="12">
        <f t="shared" si="12"/>
        <v>22041.51</v>
      </c>
      <c r="G91" s="14">
        <v>0.05</v>
      </c>
      <c r="H91" s="12">
        <f t="shared" si="11"/>
        <v>1102.0754999999999</v>
      </c>
    </row>
    <row r="92" spans="3:9" x14ac:dyDescent="0.2">
      <c r="C92" s="12">
        <v>8116760.3219999988</v>
      </c>
      <c r="D92" s="12"/>
      <c r="E92" s="12">
        <v>96628.1</v>
      </c>
      <c r="F92" s="12">
        <f t="shared" si="12"/>
        <v>96628.1</v>
      </c>
      <c r="G92" s="14">
        <v>0.05</v>
      </c>
      <c r="H92" s="12">
        <f t="shared" si="11"/>
        <v>4831.4050000000007</v>
      </c>
    </row>
    <row r="93" spans="3:9" x14ac:dyDescent="0.2">
      <c r="C93" s="12">
        <v>143218226.94000003</v>
      </c>
      <c r="D93" s="12"/>
      <c r="E93" s="12">
        <v>583375.57999999996</v>
      </c>
      <c r="F93" s="12">
        <f t="shared" si="12"/>
        <v>583375.57999999996</v>
      </c>
      <c r="G93" s="14">
        <v>0.05</v>
      </c>
      <c r="H93" s="12">
        <f t="shared" si="11"/>
        <v>29168.778999999999</v>
      </c>
    </row>
    <row r="94" spans="3:9" x14ac:dyDescent="0.2">
      <c r="C94" s="12">
        <v>214827340.41</v>
      </c>
      <c r="D94" s="12"/>
      <c r="E94" s="12"/>
      <c r="F94" s="12">
        <f t="shared" si="12"/>
        <v>0</v>
      </c>
      <c r="G94" s="14">
        <v>0.05</v>
      </c>
      <c r="H94" s="12">
        <f t="shared" si="11"/>
        <v>0</v>
      </c>
    </row>
    <row r="95" spans="3:9" x14ac:dyDescent="0.2">
      <c r="C95" s="12">
        <v>1550574.7880000002</v>
      </c>
      <c r="D95" s="12"/>
      <c r="E95" s="12">
        <v>6316.01</v>
      </c>
      <c r="F95" s="12">
        <f t="shared" si="12"/>
        <v>6316.01</v>
      </c>
      <c r="G95" s="14">
        <v>0.05</v>
      </c>
      <c r="H95" s="12">
        <f t="shared" si="11"/>
        <v>315.80050000000006</v>
      </c>
    </row>
    <row r="96" spans="3:9" x14ac:dyDescent="0.2">
      <c r="C96" s="12">
        <v>2325862.182</v>
      </c>
      <c r="D96" s="12"/>
      <c r="E96" s="12">
        <v>27688.84</v>
      </c>
      <c r="F96" s="12">
        <f t="shared" si="12"/>
        <v>27688.84</v>
      </c>
      <c r="G96" s="14">
        <v>0.05</v>
      </c>
      <c r="H96" s="12">
        <f t="shared" si="11"/>
        <v>1384.442</v>
      </c>
    </row>
    <row r="97" spans="3:8" x14ac:dyDescent="0.2">
      <c r="C97" s="12">
        <v>5798889.6400000006</v>
      </c>
      <c r="D97" s="12"/>
      <c r="E97" s="12">
        <v>23620.81</v>
      </c>
      <c r="F97" s="12">
        <f t="shared" si="12"/>
        <v>23620.81</v>
      </c>
      <c r="G97" s="14">
        <v>0.05</v>
      </c>
      <c r="H97" s="12">
        <f t="shared" si="11"/>
        <v>1181.0405000000001</v>
      </c>
    </row>
    <row r="98" spans="3:8" x14ac:dyDescent="0.2">
      <c r="C98" s="12">
        <v>8698334.459999999</v>
      </c>
      <c r="D98" s="12"/>
      <c r="E98" s="12"/>
      <c r="F98" s="12">
        <f t="shared" si="12"/>
        <v>0</v>
      </c>
      <c r="G98" s="14">
        <v>0.05</v>
      </c>
      <c r="H98" s="12">
        <f t="shared" si="11"/>
        <v>0</v>
      </c>
    </row>
    <row r="99" spans="3:8" x14ac:dyDescent="0.2">
      <c r="C99" s="12">
        <v>61477.070000000007</v>
      </c>
      <c r="D99" s="12"/>
      <c r="E99" s="12">
        <v>250.42</v>
      </c>
      <c r="F99" s="12">
        <f t="shared" si="12"/>
        <v>250.42</v>
      </c>
      <c r="G99" s="14">
        <v>0.05</v>
      </c>
      <c r="H99" s="12">
        <f t="shared" si="11"/>
        <v>12.521000000000001</v>
      </c>
    </row>
    <row r="100" spans="3:8" x14ac:dyDescent="0.2">
      <c r="C100" s="12">
        <v>97728.44</v>
      </c>
      <c r="D100" s="12"/>
      <c r="E100" s="12">
        <v>430.41</v>
      </c>
      <c r="F100" s="12">
        <f t="shared" si="12"/>
        <v>430.41</v>
      </c>
      <c r="G100" s="14">
        <v>0.05</v>
      </c>
      <c r="H100" s="12">
        <f t="shared" si="11"/>
        <v>21.520500000000002</v>
      </c>
    </row>
    <row r="101" spans="3:8" x14ac:dyDescent="0.2">
      <c r="C101" s="12">
        <v>113639335.91600001</v>
      </c>
      <c r="D101" s="12"/>
      <c r="E101" s="12">
        <v>500486.58</v>
      </c>
      <c r="F101" s="12">
        <f t="shared" si="12"/>
        <v>500486.58</v>
      </c>
      <c r="G101" s="14">
        <v>0.05</v>
      </c>
      <c r="H101" s="12">
        <f t="shared" si="11"/>
        <v>25024.329000000002</v>
      </c>
    </row>
    <row r="102" spans="3:8" x14ac:dyDescent="0.2">
      <c r="C102" s="12">
        <v>170459003.87400001</v>
      </c>
      <c r="D102" s="12"/>
      <c r="E102" s="12">
        <v>2029273.86</v>
      </c>
      <c r="F102" s="12">
        <f t="shared" si="12"/>
        <v>2029273.86</v>
      </c>
      <c r="G102" s="14">
        <v>0.05</v>
      </c>
      <c r="H102" s="12">
        <f t="shared" si="11"/>
        <v>101463.69300000001</v>
      </c>
    </row>
    <row r="103" spans="3:8" x14ac:dyDescent="0.2">
      <c r="C103" s="12">
        <v>5354505.7920000004</v>
      </c>
      <c r="D103" s="12"/>
      <c r="E103" s="12">
        <v>23582.14</v>
      </c>
      <c r="F103" s="12">
        <f t="shared" si="12"/>
        <v>23582.14</v>
      </c>
      <c r="G103" s="14">
        <v>0.05</v>
      </c>
      <c r="H103" s="12">
        <f t="shared" si="11"/>
        <v>1179.107</v>
      </c>
    </row>
    <row r="104" spans="3:8" x14ac:dyDescent="0.2">
      <c r="C104" s="12">
        <v>3586227.6599999997</v>
      </c>
      <c r="D104" s="12"/>
      <c r="E104" s="12">
        <v>34866.1</v>
      </c>
      <c r="F104" s="12">
        <f t="shared" si="12"/>
        <v>34866.1</v>
      </c>
      <c r="G104" s="14">
        <v>0.05</v>
      </c>
      <c r="H104" s="12">
        <f t="shared" si="11"/>
        <v>1743.3050000000001</v>
      </c>
    </row>
    <row r="105" spans="3:8" x14ac:dyDescent="0.2">
      <c r="C105" s="12">
        <v>4445531.0279999999</v>
      </c>
      <c r="D105" s="12"/>
      <c r="E105" s="12">
        <v>52922.99</v>
      </c>
      <c r="F105" s="12">
        <f t="shared" si="12"/>
        <v>52922.99</v>
      </c>
      <c r="G105" s="14">
        <v>0.05</v>
      </c>
      <c r="H105" s="12">
        <f t="shared" si="11"/>
        <v>2646.1495</v>
      </c>
    </row>
    <row r="106" spans="3:8" x14ac:dyDescent="0.2">
      <c r="C106" s="12">
        <v>3386491</v>
      </c>
      <c r="D106" s="12"/>
      <c r="E106" s="12">
        <v>16122.52</v>
      </c>
      <c r="F106" s="12">
        <f t="shared" si="12"/>
        <v>16122.52</v>
      </c>
      <c r="G106" s="28">
        <v>0.05</v>
      </c>
      <c r="H106" s="12">
        <f t="shared" si="11"/>
        <v>806.12600000000009</v>
      </c>
    </row>
    <row r="107" spans="3:8" x14ac:dyDescent="0.2">
      <c r="C107" s="12">
        <v>4327946</v>
      </c>
      <c r="D107" s="12"/>
      <c r="E107" s="12">
        <v>22278.1</v>
      </c>
      <c r="F107" s="12">
        <f t="shared" si="12"/>
        <v>22278.1</v>
      </c>
      <c r="G107" s="28">
        <v>0.05</v>
      </c>
      <c r="H107" s="12">
        <f t="shared" si="11"/>
        <v>1113.905</v>
      </c>
    </row>
    <row r="108" spans="3:8" x14ac:dyDescent="0.2">
      <c r="C108" s="12">
        <v>4685530</v>
      </c>
      <c r="D108" s="12"/>
      <c r="E108" s="12">
        <v>55780.12</v>
      </c>
      <c r="F108" s="12">
        <f t="shared" si="12"/>
        <v>55780.12</v>
      </c>
      <c r="G108" s="28">
        <v>0.05</v>
      </c>
      <c r="H108" s="12">
        <f t="shared" si="11"/>
        <v>2789.0060000000003</v>
      </c>
    </row>
    <row r="109" spans="3:8" x14ac:dyDescent="0.2">
      <c r="C109" s="12">
        <v>1806390</v>
      </c>
      <c r="D109" s="12"/>
      <c r="E109" s="12">
        <v>30106.49</v>
      </c>
      <c r="F109" s="12">
        <f t="shared" si="12"/>
        <v>30106.49</v>
      </c>
      <c r="G109" s="28">
        <v>0.05</v>
      </c>
      <c r="H109" s="12">
        <f t="shared" si="11"/>
        <v>1505.3245000000002</v>
      </c>
    </row>
    <row r="110" spans="3:8" x14ac:dyDescent="0.2">
      <c r="C110" s="12">
        <v>5014718</v>
      </c>
      <c r="D110" s="12"/>
      <c r="E110" s="12">
        <f>10325.3+35819.42</f>
        <v>46144.72</v>
      </c>
      <c r="F110" s="12">
        <f t="shared" si="12"/>
        <v>46144.72</v>
      </c>
      <c r="G110" s="28">
        <v>0.05</v>
      </c>
      <c r="H110" s="12">
        <f t="shared" si="11"/>
        <v>2307.2360000000003</v>
      </c>
    </row>
    <row r="111" spans="3:8" x14ac:dyDescent="0.2">
      <c r="C111" s="12">
        <v>729864</v>
      </c>
      <c r="D111" s="12"/>
      <c r="E111" s="12">
        <f>1624.43+2734.11+3470.88</f>
        <v>7829.42</v>
      </c>
      <c r="F111" s="12">
        <f t="shared" si="12"/>
        <v>7829.42</v>
      </c>
      <c r="G111" s="28">
        <v>0.05</v>
      </c>
      <c r="H111" s="12">
        <f t="shared" si="11"/>
        <v>391.471</v>
      </c>
    </row>
    <row r="112" spans="3:8" x14ac:dyDescent="0.2">
      <c r="C112" s="12">
        <v>5285</v>
      </c>
      <c r="D112" s="12"/>
      <c r="E112" s="12">
        <v>29.41</v>
      </c>
      <c r="F112" s="12">
        <f t="shared" si="12"/>
        <v>29.41</v>
      </c>
      <c r="G112" s="28">
        <v>0.05</v>
      </c>
      <c r="H112" s="12">
        <f t="shared" si="11"/>
        <v>1.4705000000000001</v>
      </c>
    </row>
    <row r="113" spans="3:8" x14ac:dyDescent="0.2">
      <c r="C113" s="12">
        <f>C75</f>
        <v>2511875.0700000003</v>
      </c>
      <c r="D113" s="12"/>
      <c r="E113" s="12">
        <f>6040.76+9070.26</f>
        <v>15111.02</v>
      </c>
      <c r="F113" s="12">
        <f t="shared" si="12"/>
        <v>15111.02</v>
      </c>
      <c r="G113" s="28">
        <v>0.05</v>
      </c>
      <c r="H113" s="12">
        <f t="shared" si="11"/>
        <v>755.55100000000004</v>
      </c>
    </row>
    <row r="114" spans="3:8" x14ac:dyDescent="0.2">
      <c r="C114" s="12">
        <f>C76</f>
        <v>1523.16</v>
      </c>
      <c r="D114" s="12"/>
      <c r="E114" s="12">
        <v>4.76</v>
      </c>
      <c r="F114" s="12">
        <f t="shared" si="12"/>
        <v>4.76</v>
      </c>
      <c r="G114" s="28">
        <v>0.05</v>
      </c>
      <c r="H114" s="12">
        <f t="shared" si="11"/>
        <v>0.23799999999999999</v>
      </c>
    </row>
    <row r="115" spans="3:8" ht="15" x14ac:dyDescent="0.35">
      <c r="C115" s="12">
        <f>C77</f>
        <v>2055475</v>
      </c>
      <c r="D115" s="12"/>
      <c r="E115" s="27">
        <f>E77</f>
        <v>7933.3600000000006</v>
      </c>
      <c r="F115" s="27">
        <f t="shared" si="12"/>
        <v>7933.3600000000006</v>
      </c>
      <c r="G115" s="28">
        <v>0.05</v>
      </c>
      <c r="H115" s="27">
        <f t="shared" si="11"/>
        <v>396.66800000000006</v>
      </c>
    </row>
    <row r="116" spans="3:8" x14ac:dyDescent="0.2">
      <c r="E116" s="15">
        <f>SUM(E83:E115)</f>
        <v>6210241.2499999991</v>
      </c>
      <c r="F116" s="15">
        <f>SUM(F83:F115)</f>
        <v>1806783.2500000009</v>
      </c>
      <c r="H116" s="15">
        <f>SUM(H83:H115)</f>
        <v>90339.162500000006</v>
      </c>
    </row>
    <row r="117" spans="3:8" x14ac:dyDescent="0.2">
      <c r="E117" s="15"/>
      <c r="F117" s="15"/>
      <c r="H117" s="15">
        <f>H116-L13</f>
        <v>-1.800000001094304E-2</v>
      </c>
    </row>
  </sheetData>
  <pageMargins left="0.5" right="0.5" top="1.5" bottom="0.5" header="0.5" footer="0.5"/>
  <pageSetup scale="44" orientation="portrait" r:id="rId1"/>
  <headerFooter alignWithMargins="0">
    <oddHeader>&amp;R&amp;"Times New Roman,Bold"&amp;12Attachment to Response to Question No. 3
Page 4 of 9
Clements</oddHeader>
    <oddFooter>&amp;L_x000D_&amp;1#&amp;"Calibri"&amp;14&amp;K000000 Business Use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9ADF4-126F-4E01-BC88-04C20252ED16}">
  <sheetPr>
    <pageSetUpPr fitToPage="1"/>
  </sheetPr>
  <dimension ref="A1:S61"/>
  <sheetViews>
    <sheetView zoomScaleNormal="100" workbookViewId="0"/>
  </sheetViews>
  <sheetFormatPr defaultRowHeight="12.75" x14ac:dyDescent="0.2"/>
  <cols>
    <col min="1" max="1" width="11.28515625" style="9" customWidth="1"/>
    <col min="2" max="2" width="1.7109375" customWidth="1"/>
    <col min="3" max="3" width="13.7109375" customWidth="1"/>
    <col min="4" max="4" width="12.7109375" customWidth="1"/>
    <col min="5" max="5" width="16.140625" customWidth="1"/>
    <col min="6" max="6" width="15" customWidth="1"/>
    <col min="7" max="16" width="12.7109375" customWidth="1"/>
    <col min="17" max="17" width="9.28515625" hidden="1" customWidth="1"/>
    <col min="18" max="18" width="11.7109375" bestFit="1" customWidth="1"/>
    <col min="19" max="19" width="11.42578125" bestFit="1" customWidth="1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x14ac:dyDescent="0.2">
      <c r="A5" s="4" t="s">
        <v>39</v>
      </c>
    </row>
    <row r="6" spans="1:19" x14ac:dyDescent="0.2">
      <c r="A6" s="5" t="s">
        <v>43</v>
      </c>
    </row>
    <row r="8" spans="1:19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9" x14ac:dyDescent="0.2">
      <c r="A9" s="9" t="s">
        <v>18</v>
      </c>
      <c r="M9" s="10">
        <v>23656269</v>
      </c>
    </row>
    <row r="10" spans="1:19" x14ac:dyDescent="0.2">
      <c r="A10" s="11">
        <v>44264</v>
      </c>
      <c r="C10" s="12">
        <v>100993470</v>
      </c>
      <c r="D10" s="13">
        <v>244315</v>
      </c>
      <c r="E10" s="13">
        <f>443428.19</f>
        <v>443428.19</v>
      </c>
      <c r="F10" s="13">
        <f>886038.09</f>
        <v>886038.09</v>
      </c>
      <c r="G10" s="18">
        <f t="shared" ref="G10:G15" si="0">E10-D10</f>
        <v>199113.19</v>
      </c>
      <c r="H10" s="18">
        <f t="shared" ref="H10:H15" si="1">F10-D10</f>
        <v>641723.09</v>
      </c>
      <c r="I10" s="14">
        <v>0.21</v>
      </c>
      <c r="J10" s="14">
        <v>0.05</v>
      </c>
      <c r="K10" s="15">
        <f t="shared" ref="K10:K15" si="2">G10*I10-L10*I10</f>
        <v>35075.677454999997</v>
      </c>
      <c r="L10" s="15">
        <f t="shared" ref="L10:L15" si="3">H10*J10</f>
        <v>32086.154500000001</v>
      </c>
      <c r="M10" s="15">
        <f t="shared" ref="M10:M13" si="4">M9+K10+L10</f>
        <v>23723430.831955001</v>
      </c>
      <c r="N10" s="15">
        <v>0</v>
      </c>
      <c r="O10" s="16"/>
      <c r="S10" s="17"/>
    </row>
    <row r="11" spans="1:19" x14ac:dyDescent="0.2">
      <c r="A11" s="11">
        <v>44287</v>
      </c>
      <c r="C11" s="12">
        <v>100993470</v>
      </c>
      <c r="D11" s="13">
        <v>244315</v>
      </c>
      <c r="E11" s="13">
        <f>443428.19</f>
        <v>443428.19</v>
      </c>
      <c r="F11" s="13">
        <f>886038.09</f>
        <v>886038.09</v>
      </c>
      <c r="G11" s="18">
        <f t="shared" si="0"/>
        <v>199113.19</v>
      </c>
      <c r="H11" s="18">
        <f t="shared" si="1"/>
        <v>641723.09</v>
      </c>
      <c r="I11" s="14">
        <v>0.21</v>
      </c>
      <c r="J11" s="14">
        <v>0.05</v>
      </c>
      <c r="K11" s="15">
        <f t="shared" si="2"/>
        <v>35075.677454999997</v>
      </c>
      <c r="L11" s="15">
        <f t="shared" si="3"/>
        <v>32086.154500000001</v>
      </c>
      <c r="M11" s="15">
        <f t="shared" si="4"/>
        <v>23790592.663910002</v>
      </c>
      <c r="N11" s="15">
        <v>0</v>
      </c>
      <c r="O11" s="16"/>
      <c r="Q11" s="15">
        <f>358619-M12</f>
        <v>-23499135.495865002</v>
      </c>
      <c r="R11" s="22"/>
      <c r="S11" s="17"/>
    </row>
    <row r="12" spans="1:19" x14ac:dyDescent="0.2">
      <c r="A12" s="11">
        <v>44317</v>
      </c>
      <c r="C12" s="12">
        <v>100993470</v>
      </c>
      <c r="D12" s="13">
        <v>244315</v>
      </c>
      <c r="E12" s="13">
        <f>443428.19</f>
        <v>443428.19</v>
      </c>
      <c r="F12" s="13">
        <f>886038.09</f>
        <v>886038.09</v>
      </c>
      <c r="G12" s="18">
        <f t="shared" si="0"/>
        <v>199113.19</v>
      </c>
      <c r="H12" s="18">
        <f t="shared" si="1"/>
        <v>641723.09</v>
      </c>
      <c r="I12" s="14">
        <v>0.21</v>
      </c>
      <c r="J12" s="14">
        <v>0.05</v>
      </c>
      <c r="K12" s="15">
        <f t="shared" si="2"/>
        <v>35075.677454999997</v>
      </c>
      <c r="L12" s="15">
        <f t="shared" si="3"/>
        <v>32086.154500000001</v>
      </c>
      <c r="M12" s="15">
        <f t="shared" si="4"/>
        <v>23857754.495865002</v>
      </c>
      <c r="N12" s="15">
        <v>0</v>
      </c>
      <c r="Q12">
        <f>+Q11/0.389</f>
        <v>-60409088.678316198</v>
      </c>
      <c r="R12" s="15"/>
      <c r="S12" s="17"/>
    </row>
    <row r="13" spans="1:19" x14ac:dyDescent="0.2">
      <c r="A13" s="11">
        <v>44348</v>
      </c>
      <c r="C13" s="12">
        <v>100993470</v>
      </c>
      <c r="D13" s="13">
        <v>244315</v>
      </c>
      <c r="E13" s="13">
        <f>443428.19</f>
        <v>443428.19</v>
      </c>
      <c r="F13" s="13">
        <f>886038.09</f>
        <v>886038.09</v>
      </c>
      <c r="G13" s="18">
        <f t="shared" si="0"/>
        <v>199113.19</v>
      </c>
      <c r="H13" s="18">
        <f t="shared" si="1"/>
        <v>641723.09</v>
      </c>
      <c r="I13" s="14">
        <v>0.21</v>
      </c>
      <c r="J13" s="14">
        <v>0.05</v>
      </c>
      <c r="K13" s="15">
        <f t="shared" si="2"/>
        <v>35075.677454999997</v>
      </c>
      <c r="L13" s="15">
        <f t="shared" si="3"/>
        <v>32086.154500000001</v>
      </c>
      <c r="M13" s="15">
        <f t="shared" si="4"/>
        <v>23924916.327820003</v>
      </c>
      <c r="N13" s="15">
        <v>0</v>
      </c>
      <c r="Q13" s="15">
        <f>374733-M14</f>
        <v>374733</v>
      </c>
      <c r="S13" s="17"/>
    </row>
    <row r="14" spans="1:19" x14ac:dyDescent="0.2">
      <c r="A14" s="11">
        <v>44378</v>
      </c>
      <c r="C14" s="12"/>
      <c r="D14" s="13"/>
      <c r="E14" s="13"/>
      <c r="F14" s="13"/>
      <c r="G14" s="18">
        <f t="shared" si="0"/>
        <v>0</v>
      </c>
      <c r="H14" s="18">
        <f t="shared" si="1"/>
        <v>0</v>
      </c>
      <c r="I14" s="14">
        <v>0.21</v>
      </c>
      <c r="J14" s="14">
        <v>0.05</v>
      </c>
      <c r="K14" s="15">
        <f t="shared" si="2"/>
        <v>0</v>
      </c>
      <c r="L14" s="15">
        <f t="shared" si="3"/>
        <v>0</v>
      </c>
      <c r="M14" s="15">
        <v>0</v>
      </c>
      <c r="N14" s="15">
        <v>0</v>
      </c>
      <c r="Q14">
        <f>+Q13/0.389</f>
        <v>963323.90745501278</v>
      </c>
      <c r="R14" s="15"/>
      <c r="S14" s="17"/>
    </row>
    <row r="15" spans="1:19" x14ac:dyDescent="0.2">
      <c r="A15" s="11">
        <v>44409</v>
      </c>
      <c r="C15" s="12"/>
      <c r="D15" s="13"/>
      <c r="E15" s="13"/>
      <c r="F15" s="13"/>
      <c r="G15" s="18">
        <f t="shared" si="0"/>
        <v>0</v>
      </c>
      <c r="H15" s="18">
        <f t="shared" si="1"/>
        <v>0</v>
      </c>
      <c r="I15" s="14">
        <v>0.21</v>
      </c>
      <c r="J15" s="14">
        <v>0.05</v>
      </c>
      <c r="K15" s="15">
        <f t="shared" si="2"/>
        <v>0</v>
      </c>
      <c r="L15" s="15">
        <f t="shared" si="3"/>
        <v>0</v>
      </c>
      <c r="M15" s="15">
        <v>0</v>
      </c>
      <c r="N15" s="15">
        <v>0</v>
      </c>
      <c r="Q15" s="15">
        <f>+M15-386700</f>
        <v>-386700</v>
      </c>
      <c r="R15" s="29"/>
      <c r="S15" s="17"/>
    </row>
    <row r="16" spans="1:19" x14ac:dyDescent="0.2">
      <c r="A16" s="11">
        <v>44448</v>
      </c>
      <c r="C16" s="12"/>
      <c r="D16" s="13"/>
      <c r="E16" s="13"/>
      <c r="F16" s="13"/>
      <c r="G16" s="18">
        <f t="shared" ref="G16:G33" si="5">E16-D16</f>
        <v>0</v>
      </c>
      <c r="H16" s="18">
        <f t="shared" ref="H16:H33" si="6">F16-D16</f>
        <v>0</v>
      </c>
      <c r="I16" s="14">
        <v>0.21</v>
      </c>
      <c r="J16" s="14">
        <v>0.05</v>
      </c>
      <c r="K16" s="15">
        <f t="shared" ref="K16:K33" si="7">G16*I16-L16*I16</f>
        <v>0</v>
      </c>
      <c r="L16" s="15">
        <f t="shared" ref="L16:L33" si="8">H16*J16</f>
        <v>0</v>
      </c>
      <c r="M16" s="15">
        <v>0</v>
      </c>
      <c r="N16" s="15">
        <v>0</v>
      </c>
      <c r="O16" s="15"/>
      <c r="P16" s="15"/>
      <c r="Q16">
        <f>+Q15/0.389</f>
        <v>-994087.40359897166</v>
      </c>
    </row>
    <row r="17" spans="1:16" x14ac:dyDescent="0.2">
      <c r="A17" s="11">
        <v>44470</v>
      </c>
      <c r="C17" s="12"/>
      <c r="D17" s="13"/>
      <c r="E17" s="13"/>
      <c r="F17" s="13"/>
      <c r="G17" s="18">
        <f t="shared" si="5"/>
        <v>0</v>
      </c>
      <c r="H17" s="18">
        <f t="shared" si="6"/>
        <v>0</v>
      </c>
      <c r="I17" s="14">
        <v>0.21</v>
      </c>
      <c r="J17" s="14">
        <v>0.05</v>
      </c>
      <c r="K17" s="15">
        <f t="shared" si="7"/>
        <v>0</v>
      </c>
      <c r="L17" s="15">
        <f t="shared" si="8"/>
        <v>0</v>
      </c>
      <c r="M17" s="15">
        <v>0</v>
      </c>
      <c r="N17" s="15">
        <v>0</v>
      </c>
      <c r="O17" s="15"/>
      <c r="P17" s="15"/>
    </row>
    <row r="18" spans="1:16" x14ac:dyDescent="0.2">
      <c r="A18" s="11">
        <v>44501</v>
      </c>
      <c r="C18" s="12"/>
      <c r="D18" s="13"/>
      <c r="E18" s="13"/>
      <c r="F18" s="13"/>
      <c r="G18" s="18">
        <f t="shared" si="5"/>
        <v>0</v>
      </c>
      <c r="H18" s="18">
        <f t="shared" si="6"/>
        <v>0</v>
      </c>
      <c r="I18" s="14">
        <v>0.21</v>
      </c>
      <c r="J18" s="14">
        <v>0.05</v>
      </c>
      <c r="K18" s="15">
        <f t="shared" si="7"/>
        <v>0</v>
      </c>
      <c r="L18" s="15">
        <f t="shared" si="8"/>
        <v>0</v>
      </c>
      <c r="M18" s="15">
        <v>0</v>
      </c>
      <c r="N18" s="15">
        <v>0</v>
      </c>
      <c r="O18" s="15"/>
      <c r="P18" s="15"/>
    </row>
    <row r="19" spans="1:16" x14ac:dyDescent="0.2">
      <c r="A19" s="11">
        <v>44531</v>
      </c>
      <c r="G19" s="18">
        <f t="shared" si="5"/>
        <v>0</v>
      </c>
      <c r="H19" s="18">
        <f t="shared" si="6"/>
        <v>0</v>
      </c>
      <c r="I19" s="14">
        <v>0.21</v>
      </c>
      <c r="J19" s="14">
        <v>0.05</v>
      </c>
      <c r="K19" s="15">
        <f t="shared" si="7"/>
        <v>0</v>
      </c>
      <c r="L19" s="15">
        <f t="shared" si="8"/>
        <v>0</v>
      </c>
      <c r="M19" s="15">
        <v>0</v>
      </c>
      <c r="N19" s="15">
        <v>0</v>
      </c>
    </row>
    <row r="20" spans="1:16" x14ac:dyDescent="0.2">
      <c r="A20" s="11">
        <v>44562</v>
      </c>
      <c r="G20" s="18">
        <f t="shared" si="5"/>
        <v>0</v>
      </c>
      <c r="H20" s="18">
        <f t="shared" si="6"/>
        <v>0</v>
      </c>
      <c r="I20" s="14">
        <v>0.21</v>
      </c>
      <c r="J20" s="14">
        <v>0.05</v>
      </c>
      <c r="K20" s="15">
        <f t="shared" si="7"/>
        <v>0</v>
      </c>
      <c r="L20" s="15">
        <f t="shared" si="8"/>
        <v>0</v>
      </c>
      <c r="M20" s="15">
        <v>0</v>
      </c>
      <c r="N20" s="15">
        <v>0</v>
      </c>
    </row>
    <row r="21" spans="1:16" x14ac:dyDescent="0.2">
      <c r="A21" s="11">
        <v>44593</v>
      </c>
      <c r="G21" s="18">
        <f t="shared" si="5"/>
        <v>0</v>
      </c>
      <c r="H21" s="18">
        <f t="shared" si="6"/>
        <v>0</v>
      </c>
      <c r="I21" s="14">
        <v>0.21</v>
      </c>
      <c r="J21" s="14">
        <v>0.05</v>
      </c>
      <c r="K21" s="15">
        <f t="shared" si="7"/>
        <v>0</v>
      </c>
      <c r="L21" s="15">
        <f t="shared" si="8"/>
        <v>0</v>
      </c>
      <c r="M21" s="15">
        <v>0</v>
      </c>
      <c r="N21" s="15">
        <v>0</v>
      </c>
    </row>
    <row r="22" spans="1:16" x14ac:dyDescent="0.2">
      <c r="A22" s="11">
        <v>44629</v>
      </c>
      <c r="G22" s="18">
        <f t="shared" si="5"/>
        <v>0</v>
      </c>
      <c r="H22" s="18">
        <f t="shared" si="6"/>
        <v>0</v>
      </c>
      <c r="I22" s="14">
        <v>0.21</v>
      </c>
      <c r="J22" s="14">
        <v>0.05</v>
      </c>
      <c r="K22" s="15">
        <f t="shared" si="7"/>
        <v>0</v>
      </c>
      <c r="L22" s="15">
        <f t="shared" si="8"/>
        <v>0</v>
      </c>
      <c r="M22" s="15">
        <v>0</v>
      </c>
      <c r="N22" s="15">
        <v>0</v>
      </c>
    </row>
    <row r="23" spans="1:16" x14ac:dyDescent="0.2">
      <c r="A23" s="11">
        <v>44652</v>
      </c>
      <c r="G23" s="18">
        <f t="shared" si="5"/>
        <v>0</v>
      </c>
      <c r="H23" s="18">
        <f t="shared" si="6"/>
        <v>0</v>
      </c>
      <c r="I23" s="14">
        <v>0.21</v>
      </c>
      <c r="J23" s="14">
        <v>0.05</v>
      </c>
      <c r="K23" s="15">
        <f t="shared" si="7"/>
        <v>0</v>
      </c>
      <c r="L23" s="15">
        <f t="shared" si="8"/>
        <v>0</v>
      </c>
      <c r="M23" s="15">
        <v>0</v>
      </c>
      <c r="N23" s="15">
        <v>0</v>
      </c>
    </row>
    <row r="24" spans="1:16" x14ac:dyDescent="0.2">
      <c r="A24" s="11">
        <v>44682</v>
      </c>
      <c r="G24" s="18">
        <f t="shared" si="5"/>
        <v>0</v>
      </c>
      <c r="H24" s="18">
        <f t="shared" si="6"/>
        <v>0</v>
      </c>
      <c r="I24" s="14">
        <v>0.21</v>
      </c>
      <c r="J24" s="14">
        <v>0.05</v>
      </c>
      <c r="K24" s="15">
        <f t="shared" si="7"/>
        <v>0</v>
      </c>
      <c r="L24" s="15">
        <f t="shared" si="8"/>
        <v>0</v>
      </c>
      <c r="M24" s="15">
        <v>0</v>
      </c>
      <c r="N24" s="15">
        <v>0</v>
      </c>
    </row>
    <row r="25" spans="1:16" x14ac:dyDescent="0.2">
      <c r="A25" s="11">
        <v>44713</v>
      </c>
      <c r="G25" s="18">
        <f t="shared" si="5"/>
        <v>0</v>
      </c>
      <c r="H25" s="18">
        <f t="shared" si="6"/>
        <v>0</v>
      </c>
      <c r="I25" s="14">
        <v>0.21</v>
      </c>
      <c r="J25" s="14">
        <v>0.05</v>
      </c>
      <c r="K25" s="15">
        <f t="shared" si="7"/>
        <v>0</v>
      </c>
      <c r="L25" s="15">
        <f t="shared" si="8"/>
        <v>0</v>
      </c>
      <c r="M25" s="15">
        <v>0</v>
      </c>
      <c r="N25" s="15">
        <v>0</v>
      </c>
    </row>
    <row r="26" spans="1:16" x14ac:dyDescent="0.2">
      <c r="A26" s="11">
        <v>44743</v>
      </c>
      <c r="G26" s="18">
        <f t="shared" si="5"/>
        <v>0</v>
      </c>
      <c r="H26" s="18">
        <f t="shared" si="6"/>
        <v>0</v>
      </c>
      <c r="I26" s="14">
        <v>0.21</v>
      </c>
      <c r="J26" s="14">
        <v>0.05</v>
      </c>
      <c r="K26" s="15">
        <f t="shared" si="7"/>
        <v>0</v>
      </c>
      <c r="L26" s="15">
        <f t="shared" si="8"/>
        <v>0</v>
      </c>
      <c r="M26" s="15">
        <v>0</v>
      </c>
      <c r="N26" s="15">
        <v>0</v>
      </c>
    </row>
    <row r="27" spans="1:16" x14ac:dyDescent="0.2">
      <c r="A27" s="11">
        <v>44774</v>
      </c>
      <c r="G27" s="18">
        <f t="shared" si="5"/>
        <v>0</v>
      </c>
      <c r="H27" s="18">
        <f t="shared" si="6"/>
        <v>0</v>
      </c>
      <c r="I27" s="14">
        <v>0.21</v>
      </c>
      <c r="J27" s="14">
        <v>0.05</v>
      </c>
      <c r="K27" s="15">
        <f t="shared" si="7"/>
        <v>0</v>
      </c>
      <c r="L27" s="15">
        <f t="shared" si="8"/>
        <v>0</v>
      </c>
      <c r="M27" s="15">
        <v>0</v>
      </c>
      <c r="N27" s="15">
        <v>0</v>
      </c>
    </row>
    <row r="28" spans="1:16" x14ac:dyDescent="0.2">
      <c r="A28" s="11">
        <v>44813</v>
      </c>
      <c r="G28" s="18">
        <f t="shared" si="5"/>
        <v>0</v>
      </c>
      <c r="H28" s="18">
        <f t="shared" si="6"/>
        <v>0</v>
      </c>
      <c r="I28" s="14">
        <v>0.21</v>
      </c>
      <c r="J28" s="14">
        <v>0.05</v>
      </c>
      <c r="K28" s="15">
        <f t="shared" si="7"/>
        <v>0</v>
      </c>
      <c r="L28" s="15">
        <f t="shared" si="8"/>
        <v>0</v>
      </c>
      <c r="M28" s="15">
        <v>0</v>
      </c>
      <c r="N28" s="15">
        <v>0</v>
      </c>
    </row>
    <row r="29" spans="1:16" x14ac:dyDescent="0.2">
      <c r="A29" s="11">
        <v>44835</v>
      </c>
      <c r="G29" s="18">
        <f t="shared" si="5"/>
        <v>0</v>
      </c>
      <c r="H29" s="18">
        <f t="shared" si="6"/>
        <v>0</v>
      </c>
      <c r="I29" s="14">
        <v>0.21</v>
      </c>
      <c r="J29" s="14">
        <v>0.05</v>
      </c>
      <c r="K29" s="15">
        <f t="shared" si="7"/>
        <v>0</v>
      </c>
      <c r="L29" s="15">
        <f t="shared" si="8"/>
        <v>0</v>
      </c>
      <c r="M29" s="15">
        <v>0</v>
      </c>
      <c r="N29" s="15">
        <v>0</v>
      </c>
    </row>
    <row r="30" spans="1:16" x14ac:dyDescent="0.2">
      <c r="A30" s="11">
        <v>44866</v>
      </c>
      <c r="G30" s="18">
        <f t="shared" si="5"/>
        <v>0</v>
      </c>
      <c r="H30" s="18">
        <f t="shared" si="6"/>
        <v>0</v>
      </c>
      <c r="I30" s="14">
        <v>0.21</v>
      </c>
      <c r="J30" s="14">
        <v>0.05</v>
      </c>
      <c r="K30" s="15">
        <f t="shared" si="7"/>
        <v>0</v>
      </c>
      <c r="L30" s="15">
        <f t="shared" si="8"/>
        <v>0</v>
      </c>
      <c r="M30" s="15">
        <v>0</v>
      </c>
      <c r="N30" s="15">
        <v>0</v>
      </c>
    </row>
    <row r="31" spans="1:16" x14ac:dyDescent="0.2">
      <c r="A31" s="11">
        <v>44896</v>
      </c>
      <c r="G31" s="18">
        <f t="shared" si="5"/>
        <v>0</v>
      </c>
      <c r="H31" s="18">
        <f t="shared" si="6"/>
        <v>0</v>
      </c>
      <c r="I31" s="14">
        <v>0.21</v>
      </c>
      <c r="J31" s="14">
        <v>0.05</v>
      </c>
      <c r="K31" s="15">
        <f t="shared" si="7"/>
        <v>0</v>
      </c>
      <c r="L31" s="15">
        <f t="shared" si="8"/>
        <v>0</v>
      </c>
      <c r="M31" s="15">
        <v>0</v>
      </c>
      <c r="N31" s="15">
        <v>0</v>
      </c>
    </row>
    <row r="32" spans="1:16" x14ac:dyDescent="0.2">
      <c r="A32" s="11">
        <v>44927</v>
      </c>
      <c r="G32" s="18">
        <f t="shared" si="5"/>
        <v>0</v>
      </c>
      <c r="H32" s="18">
        <f t="shared" si="6"/>
        <v>0</v>
      </c>
      <c r="I32" s="14">
        <v>0.21</v>
      </c>
      <c r="J32" s="14">
        <v>0.05</v>
      </c>
      <c r="K32" s="15">
        <f t="shared" si="7"/>
        <v>0</v>
      </c>
      <c r="L32" s="15">
        <f t="shared" si="8"/>
        <v>0</v>
      </c>
      <c r="M32" s="15">
        <v>0</v>
      </c>
      <c r="N32" s="15">
        <v>0</v>
      </c>
    </row>
    <row r="33" spans="1:14" x14ac:dyDescent="0.2">
      <c r="A33" s="11">
        <v>44958</v>
      </c>
      <c r="G33" s="18">
        <f t="shared" si="5"/>
        <v>0</v>
      </c>
      <c r="H33" s="18">
        <f t="shared" si="6"/>
        <v>0</v>
      </c>
      <c r="I33" s="14">
        <v>0.21</v>
      </c>
      <c r="J33" s="14">
        <v>0.05</v>
      </c>
      <c r="K33" s="15">
        <f t="shared" si="7"/>
        <v>0</v>
      </c>
      <c r="L33" s="15">
        <f t="shared" si="8"/>
        <v>0</v>
      </c>
      <c r="M33" s="15">
        <v>0</v>
      </c>
      <c r="N33" s="15">
        <v>0</v>
      </c>
    </row>
    <row r="35" spans="1:14" x14ac:dyDescent="0.2">
      <c r="C35" s="23" t="s">
        <v>44</v>
      </c>
      <c r="D35" s="24"/>
      <c r="E35" s="24"/>
      <c r="F35" s="24"/>
      <c r="G35" s="25"/>
      <c r="H35" s="25"/>
    </row>
    <row r="36" spans="1:14" x14ac:dyDescent="0.2">
      <c r="C36" s="23" t="s">
        <v>22</v>
      </c>
      <c r="D36" s="24"/>
      <c r="E36" s="24"/>
      <c r="F36" s="24"/>
      <c r="G36" s="25"/>
      <c r="H36" s="25"/>
    </row>
    <row r="37" spans="1:14" x14ac:dyDescent="0.2">
      <c r="C37" s="23" t="s">
        <v>42</v>
      </c>
      <c r="D37" s="24"/>
      <c r="E37" s="24"/>
      <c r="F37" s="24"/>
      <c r="G37" s="25"/>
      <c r="H37" s="25"/>
    </row>
    <row r="38" spans="1:14" x14ac:dyDescent="0.2">
      <c r="C38" s="15" t="s">
        <v>23</v>
      </c>
      <c r="D38" s="24"/>
      <c r="E38" s="24"/>
      <c r="F38" s="24"/>
      <c r="G38" s="25"/>
      <c r="H38" s="25"/>
    </row>
    <row r="39" spans="1:14" x14ac:dyDescent="0.2">
      <c r="C39" s="5"/>
      <c r="D39" s="24"/>
      <c r="E39" s="24"/>
      <c r="F39" s="24"/>
      <c r="G39" s="24"/>
      <c r="H39" s="24"/>
    </row>
    <row r="40" spans="1:14" x14ac:dyDescent="0.2">
      <c r="C40" s="15" t="s">
        <v>24</v>
      </c>
      <c r="D40" s="26" t="s">
        <v>25</v>
      </c>
      <c r="E40" s="25" t="s">
        <v>26</v>
      </c>
      <c r="F40" s="15" t="s">
        <v>27</v>
      </c>
      <c r="G40" s="14" t="s">
        <v>12</v>
      </c>
      <c r="H40" s="15" t="s">
        <v>28</v>
      </c>
    </row>
    <row r="41" spans="1:14" x14ac:dyDescent="0.2">
      <c r="C41" s="12">
        <v>19447093.452</v>
      </c>
      <c r="D41" s="12">
        <v>244315</v>
      </c>
      <c r="E41" s="12">
        <v>79214.490000000005</v>
      </c>
      <c r="F41" s="12">
        <f>E41-D41</f>
        <v>-165100.51</v>
      </c>
      <c r="G41" s="14">
        <v>0.21</v>
      </c>
      <c r="H41" s="12">
        <f>F41*G41</f>
        <v>-34671.107100000001</v>
      </c>
    </row>
    <row r="42" spans="1:14" x14ac:dyDescent="0.2">
      <c r="C42" s="12">
        <v>29170640.177999996</v>
      </c>
      <c r="D42" s="12"/>
      <c r="E42" s="12">
        <v>347269.53</v>
      </c>
      <c r="F42" s="12">
        <f>E42</f>
        <v>347269.53</v>
      </c>
      <c r="G42" s="14">
        <v>0.21</v>
      </c>
      <c r="H42" s="12">
        <f t="shared" ref="H42:H47" si="9">F42*G42</f>
        <v>72926.601300000009</v>
      </c>
    </row>
    <row r="43" spans="1:14" x14ac:dyDescent="0.2">
      <c r="C43" s="12">
        <v>584700.50199999998</v>
      </c>
      <c r="D43" s="12"/>
      <c r="E43" s="12">
        <v>2575.12</v>
      </c>
      <c r="F43" s="12">
        <f t="shared" ref="F43:F47" si="10">E43</f>
        <v>2575.12</v>
      </c>
      <c r="G43" s="14">
        <v>0.21</v>
      </c>
      <c r="H43" s="12">
        <f t="shared" si="9"/>
        <v>540.77519999999993</v>
      </c>
    </row>
    <row r="44" spans="1:14" x14ac:dyDescent="0.2">
      <c r="C44" s="12">
        <v>877050.75299999991</v>
      </c>
      <c r="D44" s="12"/>
      <c r="E44" s="12">
        <v>10441.08</v>
      </c>
      <c r="F44" s="12">
        <f t="shared" si="10"/>
        <v>10441.08</v>
      </c>
      <c r="G44" s="28">
        <v>0.21</v>
      </c>
      <c r="H44" s="12">
        <f t="shared" si="9"/>
        <v>2192.6268</v>
      </c>
    </row>
    <row r="45" spans="1:14" x14ac:dyDescent="0.2">
      <c r="C45" s="12">
        <v>137487</v>
      </c>
      <c r="D45" s="12"/>
      <c r="E45" s="12">
        <v>654.54999999999995</v>
      </c>
      <c r="F45" s="12">
        <f t="shared" si="10"/>
        <v>654.54999999999995</v>
      </c>
      <c r="G45" s="28">
        <v>0.21</v>
      </c>
      <c r="H45" s="12">
        <f t="shared" si="9"/>
        <v>137.45549999999997</v>
      </c>
    </row>
    <row r="46" spans="1:14" x14ac:dyDescent="0.2">
      <c r="C46" s="12">
        <v>206231</v>
      </c>
      <c r="D46" s="12"/>
      <c r="E46" s="12">
        <v>2455.13</v>
      </c>
      <c r="F46" s="12">
        <f t="shared" si="10"/>
        <v>2455.13</v>
      </c>
      <c r="G46" s="28">
        <v>0.21</v>
      </c>
      <c r="H46" s="12">
        <f t="shared" si="9"/>
        <v>515.57730000000004</v>
      </c>
    </row>
    <row r="47" spans="1:14" ht="15" x14ac:dyDescent="0.35">
      <c r="C47" s="12">
        <v>147065</v>
      </c>
      <c r="D47" s="12"/>
      <c r="E47" s="27">
        <v>818.3</v>
      </c>
      <c r="F47" s="27">
        <f t="shared" si="10"/>
        <v>818.3</v>
      </c>
      <c r="G47" s="28">
        <v>0.21</v>
      </c>
      <c r="H47" s="27">
        <f t="shared" si="9"/>
        <v>171.84299999999999</v>
      </c>
    </row>
    <row r="48" spans="1:14" x14ac:dyDescent="0.2">
      <c r="C48" s="12"/>
      <c r="D48" s="12"/>
      <c r="E48" s="12">
        <f>SUM(E41:E47)</f>
        <v>443428.2</v>
      </c>
      <c r="F48" s="12">
        <f>SUM(F41:F47)</f>
        <v>199113.19999999998</v>
      </c>
      <c r="G48" s="22" t="s">
        <v>29</v>
      </c>
      <c r="H48" s="12">
        <f>SUM(H41:H47)</f>
        <v>41813.771999999997</v>
      </c>
    </row>
    <row r="49" spans="3:8" ht="15" x14ac:dyDescent="0.35">
      <c r="E49" s="15"/>
      <c r="F49" s="15"/>
      <c r="G49" s="22" t="s">
        <v>30</v>
      </c>
      <c r="H49" s="27">
        <f>-H60*0.21</f>
        <v>-6738.0925500000012</v>
      </c>
    </row>
    <row r="50" spans="3:8" x14ac:dyDescent="0.2">
      <c r="H50" s="15">
        <f>H48+H49</f>
        <v>35075.679449999996</v>
      </c>
    </row>
    <row r="51" spans="3:8" x14ac:dyDescent="0.2">
      <c r="H51" s="15">
        <f>H50-K13</f>
        <v>1.9949999987147748E-3</v>
      </c>
    </row>
    <row r="52" spans="3:8" x14ac:dyDescent="0.2">
      <c r="C52" s="15" t="s">
        <v>32</v>
      </c>
      <c r="D52" s="24" t="s">
        <v>25</v>
      </c>
      <c r="E52" s="25" t="s">
        <v>33</v>
      </c>
      <c r="F52" s="15" t="s">
        <v>34</v>
      </c>
      <c r="G52" s="14" t="s">
        <v>13</v>
      </c>
      <c r="H52" s="15" t="s">
        <v>35</v>
      </c>
    </row>
    <row r="53" spans="3:8" x14ac:dyDescent="0.2">
      <c r="C53" s="12">
        <v>38894186.903999999</v>
      </c>
      <c r="D53" s="12">
        <f>D41</f>
        <v>244315</v>
      </c>
      <c r="E53" s="12">
        <v>158428.99</v>
      </c>
      <c r="F53" s="12">
        <f>E53-D53</f>
        <v>-85886.010000000009</v>
      </c>
      <c r="G53" s="14">
        <v>0.05</v>
      </c>
      <c r="H53" s="12">
        <f>F53*G53</f>
        <v>-4294.3005000000003</v>
      </c>
    </row>
    <row r="54" spans="3:8" x14ac:dyDescent="0.2">
      <c r="C54" s="12">
        <v>58341280.355999991</v>
      </c>
      <c r="D54" s="12"/>
      <c r="E54" s="12">
        <v>694539.05</v>
      </c>
      <c r="F54" s="12">
        <f>E54</f>
        <v>694539.05</v>
      </c>
      <c r="G54" s="14">
        <v>0.05</v>
      </c>
      <c r="H54" s="12">
        <f t="shared" ref="H54:H59" si="11">F54*G54</f>
        <v>34726.952500000007</v>
      </c>
    </row>
    <row r="55" spans="3:8" x14ac:dyDescent="0.2">
      <c r="C55" s="12">
        <v>1169401.004</v>
      </c>
      <c r="D55" s="12"/>
      <c r="E55" s="12">
        <v>5150.24</v>
      </c>
      <c r="F55" s="12">
        <f t="shared" ref="F55:F59" si="12">E55</f>
        <v>5150.24</v>
      </c>
      <c r="G55" s="14">
        <v>0.05</v>
      </c>
      <c r="H55" s="12">
        <f t="shared" si="11"/>
        <v>257.512</v>
      </c>
    </row>
    <row r="56" spans="3:8" x14ac:dyDescent="0.2">
      <c r="C56" s="12">
        <v>1754101.5059999998</v>
      </c>
      <c r="D56" s="12"/>
      <c r="E56" s="12">
        <v>20882.16</v>
      </c>
      <c r="F56" s="12">
        <f t="shared" si="12"/>
        <v>20882.16</v>
      </c>
      <c r="G56" s="14">
        <v>0.05</v>
      </c>
      <c r="H56" s="12">
        <f t="shared" si="11"/>
        <v>1044.1079999999999</v>
      </c>
    </row>
    <row r="57" spans="3:8" x14ac:dyDescent="0.2">
      <c r="C57" s="12">
        <v>274974</v>
      </c>
      <c r="D57" s="12"/>
      <c r="E57" s="12">
        <v>1309.1099999999999</v>
      </c>
      <c r="F57" s="12">
        <f t="shared" si="12"/>
        <v>1309.1099999999999</v>
      </c>
      <c r="G57" s="14">
        <v>0.05</v>
      </c>
      <c r="H57" s="12">
        <f t="shared" si="11"/>
        <v>65.455500000000001</v>
      </c>
    </row>
    <row r="58" spans="3:8" x14ac:dyDescent="0.2">
      <c r="C58" s="12">
        <v>412461</v>
      </c>
      <c r="D58" s="12"/>
      <c r="E58" s="12">
        <v>4910.25</v>
      </c>
      <c r="F58" s="12">
        <f t="shared" si="12"/>
        <v>4910.25</v>
      </c>
      <c r="G58" s="28">
        <v>0.05</v>
      </c>
      <c r="H58" s="12">
        <f t="shared" si="11"/>
        <v>245.51250000000002</v>
      </c>
    </row>
    <row r="59" spans="3:8" ht="15" x14ac:dyDescent="0.35">
      <c r="C59" s="12">
        <v>147065</v>
      </c>
      <c r="D59" s="12"/>
      <c r="E59" s="27">
        <v>818.3</v>
      </c>
      <c r="F59" s="27">
        <f t="shared" si="12"/>
        <v>818.3</v>
      </c>
      <c r="G59" s="28">
        <v>0.05</v>
      </c>
      <c r="H59" s="27">
        <f t="shared" si="11"/>
        <v>40.914999999999999</v>
      </c>
    </row>
    <row r="60" spans="3:8" x14ac:dyDescent="0.2">
      <c r="E60" s="15">
        <f>SUM(E53:E59)</f>
        <v>886038.10000000009</v>
      </c>
      <c r="F60" s="15">
        <f>SUM(F53:F59)</f>
        <v>641723.10000000009</v>
      </c>
      <c r="H60" s="12">
        <f>SUM(H53:H59)</f>
        <v>32086.155000000006</v>
      </c>
    </row>
    <row r="61" spans="3:8" x14ac:dyDescent="0.2">
      <c r="E61" s="15"/>
      <c r="F61" s="15"/>
      <c r="H61" s="15">
        <f>H60-L13</f>
        <v>5.0000000555883162E-4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5 of 9
Clements</oddHeader>
    <oddFooter>&amp;L_x000D_&amp;1#&amp;"Calibri"&amp;14&amp;K000000 Business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75AFA-D75F-4E67-B39A-9420BD3E2EBF}">
  <sheetPr>
    <pageSetUpPr fitToPage="1"/>
  </sheetPr>
  <dimension ref="A1:S74"/>
  <sheetViews>
    <sheetView zoomScaleNormal="100" workbookViewId="0"/>
  </sheetViews>
  <sheetFormatPr defaultRowHeight="12.75" x14ac:dyDescent="0.2"/>
  <cols>
    <col min="1" max="1" width="11.28515625" style="9" customWidth="1"/>
    <col min="2" max="2" width="1.7109375" customWidth="1"/>
    <col min="3" max="3" width="13.5703125" customWidth="1"/>
    <col min="4" max="4" width="12.7109375" customWidth="1"/>
    <col min="5" max="5" width="16.14062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x14ac:dyDescent="0.2">
      <c r="A5" s="4" t="s">
        <v>45</v>
      </c>
    </row>
    <row r="6" spans="1:19" x14ac:dyDescent="0.2">
      <c r="A6" s="5" t="s">
        <v>46</v>
      </c>
    </row>
    <row r="8" spans="1:19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9" x14ac:dyDescent="0.2">
      <c r="A9" s="9" t="s">
        <v>18</v>
      </c>
      <c r="M9" s="10">
        <v>908606</v>
      </c>
      <c r="O9" s="15" t="s">
        <v>47</v>
      </c>
    </row>
    <row r="10" spans="1:19" x14ac:dyDescent="0.2">
      <c r="A10" s="11">
        <v>44264</v>
      </c>
      <c r="C10" s="12">
        <v>4512896</v>
      </c>
      <c r="D10" s="13">
        <v>20334</v>
      </c>
      <c r="E10" s="13">
        <f>23430.45</f>
        <v>23430.45</v>
      </c>
      <c r="F10" s="13">
        <f>45891.21</f>
        <v>45891.21</v>
      </c>
      <c r="G10" s="18">
        <f t="shared" ref="G10:G15" si="0">E10-D10</f>
        <v>3096.4500000000007</v>
      </c>
      <c r="H10" s="18">
        <f t="shared" ref="H10:H15" si="1">F10-D10</f>
        <v>25557.21</v>
      </c>
      <c r="I10" s="14">
        <v>0.21</v>
      </c>
      <c r="J10" s="14">
        <v>0.05</v>
      </c>
      <c r="K10" s="15">
        <f t="shared" ref="K10:K15" si="2">G10*I10-L10*I10</f>
        <v>381.90379500000012</v>
      </c>
      <c r="L10" s="15">
        <f t="shared" ref="L10:L15" si="3">H10*J10</f>
        <v>1277.8605</v>
      </c>
      <c r="M10" s="15">
        <f t="shared" ref="M10:M13" si="4">M9+K10+L10</f>
        <v>910265.764295</v>
      </c>
      <c r="N10" s="15">
        <v>0</v>
      </c>
      <c r="O10" s="16"/>
    </row>
    <row r="11" spans="1:19" x14ac:dyDescent="0.2">
      <c r="A11" s="11">
        <v>44287</v>
      </c>
      <c r="C11" s="12">
        <v>4512896</v>
      </c>
      <c r="D11" s="13">
        <v>20334</v>
      </c>
      <c r="E11" s="13">
        <f>23430.45</f>
        <v>23430.45</v>
      </c>
      <c r="F11" s="13">
        <f>45891.21</f>
        <v>45891.21</v>
      </c>
      <c r="G11" s="18">
        <f t="shared" si="0"/>
        <v>3096.4500000000007</v>
      </c>
      <c r="H11" s="18">
        <f t="shared" si="1"/>
        <v>25557.21</v>
      </c>
      <c r="I11" s="14">
        <v>0.21</v>
      </c>
      <c r="J11" s="14">
        <v>0.05</v>
      </c>
      <c r="K11" s="15">
        <f t="shared" si="2"/>
        <v>381.90379500000012</v>
      </c>
      <c r="L11" s="15">
        <f t="shared" si="3"/>
        <v>1277.8605</v>
      </c>
      <c r="M11" s="15">
        <f t="shared" si="4"/>
        <v>911925.52859</v>
      </c>
      <c r="N11" s="15">
        <v>0</v>
      </c>
      <c r="O11" s="16"/>
      <c r="Q11" s="15">
        <f>358619-M12</f>
        <v>-554966.292885</v>
      </c>
      <c r="R11" s="22"/>
      <c r="S11" s="15"/>
    </row>
    <row r="12" spans="1:19" x14ac:dyDescent="0.2">
      <c r="A12" s="11">
        <v>44317</v>
      </c>
      <c r="C12" s="12">
        <v>4512896</v>
      </c>
      <c r="D12" s="13">
        <v>20334</v>
      </c>
      <c r="E12" s="13">
        <f>23430.45</f>
        <v>23430.45</v>
      </c>
      <c r="F12" s="13">
        <f>45891.21</f>
        <v>45891.21</v>
      </c>
      <c r="G12" s="18">
        <f t="shared" si="0"/>
        <v>3096.4500000000007</v>
      </c>
      <c r="H12" s="18">
        <f t="shared" si="1"/>
        <v>25557.21</v>
      </c>
      <c r="I12" s="14">
        <v>0.21</v>
      </c>
      <c r="J12" s="14">
        <v>0.05</v>
      </c>
      <c r="K12" s="15">
        <f t="shared" si="2"/>
        <v>381.90379500000012</v>
      </c>
      <c r="L12" s="15">
        <f t="shared" si="3"/>
        <v>1277.8605</v>
      </c>
      <c r="M12" s="15">
        <f t="shared" si="4"/>
        <v>913585.292885</v>
      </c>
      <c r="N12" s="15">
        <v>0</v>
      </c>
      <c r="Q12">
        <f>+Q11/0.389</f>
        <v>-1426648.5678277635</v>
      </c>
      <c r="R12" s="15"/>
      <c r="S12" s="15"/>
    </row>
    <row r="13" spans="1:19" x14ac:dyDescent="0.2">
      <c r="A13" s="11">
        <v>44348</v>
      </c>
      <c r="C13" s="12">
        <v>4512896</v>
      </c>
      <c r="D13" s="13">
        <v>20334</v>
      </c>
      <c r="E13" s="13">
        <f>23430.45</f>
        <v>23430.45</v>
      </c>
      <c r="F13" s="13">
        <f>45891.21</f>
        <v>45891.21</v>
      </c>
      <c r="G13" s="18">
        <f t="shared" si="0"/>
        <v>3096.4500000000007</v>
      </c>
      <c r="H13" s="18">
        <f t="shared" si="1"/>
        <v>25557.21</v>
      </c>
      <c r="I13" s="14">
        <v>0.21</v>
      </c>
      <c r="J13" s="14">
        <v>0.05</v>
      </c>
      <c r="K13" s="15">
        <f t="shared" si="2"/>
        <v>381.90379500000012</v>
      </c>
      <c r="L13" s="15">
        <f t="shared" si="3"/>
        <v>1277.8605</v>
      </c>
      <c r="M13" s="15">
        <f t="shared" si="4"/>
        <v>915245.05718</v>
      </c>
      <c r="N13" s="15">
        <v>0</v>
      </c>
      <c r="Q13" s="15">
        <f>374733-M14</f>
        <v>374733</v>
      </c>
      <c r="S13" s="15"/>
    </row>
    <row r="14" spans="1:19" x14ac:dyDescent="0.2">
      <c r="A14" s="11">
        <v>44378</v>
      </c>
      <c r="C14" s="12"/>
      <c r="D14" s="13"/>
      <c r="E14" s="13"/>
      <c r="F14" s="13"/>
      <c r="G14" s="18">
        <f t="shared" si="0"/>
        <v>0</v>
      </c>
      <c r="H14" s="18">
        <f t="shared" si="1"/>
        <v>0</v>
      </c>
      <c r="I14" s="14">
        <v>0.21</v>
      </c>
      <c r="J14" s="14">
        <v>0.05</v>
      </c>
      <c r="K14" s="15">
        <f t="shared" si="2"/>
        <v>0</v>
      </c>
      <c r="L14" s="15">
        <f t="shared" si="3"/>
        <v>0</v>
      </c>
      <c r="M14" s="15">
        <v>0</v>
      </c>
      <c r="N14" s="15">
        <v>0</v>
      </c>
      <c r="Q14">
        <f>+Q13/0.389</f>
        <v>963323.90745501278</v>
      </c>
      <c r="R14" s="15"/>
      <c r="S14" s="15"/>
    </row>
    <row r="15" spans="1:19" x14ac:dyDescent="0.2">
      <c r="A15" s="11">
        <v>44409</v>
      </c>
      <c r="C15" s="12"/>
      <c r="D15" s="13"/>
      <c r="E15" s="13"/>
      <c r="F15" s="13"/>
      <c r="G15" s="18">
        <f t="shared" si="0"/>
        <v>0</v>
      </c>
      <c r="H15" s="18">
        <f t="shared" si="1"/>
        <v>0</v>
      </c>
      <c r="I15" s="14">
        <v>0.21</v>
      </c>
      <c r="J15" s="14">
        <v>0.05</v>
      </c>
      <c r="K15" s="15">
        <f t="shared" si="2"/>
        <v>0</v>
      </c>
      <c r="L15" s="15">
        <f t="shared" si="3"/>
        <v>0</v>
      </c>
      <c r="M15" s="15">
        <v>0</v>
      </c>
      <c r="N15" s="15">
        <v>0</v>
      </c>
      <c r="Q15" s="15">
        <f>+M15-386700</f>
        <v>-386700</v>
      </c>
      <c r="R15" s="29"/>
      <c r="S15" s="15"/>
    </row>
    <row r="16" spans="1:19" x14ac:dyDescent="0.2">
      <c r="A16" s="11">
        <v>44448</v>
      </c>
      <c r="C16" s="12"/>
      <c r="D16" s="13"/>
      <c r="E16" s="13"/>
      <c r="F16" s="13"/>
      <c r="G16" s="18">
        <f t="shared" ref="G16:G33" si="5">E16-D16</f>
        <v>0</v>
      </c>
      <c r="H16" s="18">
        <f t="shared" ref="H16:H33" si="6">F16-D16</f>
        <v>0</v>
      </c>
      <c r="I16" s="14">
        <v>0.21</v>
      </c>
      <c r="J16" s="14">
        <v>0.05</v>
      </c>
      <c r="K16" s="15">
        <f t="shared" ref="K16:K33" si="7">G16*I16-L16*I16</f>
        <v>0</v>
      </c>
      <c r="L16" s="15">
        <f t="shared" ref="L16:L33" si="8">H16*J16</f>
        <v>0</v>
      </c>
      <c r="M16" s="15">
        <v>0</v>
      </c>
      <c r="N16" s="15">
        <v>0</v>
      </c>
      <c r="O16" s="15"/>
      <c r="P16" s="15"/>
    </row>
    <row r="17" spans="1:16" x14ac:dyDescent="0.2">
      <c r="A17" s="11">
        <v>44470</v>
      </c>
      <c r="C17" s="12"/>
      <c r="D17" s="13"/>
      <c r="E17" s="13"/>
      <c r="F17" s="13"/>
      <c r="G17" s="18">
        <f t="shared" si="5"/>
        <v>0</v>
      </c>
      <c r="H17" s="18">
        <f t="shared" si="6"/>
        <v>0</v>
      </c>
      <c r="I17" s="14">
        <v>0.21</v>
      </c>
      <c r="J17" s="14">
        <v>0.05</v>
      </c>
      <c r="K17" s="15">
        <f t="shared" si="7"/>
        <v>0</v>
      </c>
      <c r="L17" s="15">
        <f t="shared" si="8"/>
        <v>0</v>
      </c>
      <c r="M17" s="15">
        <v>0</v>
      </c>
      <c r="N17" s="15">
        <v>0</v>
      </c>
      <c r="O17" s="15"/>
      <c r="P17" s="15"/>
    </row>
    <row r="18" spans="1:16" x14ac:dyDescent="0.2">
      <c r="A18" s="11">
        <v>44501</v>
      </c>
      <c r="C18" s="12"/>
      <c r="D18" s="13"/>
      <c r="E18" s="13"/>
      <c r="F18" s="13"/>
      <c r="G18" s="18">
        <f t="shared" si="5"/>
        <v>0</v>
      </c>
      <c r="H18" s="18">
        <f t="shared" si="6"/>
        <v>0</v>
      </c>
      <c r="I18" s="14">
        <v>0.21</v>
      </c>
      <c r="J18" s="14">
        <v>0.05</v>
      </c>
      <c r="K18" s="15">
        <f t="shared" si="7"/>
        <v>0</v>
      </c>
      <c r="L18" s="15">
        <f t="shared" si="8"/>
        <v>0</v>
      </c>
      <c r="M18" s="15">
        <v>0</v>
      </c>
      <c r="N18" s="15">
        <v>0</v>
      </c>
      <c r="O18" s="15"/>
      <c r="P18" s="15"/>
    </row>
    <row r="19" spans="1:16" x14ac:dyDescent="0.2">
      <c r="A19" s="11">
        <v>44531</v>
      </c>
      <c r="G19" s="18">
        <f t="shared" si="5"/>
        <v>0</v>
      </c>
      <c r="H19" s="18">
        <f t="shared" si="6"/>
        <v>0</v>
      </c>
      <c r="I19" s="14">
        <v>0.21</v>
      </c>
      <c r="J19" s="14">
        <v>0.05</v>
      </c>
      <c r="K19" s="15">
        <f t="shared" si="7"/>
        <v>0</v>
      </c>
      <c r="L19" s="15">
        <f t="shared" si="8"/>
        <v>0</v>
      </c>
      <c r="M19" s="15">
        <v>0</v>
      </c>
      <c r="N19" s="15">
        <v>0</v>
      </c>
      <c r="O19" s="15"/>
      <c r="P19" s="15"/>
    </row>
    <row r="20" spans="1:16" x14ac:dyDescent="0.2">
      <c r="A20" s="11">
        <v>44562</v>
      </c>
      <c r="G20" s="18">
        <f t="shared" si="5"/>
        <v>0</v>
      </c>
      <c r="H20" s="18">
        <f t="shared" si="6"/>
        <v>0</v>
      </c>
      <c r="I20" s="14">
        <v>0.21</v>
      </c>
      <c r="J20" s="14">
        <v>0.05</v>
      </c>
      <c r="K20" s="15">
        <f t="shared" si="7"/>
        <v>0</v>
      </c>
      <c r="L20" s="15">
        <f t="shared" si="8"/>
        <v>0</v>
      </c>
      <c r="M20" s="15">
        <v>0</v>
      </c>
      <c r="N20" s="15">
        <v>0</v>
      </c>
      <c r="O20" s="15"/>
      <c r="P20" s="15"/>
    </row>
    <row r="21" spans="1:16" x14ac:dyDescent="0.2">
      <c r="A21" s="11">
        <v>44593</v>
      </c>
      <c r="G21" s="18">
        <f t="shared" si="5"/>
        <v>0</v>
      </c>
      <c r="H21" s="18">
        <f t="shared" si="6"/>
        <v>0</v>
      </c>
      <c r="I21" s="14">
        <v>0.21</v>
      </c>
      <c r="J21" s="14">
        <v>0.05</v>
      </c>
      <c r="K21" s="15">
        <f t="shared" si="7"/>
        <v>0</v>
      </c>
      <c r="L21" s="15">
        <f t="shared" si="8"/>
        <v>0</v>
      </c>
      <c r="M21" s="15">
        <v>0</v>
      </c>
      <c r="N21" s="15">
        <v>0</v>
      </c>
    </row>
    <row r="22" spans="1:16" x14ac:dyDescent="0.2">
      <c r="A22" s="11">
        <v>44629</v>
      </c>
      <c r="G22" s="18">
        <f t="shared" si="5"/>
        <v>0</v>
      </c>
      <c r="H22" s="18">
        <f t="shared" si="6"/>
        <v>0</v>
      </c>
      <c r="I22" s="14">
        <v>0.21</v>
      </c>
      <c r="J22" s="14">
        <v>0.05</v>
      </c>
      <c r="K22" s="15">
        <f t="shared" si="7"/>
        <v>0</v>
      </c>
      <c r="L22" s="15">
        <f t="shared" si="8"/>
        <v>0</v>
      </c>
      <c r="M22" s="15">
        <v>0</v>
      </c>
      <c r="N22" s="15">
        <v>0</v>
      </c>
    </row>
    <row r="23" spans="1:16" x14ac:dyDescent="0.2">
      <c r="A23" s="11">
        <v>44652</v>
      </c>
      <c r="G23" s="18">
        <f t="shared" si="5"/>
        <v>0</v>
      </c>
      <c r="H23" s="18">
        <f t="shared" si="6"/>
        <v>0</v>
      </c>
      <c r="I23" s="14">
        <v>0.21</v>
      </c>
      <c r="J23" s="14">
        <v>0.05</v>
      </c>
      <c r="K23" s="15">
        <f t="shared" si="7"/>
        <v>0</v>
      </c>
      <c r="L23" s="15">
        <f t="shared" si="8"/>
        <v>0</v>
      </c>
      <c r="M23" s="15">
        <v>0</v>
      </c>
      <c r="N23" s="15">
        <v>0</v>
      </c>
    </row>
    <row r="24" spans="1:16" x14ac:dyDescent="0.2">
      <c r="A24" s="11">
        <v>44682</v>
      </c>
      <c r="G24" s="18">
        <f t="shared" si="5"/>
        <v>0</v>
      </c>
      <c r="H24" s="18">
        <f t="shared" si="6"/>
        <v>0</v>
      </c>
      <c r="I24" s="14">
        <v>0.21</v>
      </c>
      <c r="J24" s="14">
        <v>0.05</v>
      </c>
      <c r="K24" s="15">
        <f t="shared" si="7"/>
        <v>0</v>
      </c>
      <c r="L24" s="15">
        <f t="shared" si="8"/>
        <v>0</v>
      </c>
      <c r="M24" s="15">
        <v>0</v>
      </c>
      <c r="N24" s="15">
        <v>0</v>
      </c>
    </row>
    <row r="25" spans="1:16" x14ac:dyDescent="0.2">
      <c r="A25" s="11">
        <v>44713</v>
      </c>
      <c r="G25" s="18">
        <f t="shared" si="5"/>
        <v>0</v>
      </c>
      <c r="H25" s="18">
        <f t="shared" si="6"/>
        <v>0</v>
      </c>
      <c r="I25" s="14">
        <v>0.21</v>
      </c>
      <c r="J25" s="14">
        <v>0.05</v>
      </c>
      <c r="K25" s="15">
        <f t="shared" si="7"/>
        <v>0</v>
      </c>
      <c r="L25" s="15">
        <f t="shared" si="8"/>
        <v>0</v>
      </c>
      <c r="M25" s="15">
        <v>0</v>
      </c>
      <c r="N25" s="15">
        <v>0</v>
      </c>
    </row>
    <row r="26" spans="1:16" x14ac:dyDescent="0.2">
      <c r="A26" s="11">
        <v>44743</v>
      </c>
      <c r="G26" s="18">
        <f t="shared" si="5"/>
        <v>0</v>
      </c>
      <c r="H26" s="18">
        <f t="shared" si="6"/>
        <v>0</v>
      </c>
      <c r="I26" s="14">
        <v>0.21</v>
      </c>
      <c r="J26" s="14">
        <v>0.05</v>
      </c>
      <c r="K26" s="15">
        <f t="shared" si="7"/>
        <v>0</v>
      </c>
      <c r="L26" s="15">
        <f t="shared" si="8"/>
        <v>0</v>
      </c>
      <c r="M26" s="15">
        <v>0</v>
      </c>
      <c r="N26" s="15">
        <v>0</v>
      </c>
    </row>
    <row r="27" spans="1:16" x14ac:dyDescent="0.2">
      <c r="A27" s="11">
        <v>44774</v>
      </c>
      <c r="G27" s="18">
        <f t="shared" si="5"/>
        <v>0</v>
      </c>
      <c r="H27" s="18">
        <f t="shared" si="6"/>
        <v>0</v>
      </c>
      <c r="I27" s="14">
        <v>0.21</v>
      </c>
      <c r="J27" s="14">
        <v>0.05</v>
      </c>
      <c r="K27" s="15">
        <f t="shared" si="7"/>
        <v>0</v>
      </c>
      <c r="L27" s="15">
        <f t="shared" si="8"/>
        <v>0</v>
      </c>
      <c r="M27" s="15">
        <v>0</v>
      </c>
      <c r="N27" s="15">
        <v>0</v>
      </c>
    </row>
    <row r="28" spans="1:16" x14ac:dyDescent="0.2">
      <c r="A28" s="11">
        <v>44813</v>
      </c>
      <c r="G28" s="18">
        <f t="shared" si="5"/>
        <v>0</v>
      </c>
      <c r="H28" s="18">
        <f t="shared" si="6"/>
        <v>0</v>
      </c>
      <c r="I28" s="14">
        <v>0.21</v>
      </c>
      <c r="J28" s="14">
        <v>0.05</v>
      </c>
      <c r="K28" s="15">
        <f t="shared" si="7"/>
        <v>0</v>
      </c>
      <c r="L28" s="15">
        <f t="shared" si="8"/>
        <v>0</v>
      </c>
      <c r="M28" s="15">
        <v>0</v>
      </c>
      <c r="N28" s="15">
        <v>0</v>
      </c>
    </row>
    <row r="29" spans="1:16" x14ac:dyDescent="0.2">
      <c r="A29" s="11">
        <v>44835</v>
      </c>
      <c r="G29" s="18">
        <f t="shared" si="5"/>
        <v>0</v>
      </c>
      <c r="H29" s="18">
        <f t="shared" si="6"/>
        <v>0</v>
      </c>
      <c r="I29" s="14">
        <v>0.21</v>
      </c>
      <c r="J29" s="14">
        <v>0.05</v>
      </c>
      <c r="K29" s="15">
        <f t="shared" si="7"/>
        <v>0</v>
      </c>
      <c r="L29" s="15">
        <f t="shared" si="8"/>
        <v>0</v>
      </c>
      <c r="M29" s="15">
        <v>0</v>
      </c>
      <c r="N29" s="15">
        <v>0</v>
      </c>
    </row>
    <row r="30" spans="1:16" x14ac:dyDescent="0.2">
      <c r="A30" s="11">
        <v>44866</v>
      </c>
      <c r="G30" s="18">
        <f t="shared" si="5"/>
        <v>0</v>
      </c>
      <c r="H30" s="18">
        <f t="shared" si="6"/>
        <v>0</v>
      </c>
      <c r="I30" s="14">
        <v>0.21</v>
      </c>
      <c r="J30" s="14">
        <v>0.05</v>
      </c>
      <c r="K30" s="15">
        <f t="shared" si="7"/>
        <v>0</v>
      </c>
      <c r="L30" s="15">
        <f t="shared" si="8"/>
        <v>0</v>
      </c>
      <c r="M30" s="15">
        <v>0</v>
      </c>
      <c r="N30" s="15">
        <v>0</v>
      </c>
    </row>
    <row r="31" spans="1:16" x14ac:dyDescent="0.2">
      <c r="A31" s="11">
        <v>44896</v>
      </c>
      <c r="G31" s="18">
        <f t="shared" si="5"/>
        <v>0</v>
      </c>
      <c r="H31" s="18">
        <f t="shared" si="6"/>
        <v>0</v>
      </c>
      <c r="I31" s="14">
        <v>0.21</v>
      </c>
      <c r="J31" s="14">
        <v>0.05</v>
      </c>
      <c r="K31" s="15">
        <f t="shared" si="7"/>
        <v>0</v>
      </c>
      <c r="L31" s="15">
        <f t="shared" si="8"/>
        <v>0</v>
      </c>
      <c r="M31" s="15">
        <v>0</v>
      </c>
      <c r="N31" s="15">
        <v>0</v>
      </c>
    </row>
    <row r="32" spans="1:16" x14ac:dyDescent="0.2">
      <c r="A32" s="11">
        <v>44927</v>
      </c>
      <c r="G32" s="18">
        <f t="shared" si="5"/>
        <v>0</v>
      </c>
      <c r="H32" s="18">
        <f t="shared" si="6"/>
        <v>0</v>
      </c>
      <c r="I32" s="14">
        <v>0.21</v>
      </c>
      <c r="J32" s="14">
        <v>0.05</v>
      </c>
      <c r="K32" s="15">
        <f t="shared" si="7"/>
        <v>0</v>
      </c>
      <c r="L32" s="15">
        <f t="shared" si="8"/>
        <v>0</v>
      </c>
      <c r="M32" s="15">
        <v>0</v>
      </c>
      <c r="N32" s="15">
        <v>0</v>
      </c>
    </row>
    <row r="33" spans="1:14" x14ac:dyDescent="0.2">
      <c r="A33" s="11">
        <v>44958</v>
      </c>
      <c r="G33" s="18">
        <f t="shared" si="5"/>
        <v>0</v>
      </c>
      <c r="H33" s="18">
        <f t="shared" si="6"/>
        <v>0</v>
      </c>
      <c r="I33" s="14">
        <v>0.21</v>
      </c>
      <c r="J33" s="14">
        <v>0.05</v>
      </c>
      <c r="K33" s="15">
        <f t="shared" si="7"/>
        <v>0</v>
      </c>
      <c r="L33" s="15">
        <f t="shared" si="8"/>
        <v>0</v>
      </c>
      <c r="M33" s="15">
        <v>0</v>
      </c>
      <c r="N33" s="15">
        <v>0</v>
      </c>
    </row>
    <row r="35" spans="1:14" x14ac:dyDescent="0.2">
      <c r="C35" s="23" t="s">
        <v>48</v>
      </c>
      <c r="D35" s="24"/>
      <c r="E35" s="24"/>
      <c r="F35" s="24"/>
      <c r="G35" s="25"/>
      <c r="H35" s="25"/>
    </row>
    <row r="36" spans="1:14" x14ac:dyDescent="0.2">
      <c r="C36" s="23" t="s">
        <v>22</v>
      </c>
      <c r="D36" s="24"/>
      <c r="E36" s="24"/>
      <c r="F36" s="24"/>
      <c r="G36" s="25"/>
      <c r="H36" s="25"/>
    </row>
    <row r="37" spans="1:14" x14ac:dyDescent="0.2">
      <c r="C37" s="23" t="s">
        <v>42</v>
      </c>
      <c r="D37" s="24"/>
      <c r="E37" s="24"/>
      <c r="F37" s="24"/>
      <c r="G37" s="25"/>
      <c r="H37" s="25"/>
    </row>
    <row r="38" spans="1:14" x14ac:dyDescent="0.2">
      <c r="C38" s="15" t="s">
        <v>23</v>
      </c>
      <c r="D38" s="24"/>
      <c r="E38" s="24"/>
      <c r="F38" s="24"/>
      <c r="G38" s="25"/>
      <c r="H38" s="25"/>
    </row>
    <row r="39" spans="1:14" x14ac:dyDescent="0.2">
      <c r="C39" s="5"/>
      <c r="D39" s="24"/>
      <c r="E39" s="24"/>
      <c r="F39" s="24"/>
      <c r="G39" s="24"/>
      <c r="H39" s="24"/>
    </row>
    <row r="40" spans="1:14" x14ac:dyDescent="0.2">
      <c r="C40" s="15" t="s">
        <v>24</v>
      </c>
      <c r="D40" s="26" t="s">
        <v>25</v>
      </c>
      <c r="E40" s="25" t="s">
        <v>26</v>
      </c>
      <c r="F40" s="15" t="s">
        <v>27</v>
      </c>
      <c r="G40" s="14" t="s">
        <v>12</v>
      </c>
      <c r="H40" s="15" t="s">
        <v>28</v>
      </c>
    </row>
    <row r="41" spans="1:14" x14ac:dyDescent="0.2">
      <c r="C41" s="12">
        <v>234559.42400000003</v>
      </c>
      <c r="D41" s="12">
        <v>20334</v>
      </c>
      <c r="E41" s="12">
        <v>1033.04</v>
      </c>
      <c r="F41" s="12">
        <f>E41-D41</f>
        <v>-19300.96</v>
      </c>
      <c r="G41" s="14">
        <v>0.21</v>
      </c>
      <c r="H41" s="12">
        <f>F41*G41</f>
        <v>-4053.2015999999999</v>
      </c>
    </row>
    <row r="42" spans="1:14" x14ac:dyDescent="0.2">
      <c r="C42" s="12">
        <v>351839.136</v>
      </c>
      <c r="D42" s="12"/>
      <c r="E42" s="12">
        <v>4188.5600000000004</v>
      </c>
      <c r="F42" s="12">
        <f>E42</f>
        <v>4188.5600000000004</v>
      </c>
      <c r="G42" s="28">
        <v>0.21</v>
      </c>
      <c r="H42" s="12">
        <f>F42*G42</f>
        <v>879.59760000000006</v>
      </c>
    </row>
    <row r="43" spans="1:14" x14ac:dyDescent="0.2">
      <c r="C43" s="12">
        <v>2765</v>
      </c>
      <c r="D43" s="12"/>
      <c r="E43" s="12">
        <v>13.16</v>
      </c>
      <c r="F43" s="12">
        <f t="shared" ref="F43:F54" si="9">E43</f>
        <v>13.16</v>
      </c>
      <c r="G43" s="28">
        <v>0.21</v>
      </c>
      <c r="H43" s="12">
        <f t="shared" ref="H43:H50" si="10">F43*G43</f>
        <v>2.7635999999999998</v>
      </c>
    </row>
    <row r="44" spans="1:14" x14ac:dyDescent="0.2">
      <c r="C44" s="12">
        <v>4147</v>
      </c>
      <c r="D44" s="12"/>
      <c r="E44" s="12">
        <v>49.37</v>
      </c>
      <c r="F44" s="12">
        <f t="shared" si="9"/>
        <v>49.37</v>
      </c>
      <c r="G44" s="28">
        <v>0.21</v>
      </c>
      <c r="H44" s="12">
        <f t="shared" si="10"/>
        <v>10.367699999999999</v>
      </c>
    </row>
    <row r="45" spans="1:14" x14ac:dyDescent="0.2">
      <c r="C45" s="12">
        <v>363607</v>
      </c>
      <c r="D45" s="12"/>
      <c r="E45" s="12">
        <v>1731.07</v>
      </c>
      <c r="F45" s="12">
        <f t="shared" si="9"/>
        <v>1731.07</v>
      </c>
      <c r="G45" s="28">
        <v>0.21</v>
      </c>
      <c r="H45" s="12">
        <f t="shared" si="10"/>
        <v>363.5247</v>
      </c>
    </row>
    <row r="46" spans="1:14" x14ac:dyDescent="0.2">
      <c r="C46" s="12">
        <v>545411</v>
      </c>
      <c r="D46" s="12"/>
      <c r="E46" s="12">
        <v>9090.18</v>
      </c>
      <c r="F46" s="12">
        <f t="shared" si="9"/>
        <v>9090.18</v>
      </c>
      <c r="G46" s="28">
        <v>0.21</v>
      </c>
      <c r="H46" s="12">
        <f t="shared" si="10"/>
        <v>1908.9377999999999</v>
      </c>
    </row>
    <row r="47" spans="1:14" x14ac:dyDescent="0.2">
      <c r="C47" s="12">
        <v>195243</v>
      </c>
      <c r="D47" s="12"/>
      <c r="E47" s="12">
        <v>929.52</v>
      </c>
      <c r="F47" s="12">
        <f t="shared" si="9"/>
        <v>929.52</v>
      </c>
      <c r="G47" s="28">
        <v>0.21</v>
      </c>
      <c r="H47" s="12">
        <f t="shared" si="10"/>
        <v>195.19919999999999</v>
      </c>
    </row>
    <row r="48" spans="1:14" x14ac:dyDescent="0.2">
      <c r="C48" s="12">
        <v>292865</v>
      </c>
      <c r="D48" s="12"/>
      <c r="E48" s="12">
        <v>3486.49</v>
      </c>
      <c r="F48" s="12">
        <f t="shared" si="9"/>
        <v>3486.49</v>
      </c>
      <c r="G48" s="28">
        <v>0.21</v>
      </c>
      <c r="H48" s="12">
        <f t="shared" si="10"/>
        <v>732.16289999999992</v>
      </c>
    </row>
    <row r="49" spans="3:8" x14ac:dyDescent="0.2">
      <c r="C49" s="12"/>
      <c r="D49" s="12"/>
      <c r="E49" s="12">
        <v>0</v>
      </c>
      <c r="F49" s="12">
        <f t="shared" si="9"/>
        <v>0</v>
      </c>
      <c r="G49" s="28">
        <v>0.21</v>
      </c>
      <c r="H49" s="12">
        <f t="shared" si="10"/>
        <v>0</v>
      </c>
    </row>
    <row r="50" spans="3:8" x14ac:dyDescent="0.2">
      <c r="C50" s="12">
        <v>126132</v>
      </c>
      <c r="D50" s="12"/>
      <c r="E50" s="12">
        <v>649.26</v>
      </c>
      <c r="F50" s="12">
        <f t="shared" si="9"/>
        <v>649.26</v>
      </c>
      <c r="G50" s="28">
        <v>0.21</v>
      </c>
      <c r="H50" s="12">
        <f t="shared" si="10"/>
        <v>136.34459999999999</v>
      </c>
    </row>
    <row r="51" spans="3:8" x14ac:dyDescent="0.2">
      <c r="C51" s="12">
        <v>189198</v>
      </c>
      <c r="D51" s="12"/>
      <c r="E51" s="12">
        <v>2252.36</v>
      </c>
      <c r="F51" s="12">
        <f t="shared" si="9"/>
        <v>2252.36</v>
      </c>
      <c r="G51" s="28">
        <v>0.21</v>
      </c>
      <c r="H51" s="12">
        <f>F51*G51</f>
        <v>472.99560000000002</v>
      </c>
    </row>
    <row r="52" spans="3:8" x14ac:dyDescent="0.2">
      <c r="C52" s="12">
        <v>6472</v>
      </c>
      <c r="D52" s="12"/>
      <c r="E52" s="12">
        <v>7.43</v>
      </c>
      <c r="F52" s="12">
        <f t="shared" si="9"/>
        <v>7.43</v>
      </c>
      <c r="G52" s="28">
        <v>0.21</v>
      </c>
      <c r="H52" s="12">
        <f t="shared" ref="H52:H53" si="11">F52*G52</f>
        <v>1.5602999999999998</v>
      </c>
    </row>
    <row r="53" spans="3:8" x14ac:dyDescent="0.2">
      <c r="C53" s="12">
        <v>-4163</v>
      </c>
      <c r="D53" s="12"/>
      <c r="E53" s="12">
        <v>-39</v>
      </c>
      <c r="F53" s="12">
        <f t="shared" si="9"/>
        <v>-39</v>
      </c>
      <c r="G53" s="28">
        <v>0.21</v>
      </c>
      <c r="H53" s="12">
        <f t="shared" si="11"/>
        <v>-8.19</v>
      </c>
    </row>
    <row r="54" spans="3:8" ht="15" x14ac:dyDescent="0.35">
      <c r="C54" s="12">
        <v>4163</v>
      </c>
      <c r="D54" s="12"/>
      <c r="E54" s="27">
        <v>39</v>
      </c>
      <c r="F54" s="27">
        <f t="shared" si="9"/>
        <v>39</v>
      </c>
      <c r="G54" s="28">
        <v>0.21</v>
      </c>
      <c r="H54" s="27">
        <f>F54*G54</f>
        <v>8.19</v>
      </c>
    </row>
    <row r="55" spans="3:8" x14ac:dyDescent="0.2">
      <c r="C55" s="12"/>
      <c r="D55" s="12"/>
      <c r="E55" s="12">
        <f>SUM(E41:E54)</f>
        <v>23430.44</v>
      </c>
      <c r="F55" s="12">
        <f>SUM(F41:F54)</f>
        <v>3096.4400000000028</v>
      </c>
      <c r="G55" s="22" t="s">
        <v>29</v>
      </c>
      <c r="H55" s="12">
        <f>SUM(H41:H54)</f>
        <v>650.25239999999997</v>
      </c>
    </row>
    <row r="56" spans="3:8" x14ac:dyDescent="0.2">
      <c r="E56" s="15"/>
      <c r="F56" s="15"/>
      <c r="G56" s="22" t="s">
        <v>30</v>
      </c>
      <c r="H56" s="30">
        <f>-H73*0.21</f>
        <v>-268.35070500000006</v>
      </c>
    </row>
    <row r="57" spans="3:8" x14ac:dyDescent="0.2">
      <c r="H57" s="15">
        <f>H55+H56</f>
        <v>381.9016949999999</v>
      </c>
    </row>
    <row r="58" spans="3:8" x14ac:dyDescent="0.2">
      <c r="H58" s="15">
        <f>H57-K13</f>
        <v>-2.1000000002118213E-3</v>
      </c>
    </row>
    <row r="59" spans="3:8" x14ac:dyDescent="0.2">
      <c r="C59" s="15" t="s">
        <v>32</v>
      </c>
      <c r="D59" s="24" t="s">
        <v>25</v>
      </c>
      <c r="E59" s="25" t="s">
        <v>33</v>
      </c>
      <c r="F59" s="15" t="s">
        <v>34</v>
      </c>
      <c r="G59" s="14" t="s">
        <v>13</v>
      </c>
      <c r="H59" s="15" t="s">
        <v>35</v>
      </c>
    </row>
    <row r="60" spans="3:8" x14ac:dyDescent="0.2">
      <c r="C60" s="12">
        <v>469118.84800000006</v>
      </c>
      <c r="D60" s="12">
        <f>D41</f>
        <v>20334</v>
      </c>
      <c r="E60" s="12">
        <v>2066.08</v>
      </c>
      <c r="F60" s="12">
        <f>E60-D60</f>
        <v>-18267.919999999998</v>
      </c>
      <c r="G60" s="14">
        <v>0.05</v>
      </c>
      <c r="H60" s="12">
        <f>F60*G60</f>
        <v>-913.39599999999996</v>
      </c>
    </row>
    <row r="61" spans="3:8" x14ac:dyDescent="0.2">
      <c r="C61" s="12">
        <v>703678.272</v>
      </c>
      <c r="D61" s="12"/>
      <c r="E61" s="12">
        <v>8377.1200000000008</v>
      </c>
      <c r="F61" s="12">
        <f>E61</f>
        <v>8377.1200000000008</v>
      </c>
      <c r="G61" s="14">
        <v>0.05</v>
      </c>
      <c r="H61" s="12">
        <f>F61*G61</f>
        <v>418.85600000000005</v>
      </c>
    </row>
    <row r="62" spans="3:8" x14ac:dyDescent="0.2">
      <c r="C62" s="12">
        <v>5529</v>
      </c>
      <c r="D62" s="12"/>
      <c r="E62" s="12">
        <v>26.32</v>
      </c>
      <c r="F62" s="12">
        <f t="shared" ref="F62:F72" si="12">E62</f>
        <v>26.32</v>
      </c>
      <c r="G62" s="14">
        <v>0.05</v>
      </c>
      <c r="H62" s="12">
        <f t="shared" ref="H62:H68" si="13">F62*G62</f>
        <v>1.3160000000000001</v>
      </c>
    </row>
    <row r="63" spans="3:8" x14ac:dyDescent="0.2">
      <c r="C63" s="12">
        <v>8294</v>
      </c>
      <c r="D63" s="12"/>
      <c r="E63" s="12">
        <v>98.73</v>
      </c>
      <c r="F63" s="12">
        <f t="shared" si="12"/>
        <v>98.73</v>
      </c>
      <c r="G63" s="14">
        <v>0.05</v>
      </c>
      <c r="H63" s="12">
        <f t="shared" si="13"/>
        <v>4.9365000000000006</v>
      </c>
    </row>
    <row r="64" spans="3:8" x14ac:dyDescent="0.2">
      <c r="C64" s="12">
        <v>727215</v>
      </c>
      <c r="D64" s="12"/>
      <c r="E64" s="12">
        <v>3462.15</v>
      </c>
      <c r="F64" s="12">
        <f t="shared" si="12"/>
        <v>3462.15</v>
      </c>
      <c r="G64" s="14">
        <v>0.05</v>
      </c>
      <c r="H64" s="12">
        <f t="shared" si="13"/>
        <v>173.10750000000002</v>
      </c>
    </row>
    <row r="65" spans="3:8" x14ac:dyDescent="0.2">
      <c r="C65" s="12">
        <v>1090822</v>
      </c>
      <c r="D65" s="12"/>
      <c r="E65" s="12">
        <v>18180.36</v>
      </c>
      <c r="F65" s="12">
        <f t="shared" si="12"/>
        <v>18180.36</v>
      </c>
      <c r="G65" s="14">
        <v>0.05</v>
      </c>
      <c r="H65" s="12">
        <f t="shared" si="13"/>
        <v>909.01800000000003</v>
      </c>
    </row>
    <row r="66" spans="3:8" x14ac:dyDescent="0.2">
      <c r="C66" s="12">
        <v>390487</v>
      </c>
      <c r="D66" s="12"/>
      <c r="E66" s="12">
        <v>1859.04</v>
      </c>
      <c r="F66" s="12">
        <f t="shared" si="12"/>
        <v>1859.04</v>
      </c>
      <c r="G66" s="14">
        <v>0.05</v>
      </c>
      <c r="H66" s="12">
        <f t="shared" si="13"/>
        <v>92.951999999999998</v>
      </c>
    </row>
    <row r="67" spans="3:8" x14ac:dyDescent="0.2">
      <c r="C67" s="12">
        <v>585730</v>
      </c>
      <c r="D67" s="12"/>
      <c r="E67" s="12">
        <v>6972.98</v>
      </c>
      <c r="F67" s="12">
        <f t="shared" si="12"/>
        <v>6972.98</v>
      </c>
      <c r="G67" s="14">
        <v>0.05</v>
      </c>
      <c r="H67" s="12">
        <f t="shared" si="13"/>
        <v>348.649</v>
      </c>
    </row>
    <row r="68" spans="3:8" x14ac:dyDescent="0.2">
      <c r="C68" s="12">
        <v>210220</v>
      </c>
      <c r="D68" s="12"/>
      <c r="E68" s="12">
        <v>1082.1099999999999</v>
      </c>
      <c r="F68" s="12">
        <f t="shared" si="12"/>
        <v>1082.1099999999999</v>
      </c>
      <c r="G68" s="14">
        <v>0.05</v>
      </c>
      <c r="H68" s="12">
        <f t="shared" si="13"/>
        <v>54.105499999999999</v>
      </c>
    </row>
    <row r="69" spans="3:8" x14ac:dyDescent="0.2">
      <c r="C69" s="12">
        <v>315330</v>
      </c>
      <c r="D69" s="12"/>
      <c r="E69" s="12">
        <v>3753.93</v>
      </c>
      <c r="F69" s="12">
        <f t="shared" si="12"/>
        <v>3753.93</v>
      </c>
      <c r="G69" s="28">
        <v>0.05</v>
      </c>
      <c r="H69" s="12">
        <f>F69*G69</f>
        <v>187.69650000000001</v>
      </c>
    </row>
    <row r="70" spans="3:8" x14ac:dyDescent="0.2">
      <c r="C70" s="12">
        <v>6472</v>
      </c>
      <c r="D70" s="12"/>
      <c r="E70" s="12">
        <v>13.33</v>
      </c>
      <c r="F70" s="12">
        <f t="shared" si="12"/>
        <v>13.33</v>
      </c>
      <c r="G70" s="28">
        <v>0.05</v>
      </c>
      <c r="H70" s="12">
        <f t="shared" ref="H70:H71" si="14">F70*G70</f>
        <v>0.66650000000000009</v>
      </c>
    </row>
    <row r="71" spans="3:8" x14ac:dyDescent="0.2">
      <c r="C71" s="12">
        <v>-6939</v>
      </c>
      <c r="D71" s="12"/>
      <c r="E71" s="12">
        <v>-65.95</v>
      </c>
      <c r="F71" s="12">
        <f t="shared" si="12"/>
        <v>-65.95</v>
      </c>
      <c r="G71" s="28">
        <v>0.05</v>
      </c>
      <c r="H71" s="12">
        <f t="shared" si="14"/>
        <v>-3.2975000000000003</v>
      </c>
    </row>
    <row r="72" spans="3:8" ht="15" x14ac:dyDescent="0.35">
      <c r="C72" s="12">
        <v>6939</v>
      </c>
      <c r="D72" s="12"/>
      <c r="E72" s="27">
        <v>65.010000000000005</v>
      </c>
      <c r="F72" s="27">
        <f t="shared" si="12"/>
        <v>65.010000000000005</v>
      </c>
      <c r="G72" s="28">
        <v>0.05</v>
      </c>
      <c r="H72" s="27">
        <f>F72*G72</f>
        <v>3.2505000000000006</v>
      </c>
    </row>
    <row r="73" spans="3:8" x14ac:dyDescent="0.2">
      <c r="C73" s="12"/>
      <c r="D73" s="12"/>
      <c r="E73" s="12">
        <f>SUM(E60:E72)</f>
        <v>45891.210000000006</v>
      </c>
      <c r="F73" s="12">
        <f>SUM(F60:F72)</f>
        <v>25557.210000000003</v>
      </c>
      <c r="H73" s="12">
        <f>SUM(H60:H72)</f>
        <v>1277.8605000000005</v>
      </c>
    </row>
    <row r="74" spans="3:8" x14ac:dyDescent="0.2">
      <c r="E74" s="15"/>
      <c r="F74" s="15"/>
      <c r="H74" s="15">
        <f>H73-L13</f>
        <v>0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6 of 9
Clements</oddHeader>
    <oddFooter>&amp;L_x000D_&amp;1#&amp;"Calibri"&amp;14&amp;K000000 Business Use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3C951-75EA-43C9-B3A6-D2372517F0EE}">
  <sheetPr>
    <pageSetUpPr fitToPage="1"/>
  </sheetPr>
  <dimension ref="A1:Q63"/>
  <sheetViews>
    <sheetView zoomScaleNormal="100" workbookViewId="0"/>
  </sheetViews>
  <sheetFormatPr defaultRowHeight="12.75" x14ac:dyDescent="0.2"/>
  <cols>
    <col min="1" max="1" width="11.28515625" style="9" customWidth="1"/>
    <col min="2" max="2" width="1.7109375" customWidth="1"/>
    <col min="3" max="16" width="12.7109375" customWidth="1"/>
    <col min="17" max="17" width="9.28515625" bestFit="1" customWidth="1"/>
  </cols>
  <sheetData>
    <row r="1" spans="1:17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x14ac:dyDescent="0.2">
      <c r="A5" s="4" t="s">
        <v>45</v>
      </c>
    </row>
    <row r="6" spans="1:17" x14ac:dyDescent="0.2">
      <c r="A6" s="5" t="s">
        <v>49</v>
      </c>
    </row>
    <row r="8" spans="1:17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7" x14ac:dyDescent="0.2">
      <c r="A9" s="9" t="s">
        <v>18</v>
      </c>
      <c r="M9" s="10">
        <v>20534460</v>
      </c>
    </row>
    <row r="10" spans="1:17" x14ac:dyDescent="0.2">
      <c r="A10" s="11">
        <v>44264</v>
      </c>
      <c r="C10" s="12">
        <v>207637612</v>
      </c>
      <c r="D10" s="13">
        <v>620871</v>
      </c>
      <c r="E10" s="10">
        <f>1128554.6-1396.44</f>
        <v>1127158.1600000001</v>
      </c>
      <c r="F10" s="10">
        <f>1833247.08-1396.44</f>
        <v>1831850.6400000001</v>
      </c>
      <c r="G10" s="12">
        <f t="shared" ref="G10:G33" si="0">E10-D10</f>
        <v>506287.16000000015</v>
      </c>
      <c r="H10" s="12">
        <f t="shared" ref="H10:H33" si="1">F10-D10</f>
        <v>1210979.6400000001</v>
      </c>
      <c r="I10" s="14">
        <v>0.21</v>
      </c>
      <c r="J10" s="14">
        <v>0.05</v>
      </c>
      <c r="K10" s="15">
        <f t="shared" ref="K10:K19" si="2">G10*I10-L10*I10</f>
        <v>93605.017380000034</v>
      </c>
      <c r="L10" s="15">
        <f t="shared" ref="L10:L31" si="3">H10*J10</f>
        <v>60548.982000000011</v>
      </c>
      <c r="M10" s="15">
        <f t="shared" ref="M10:M33" si="4">M9+K10+L10</f>
        <v>20688613.99938</v>
      </c>
      <c r="N10" s="15">
        <f>40400.24+494194.14</f>
        <v>534594.38</v>
      </c>
      <c r="O10" s="16"/>
      <c r="Q10" s="17"/>
    </row>
    <row r="11" spans="1:17" x14ac:dyDescent="0.2">
      <c r="A11" s="11">
        <v>44287</v>
      </c>
      <c r="C11" s="12">
        <v>207637612</v>
      </c>
      <c r="D11" s="13">
        <v>620871</v>
      </c>
      <c r="E11" s="10">
        <f>1128554.6-1396.44</f>
        <v>1127158.1600000001</v>
      </c>
      <c r="F11" s="10">
        <f>1833247.08-1396.44</f>
        <v>1831850.6400000001</v>
      </c>
      <c r="G11" s="12">
        <f t="shared" si="0"/>
        <v>506287.16000000015</v>
      </c>
      <c r="H11" s="12">
        <f t="shared" si="1"/>
        <v>1210979.6400000001</v>
      </c>
      <c r="I11" s="14">
        <v>0.21</v>
      </c>
      <c r="J11" s="14">
        <v>0.05</v>
      </c>
      <c r="K11" s="15">
        <f t="shared" si="2"/>
        <v>93605.017380000034</v>
      </c>
      <c r="L11" s="15">
        <f t="shared" si="3"/>
        <v>60548.982000000011</v>
      </c>
      <c r="M11" s="15">
        <f t="shared" si="4"/>
        <v>20842767.99876</v>
      </c>
      <c r="N11" s="15">
        <f>40400.24+490362.89</f>
        <v>530763.13</v>
      </c>
      <c r="O11" s="16"/>
      <c r="Q11" s="15"/>
    </row>
    <row r="12" spans="1:17" x14ac:dyDescent="0.2">
      <c r="A12" s="11">
        <v>44317</v>
      </c>
      <c r="C12" s="12">
        <v>207637612</v>
      </c>
      <c r="D12" s="13">
        <v>620871</v>
      </c>
      <c r="E12" s="10">
        <f>1128554.6-1396.44</f>
        <v>1127158.1600000001</v>
      </c>
      <c r="F12" s="10">
        <f>1833247.08-1396.44</f>
        <v>1831850.6400000001</v>
      </c>
      <c r="G12" s="12">
        <f>E12-D12</f>
        <v>506287.16000000015</v>
      </c>
      <c r="H12" s="12">
        <f>F12-D12</f>
        <v>1210979.6400000001</v>
      </c>
      <c r="I12" s="14">
        <v>0.21</v>
      </c>
      <c r="J12" s="14">
        <v>0.05</v>
      </c>
      <c r="K12" s="15">
        <f t="shared" si="2"/>
        <v>93605.017380000034</v>
      </c>
      <c r="L12" s="15">
        <f t="shared" si="3"/>
        <v>60548.982000000011</v>
      </c>
      <c r="M12" s="15">
        <f t="shared" si="4"/>
        <v>20996921.99814</v>
      </c>
      <c r="N12" s="15">
        <f>40400.24+486531.63</f>
        <v>526931.87</v>
      </c>
      <c r="Q12" s="15"/>
    </row>
    <row r="13" spans="1:17" x14ac:dyDescent="0.2">
      <c r="A13" s="11">
        <v>44348</v>
      </c>
      <c r="C13" s="12">
        <v>207637612</v>
      </c>
      <c r="D13" s="13">
        <v>620870.5</v>
      </c>
      <c r="E13" s="10">
        <f>1128556.1-1396.44</f>
        <v>1127159.6600000001</v>
      </c>
      <c r="F13" s="10">
        <f>1833249.1-1396.44</f>
        <v>1831852.6600000001</v>
      </c>
      <c r="G13" s="12">
        <f t="shared" si="0"/>
        <v>506289.16000000015</v>
      </c>
      <c r="H13" s="12">
        <f t="shared" si="1"/>
        <v>1210982.1600000001</v>
      </c>
      <c r="I13" s="14">
        <v>0.21</v>
      </c>
      <c r="J13" s="14">
        <v>0.05</v>
      </c>
      <c r="K13" s="15">
        <f t="shared" si="2"/>
        <v>93605.410920000024</v>
      </c>
      <c r="L13" s="15">
        <f t="shared" si="3"/>
        <v>60549.108000000007</v>
      </c>
      <c r="M13" s="15">
        <f t="shared" si="4"/>
        <v>21151076.51706</v>
      </c>
      <c r="N13" s="15">
        <f>40400.24+482700.38</f>
        <v>523100.62</v>
      </c>
      <c r="Q13" s="12"/>
    </row>
    <row r="14" spans="1:17" x14ac:dyDescent="0.2">
      <c r="A14" s="11">
        <v>44378</v>
      </c>
      <c r="C14" s="12">
        <v>207637612</v>
      </c>
      <c r="D14" s="13">
        <v>835853</v>
      </c>
      <c r="E14" s="10">
        <f>1128554.6-1396.44</f>
        <v>1127158.1600000001</v>
      </c>
      <c r="F14" s="10">
        <f>1833247.08-1396.44</f>
        <v>1831850.6400000001</v>
      </c>
      <c r="G14" s="12">
        <f>E14-D14</f>
        <v>291305.16000000015</v>
      </c>
      <c r="H14" s="12">
        <f>F14-D14</f>
        <v>995997.64000000013</v>
      </c>
      <c r="I14" s="14">
        <v>0.21</v>
      </c>
      <c r="J14" s="14">
        <v>0.05</v>
      </c>
      <c r="K14" s="15">
        <f t="shared" si="2"/>
        <v>50716.108380000027</v>
      </c>
      <c r="L14" s="15">
        <f t="shared" si="3"/>
        <v>49799.882000000012</v>
      </c>
      <c r="M14" s="15">
        <f t="shared" si="4"/>
        <v>21251592.507440001</v>
      </c>
      <c r="N14" s="15">
        <v>0</v>
      </c>
      <c r="P14" s="12"/>
      <c r="Q14" s="15"/>
    </row>
    <row r="15" spans="1:17" x14ac:dyDescent="0.2">
      <c r="A15" s="11">
        <v>44409</v>
      </c>
      <c r="C15" s="12">
        <v>207637612</v>
      </c>
      <c r="D15" s="13">
        <v>835852.5</v>
      </c>
      <c r="E15" s="10">
        <f>1128554.6-1396.44</f>
        <v>1127158.1600000001</v>
      </c>
      <c r="F15" s="10">
        <f>1833247.08-1396.44</f>
        <v>1831850.6400000001</v>
      </c>
      <c r="G15" s="12">
        <f t="shared" si="0"/>
        <v>291305.66000000015</v>
      </c>
      <c r="H15" s="12">
        <f t="shared" si="1"/>
        <v>995998.14000000013</v>
      </c>
      <c r="I15" s="14">
        <v>0.21</v>
      </c>
      <c r="J15" s="14">
        <v>0.05</v>
      </c>
      <c r="K15" s="15">
        <f t="shared" si="2"/>
        <v>50716.208130000028</v>
      </c>
      <c r="L15" s="15">
        <f t="shared" si="3"/>
        <v>49799.907000000007</v>
      </c>
      <c r="M15" s="15">
        <f t="shared" si="4"/>
        <v>21352108.622570001</v>
      </c>
      <c r="N15" s="15">
        <v>0</v>
      </c>
      <c r="Q15" s="15"/>
    </row>
    <row r="16" spans="1:17" x14ac:dyDescent="0.2">
      <c r="A16" s="11">
        <v>44448</v>
      </c>
      <c r="C16" s="12">
        <f>207637612</f>
        <v>207637612</v>
      </c>
      <c r="D16" s="13">
        <f>835853</f>
        <v>835853</v>
      </c>
      <c r="E16" s="10">
        <f>1128554.6-1396.4</f>
        <v>1127158.2000000002</v>
      </c>
      <c r="F16" s="10">
        <f>1833247.08-1396.4</f>
        <v>1831850.6800000002</v>
      </c>
      <c r="G16" s="12">
        <f t="shared" si="0"/>
        <v>291305.20000000019</v>
      </c>
      <c r="H16" s="12">
        <f t="shared" si="1"/>
        <v>995997.68000000017</v>
      </c>
      <c r="I16" s="14">
        <v>0.21</v>
      </c>
      <c r="J16" s="14">
        <v>0.05</v>
      </c>
      <c r="K16" s="15">
        <f t="shared" si="2"/>
        <v>50716.116360000029</v>
      </c>
      <c r="L16" s="15">
        <f t="shared" si="3"/>
        <v>49799.884000000013</v>
      </c>
      <c r="M16" s="15">
        <f t="shared" si="4"/>
        <v>21452624.622930001</v>
      </c>
      <c r="N16" s="15">
        <v>0</v>
      </c>
      <c r="O16" s="15"/>
      <c r="P16" s="15"/>
    </row>
    <row r="17" spans="1:16" x14ac:dyDescent="0.2">
      <c r="A17" s="11">
        <v>44470</v>
      </c>
      <c r="C17" s="12">
        <f>207637612</f>
        <v>207637612</v>
      </c>
      <c r="D17" s="13">
        <f>835853</f>
        <v>835853</v>
      </c>
      <c r="E17" s="10">
        <f>1128554.6-1396.4</f>
        <v>1127158.2000000002</v>
      </c>
      <c r="F17" s="10">
        <f>1833247.08-1396.4</f>
        <v>1831850.6800000002</v>
      </c>
      <c r="G17" s="12">
        <f t="shared" si="0"/>
        <v>291305.20000000019</v>
      </c>
      <c r="H17" s="12">
        <f t="shared" si="1"/>
        <v>995997.68000000017</v>
      </c>
      <c r="I17" s="14">
        <v>0.21</v>
      </c>
      <c r="J17" s="14">
        <v>0.05</v>
      </c>
      <c r="K17" s="15">
        <f t="shared" si="2"/>
        <v>50716.116360000029</v>
      </c>
      <c r="L17" s="15">
        <f t="shared" si="3"/>
        <v>49799.884000000013</v>
      </c>
      <c r="M17" s="15">
        <f t="shared" si="4"/>
        <v>21553140.623290002</v>
      </c>
      <c r="N17" s="15">
        <v>0</v>
      </c>
      <c r="O17" s="15"/>
      <c r="P17" s="15"/>
    </row>
    <row r="18" spans="1:16" x14ac:dyDescent="0.2">
      <c r="A18" s="11">
        <v>44501</v>
      </c>
      <c r="C18" s="12">
        <f>207637612</f>
        <v>207637612</v>
      </c>
      <c r="D18" s="13">
        <f>835853</f>
        <v>835853</v>
      </c>
      <c r="E18" s="10">
        <f>1128554.6-1396.4</f>
        <v>1127158.2000000002</v>
      </c>
      <c r="F18" s="10">
        <f>1833247.08-1396.4</f>
        <v>1831850.6800000002</v>
      </c>
      <c r="G18" s="12">
        <f>E18-D18</f>
        <v>291305.20000000019</v>
      </c>
      <c r="H18" s="12">
        <f>F18-D18</f>
        <v>995997.68000000017</v>
      </c>
      <c r="I18" s="14">
        <v>0.21</v>
      </c>
      <c r="J18" s="14">
        <v>0.05</v>
      </c>
      <c r="K18" s="15">
        <f t="shared" si="2"/>
        <v>50716.116360000029</v>
      </c>
      <c r="L18" s="15">
        <f t="shared" si="3"/>
        <v>49799.884000000013</v>
      </c>
      <c r="M18" s="15">
        <f t="shared" si="4"/>
        <v>21653656.623650003</v>
      </c>
      <c r="N18" s="15">
        <v>0</v>
      </c>
      <c r="O18" s="15"/>
      <c r="P18" s="15"/>
    </row>
    <row r="19" spans="1:16" x14ac:dyDescent="0.2">
      <c r="A19" s="11">
        <v>44531</v>
      </c>
      <c r="C19" s="12">
        <v>228618614</v>
      </c>
      <c r="D19" s="13">
        <v>878340</v>
      </c>
      <c r="E19" s="10">
        <f>1679305.91-1396.19</f>
        <v>1677909.72</v>
      </c>
      <c r="F19" s="10">
        <f>2383998.39-1396.19</f>
        <v>2382602.2000000002</v>
      </c>
      <c r="G19" s="12">
        <f t="shared" si="0"/>
        <v>799569.72</v>
      </c>
      <c r="H19" s="12">
        <f t="shared" si="1"/>
        <v>1504262.2000000002</v>
      </c>
      <c r="I19" s="14">
        <v>0.21</v>
      </c>
      <c r="J19" s="14">
        <v>0.05</v>
      </c>
      <c r="K19" s="15">
        <f t="shared" si="2"/>
        <v>152114.88809999998</v>
      </c>
      <c r="L19" s="15">
        <f t="shared" si="3"/>
        <v>75213.110000000015</v>
      </c>
      <c r="M19" s="15">
        <f t="shared" si="4"/>
        <v>21880984.621750001</v>
      </c>
      <c r="N19" s="15">
        <v>0</v>
      </c>
    </row>
    <row r="20" spans="1:16" x14ac:dyDescent="0.2">
      <c r="A20" s="11">
        <v>44562</v>
      </c>
      <c r="C20" s="12">
        <v>228618614</v>
      </c>
      <c r="D20" s="13">
        <v>920827</v>
      </c>
      <c r="E20" s="18">
        <f>1266542.22</f>
        <v>1266542.22</v>
      </c>
      <c r="F20" s="18">
        <f>1930001.43</f>
        <v>1930001.43</v>
      </c>
      <c r="G20" s="12">
        <f>E20-D20</f>
        <v>345715.22</v>
      </c>
      <c r="H20" s="12">
        <f>F20-D20</f>
        <v>1009174.4299999999</v>
      </c>
      <c r="I20" s="14">
        <v>0.21</v>
      </c>
      <c r="J20" s="14">
        <v>0.05</v>
      </c>
      <c r="K20" s="15">
        <f>G20*I20-L20*I20-1736.26</f>
        <v>60267.604684999991</v>
      </c>
      <c r="L20" s="15">
        <f t="shared" si="3"/>
        <v>50458.7215</v>
      </c>
      <c r="M20" s="15">
        <f t="shared" si="4"/>
        <v>21991710.947935004</v>
      </c>
      <c r="N20" s="15">
        <v>0</v>
      </c>
    </row>
    <row r="21" spans="1:16" x14ac:dyDescent="0.2">
      <c r="A21" s="11">
        <v>44593</v>
      </c>
      <c r="C21" s="12">
        <v>228618614</v>
      </c>
      <c r="D21" s="13">
        <v>920826.5</v>
      </c>
      <c r="E21" s="18">
        <f>1266542.8</f>
        <v>1266542.8</v>
      </c>
      <c r="F21" s="18">
        <f>1930001.8</f>
        <v>1930001.8</v>
      </c>
      <c r="G21" s="12">
        <f t="shared" si="0"/>
        <v>345716.30000000005</v>
      </c>
      <c r="H21" s="12">
        <f t="shared" si="1"/>
        <v>1009175.3</v>
      </c>
      <c r="I21" s="14">
        <v>0.21</v>
      </c>
      <c r="J21" s="14">
        <v>0.05</v>
      </c>
      <c r="K21" s="15">
        <f>G21*I21-L21*I21-1736.26</f>
        <v>60267.822350000009</v>
      </c>
      <c r="L21" s="15">
        <f t="shared" si="3"/>
        <v>50458.765000000007</v>
      </c>
      <c r="M21" s="15">
        <f t="shared" si="4"/>
        <v>22102437.535285003</v>
      </c>
      <c r="N21" s="15">
        <v>0</v>
      </c>
    </row>
    <row r="22" spans="1:16" x14ac:dyDescent="0.2">
      <c r="A22" s="11">
        <v>44629</v>
      </c>
      <c r="C22" s="12">
        <v>228618614</v>
      </c>
      <c r="D22" s="13">
        <v>920827</v>
      </c>
      <c r="E22" s="10">
        <f t="shared" ref="E22:E27" si="5">1266542.22</f>
        <v>1266542.22</v>
      </c>
      <c r="F22" s="10">
        <f t="shared" ref="F22:F27" si="6">1930001.43</f>
        <v>1930001.43</v>
      </c>
      <c r="G22" s="12">
        <f t="shared" si="0"/>
        <v>345715.22</v>
      </c>
      <c r="H22" s="12">
        <f t="shared" si="1"/>
        <v>1009174.4299999999</v>
      </c>
      <c r="I22" s="14">
        <v>0.21</v>
      </c>
      <c r="J22" s="14">
        <v>0.05</v>
      </c>
      <c r="K22" s="15">
        <f t="shared" ref="K22:K27" si="7">G22*I22-L22*I22-1736.26</f>
        <v>60267.604684999991</v>
      </c>
      <c r="L22" s="15">
        <f t="shared" si="3"/>
        <v>50458.7215</v>
      </c>
      <c r="M22" s="15">
        <f t="shared" si="4"/>
        <v>22213163.861470006</v>
      </c>
      <c r="N22" s="15">
        <v>0</v>
      </c>
    </row>
    <row r="23" spans="1:16" x14ac:dyDescent="0.2">
      <c r="A23" s="11">
        <v>44652</v>
      </c>
      <c r="C23" s="12">
        <v>228618614</v>
      </c>
      <c r="D23" s="13">
        <v>920826.5</v>
      </c>
      <c r="E23" s="10">
        <f>1266543.49</f>
        <v>1266543.49</v>
      </c>
      <c r="F23" s="10">
        <f>1930002.49</f>
        <v>1930002.49</v>
      </c>
      <c r="G23" s="12">
        <f t="shared" si="0"/>
        <v>345716.99</v>
      </c>
      <c r="H23" s="12">
        <f t="shared" si="1"/>
        <v>1009175.99</v>
      </c>
      <c r="I23" s="14">
        <v>0.21</v>
      </c>
      <c r="J23" s="14">
        <v>0.05</v>
      </c>
      <c r="K23" s="15">
        <f t="shared" si="7"/>
        <v>60267.960004999994</v>
      </c>
      <c r="L23" s="15">
        <f t="shared" si="3"/>
        <v>50458.799500000001</v>
      </c>
      <c r="M23" s="15">
        <f t="shared" si="4"/>
        <v>22323890.620975006</v>
      </c>
      <c r="N23" s="15">
        <v>0</v>
      </c>
    </row>
    <row r="24" spans="1:16" x14ac:dyDescent="0.2">
      <c r="A24" s="11">
        <v>44682</v>
      </c>
      <c r="C24" s="12">
        <v>228618614</v>
      </c>
      <c r="D24" s="13">
        <v>920827</v>
      </c>
      <c r="E24" s="10">
        <f t="shared" si="5"/>
        <v>1266542.22</v>
      </c>
      <c r="F24" s="10">
        <f t="shared" si="6"/>
        <v>1930001.43</v>
      </c>
      <c r="G24" s="12">
        <f>E24-D24</f>
        <v>345715.22</v>
      </c>
      <c r="H24" s="12">
        <f>F24-D24</f>
        <v>1009174.4299999999</v>
      </c>
      <c r="I24" s="14">
        <v>0.21</v>
      </c>
      <c r="J24" s="14">
        <v>0.05</v>
      </c>
      <c r="K24" s="15">
        <f t="shared" si="7"/>
        <v>60267.604684999991</v>
      </c>
      <c r="L24" s="15">
        <f t="shared" si="3"/>
        <v>50458.7215</v>
      </c>
      <c r="M24" s="15">
        <f t="shared" si="4"/>
        <v>22434616.947160009</v>
      </c>
      <c r="N24" s="15">
        <v>0</v>
      </c>
    </row>
    <row r="25" spans="1:16" x14ac:dyDescent="0.2">
      <c r="A25" s="11">
        <v>44713</v>
      </c>
      <c r="C25" s="12">
        <v>228618614</v>
      </c>
      <c r="D25" s="13">
        <v>920827</v>
      </c>
      <c r="E25" s="10">
        <f t="shared" si="5"/>
        <v>1266542.22</v>
      </c>
      <c r="F25" s="10">
        <f t="shared" si="6"/>
        <v>1930001.43</v>
      </c>
      <c r="G25" s="12">
        <f t="shared" si="0"/>
        <v>345715.22</v>
      </c>
      <c r="H25" s="12">
        <f t="shared" si="1"/>
        <v>1009174.4299999999</v>
      </c>
      <c r="I25" s="14">
        <v>0.21</v>
      </c>
      <c r="J25" s="14">
        <v>0.05</v>
      </c>
      <c r="K25" s="15">
        <f t="shared" si="7"/>
        <v>60267.604684999991</v>
      </c>
      <c r="L25" s="15">
        <f t="shared" si="3"/>
        <v>50458.7215</v>
      </c>
      <c r="M25" s="15">
        <f t="shared" si="4"/>
        <v>22545343.273345012</v>
      </c>
      <c r="N25" s="15">
        <v>0</v>
      </c>
    </row>
    <row r="26" spans="1:16" x14ac:dyDescent="0.2">
      <c r="A26" s="11">
        <v>44743</v>
      </c>
      <c r="C26" s="12">
        <v>228618614</v>
      </c>
      <c r="D26" s="13">
        <v>920827</v>
      </c>
      <c r="E26" s="10">
        <f t="shared" si="5"/>
        <v>1266542.22</v>
      </c>
      <c r="F26" s="10">
        <f t="shared" si="6"/>
        <v>1930001.43</v>
      </c>
      <c r="G26" s="12">
        <f>E26-D26</f>
        <v>345715.22</v>
      </c>
      <c r="H26" s="12">
        <f>F26-D26</f>
        <v>1009174.4299999999</v>
      </c>
      <c r="I26" s="14">
        <v>0.21</v>
      </c>
      <c r="J26" s="14">
        <v>0.05</v>
      </c>
      <c r="K26" s="15">
        <f t="shared" si="7"/>
        <v>60267.604684999991</v>
      </c>
      <c r="L26" s="15">
        <f t="shared" si="3"/>
        <v>50458.7215</v>
      </c>
      <c r="M26" s="15">
        <f t="shared" si="4"/>
        <v>22656069.599530015</v>
      </c>
      <c r="N26" s="15">
        <v>0</v>
      </c>
    </row>
    <row r="27" spans="1:16" x14ac:dyDescent="0.2">
      <c r="A27" s="11">
        <v>44774</v>
      </c>
      <c r="C27" s="12">
        <v>228618614</v>
      </c>
      <c r="D27" s="13">
        <v>920827</v>
      </c>
      <c r="E27" s="10">
        <f t="shared" si="5"/>
        <v>1266542.22</v>
      </c>
      <c r="F27" s="10">
        <f t="shared" si="6"/>
        <v>1930001.43</v>
      </c>
      <c r="G27" s="12">
        <f t="shared" si="0"/>
        <v>345715.22</v>
      </c>
      <c r="H27" s="12">
        <f t="shared" si="1"/>
        <v>1009174.4299999999</v>
      </c>
      <c r="I27" s="14">
        <v>0.21</v>
      </c>
      <c r="J27" s="14">
        <v>0.05</v>
      </c>
      <c r="K27" s="15">
        <f t="shared" si="7"/>
        <v>60267.604684999991</v>
      </c>
      <c r="L27" s="15">
        <f t="shared" si="3"/>
        <v>50458.7215</v>
      </c>
      <c r="M27" s="15">
        <f t="shared" si="4"/>
        <v>22766795.925715018</v>
      </c>
      <c r="N27" s="15">
        <v>0</v>
      </c>
    </row>
    <row r="28" spans="1:16" x14ac:dyDescent="0.2">
      <c r="A28" s="11">
        <v>44813</v>
      </c>
      <c r="C28" s="12">
        <v>228618614</v>
      </c>
      <c r="D28" s="13">
        <v>920826.5</v>
      </c>
      <c r="E28" s="10">
        <f>1266543.49</f>
        <v>1266543.49</v>
      </c>
      <c r="F28" s="10">
        <f>1930002.49</f>
        <v>1930002.49</v>
      </c>
      <c r="G28" s="12">
        <f t="shared" si="0"/>
        <v>345716.99</v>
      </c>
      <c r="H28" s="12">
        <f t="shared" si="1"/>
        <v>1009175.99</v>
      </c>
      <c r="I28" s="14">
        <v>0.21</v>
      </c>
      <c r="J28" s="14">
        <v>0.05</v>
      </c>
      <c r="K28" s="15">
        <f>G28*I28-L28*I28-1736.26</f>
        <v>60267.960004999994</v>
      </c>
      <c r="L28" s="15">
        <f t="shared" si="3"/>
        <v>50458.799500000001</v>
      </c>
      <c r="M28" s="15">
        <f t="shared" si="4"/>
        <v>22877522.685220018</v>
      </c>
      <c r="N28" s="15">
        <v>0</v>
      </c>
    </row>
    <row r="29" spans="1:16" x14ac:dyDescent="0.2">
      <c r="A29" s="11">
        <v>44835</v>
      </c>
      <c r="C29" s="12">
        <v>228618614</v>
      </c>
      <c r="D29" s="13">
        <v>920827</v>
      </c>
      <c r="E29" s="10">
        <f>1266542.22</f>
        <v>1266542.22</v>
      </c>
      <c r="F29" s="10">
        <f>1930001.43</f>
        <v>1930001.43</v>
      </c>
      <c r="G29" s="12">
        <f t="shared" si="0"/>
        <v>345715.22</v>
      </c>
      <c r="H29" s="12">
        <f t="shared" si="1"/>
        <v>1009174.4299999999</v>
      </c>
      <c r="I29" s="14">
        <v>0.21</v>
      </c>
      <c r="J29" s="14">
        <v>0.05</v>
      </c>
      <c r="K29" s="15">
        <f>G29*I29-L29*I29-1736.26</f>
        <v>60267.604684999991</v>
      </c>
      <c r="L29" s="15">
        <f t="shared" si="3"/>
        <v>50458.7215</v>
      </c>
      <c r="M29" s="15">
        <f t="shared" si="4"/>
        <v>22988249.011405021</v>
      </c>
      <c r="N29" s="15">
        <v>0</v>
      </c>
    </row>
    <row r="30" spans="1:16" x14ac:dyDescent="0.2">
      <c r="A30" s="11">
        <v>44866</v>
      </c>
      <c r="C30" s="12">
        <v>228618614</v>
      </c>
      <c r="D30" s="13">
        <v>920826.5</v>
      </c>
      <c r="E30" s="10">
        <f>1266543.2</f>
        <v>1266543.2</v>
      </c>
      <c r="F30" s="10">
        <f>1930002.2</f>
        <v>1930002.2</v>
      </c>
      <c r="G30" s="12">
        <f>E30-D30</f>
        <v>345716.69999999995</v>
      </c>
      <c r="H30" s="12">
        <f>F30-D30</f>
        <v>1009175.7</v>
      </c>
      <c r="I30" s="14">
        <v>0.21</v>
      </c>
      <c r="J30" s="14">
        <v>0.05</v>
      </c>
      <c r="K30" s="15">
        <f>G30*I30-L30*I30-1736.26</f>
        <v>60267.90214999998</v>
      </c>
      <c r="L30" s="15">
        <f t="shared" si="3"/>
        <v>50458.785000000003</v>
      </c>
      <c r="M30" s="15">
        <f t="shared" si="4"/>
        <v>23098975.698555022</v>
      </c>
      <c r="N30" s="15">
        <v>0</v>
      </c>
    </row>
    <row r="31" spans="1:16" x14ac:dyDescent="0.2">
      <c r="A31" s="11">
        <v>44896</v>
      </c>
      <c r="C31" s="12">
        <v>228618614</v>
      </c>
      <c r="D31" s="13">
        <v>920827</v>
      </c>
      <c r="E31" s="10">
        <f>1266542.22</f>
        <v>1266542.22</v>
      </c>
      <c r="F31" s="10">
        <f t="shared" ref="F31" si="8">1930001.43</f>
        <v>1930001.43</v>
      </c>
      <c r="G31" s="12">
        <f t="shared" si="0"/>
        <v>345715.22</v>
      </c>
      <c r="H31" s="12">
        <f t="shared" si="1"/>
        <v>1009174.4299999999</v>
      </c>
      <c r="I31" s="14">
        <v>0.21</v>
      </c>
      <c r="J31" s="14">
        <v>0.05</v>
      </c>
      <c r="K31" s="15">
        <f>G31*I31-L31*I31-1736.26</f>
        <v>60267.604684999991</v>
      </c>
      <c r="L31" s="15">
        <f t="shared" si="3"/>
        <v>50458.7215</v>
      </c>
      <c r="M31" s="15">
        <f t="shared" si="4"/>
        <v>23209702.024740025</v>
      </c>
      <c r="N31" s="15">
        <v>0</v>
      </c>
    </row>
    <row r="32" spans="1:16" x14ac:dyDescent="0.2">
      <c r="A32" s="11">
        <v>44927</v>
      </c>
      <c r="C32" s="12">
        <v>228618614</v>
      </c>
      <c r="D32" s="13">
        <v>920827</v>
      </c>
      <c r="E32" s="10">
        <f>1220445.28</f>
        <v>1220445.28</v>
      </c>
      <c r="F32" s="10">
        <f>1857450.24</f>
        <v>1857450.24</v>
      </c>
      <c r="G32" s="12">
        <f>E32-D32</f>
        <v>299618.28000000003</v>
      </c>
      <c r="H32" s="12">
        <f>F32-D32</f>
        <v>936623.24</v>
      </c>
      <c r="I32" s="14">
        <v>0.21</v>
      </c>
      <c r="J32" s="14">
        <v>0.05</v>
      </c>
      <c r="K32" s="15">
        <f>G32*I32-46831*I32-3214.12</f>
        <v>49871.2088</v>
      </c>
      <c r="L32" s="15">
        <f>H32*J32-17.26</f>
        <v>46813.902000000002</v>
      </c>
      <c r="M32" s="15">
        <f t="shared" si="4"/>
        <v>23306387.135540023</v>
      </c>
      <c r="N32" s="15">
        <v>0</v>
      </c>
    </row>
    <row r="33" spans="1:14" x14ac:dyDescent="0.2">
      <c r="A33" s="11">
        <v>44958</v>
      </c>
      <c r="C33" s="12">
        <v>228618614</v>
      </c>
      <c r="D33" s="13">
        <v>920827</v>
      </c>
      <c r="E33" s="10">
        <f>1220445.28</f>
        <v>1220445.28</v>
      </c>
      <c r="F33" s="10">
        <f>1857450.24</f>
        <v>1857450.24</v>
      </c>
      <c r="G33" s="12">
        <f t="shared" si="0"/>
        <v>299618.28000000003</v>
      </c>
      <c r="H33" s="12">
        <f t="shared" si="1"/>
        <v>936623.24</v>
      </c>
      <c r="I33" s="14">
        <v>0.21</v>
      </c>
      <c r="J33" s="14">
        <v>0.05</v>
      </c>
      <c r="K33" s="15">
        <f>G33*I33-46831*I33-3214.12</f>
        <v>49871.2088</v>
      </c>
      <c r="L33" s="15">
        <f>H33*J33-17.26</f>
        <v>46813.902000000002</v>
      </c>
      <c r="M33" s="15">
        <f t="shared" si="4"/>
        <v>23403072.246340021</v>
      </c>
      <c r="N33" s="15">
        <v>0</v>
      </c>
    </row>
    <row r="34" spans="1:14" x14ac:dyDescent="0.2">
      <c r="A34" s="19"/>
      <c r="C34" s="12"/>
      <c r="D34" s="13"/>
      <c r="E34" s="13"/>
      <c r="F34" s="13"/>
      <c r="G34" s="18"/>
      <c r="H34" s="18"/>
      <c r="I34" s="18"/>
      <c r="J34" s="12"/>
      <c r="K34" s="12"/>
      <c r="L34" s="14"/>
      <c r="M34" s="14"/>
      <c r="N34" s="15"/>
    </row>
    <row r="35" spans="1:14" x14ac:dyDescent="0.2">
      <c r="A35" s="19"/>
      <c r="C35" s="35" t="s">
        <v>54</v>
      </c>
      <c r="D35" s="31"/>
      <c r="E35" s="31"/>
      <c r="F35" s="31"/>
      <c r="G35" s="18"/>
      <c r="H35" s="18"/>
      <c r="I35" s="18"/>
      <c r="J35" s="35"/>
      <c r="K35" s="35"/>
      <c r="L35" s="14"/>
      <c r="M35" s="14"/>
      <c r="N35" s="15"/>
    </row>
    <row r="36" spans="1:14" x14ac:dyDescent="0.2">
      <c r="A36" s="19"/>
      <c r="C36" s="35"/>
      <c r="D36" s="31"/>
      <c r="E36" s="31"/>
      <c r="F36" s="31"/>
      <c r="G36" s="18"/>
      <c r="H36" s="18"/>
      <c r="I36" s="18"/>
      <c r="J36" s="35"/>
      <c r="K36" s="35"/>
      <c r="L36" s="14"/>
      <c r="M36" s="14"/>
      <c r="N36" s="15"/>
    </row>
    <row r="37" spans="1:14" x14ac:dyDescent="0.2">
      <c r="C37" s="36" t="s">
        <v>50</v>
      </c>
      <c r="D37" s="37"/>
      <c r="E37" s="37"/>
      <c r="F37" s="37"/>
      <c r="G37" s="37"/>
      <c r="H37" s="37"/>
      <c r="I37" s="37"/>
      <c r="J37" s="37"/>
      <c r="K37" s="37"/>
    </row>
    <row r="38" spans="1:14" x14ac:dyDescent="0.2">
      <c r="C38" s="36" t="s">
        <v>22</v>
      </c>
      <c r="D38" s="37"/>
      <c r="E38" s="37"/>
      <c r="F38" s="37"/>
      <c r="G38" s="37"/>
      <c r="H38" s="37"/>
      <c r="I38" s="37"/>
      <c r="J38" s="37"/>
      <c r="K38" s="37"/>
    </row>
    <row r="39" spans="1:14" x14ac:dyDescent="0.2">
      <c r="C39" s="36" t="s">
        <v>53</v>
      </c>
      <c r="D39" s="37"/>
      <c r="E39" s="37"/>
      <c r="F39" s="37"/>
      <c r="G39" s="37"/>
      <c r="H39" s="37"/>
      <c r="I39" s="37"/>
      <c r="J39" s="37"/>
      <c r="K39" s="37"/>
    </row>
    <row r="40" spans="1:14" x14ac:dyDescent="0.2">
      <c r="C40" s="35" t="s">
        <v>23</v>
      </c>
      <c r="D40" s="37"/>
      <c r="E40" s="37"/>
      <c r="F40" s="37"/>
      <c r="G40" s="37"/>
      <c r="H40" s="37"/>
      <c r="I40" s="37"/>
      <c r="J40" s="37"/>
      <c r="K40" s="37"/>
    </row>
    <row r="42" spans="1:14" x14ac:dyDescent="0.2">
      <c r="C42" s="35" t="s">
        <v>24</v>
      </c>
      <c r="D42" s="34" t="s">
        <v>25</v>
      </c>
      <c r="E42" s="33" t="s">
        <v>26</v>
      </c>
      <c r="F42" s="35" t="s">
        <v>27</v>
      </c>
      <c r="G42" s="39" t="s">
        <v>12</v>
      </c>
      <c r="H42" s="35" t="s">
        <v>28</v>
      </c>
      <c r="I42" s="37"/>
      <c r="J42" s="37"/>
      <c r="K42" s="37"/>
    </row>
    <row r="43" spans="1:14" x14ac:dyDescent="0.2">
      <c r="C43" s="35">
        <v>4378287</v>
      </c>
      <c r="D43" s="35">
        <v>920827</v>
      </c>
      <c r="E43" s="35">
        <v>12483.96</v>
      </c>
      <c r="F43" s="35">
        <f>-D43+E43</f>
        <v>-908343.04</v>
      </c>
      <c r="G43" s="39">
        <v>0.21</v>
      </c>
      <c r="H43" s="35">
        <f>F43*G43</f>
        <v>-190752.03839999999</v>
      </c>
      <c r="I43" s="37"/>
      <c r="J43" s="37"/>
      <c r="K43" s="37"/>
    </row>
    <row r="44" spans="1:14" x14ac:dyDescent="0.2">
      <c r="C44" s="35">
        <v>1178248</v>
      </c>
      <c r="D44" s="35"/>
      <c r="E44" s="35">
        <v>8050.87</v>
      </c>
      <c r="F44" s="35">
        <f>E44</f>
        <v>8050.87</v>
      </c>
      <c r="G44" s="39">
        <v>0.21</v>
      </c>
      <c r="H44" s="35">
        <f t="shared" ref="H44:H49" si="9">F44*G44</f>
        <v>1690.6826999999998</v>
      </c>
      <c r="I44" s="37"/>
      <c r="J44" s="37"/>
      <c r="K44" s="37"/>
    </row>
    <row r="45" spans="1:14" x14ac:dyDescent="0.2">
      <c r="C45" s="35">
        <v>527243</v>
      </c>
      <c r="D45" s="35"/>
      <c r="E45" s="35">
        <v>4393.3</v>
      </c>
      <c r="F45" s="35">
        <f t="shared" ref="F45:F49" si="10">E45</f>
        <v>4393.3</v>
      </c>
      <c r="G45" s="39">
        <v>0.21</v>
      </c>
      <c r="H45" s="35">
        <f t="shared" si="9"/>
        <v>922.59299999999996</v>
      </c>
      <c r="I45" s="37"/>
      <c r="J45" s="37"/>
      <c r="K45" s="37"/>
    </row>
    <row r="46" spans="1:14" x14ac:dyDescent="0.2">
      <c r="C46" s="35">
        <v>110974612</v>
      </c>
      <c r="D46" s="35"/>
      <c r="E46" s="35">
        <v>924705.2</v>
      </c>
      <c r="F46" s="35">
        <f t="shared" si="10"/>
        <v>924705.2</v>
      </c>
      <c r="G46" s="39">
        <v>0.21</v>
      </c>
      <c r="H46" s="35">
        <f t="shared" si="9"/>
        <v>194188.09199999998</v>
      </c>
      <c r="I46" s="37"/>
      <c r="J46" s="37"/>
      <c r="K46" s="37"/>
    </row>
    <row r="47" spans="1:14" x14ac:dyDescent="0.2">
      <c r="C47" s="35">
        <v>3397057.0700000003</v>
      </c>
      <c r="D47" s="35"/>
      <c r="E47" s="35">
        <v>29225.73</v>
      </c>
      <c r="F47" s="35">
        <f t="shared" si="10"/>
        <v>29225.73</v>
      </c>
      <c r="G47" s="39">
        <v>0.21</v>
      </c>
      <c r="H47" s="35">
        <f t="shared" si="9"/>
        <v>6137.4032999999999</v>
      </c>
      <c r="I47" s="37"/>
      <c r="J47" s="37"/>
      <c r="K47" s="37"/>
    </row>
    <row r="48" spans="1:14" x14ac:dyDescent="0.2">
      <c r="C48" s="35">
        <v>6388511.0600000005</v>
      </c>
      <c r="D48" s="35"/>
      <c r="E48" s="35">
        <v>54961.96</v>
      </c>
      <c r="F48" s="35">
        <f t="shared" si="10"/>
        <v>54961.96</v>
      </c>
      <c r="G48" s="39">
        <v>0.21</v>
      </c>
      <c r="H48" s="35">
        <f t="shared" si="9"/>
        <v>11542.0116</v>
      </c>
      <c r="I48" s="37"/>
      <c r="J48" s="37"/>
      <c r="K48" s="37"/>
    </row>
    <row r="49" spans="3:11" ht="15" x14ac:dyDescent="0.35">
      <c r="C49" s="35">
        <v>20981002</v>
      </c>
      <c r="D49" s="35"/>
      <c r="E49" s="40">
        <v>186624.27</v>
      </c>
      <c r="F49" s="40">
        <f t="shared" si="10"/>
        <v>186624.27</v>
      </c>
      <c r="G49" s="39">
        <v>0.21</v>
      </c>
      <c r="H49" s="40">
        <f t="shared" si="9"/>
        <v>39191.096699999995</v>
      </c>
      <c r="I49" s="37"/>
      <c r="J49" s="37"/>
      <c r="K49" s="37"/>
    </row>
    <row r="50" spans="3:11" x14ac:dyDescent="0.2">
      <c r="C50" s="37"/>
      <c r="D50" s="37"/>
      <c r="E50" s="35">
        <f>SUM(E43:E49)</f>
        <v>1220445.2899999998</v>
      </c>
      <c r="F50" s="35">
        <f>SUM(F43:F49)</f>
        <v>299618.28999999992</v>
      </c>
      <c r="G50" s="37" t="s">
        <v>29</v>
      </c>
      <c r="H50" s="35">
        <f>SUM(H43:H49)</f>
        <v>62919.840899999981</v>
      </c>
      <c r="I50" s="37"/>
      <c r="J50" s="37"/>
      <c r="K50" s="37"/>
    </row>
    <row r="51" spans="3:11" ht="15" x14ac:dyDescent="0.35">
      <c r="C51" s="37"/>
      <c r="D51" s="37"/>
      <c r="E51" s="37"/>
      <c r="F51" s="37"/>
      <c r="G51" s="37" t="s">
        <v>30</v>
      </c>
      <c r="H51" s="40">
        <f>-H62*0.21</f>
        <v>-9834.5441250000003</v>
      </c>
      <c r="I51" s="37"/>
      <c r="J51" s="37"/>
      <c r="K51" s="37"/>
    </row>
    <row r="52" spans="3:11" x14ac:dyDescent="0.2">
      <c r="C52" s="37"/>
      <c r="D52" s="37"/>
      <c r="E52" s="37"/>
      <c r="F52" s="37"/>
      <c r="G52" s="37"/>
      <c r="H52" s="35">
        <f>H50+H51</f>
        <v>53085.296774999981</v>
      </c>
      <c r="I52" s="37"/>
      <c r="J52" s="37"/>
      <c r="K52" s="37"/>
    </row>
    <row r="53" spans="3:11" x14ac:dyDescent="0.2">
      <c r="C53" s="37"/>
      <c r="D53" s="37"/>
      <c r="E53" s="37"/>
      <c r="F53" s="37"/>
      <c r="G53" s="37"/>
      <c r="H53" s="35">
        <f>H52-K33</f>
        <v>3214.0879749999804</v>
      </c>
      <c r="I53" s="37" t="s">
        <v>31</v>
      </c>
      <c r="J53" s="37"/>
      <c r="K53" s="37"/>
    </row>
    <row r="54" spans="3:11" x14ac:dyDescent="0.2">
      <c r="C54" s="35" t="s">
        <v>32</v>
      </c>
      <c r="D54" s="32" t="s">
        <v>25</v>
      </c>
      <c r="E54" s="33" t="s">
        <v>33</v>
      </c>
      <c r="F54" s="35" t="s">
        <v>34</v>
      </c>
      <c r="G54" s="39" t="s">
        <v>13</v>
      </c>
      <c r="H54" s="35" t="s">
        <v>35</v>
      </c>
      <c r="I54" s="37"/>
      <c r="J54" s="37"/>
      <c r="K54" s="37"/>
    </row>
    <row r="55" spans="3:11" x14ac:dyDescent="0.2">
      <c r="C55" s="35">
        <v>8756574</v>
      </c>
      <c r="D55" s="35">
        <v>920827</v>
      </c>
      <c r="E55" s="35">
        <v>24967.91</v>
      </c>
      <c r="F55" s="35">
        <f>-D55+E55</f>
        <v>-895859.09</v>
      </c>
      <c r="G55" s="39">
        <v>0.05</v>
      </c>
      <c r="H55" s="35">
        <f>F55*G55</f>
        <v>-44792.9545</v>
      </c>
      <c r="I55" s="37"/>
      <c r="J55" s="37"/>
      <c r="K55" s="37"/>
    </row>
    <row r="56" spans="3:11" x14ac:dyDescent="0.2">
      <c r="C56" s="35">
        <v>2356496</v>
      </c>
      <c r="D56" s="37"/>
      <c r="E56" s="35">
        <v>16101.74</v>
      </c>
      <c r="F56" s="35">
        <f>E56</f>
        <v>16101.74</v>
      </c>
      <c r="G56" s="39">
        <v>0.05</v>
      </c>
      <c r="H56" s="35">
        <f t="shared" ref="H56:H61" si="11">F56*G56</f>
        <v>805.08699999999999</v>
      </c>
      <c r="I56" s="37"/>
      <c r="J56" s="37"/>
      <c r="K56" s="37"/>
    </row>
    <row r="57" spans="3:11" x14ac:dyDescent="0.2">
      <c r="C57" s="35">
        <v>527243</v>
      </c>
      <c r="D57" s="37"/>
      <c r="E57" s="35">
        <v>4393.3</v>
      </c>
      <c r="F57" s="35">
        <f t="shared" ref="F57:F61" si="12">E57</f>
        <v>4393.3</v>
      </c>
      <c r="G57" s="39">
        <v>0.05</v>
      </c>
      <c r="H57" s="35">
        <f t="shared" si="11"/>
        <v>219.66500000000002</v>
      </c>
      <c r="I57" s="37"/>
      <c r="J57" s="37"/>
      <c r="K57" s="37"/>
    </row>
    <row r="58" spans="3:11" x14ac:dyDescent="0.2">
      <c r="C58" s="35">
        <v>184957686</v>
      </c>
      <c r="D58" s="37"/>
      <c r="E58" s="35">
        <v>1541175.34</v>
      </c>
      <c r="F58" s="35">
        <f t="shared" si="12"/>
        <v>1541175.34</v>
      </c>
      <c r="G58" s="39">
        <v>0.05</v>
      </c>
      <c r="H58" s="35">
        <f t="shared" si="11"/>
        <v>77058.767000000007</v>
      </c>
      <c r="I58" s="37"/>
      <c r="J58" s="37"/>
      <c r="K58" s="37"/>
    </row>
    <row r="59" spans="3:11" x14ac:dyDescent="0.2">
      <c r="C59" s="35">
        <v>3397057.0700000003</v>
      </c>
      <c r="D59" s="37"/>
      <c r="E59" s="35">
        <v>29225.73</v>
      </c>
      <c r="F59" s="35">
        <f t="shared" si="12"/>
        <v>29225.73</v>
      </c>
      <c r="G59" s="39">
        <v>0.05</v>
      </c>
      <c r="H59" s="35">
        <f t="shared" si="11"/>
        <v>1461.2865000000002</v>
      </c>
      <c r="I59" s="37"/>
      <c r="J59" s="37"/>
      <c r="K59" s="37"/>
    </row>
    <row r="60" spans="3:11" x14ac:dyDescent="0.2">
      <c r="C60" s="35">
        <v>6388511.0600000005</v>
      </c>
      <c r="D60" s="37"/>
      <c r="E60" s="35">
        <v>54961.96</v>
      </c>
      <c r="F60" s="35">
        <f t="shared" si="12"/>
        <v>54961.96</v>
      </c>
      <c r="G60" s="39">
        <v>0.05</v>
      </c>
      <c r="H60" s="35">
        <f t="shared" si="11"/>
        <v>2748.098</v>
      </c>
      <c r="I60" s="37"/>
      <c r="J60" s="37"/>
      <c r="K60" s="37"/>
    </row>
    <row r="61" spans="3:11" ht="15" x14ac:dyDescent="0.35">
      <c r="C61" s="35">
        <v>20981002</v>
      </c>
      <c r="D61" s="37"/>
      <c r="E61" s="40">
        <v>186624.27</v>
      </c>
      <c r="F61" s="40">
        <f t="shared" si="12"/>
        <v>186624.27</v>
      </c>
      <c r="G61" s="39">
        <v>0.05</v>
      </c>
      <c r="H61" s="40">
        <f t="shared" si="11"/>
        <v>9331.2134999999998</v>
      </c>
      <c r="I61" s="37"/>
      <c r="J61" s="37"/>
      <c r="K61" s="37"/>
    </row>
    <row r="62" spans="3:11" x14ac:dyDescent="0.2">
      <c r="C62" s="37"/>
      <c r="D62" s="37"/>
      <c r="E62" s="35">
        <f>SUM(E55:E61)</f>
        <v>1857450.25</v>
      </c>
      <c r="F62" s="35">
        <f>SUM(F55:F61)</f>
        <v>936623.25000000012</v>
      </c>
      <c r="G62" s="37"/>
      <c r="H62" s="35">
        <f>SUM(H55:H61)</f>
        <v>46831.162500000006</v>
      </c>
      <c r="I62" s="37"/>
      <c r="J62" s="37"/>
      <c r="K62" s="37"/>
    </row>
    <row r="63" spans="3:11" x14ac:dyDescent="0.2">
      <c r="C63" s="37"/>
      <c r="D63" s="37"/>
      <c r="E63" s="37"/>
      <c r="F63" s="37"/>
      <c r="G63" s="37"/>
      <c r="H63" s="35">
        <f>H62-L33</f>
        <v>17.260500000003958</v>
      </c>
      <c r="I63" s="37" t="s">
        <v>55</v>
      </c>
      <c r="J63" s="37"/>
      <c r="K63" s="37"/>
    </row>
  </sheetData>
  <pageMargins left="0.5" right="0.5" top="1.5" bottom="0.5" header="0.5" footer="0.5"/>
  <pageSetup scale="58" orientation="portrait" r:id="rId1"/>
  <headerFooter alignWithMargins="0">
    <oddHeader>&amp;R&amp;"Times New Roman,Bold"&amp;12Attachment to Response to Question No. 3
Page 7 of 9
Clements</oddHeader>
    <oddFooter>&amp;L_x000D_&amp;1#&amp;"Calibri"&amp;14&amp;K000000 Business Use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EE4DC-0A9F-4637-A3E9-0DD060316220}">
  <sheetPr>
    <pageSetUpPr fitToPage="1"/>
  </sheetPr>
  <dimension ref="A1:T55"/>
  <sheetViews>
    <sheetView zoomScaleNormal="100" workbookViewId="0"/>
  </sheetViews>
  <sheetFormatPr defaultRowHeight="12.75" x14ac:dyDescent="0.2"/>
  <cols>
    <col min="1" max="1" width="11.28515625" style="9" customWidth="1"/>
    <col min="2" max="2" width="1.7109375" customWidth="1"/>
    <col min="3" max="3" width="13.42578125" customWidth="1"/>
    <col min="4" max="4" width="12.7109375" customWidth="1"/>
    <col min="5" max="5" width="15.8554687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2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47</v>
      </c>
      <c r="N4" s="3"/>
      <c r="O4" s="3"/>
      <c r="P4" s="3"/>
    </row>
    <row r="5" spans="1:20" x14ac:dyDescent="0.2">
      <c r="A5" s="4" t="s">
        <v>45</v>
      </c>
    </row>
    <row r="6" spans="1:20" x14ac:dyDescent="0.2">
      <c r="A6" s="5" t="s">
        <v>51</v>
      </c>
    </row>
    <row r="8" spans="1:20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20" x14ac:dyDescent="0.2">
      <c r="A9" s="9" t="s">
        <v>18</v>
      </c>
      <c r="M9" s="10">
        <v>3967581</v>
      </c>
    </row>
    <row r="10" spans="1:20" x14ac:dyDescent="0.2">
      <c r="A10" s="11">
        <v>44264</v>
      </c>
      <c r="C10" s="12">
        <v>44037947</v>
      </c>
      <c r="D10" s="13">
        <v>87709</v>
      </c>
      <c r="E10" s="13">
        <f>155228.43</f>
        <v>155228.43</v>
      </c>
      <c r="F10" s="13">
        <f t="shared" ref="F10:F15" si="0">244729.84</f>
        <v>244729.84</v>
      </c>
      <c r="G10" s="18">
        <f t="shared" ref="G10:G13" si="1">E10-D10</f>
        <v>67519.429999999993</v>
      </c>
      <c r="H10" s="18">
        <f t="shared" ref="H10:H13" si="2">F10-D10</f>
        <v>157020.84</v>
      </c>
      <c r="I10" s="14">
        <v>0.21</v>
      </c>
      <c r="J10" s="14">
        <v>0.05</v>
      </c>
      <c r="K10" s="15">
        <f t="shared" ref="K10:K13" si="3">G10*I10-L10*I10</f>
        <v>12530.361479999998</v>
      </c>
      <c r="L10" s="15">
        <f t="shared" ref="L10:L13" si="4">H10*J10</f>
        <v>7851.0420000000004</v>
      </c>
      <c r="M10" s="15">
        <f t="shared" ref="M10:M33" si="5">M9+K10+L10</f>
        <v>3987962.4034799999</v>
      </c>
      <c r="N10" s="15">
        <v>0</v>
      </c>
      <c r="O10" s="16"/>
    </row>
    <row r="11" spans="1:20" x14ac:dyDescent="0.2">
      <c r="A11" s="11">
        <v>44287</v>
      </c>
      <c r="C11" s="12">
        <v>44037947</v>
      </c>
      <c r="D11" s="13">
        <v>87709</v>
      </c>
      <c r="E11" s="13">
        <f>155228.43</f>
        <v>155228.43</v>
      </c>
      <c r="F11" s="13">
        <f t="shared" si="0"/>
        <v>244729.84</v>
      </c>
      <c r="G11" s="18">
        <f t="shared" si="1"/>
        <v>67519.429999999993</v>
      </c>
      <c r="H11" s="18">
        <f t="shared" si="2"/>
        <v>157020.84</v>
      </c>
      <c r="I11" s="14">
        <v>0.21</v>
      </c>
      <c r="J11" s="14">
        <v>0.05</v>
      </c>
      <c r="K11" s="15">
        <f t="shared" si="3"/>
        <v>12530.361479999998</v>
      </c>
      <c r="L11" s="15">
        <f t="shared" si="4"/>
        <v>7851.0420000000004</v>
      </c>
      <c r="M11" s="15">
        <f t="shared" si="5"/>
        <v>4008343.8069599997</v>
      </c>
      <c r="N11" s="15">
        <v>0</v>
      </c>
      <c r="O11" s="16"/>
      <c r="Q11" s="15">
        <f>358619-M12</f>
        <v>-3670106.2104399996</v>
      </c>
      <c r="R11" s="22" t="s">
        <v>47</v>
      </c>
    </row>
    <row r="12" spans="1:20" x14ac:dyDescent="0.2">
      <c r="A12" s="11">
        <v>44317</v>
      </c>
      <c r="C12" s="12">
        <v>44037947</v>
      </c>
      <c r="D12" s="13">
        <v>87709</v>
      </c>
      <c r="E12" s="13">
        <f>155228.43</f>
        <v>155228.43</v>
      </c>
      <c r="F12" s="13">
        <f t="shared" si="0"/>
        <v>244729.84</v>
      </c>
      <c r="G12" s="18">
        <f t="shared" si="1"/>
        <v>67519.429999999993</v>
      </c>
      <c r="H12" s="18">
        <f t="shared" si="2"/>
        <v>157020.84</v>
      </c>
      <c r="I12" s="14">
        <v>0.21</v>
      </c>
      <c r="J12" s="14">
        <v>0.05</v>
      </c>
      <c r="K12" s="15">
        <f t="shared" si="3"/>
        <v>12530.361479999998</v>
      </c>
      <c r="L12" s="15">
        <f t="shared" si="4"/>
        <v>7851.0420000000004</v>
      </c>
      <c r="M12" s="15">
        <f t="shared" si="5"/>
        <v>4028725.2104399996</v>
      </c>
      <c r="N12" s="15">
        <v>0</v>
      </c>
      <c r="Q12">
        <f>+Q11/0.389</f>
        <v>-9434720.3353213351</v>
      </c>
      <c r="R12" s="15"/>
    </row>
    <row r="13" spans="1:20" x14ac:dyDescent="0.2">
      <c r="A13" s="11">
        <v>44348</v>
      </c>
      <c r="C13" s="12">
        <v>44037947</v>
      </c>
      <c r="D13" s="13">
        <v>87709</v>
      </c>
      <c r="E13" s="13">
        <f>155228.43-2.92</f>
        <v>155225.50999999998</v>
      </c>
      <c r="F13" s="13">
        <f t="shared" si="0"/>
        <v>244729.84</v>
      </c>
      <c r="G13" s="18">
        <f t="shared" si="1"/>
        <v>67516.50999999998</v>
      </c>
      <c r="H13" s="18">
        <f t="shared" si="2"/>
        <v>157020.84</v>
      </c>
      <c r="I13" s="14">
        <v>0.21</v>
      </c>
      <c r="J13" s="14">
        <v>0.05</v>
      </c>
      <c r="K13" s="15">
        <f t="shared" si="3"/>
        <v>12529.748279999996</v>
      </c>
      <c r="L13" s="15">
        <f t="shared" si="4"/>
        <v>7851.0420000000004</v>
      </c>
      <c r="M13" s="15">
        <f t="shared" si="5"/>
        <v>4049106.0007199994</v>
      </c>
      <c r="N13" s="15">
        <v>0</v>
      </c>
      <c r="Q13" s="15">
        <f>374733-M14</f>
        <v>-3692649.0004999996</v>
      </c>
    </row>
    <row r="14" spans="1:20" x14ac:dyDescent="0.2">
      <c r="A14" s="11">
        <v>44378</v>
      </c>
      <c r="C14" s="12">
        <v>44037947</v>
      </c>
      <c r="D14" s="13">
        <v>96150</v>
      </c>
      <c r="E14" s="13">
        <f>155228.43+2.98</f>
        <v>155231.41</v>
      </c>
      <c r="F14" s="13">
        <f t="shared" si="0"/>
        <v>244729.84</v>
      </c>
      <c r="G14" s="18">
        <f>E14-D14</f>
        <v>59081.41</v>
      </c>
      <c r="H14" s="18">
        <f>F14-D14</f>
        <v>148579.84</v>
      </c>
      <c r="I14" s="14">
        <v>0.21</v>
      </c>
      <c r="J14" s="14">
        <v>0.05</v>
      </c>
      <c r="K14" s="15">
        <f>G14*I14-L14*I14</f>
        <v>10847.00778</v>
      </c>
      <c r="L14" s="15">
        <f>H14*J14</f>
        <v>7428.9920000000002</v>
      </c>
      <c r="M14" s="15">
        <f t="shared" si="5"/>
        <v>4067382.0004999996</v>
      </c>
      <c r="N14" s="15">
        <v>0</v>
      </c>
      <c r="Q14">
        <f>+Q13/0.389</f>
        <v>-9492670.952442158</v>
      </c>
      <c r="R14" s="15"/>
      <c r="S14" s="15"/>
      <c r="T14" s="15"/>
    </row>
    <row r="15" spans="1:20" x14ac:dyDescent="0.2">
      <c r="A15" s="11">
        <v>44409</v>
      </c>
      <c r="C15" s="12">
        <v>44037947</v>
      </c>
      <c r="D15" s="13">
        <v>96150</v>
      </c>
      <c r="E15" s="13">
        <f>155228.43</f>
        <v>155228.43</v>
      </c>
      <c r="F15" s="13">
        <f t="shared" si="0"/>
        <v>244729.84</v>
      </c>
      <c r="G15" s="18">
        <f>E15-D15</f>
        <v>59078.429999999993</v>
      </c>
      <c r="H15" s="18">
        <f>F15-D15</f>
        <v>148579.84</v>
      </c>
      <c r="I15" s="14">
        <v>0.21</v>
      </c>
      <c r="J15" s="14">
        <v>0.05</v>
      </c>
      <c r="K15" s="15">
        <f>G15*I15-L15*I15</f>
        <v>10846.381979999996</v>
      </c>
      <c r="L15" s="15">
        <f>H15*J15</f>
        <v>7428.9920000000002</v>
      </c>
      <c r="M15" s="15">
        <f t="shared" si="5"/>
        <v>4085657.3744799998</v>
      </c>
      <c r="N15" s="15">
        <v>0</v>
      </c>
      <c r="Q15" s="15">
        <f>+M15-386700</f>
        <v>3698957.3744799998</v>
      </c>
      <c r="R15" s="29"/>
      <c r="T15" s="15"/>
    </row>
    <row r="16" spans="1:20" x14ac:dyDescent="0.2">
      <c r="A16" s="11">
        <v>44448</v>
      </c>
      <c r="C16" s="12">
        <f>44037947</f>
        <v>44037947</v>
      </c>
      <c r="D16" s="13">
        <f>96149.5</f>
        <v>96149.5</v>
      </c>
      <c r="E16" s="13">
        <f>155228.49</f>
        <v>155228.49</v>
      </c>
      <c r="F16" s="13">
        <f>244730.49</f>
        <v>244730.49</v>
      </c>
      <c r="G16" s="18">
        <f t="shared" ref="G16:G19" si="6">E16-D16</f>
        <v>59078.989999999991</v>
      </c>
      <c r="H16" s="18">
        <f t="shared" ref="H16:H19" si="7">F16-D16</f>
        <v>148580.99</v>
      </c>
      <c r="I16" s="14">
        <v>0.21</v>
      </c>
      <c r="J16" s="14">
        <v>0.05</v>
      </c>
      <c r="K16" s="15">
        <f t="shared" ref="K16:K19" si="8">G16*I16-L16*I16</f>
        <v>10846.487504999997</v>
      </c>
      <c r="L16" s="15">
        <f t="shared" ref="L16:L19" si="9">H16*J16</f>
        <v>7429.0495000000001</v>
      </c>
      <c r="M16" s="15">
        <f t="shared" si="5"/>
        <v>4103932.911485</v>
      </c>
      <c r="N16" s="15">
        <v>0</v>
      </c>
      <c r="O16" s="15"/>
      <c r="P16" s="15"/>
      <c r="Q16">
        <f>+Q15/0.389</f>
        <v>9508887.8521336745</v>
      </c>
    </row>
    <row r="17" spans="1:16" x14ac:dyDescent="0.2">
      <c r="A17" s="11">
        <v>44470</v>
      </c>
      <c r="C17" s="12">
        <f>44037947</f>
        <v>44037947</v>
      </c>
      <c r="D17" s="13">
        <f>96150</f>
        <v>96150</v>
      </c>
      <c r="E17" s="13">
        <f>155228.43</f>
        <v>155228.43</v>
      </c>
      <c r="F17" s="13">
        <f>244729.84</f>
        <v>244729.84</v>
      </c>
      <c r="G17" s="18">
        <f t="shared" si="6"/>
        <v>59078.429999999993</v>
      </c>
      <c r="H17" s="18">
        <f t="shared" si="7"/>
        <v>148579.84</v>
      </c>
      <c r="I17" s="14">
        <v>0.21</v>
      </c>
      <c r="J17" s="14">
        <v>0.05</v>
      </c>
      <c r="K17" s="15">
        <f t="shared" si="8"/>
        <v>10846.381979999996</v>
      </c>
      <c r="L17" s="15">
        <f t="shared" si="9"/>
        <v>7428.9920000000002</v>
      </c>
      <c r="M17" s="15">
        <f t="shared" si="5"/>
        <v>4122208.2854650002</v>
      </c>
      <c r="N17" s="15">
        <v>0</v>
      </c>
      <c r="O17" s="15"/>
      <c r="P17" s="15"/>
    </row>
    <row r="18" spans="1:16" x14ac:dyDescent="0.2">
      <c r="A18" s="11">
        <v>44501</v>
      </c>
      <c r="C18" s="12">
        <v>44210372</v>
      </c>
      <c r="D18" s="13">
        <v>96338.49</v>
      </c>
      <c r="E18" s="13">
        <f>158461.4-91.71</f>
        <v>158369.69</v>
      </c>
      <c r="F18" s="13">
        <f>247962.81-91.71</f>
        <v>247871.1</v>
      </c>
      <c r="G18" s="18">
        <f t="shared" si="6"/>
        <v>62031.199999999997</v>
      </c>
      <c r="H18" s="18">
        <f t="shared" si="7"/>
        <v>151532.60999999999</v>
      </c>
      <c r="I18" s="14">
        <v>0.21</v>
      </c>
      <c r="J18" s="14">
        <v>0.05</v>
      </c>
      <c r="K18" s="15">
        <f t="shared" si="8"/>
        <v>11435.459595</v>
      </c>
      <c r="L18" s="15">
        <f t="shared" si="9"/>
        <v>7576.6304999999993</v>
      </c>
      <c r="M18" s="15">
        <f t="shared" si="5"/>
        <v>4141220.3755600001</v>
      </c>
      <c r="N18" s="15">
        <v>0</v>
      </c>
      <c r="O18" s="15"/>
      <c r="P18" s="15"/>
    </row>
    <row r="19" spans="1:16" x14ac:dyDescent="0.2">
      <c r="A19" s="11">
        <v>44531</v>
      </c>
      <c r="C19" s="12">
        <v>44210372</v>
      </c>
      <c r="D19" s="13">
        <v>96526</v>
      </c>
      <c r="E19" s="13">
        <f>158461.4+95.43</f>
        <v>158556.82999999999</v>
      </c>
      <c r="F19" s="13">
        <f>247962.81+95.43</f>
        <v>248058.23999999999</v>
      </c>
      <c r="G19" s="18">
        <f t="shared" si="6"/>
        <v>62030.829999999987</v>
      </c>
      <c r="H19" s="18">
        <f t="shared" si="7"/>
        <v>151532.24</v>
      </c>
      <c r="I19" s="14">
        <v>0.21</v>
      </c>
      <c r="J19" s="14">
        <v>0.05</v>
      </c>
      <c r="K19" s="15">
        <f t="shared" si="8"/>
        <v>11435.385779999997</v>
      </c>
      <c r="L19" s="15">
        <f t="shared" si="9"/>
        <v>7576.6120000000001</v>
      </c>
      <c r="M19" s="15">
        <f t="shared" si="5"/>
        <v>4160232.3733400004</v>
      </c>
      <c r="N19" s="15">
        <v>0</v>
      </c>
    </row>
    <row r="20" spans="1:16" x14ac:dyDescent="0.2">
      <c r="A20" s="11">
        <v>44562</v>
      </c>
      <c r="C20" s="12">
        <v>44210372</v>
      </c>
      <c r="D20" s="13">
        <v>96526.49</v>
      </c>
      <c r="E20" s="13">
        <f>144640.8</f>
        <v>144640.79999999999</v>
      </c>
      <c r="F20" s="13">
        <f>227439.8</f>
        <v>227439.8</v>
      </c>
      <c r="G20" s="18">
        <f>E20-D20</f>
        <v>48114.309999999983</v>
      </c>
      <c r="H20" s="18">
        <f>F20-D20</f>
        <v>130913.30999999998</v>
      </c>
      <c r="I20" s="14">
        <v>0.21</v>
      </c>
      <c r="J20" s="14">
        <v>0.05</v>
      </c>
      <c r="K20" s="15">
        <f>G20*I20-L20*I20</f>
        <v>8729.4153449999976</v>
      </c>
      <c r="L20" s="15">
        <f>H20*J20</f>
        <v>6545.6654999999992</v>
      </c>
      <c r="M20" s="15">
        <f t="shared" si="5"/>
        <v>4175507.4541850006</v>
      </c>
      <c r="N20" s="15">
        <v>0</v>
      </c>
    </row>
    <row r="21" spans="1:16" x14ac:dyDescent="0.2">
      <c r="A21" s="11">
        <v>44593</v>
      </c>
      <c r="C21" s="12">
        <v>44210372</v>
      </c>
      <c r="D21" s="13">
        <v>96526</v>
      </c>
      <c r="E21" s="13">
        <f>144641.57</f>
        <v>144641.57</v>
      </c>
      <c r="F21" s="13">
        <f>227440.73</f>
        <v>227440.73</v>
      </c>
      <c r="G21" s="18">
        <f>E21-D21</f>
        <v>48115.570000000007</v>
      </c>
      <c r="H21" s="18">
        <f>F21-D21</f>
        <v>130914.73000000001</v>
      </c>
      <c r="I21" s="14">
        <v>0.21</v>
      </c>
      <c r="J21" s="14">
        <v>0.05</v>
      </c>
      <c r="K21" s="15">
        <f>G21*I21-L21*I21</f>
        <v>8729.665035</v>
      </c>
      <c r="L21" s="15">
        <f>H21*J21</f>
        <v>6545.7365000000009</v>
      </c>
      <c r="M21" s="15">
        <f t="shared" si="5"/>
        <v>4190782.8557200008</v>
      </c>
      <c r="N21" s="15">
        <v>0</v>
      </c>
    </row>
    <row r="22" spans="1:16" x14ac:dyDescent="0.2">
      <c r="A22" s="11">
        <v>44629</v>
      </c>
      <c r="C22" s="12">
        <v>44210372</v>
      </c>
      <c r="D22" s="13">
        <v>96526</v>
      </c>
      <c r="E22" s="13">
        <f>144641.57</f>
        <v>144641.57</v>
      </c>
      <c r="F22" s="13">
        <f t="shared" ref="F22:F27" si="10">227440.73</f>
        <v>227440.73</v>
      </c>
      <c r="G22" s="18">
        <f t="shared" ref="G22:G25" si="11">E22-D22</f>
        <v>48115.570000000007</v>
      </c>
      <c r="H22" s="18">
        <f t="shared" ref="H22:H25" si="12">F22-D22</f>
        <v>130914.73000000001</v>
      </c>
      <c r="I22" s="14">
        <v>0.21</v>
      </c>
      <c r="J22" s="14">
        <v>0.05</v>
      </c>
      <c r="K22" s="15">
        <f t="shared" ref="K22:K25" si="13">G22*I22-L22*I22</f>
        <v>8729.665035</v>
      </c>
      <c r="L22" s="15">
        <f t="shared" ref="L22:L25" si="14">H22*J22</f>
        <v>6545.7365000000009</v>
      </c>
      <c r="M22" s="15">
        <f t="shared" si="5"/>
        <v>4206058.2572550001</v>
      </c>
      <c r="N22" s="15">
        <v>0</v>
      </c>
    </row>
    <row r="23" spans="1:16" x14ac:dyDescent="0.2">
      <c r="A23" s="11">
        <v>44652</v>
      </c>
      <c r="C23" s="12">
        <v>44210372</v>
      </c>
      <c r="D23" s="13">
        <v>96526.49</v>
      </c>
      <c r="E23" s="13">
        <f>144640.6</f>
        <v>144640.6</v>
      </c>
      <c r="F23" s="13">
        <f>227439.6</f>
        <v>227439.6</v>
      </c>
      <c r="G23" s="18">
        <f t="shared" si="11"/>
        <v>48114.11</v>
      </c>
      <c r="H23" s="18">
        <f t="shared" si="12"/>
        <v>130913.11</v>
      </c>
      <c r="I23" s="14">
        <v>0.21</v>
      </c>
      <c r="J23" s="14">
        <v>0.05</v>
      </c>
      <c r="K23" s="15">
        <f t="shared" si="13"/>
        <v>8729.3754449999997</v>
      </c>
      <c r="L23" s="15">
        <f t="shared" si="14"/>
        <v>6545.6555000000008</v>
      </c>
      <c r="M23" s="15">
        <f t="shared" si="5"/>
        <v>4221333.2882000003</v>
      </c>
      <c r="N23" s="15">
        <v>0</v>
      </c>
    </row>
    <row r="24" spans="1:16" x14ac:dyDescent="0.2">
      <c r="A24" s="11">
        <v>44682</v>
      </c>
      <c r="C24" s="12">
        <v>44210372</v>
      </c>
      <c r="D24" s="13">
        <v>96526</v>
      </c>
      <c r="E24" s="13">
        <f>144641.57</f>
        <v>144641.57</v>
      </c>
      <c r="F24" s="13">
        <f t="shared" si="10"/>
        <v>227440.73</v>
      </c>
      <c r="G24" s="18">
        <f t="shared" si="11"/>
        <v>48115.570000000007</v>
      </c>
      <c r="H24" s="18">
        <f t="shared" si="12"/>
        <v>130914.73000000001</v>
      </c>
      <c r="I24" s="14">
        <v>0.21</v>
      </c>
      <c r="J24" s="14">
        <v>0.05</v>
      </c>
      <c r="K24" s="15">
        <f t="shared" si="13"/>
        <v>8729.665035</v>
      </c>
      <c r="L24" s="15">
        <f t="shared" si="14"/>
        <v>6545.7365000000009</v>
      </c>
      <c r="M24" s="15">
        <f t="shared" si="5"/>
        <v>4236608.689735</v>
      </c>
      <c r="N24" s="15">
        <v>0</v>
      </c>
    </row>
    <row r="25" spans="1:16" x14ac:dyDescent="0.2">
      <c r="A25" s="11">
        <v>44713</v>
      </c>
      <c r="C25" s="12">
        <v>44210372</v>
      </c>
      <c r="D25" s="13">
        <v>96526</v>
      </c>
      <c r="E25" s="13">
        <f>144641.57</f>
        <v>144641.57</v>
      </c>
      <c r="F25" s="13">
        <f t="shared" si="10"/>
        <v>227440.73</v>
      </c>
      <c r="G25" s="18">
        <f t="shared" si="11"/>
        <v>48115.570000000007</v>
      </c>
      <c r="H25" s="18">
        <f t="shared" si="12"/>
        <v>130914.73000000001</v>
      </c>
      <c r="I25" s="14">
        <v>0.21</v>
      </c>
      <c r="J25" s="14">
        <v>0.05</v>
      </c>
      <c r="K25" s="15">
        <f t="shared" si="13"/>
        <v>8729.665035</v>
      </c>
      <c r="L25" s="15">
        <f t="shared" si="14"/>
        <v>6545.7365000000009</v>
      </c>
      <c r="M25" s="15">
        <f t="shared" si="5"/>
        <v>4251884.0912699997</v>
      </c>
      <c r="N25" s="15">
        <v>0</v>
      </c>
    </row>
    <row r="26" spans="1:16" x14ac:dyDescent="0.2">
      <c r="A26" s="11">
        <v>44743</v>
      </c>
      <c r="C26" s="12">
        <v>44210372</v>
      </c>
      <c r="D26" s="13">
        <v>96525.5</v>
      </c>
      <c r="E26" s="13">
        <f>144641.57</f>
        <v>144641.57</v>
      </c>
      <c r="F26" s="13">
        <f t="shared" si="10"/>
        <v>227440.73</v>
      </c>
      <c r="G26" s="18">
        <f>E26-D26</f>
        <v>48116.070000000007</v>
      </c>
      <c r="H26" s="18">
        <f>F26-D26</f>
        <v>130915.23000000001</v>
      </c>
      <c r="I26" s="14">
        <v>0.21</v>
      </c>
      <c r="J26" s="14">
        <v>0.05</v>
      </c>
      <c r="K26" s="15">
        <f>G26*I26-L26*I26</f>
        <v>8729.7647849999994</v>
      </c>
      <c r="L26" s="15">
        <f>H26*J26</f>
        <v>6545.7615000000005</v>
      </c>
      <c r="M26" s="15">
        <f t="shared" si="5"/>
        <v>4267159.6175549999</v>
      </c>
      <c r="N26" s="15">
        <v>0</v>
      </c>
    </row>
    <row r="27" spans="1:16" x14ac:dyDescent="0.2">
      <c r="A27" s="11">
        <v>44774</v>
      </c>
      <c r="C27" s="12">
        <v>44210372</v>
      </c>
      <c r="D27" s="13">
        <v>96526</v>
      </c>
      <c r="E27" s="13">
        <f>144641.57</f>
        <v>144641.57</v>
      </c>
      <c r="F27" s="13">
        <f t="shared" si="10"/>
        <v>227440.73</v>
      </c>
      <c r="G27" s="18">
        <f>E27-D27</f>
        <v>48115.570000000007</v>
      </c>
      <c r="H27" s="18">
        <f>F27-D27</f>
        <v>130914.73000000001</v>
      </c>
      <c r="I27" s="14">
        <v>0.21</v>
      </c>
      <c r="J27" s="14">
        <v>0.05</v>
      </c>
      <c r="K27" s="15">
        <f>G27*I27-L27*I27</f>
        <v>8729.665035</v>
      </c>
      <c r="L27" s="15">
        <f>H27*J27</f>
        <v>6545.7365000000009</v>
      </c>
      <c r="M27" s="15">
        <f t="shared" si="5"/>
        <v>4282435.0190899996</v>
      </c>
      <c r="N27" s="15">
        <v>0</v>
      </c>
    </row>
    <row r="28" spans="1:16" x14ac:dyDescent="0.2">
      <c r="A28" s="11">
        <v>44813</v>
      </c>
      <c r="C28" s="12">
        <v>44210372</v>
      </c>
      <c r="D28" s="13">
        <v>96526</v>
      </c>
      <c r="E28" s="31">
        <v>144641.57</v>
      </c>
      <c r="F28" s="31">
        <v>227440.73</v>
      </c>
      <c r="G28" s="18">
        <f t="shared" ref="G28:G31" si="15">E28-D28</f>
        <v>48115.570000000007</v>
      </c>
      <c r="H28" s="18">
        <f t="shared" ref="H28:H31" si="16">F28-D28</f>
        <v>130914.73000000001</v>
      </c>
      <c r="I28" s="14">
        <v>0.21</v>
      </c>
      <c r="J28" s="14">
        <v>0.05</v>
      </c>
      <c r="K28" s="15">
        <f t="shared" ref="K28:K31" si="17">G28*I28-L28*I28</f>
        <v>8729.665035</v>
      </c>
      <c r="L28" s="15">
        <f t="shared" ref="L28:L31" si="18">H28*J28</f>
        <v>6545.7365000000009</v>
      </c>
      <c r="M28" s="15">
        <f t="shared" si="5"/>
        <v>4297710.4206249993</v>
      </c>
      <c r="N28" s="15">
        <v>0</v>
      </c>
    </row>
    <row r="29" spans="1:16" x14ac:dyDescent="0.2">
      <c r="A29" s="11">
        <v>44835</v>
      </c>
      <c r="C29" s="12">
        <v>44210372</v>
      </c>
      <c r="D29" s="13">
        <v>96526</v>
      </c>
      <c r="E29" s="31">
        <v>144641.57</v>
      </c>
      <c r="F29" s="31">
        <v>227440.73</v>
      </c>
      <c r="G29" s="18">
        <f t="shared" si="15"/>
        <v>48115.570000000007</v>
      </c>
      <c r="H29" s="18">
        <f t="shared" si="16"/>
        <v>130914.73000000001</v>
      </c>
      <c r="I29" s="14">
        <v>0.21</v>
      </c>
      <c r="J29" s="14">
        <v>0.05</v>
      </c>
      <c r="K29" s="15">
        <f t="shared" si="17"/>
        <v>8729.665035</v>
      </c>
      <c r="L29" s="15">
        <f t="shared" si="18"/>
        <v>6545.7365000000009</v>
      </c>
      <c r="M29" s="15">
        <f t="shared" si="5"/>
        <v>4312985.8221599991</v>
      </c>
      <c r="N29" s="15">
        <v>0</v>
      </c>
    </row>
    <row r="30" spans="1:16" x14ac:dyDescent="0.2">
      <c r="A30" s="11">
        <v>44866</v>
      </c>
      <c r="C30" s="12">
        <v>44210372</v>
      </c>
      <c r="D30" s="13">
        <v>96526</v>
      </c>
      <c r="E30" s="31">
        <v>144641.57</v>
      </c>
      <c r="F30" s="31">
        <v>227440.73</v>
      </c>
      <c r="G30" s="18">
        <f t="shared" si="15"/>
        <v>48115.570000000007</v>
      </c>
      <c r="H30" s="18">
        <f t="shared" si="16"/>
        <v>130914.73000000001</v>
      </c>
      <c r="I30" s="14">
        <v>0.21</v>
      </c>
      <c r="J30" s="14">
        <v>0.05</v>
      </c>
      <c r="K30" s="15">
        <f t="shared" si="17"/>
        <v>8729.665035</v>
      </c>
      <c r="L30" s="15">
        <f t="shared" si="18"/>
        <v>6545.7365000000009</v>
      </c>
      <c r="M30" s="15">
        <f t="shared" si="5"/>
        <v>4328261.2236949988</v>
      </c>
      <c r="N30" s="15">
        <v>0</v>
      </c>
    </row>
    <row r="31" spans="1:16" x14ac:dyDescent="0.2">
      <c r="A31" s="11">
        <v>44896</v>
      </c>
      <c r="C31" s="12">
        <v>44210372</v>
      </c>
      <c r="D31" s="13">
        <v>96526</v>
      </c>
      <c r="E31" s="31">
        <v>144641.57</v>
      </c>
      <c r="F31" s="31">
        <v>227440.73</v>
      </c>
      <c r="G31" s="18">
        <f t="shared" si="15"/>
        <v>48115.570000000007</v>
      </c>
      <c r="H31" s="18">
        <f t="shared" si="16"/>
        <v>130914.73000000001</v>
      </c>
      <c r="I31" s="14">
        <v>0.21</v>
      </c>
      <c r="J31" s="14">
        <v>0.05</v>
      </c>
      <c r="K31" s="15">
        <f t="shared" si="17"/>
        <v>8729.665035</v>
      </c>
      <c r="L31" s="15">
        <f t="shared" si="18"/>
        <v>6545.7365000000009</v>
      </c>
      <c r="M31" s="15">
        <f t="shared" si="5"/>
        <v>4343536.6252299985</v>
      </c>
      <c r="N31" s="15">
        <v>0</v>
      </c>
    </row>
    <row r="32" spans="1:16" x14ac:dyDescent="0.2">
      <c r="A32" s="11">
        <v>44927</v>
      </c>
      <c r="C32" s="12">
        <v>44210372</v>
      </c>
      <c r="D32" s="13">
        <v>96526</v>
      </c>
      <c r="E32" s="13">
        <f>133776.51</f>
        <v>133776.51</v>
      </c>
      <c r="F32" s="13">
        <f>210356.02</f>
        <v>210356.02</v>
      </c>
      <c r="G32" s="18">
        <f>E32-D32</f>
        <v>37250.510000000009</v>
      </c>
      <c r="H32" s="18">
        <f>F32-D32</f>
        <v>113830.01999999999</v>
      </c>
      <c r="I32" s="14">
        <v>0.21</v>
      </c>
      <c r="J32" s="14">
        <v>0.05</v>
      </c>
      <c r="K32" s="15">
        <f>G32*I32-L32*I32-7.37</f>
        <v>6620.0218900000018</v>
      </c>
      <c r="L32" s="15">
        <f>H32*J32</f>
        <v>5691.5010000000002</v>
      </c>
      <c r="M32" s="15">
        <f t="shared" si="5"/>
        <v>4355848.1481199991</v>
      </c>
      <c r="N32" s="15">
        <v>0</v>
      </c>
    </row>
    <row r="33" spans="1:14" x14ac:dyDescent="0.2">
      <c r="A33" s="11">
        <v>44958</v>
      </c>
      <c r="C33" s="12">
        <v>44210372</v>
      </c>
      <c r="D33" s="13">
        <v>96526</v>
      </c>
      <c r="E33" s="13">
        <f>133776.51</f>
        <v>133776.51</v>
      </c>
      <c r="F33" s="13">
        <f>210356.02</f>
        <v>210356.02</v>
      </c>
      <c r="G33" s="18">
        <f>E33-D33</f>
        <v>37250.510000000009</v>
      </c>
      <c r="H33" s="18">
        <f>F33-D33</f>
        <v>113830.01999999999</v>
      </c>
      <c r="I33" s="14">
        <v>0.21</v>
      </c>
      <c r="J33" s="14">
        <v>0.05</v>
      </c>
      <c r="K33" s="15">
        <f>G33*I33-L33*I33-7.37</f>
        <v>6620.0218900000018</v>
      </c>
      <c r="L33" s="15">
        <f>H33*J33</f>
        <v>5691.5010000000002</v>
      </c>
      <c r="M33" s="15">
        <f t="shared" si="5"/>
        <v>4368159.6710099997</v>
      </c>
      <c r="N33" s="15">
        <v>0</v>
      </c>
    </row>
    <row r="34" spans="1:14" x14ac:dyDescent="0.2">
      <c r="C34" s="12"/>
      <c r="D34" s="12"/>
      <c r="E34" s="12"/>
      <c r="F34" s="12"/>
      <c r="H34" s="12"/>
    </row>
    <row r="35" spans="1:14" x14ac:dyDescent="0.2">
      <c r="C35" s="12" t="s">
        <v>20</v>
      </c>
      <c r="D35" s="13"/>
      <c r="E35" s="13"/>
      <c r="F35" s="13"/>
      <c r="G35" s="18"/>
      <c r="H35" s="18"/>
      <c r="I35" s="18"/>
      <c r="J35" s="12"/>
      <c r="K35" s="12"/>
    </row>
    <row r="36" spans="1:14" x14ac:dyDescent="0.2">
      <c r="C36" s="12"/>
      <c r="D36" s="13"/>
      <c r="E36" s="13"/>
      <c r="F36" s="13"/>
      <c r="G36" s="18"/>
      <c r="H36" s="18"/>
      <c r="I36" s="18"/>
      <c r="J36" s="12"/>
      <c r="K36" s="12"/>
    </row>
    <row r="37" spans="1:14" x14ac:dyDescent="0.2">
      <c r="C37" s="36" t="s">
        <v>52</v>
      </c>
      <c r="D37" s="32"/>
      <c r="E37" s="32"/>
      <c r="F37" s="32"/>
      <c r="G37" s="33"/>
      <c r="H37" s="33"/>
      <c r="I37" s="37"/>
      <c r="J37" s="37"/>
      <c r="K37" s="37"/>
    </row>
    <row r="38" spans="1:14" x14ac:dyDescent="0.2">
      <c r="C38" s="36" t="s">
        <v>22</v>
      </c>
      <c r="D38" s="32"/>
      <c r="E38" s="32"/>
      <c r="F38" s="32"/>
      <c r="G38" s="33"/>
      <c r="H38" s="33"/>
      <c r="I38" s="37"/>
      <c r="J38" s="37"/>
      <c r="K38" s="37"/>
    </row>
    <row r="39" spans="1:14" x14ac:dyDescent="0.2">
      <c r="C39" s="36" t="s">
        <v>53</v>
      </c>
      <c r="D39" s="32"/>
      <c r="E39" s="32"/>
      <c r="F39" s="32"/>
      <c r="G39" s="33"/>
      <c r="H39" s="33"/>
      <c r="I39" s="37"/>
      <c r="J39" s="37"/>
      <c r="K39" s="37"/>
    </row>
    <row r="40" spans="1:14" x14ac:dyDescent="0.2">
      <c r="C40" s="35" t="s">
        <v>23</v>
      </c>
      <c r="D40" s="32"/>
      <c r="E40" s="32"/>
      <c r="F40" s="32"/>
      <c r="G40" s="33"/>
      <c r="H40" s="33"/>
      <c r="I40" s="37"/>
      <c r="J40" s="37"/>
      <c r="K40" s="37"/>
    </row>
    <row r="41" spans="1:14" x14ac:dyDescent="0.2">
      <c r="C41" s="38"/>
      <c r="D41" s="32"/>
      <c r="E41" s="32"/>
      <c r="F41" s="32"/>
      <c r="G41" s="32"/>
      <c r="H41" s="32"/>
      <c r="I41" s="37"/>
      <c r="J41" s="37"/>
      <c r="K41" s="37"/>
    </row>
    <row r="42" spans="1:14" x14ac:dyDescent="0.2">
      <c r="C42" s="35" t="s">
        <v>24</v>
      </c>
      <c r="D42" s="34" t="s">
        <v>25</v>
      </c>
      <c r="E42" s="33" t="s">
        <v>26</v>
      </c>
      <c r="F42" s="35" t="s">
        <v>27</v>
      </c>
      <c r="G42" s="39" t="s">
        <v>12</v>
      </c>
      <c r="H42" s="35" t="s">
        <v>28</v>
      </c>
      <c r="I42" s="37"/>
      <c r="J42" s="37"/>
      <c r="K42" s="37"/>
    </row>
    <row r="43" spans="1:14" x14ac:dyDescent="0.2">
      <c r="C43" s="35">
        <v>189606.505</v>
      </c>
      <c r="D43" s="35">
        <v>96526</v>
      </c>
      <c r="E43" s="35">
        <v>772.33</v>
      </c>
      <c r="F43" s="35">
        <f>-D43+E43</f>
        <v>-95753.67</v>
      </c>
      <c r="G43" s="39">
        <v>0.21</v>
      </c>
      <c r="H43" s="35">
        <f>F43*G43</f>
        <v>-20108.270699999997</v>
      </c>
      <c r="I43" s="37"/>
      <c r="J43" s="37"/>
      <c r="K43" s="37"/>
    </row>
    <row r="44" spans="1:14" x14ac:dyDescent="0.2">
      <c r="C44" s="35">
        <v>27735645</v>
      </c>
      <c r="D44" s="35"/>
      <c r="E44" s="35">
        <v>132044.78</v>
      </c>
      <c r="F44" s="35">
        <f>E44</f>
        <v>132044.78</v>
      </c>
      <c r="G44" s="39">
        <v>0.21</v>
      </c>
      <c r="H44" s="35">
        <f>F44*G44</f>
        <v>27729.4038</v>
      </c>
      <c r="I44" s="37"/>
      <c r="J44" s="37"/>
      <c r="K44" s="37"/>
    </row>
    <row r="45" spans="1:14" ht="15" x14ac:dyDescent="0.35">
      <c r="C45" s="35">
        <v>172425</v>
      </c>
      <c r="D45" s="35"/>
      <c r="E45" s="40">
        <v>959.4</v>
      </c>
      <c r="F45" s="40">
        <f>E45</f>
        <v>959.4</v>
      </c>
      <c r="G45" s="39">
        <v>0.21</v>
      </c>
      <c r="H45" s="40">
        <f>F45*G45</f>
        <v>201.47399999999999</v>
      </c>
      <c r="I45" s="37"/>
      <c r="J45" s="37"/>
      <c r="K45" s="37"/>
    </row>
    <row r="46" spans="1:14" x14ac:dyDescent="0.2">
      <c r="C46" s="35"/>
      <c r="D46" s="35"/>
      <c r="E46" s="35">
        <f>SUM(E43:E45)</f>
        <v>133776.50999999998</v>
      </c>
      <c r="F46" s="35">
        <f>SUM(F43:F45)</f>
        <v>37250.51</v>
      </c>
      <c r="G46" s="39" t="s">
        <v>29</v>
      </c>
      <c r="H46" s="35">
        <f>SUM(H43:H45)</f>
        <v>7822.6071000000029</v>
      </c>
      <c r="I46" s="37"/>
      <c r="J46" s="37"/>
      <c r="K46" s="37"/>
    </row>
    <row r="47" spans="1:14" ht="15" x14ac:dyDescent="0.35">
      <c r="C47" s="35"/>
      <c r="D47" s="35"/>
      <c r="E47" s="35"/>
      <c r="F47" s="35"/>
      <c r="G47" s="37" t="s">
        <v>30</v>
      </c>
      <c r="H47" s="40">
        <f>-H54*0.21</f>
        <v>-1195.2152100000001</v>
      </c>
      <c r="I47" s="37"/>
      <c r="J47" s="37"/>
      <c r="K47" s="37"/>
    </row>
    <row r="48" spans="1:14" x14ac:dyDescent="0.2">
      <c r="C48" s="37"/>
      <c r="D48" s="37"/>
      <c r="E48" s="37"/>
      <c r="F48" s="37"/>
      <c r="G48" s="37"/>
      <c r="H48" s="35">
        <f>H46+H47</f>
        <v>6627.3918900000026</v>
      </c>
      <c r="I48" s="37"/>
      <c r="J48" s="37"/>
      <c r="K48" s="37"/>
    </row>
    <row r="49" spans="3:11" x14ac:dyDescent="0.2">
      <c r="C49" s="37"/>
      <c r="D49" s="37"/>
      <c r="E49" s="37"/>
      <c r="F49" s="37"/>
      <c r="G49" s="37"/>
      <c r="H49" s="35">
        <f>H48-K33</f>
        <v>7.3700000000008004</v>
      </c>
      <c r="I49" s="22" t="s">
        <v>31</v>
      </c>
      <c r="J49" s="37"/>
      <c r="K49" s="37"/>
    </row>
    <row r="50" spans="3:11" x14ac:dyDescent="0.2">
      <c r="C50" s="35" t="s">
        <v>32</v>
      </c>
      <c r="D50" s="32" t="s">
        <v>25</v>
      </c>
      <c r="E50" s="33" t="s">
        <v>33</v>
      </c>
      <c r="F50" s="35" t="s">
        <v>34</v>
      </c>
      <c r="G50" s="39" t="s">
        <v>13</v>
      </c>
      <c r="H50" s="35" t="s">
        <v>35</v>
      </c>
      <c r="I50" s="37"/>
      <c r="J50" s="37"/>
      <c r="K50" s="37"/>
    </row>
    <row r="51" spans="3:11" x14ac:dyDescent="0.2">
      <c r="C51" s="35">
        <v>379213.01</v>
      </c>
      <c r="D51" s="35">
        <v>96526</v>
      </c>
      <c r="E51" s="35">
        <v>1544.66</v>
      </c>
      <c r="F51" s="35">
        <f>-D51+E51</f>
        <v>-94981.34</v>
      </c>
      <c r="G51" s="39">
        <v>0.05</v>
      </c>
      <c r="H51" s="35">
        <f>F51*G51</f>
        <v>-4749.067</v>
      </c>
      <c r="I51" s="37"/>
      <c r="J51" s="37"/>
      <c r="K51" s="37"/>
    </row>
    <row r="52" spans="3:11" x14ac:dyDescent="0.2">
      <c r="C52" s="35">
        <v>43658734</v>
      </c>
      <c r="D52" s="35"/>
      <c r="E52" s="35">
        <v>207851.96</v>
      </c>
      <c r="F52" s="35">
        <f>E52</f>
        <v>207851.96</v>
      </c>
      <c r="G52" s="39">
        <v>0.05</v>
      </c>
      <c r="H52" s="35">
        <f>F52*G52</f>
        <v>10392.598</v>
      </c>
      <c r="I52" s="37"/>
      <c r="J52" s="37"/>
      <c r="K52" s="37"/>
    </row>
    <row r="53" spans="3:11" ht="15" x14ac:dyDescent="0.35">
      <c r="C53" s="35">
        <v>172425</v>
      </c>
      <c r="D53" s="35"/>
      <c r="E53" s="40">
        <v>959.4</v>
      </c>
      <c r="F53" s="40">
        <f>E53</f>
        <v>959.4</v>
      </c>
      <c r="G53" s="39">
        <v>0.05</v>
      </c>
      <c r="H53" s="40">
        <f>F53*G53</f>
        <v>47.97</v>
      </c>
      <c r="I53" s="37"/>
      <c r="J53" s="37"/>
      <c r="K53" s="37"/>
    </row>
    <row r="54" spans="3:11" x14ac:dyDescent="0.2">
      <c r="C54" s="35"/>
      <c r="D54" s="35"/>
      <c r="E54" s="35">
        <f>SUM(E51:E53)</f>
        <v>210356.02</v>
      </c>
      <c r="F54" s="35">
        <f>SUM(F51:F53)</f>
        <v>113830.01999999999</v>
      </c>
      <c r="G54" s="37"/>
      <c r="H54" s="35">
        <f>SUM(H51:H53)</f>
        <v>5691.5010000000002</v>
      </c>
      <c r="I54" s="37"/>
      <c r="J54" s="37"/>
      <c r="K54" s="37"/>
    </row>
    <row r="55" spans="3:11" x14ac:dyDescent="0.2">
      <c r="C55" s="35"/>
      <c r="D55" s="35"/>
      <c r="E55" s="35"/>
      <c r="F55" s="35"/>
      <c r="G55" s="39"/>
      <c r="H55" s="35">
        <f>H54-L33</f>
        <v>0</v>
      </c>
      <c r="I55" s="37"/>
      <c r="J55" s="37"/>
      <c r="K55" s="37"/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8 of 9
Clements</oddHeader>
    <oddFooter>&amp;L_x000D_&amp;1#&amp;"Calibri"&amp;14&amp;K000000 Business Use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3B04-C15F-47C2-B902-A47130FD04B7}">
  <sheetPr>
    <pageSetUpPr fitToPage="1"/>
  </sheetPr>
  <dimension ref="A1:T39"/>
  <sheetViews>
    <sheetView zoomScaleNormal="100" workbookViewId="0"/>
  </sheetViews>
  <sheetFormatPr defaultRowHeight="12.75" x14ac:dyDescent="0.2"/>
  <cols>
    <col min="1" max="1" width="11.28515625" style="9" customWidth="1"/>
    <col min="2" max="2" width="1.7109375" customWidth="1"/>
    <col min="3" max="3" width="13.42578125" customWidth="1"/>
    <col min="4" max="4" width="12.7109375" customWidth="1"/>
    <col min="5" max="5" width="15.8554687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1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47</v>
      </c>
      <c r="N4" s="3"/>
      <c r="O4" s="3"/>
      <c r="P4" s="3"/>
    </row>
    <row r="5" spans="1:16" x14ac:dyDescent="0.2">
      <c r="A5" s="4" t="s">
        <v>56</v>
      </c>
    </row>
    <row r="6" spans="1:16" x14ac:dyDescent="0.2">
      <c r="A6" s="5" t="s">
        <v>57</v>
      </c>
    </row>
    <row r="8" spans="1:16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6" x14ac:dyDescent="0.2">
      <c r="A9" s="9" t="s">
        <v>18</v>
      </c>
      <c r="M9" s="10"/>
    </row>
    <row r="10" spans="1:16" x14ac:dyDescent="0.2">
      <c r="A10" s="11">
        <v>44264</v>
      </c>
      <c r="G10" s="18">
        <f t="shared" ref="G10:G15" si="0">E10-D10</f>
        <v>0</v>
      </c>
      <c r="H10" s="18">
        <f t="shared" ref="H10:H15" si="1">F10-D10</f>
        <v>0</v>
      </c>
      <c r="I10" s="14">
        <v>0.21</v>
      </c>
      <c r="J10" s="14">
        <v>0.05</v>
      </c>
      <c r="K10" s="15">
        <f t="shared" ref="K10:K15" si="2">G10*I10-L10*I10</f>
        <v>0</v>
      </c>
      <c r="L10" s="15">
        <f t="shared" ref="L10:L15" si="3">H10*J10</f>
        <v>0</v>
      </c>
      <c r="M10" s="15">
        <f t="shared" ref="M10:M14" si="4">M3+K10+L10</f>
        <v>0</v>
      </c>
      <c r="N10" s="15">
        <v>0</v>
      </c>
    </row>
    <row r="11" spans="1:16" x14ac:dyDescent="0.2">
      <c r="A11" s="11">
        <v>44287</v>
      </c>
      <c r="G11" s="18">
        <f t="shared" si="0"/>
        <v>0</v>
      </c>
      <c r="H11" s="18">
        <f t="shared" si="1"/>
        <v>0</v>
      </c>
      <c r="I11" s="14">
        <v>0.21</v>
      </c>
      <c r="J11" s="14">
        <v>0.05</v>
      </c>
      <c r="K11" s="15">
        <f t="shared" si="2"/>
        <v>0</v>
      </c>
      <c r="L11" s="15">
        <f t="shared" si="3"/>
        <v>0</v>
      </c>
      <c r="M11" s="15">
        <v>0</v>
      </c>
      <c r="N11" s="15">
        <v>0</v>
      </c>
    </row>
    <row r="12" spans="1:16" x14ac:dyDescent="0.2">
      <c r="A12" s="11">
        <v>44317</v>
      </c>
      <c r="G12" s="18">
        <f t="shared" si="0"/>
        <v>0</v>
      </c>
      <c r="H12" s="18">
        <f t="shared" si="1"/>
        <v>0</v>
      </c>
      <c r="I12" s="14">
        <v>0.21</v>
      </c>
      <c r="J12" s="14">
        <v>0.05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v>0</v>
      </c>
    </row>
    <row r="13" spans="1:16" x14ac:dyDescent="0.2">
      <c r="A13" s="11">
        <v>44348</v>
      </c>
      <c r="G13" s="18">
        <f t="shared" si="0"/>
        <v>0</v>
      </c>
      <c r="H13" s="18">
        <f t="shared" si="1"/>
        <v>0</v>
      </c>
      <c r="I13" s="14">
        <v>0.21</v>
      </c>
      <c r="J13" s="14">
        <v>0.05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v>0</v>
      </c>
    </row>
    <row r="14" spans="1:16" x14ac:dyDescent="0.2">
      <c r="A14" s="11">
        <v>44378</v>
      </c>
      <c r="G14" s="18">
        <f t="shared" si="0"/>
        <v>0</v>
      </c>
      <c r="H14" s="18">
        <f t="shared" si="1"/>
        <v>0</v>
      </c>
      <c r="I14" s="14">
        <v>0.21</v>
      </c>
      <c r="J14" s="14">
        <v>0.05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v>0</v>
      </c>
    </row>
    <row r="15" spans="1:16" x14ac:dyDescent="0.2">
      <c r="A15" s="11">
        <v>44409</v>
      </c>
      <c r="G15" s="18">
        <f t="shared" si="0"/>
        <v>0</v>
      </c>
      <c r="H15" s="18">
        <f t="shared" si="1"/>
        <v>0</v>
      </c>
      <c r="I15" s="14">
        <v>0.21</v>
      </c>
      <c r="J15" s="14">
        <v>0.05</v>
      </c>
      <c r="K15" s="15">
        <f t="shared" si="2"/>
        <v>0</v>
      </c>
      <c r="L15" s="15">
        <f t="shared" si="3"/>
        <v>0</v>
      </c>
      <c r="M15" s="15">
        <v>0</v>
      </c>
      <c r="N15" s="15">
        <v>0</v>
      </c>
    </row>
    <row r="16" spans="1:16" x14ac:dyDescent="0.2">
      <c r="A16" s="11">
        <v>44448</v>
      </c>
      <c r="C16" s="12"/>
      <c r="D16" s="13"/>
      <c r="E16" s="13"/>
      <c r="F16" s="13"/>
      <c r="G16" s="18">
        <f t="shared" ref="G16:G19" si="5">E16-D16</f>
        <v>0</v>
      </c>
      <c r="H16" s="18">
        <f t="shared" ref="H16:H19" si="6">F16-D16</f>
        <v>0</v>
      </c>
      <c r="I16" s="14">
        <v>0.21</v>
      </c>
      <c r="J16" s="14">
        <v>0.05</v>
      </c>
      <c r="K16" s="15">
        <f t="shared" ref="K16:K19" si="7">G16*I16-L16*I16</f>
        <v>0</v>
      </c>
      <c r="L16" s="15">
        <f t="shared" ref="L16:L19" si="8">H16*J16</f>
        <v>0</v>
      </c>
      <c r="M16" s="15">
        <f>M9+K16+L16</f>
        <v>0</v>
      </c>
      <c r="N16" s="15">
        <v>0</v>
      </c>
      <c r="O16" s="16"/>
    </row>
    <row r="17" spans="1:20" x14ac:dyDescent="0.2">
      <c r="A17" s="11">
        <v>44470</v>
      </c>
      <c r="C17" s="12"/>
      <c r="D17" s="13"/>
      <c r="E17" s="13"/>
      <c r="F17" s="13"/>
      <c r="G17" s="18">
        <f t="shared" si="5"/>
        <v>0</v>
      </c>
      <c r="H17" s="18">
        <f t="shared" si="6"/>
        <v>0</v>
      </c>
      <c r="I17" s="14">
        <v>0.21</v>
      </c>
      <c r="J17" s="14">
        <v>0.05</v>
      </c>
      <c r="K17" s="15">
        <f t="shared" si="7"/>
        <v>0</v>
      </c>
      <c r="L17" s="15">
        <f t="shared" si="8"/>
        <v>0</v>
      </c>
      <c r="M17" s="15">
        <f t="shared" ref="M17:M33" si="9">M16+K17+L17</f>
        <v>0</v>
      </c>
      <c r="N17" s="15">
        <v>0</v>
      </c>
      <c r="O17" s="16"/>
      <c r="Q17" s="15">
        <f>358619-M18</f>
        <v>358619</v>
      </c>
      <c r="R17" s="22" t="s">
        <v>47</v>
      </c>
    </row>
    <row r="18" spans="1:20" x14ac:dyDescent="0.2">
      <c r="A18" s="11">
        <v>44501</v>
      </c>
      <c r="C18" s="12"/>
      <c r="D18" s="13"/>
      <c r="E18" s="13"/>
      <c r="F18" s="13"/>
      <c r="G18" s="18">
        <f t="shared" si="5"/>
        <v>0</v>
      </c>
      <c r="H18" s="18">
        <f t="shared" si="6"/>
        <v>0</v>
      </c>
      <c r="I18" s="14">
        <v>0.21</v>
      </c>
      <c r="J18" s="14">
        <v>0.05</v>
      </c>
      <c r="K18" s="15">
        <f t="shared" si="7"/>
        <v>0</v>
      </c>
      <c r="L18" s="15">
        <f t="shared" si="8"/>
        <v>0</v>
      </c>
      <c r="M18" s="15">
        <f t="shared" si="9"/>
        <v>0</v>
      </c>
      <c r="N18" s="15">
        <v>0</v>
      </c>
      <c r="Q18">
        <f>+Q17/0.389</f>
        <v>921899.74293059122</v>
      </c>
      <c r="R18" s="15"/>
    </row>
    <row r="19" spans="1:20" x14ac:dyDescent="0.2">
      <c r="A19" s="11">
        <v>44531</v>
      </c>
      <c r="C19" s="12">
        <v>4884234</v>
      </c>
      <c r="D19" s="13">
        <v>9891</v>
      </c>
      <c r="E19" s="13">
        <v>128211.13</v>
      </c>
      <c r="F19" s="13">
        <v>128211.13</v>
      </c>
      <c r="G19" s="18">
        <f t="shared" si="5"/>
        <v>118320.13</v>
      </c>
      <c r="H19" s="18">
        <f t="shared" si="6"/>
        <v>118320.13</v>
      </c>
      <c r="I19" s="14">
        <v>0.21</v>
      </c>
      <c r="J19" s="14">
        <v>0.05</v>
      </c>
      <c r="K19" s="15">
        <f t="shared" si="7"/>
        <v>23604.865934999998</v>
      </c>
      <c r="L19" s="15">
        <f t="shared" si="8"/>
        <v>5916.0065000000004</v>
      </c>
      <c r="M19" s="15">
        <f t="shared" si="9"/>
        <v>29520.872434999997</v>
      </c>
      <c r="N19" s="15">
        <v>0</v>
      </c>
      <c r="Q19" s="15">
        <f>374733-M20</f>
        <v>338922.71160500002</v>
      </c>
    </row>
    <row r="20" spans="1:20" x14ac:dyDescent="0.2">
      <c r="A20" s="11">
        <v>44562</v>
      </c>
      <c r="C20" s="12">
        <v>4884234</v>
      </c>
      <c r="D20" s="13">
        <v>19781</v>
      </c>
      <c r="E20" s="13">
        <f>44989.08</f>
        <v>44989.08</v>
      </c>
      <c r="F20" s="13">
        <f>44989.08</f>
        <v>44989.08</v>
      </c>
      <c r="G20" s="18">
        <f>E20-D20</f>
        <v>25208.080000000002</v>
      </c>
      <c r="H20" s="18">
        <f>F20-D20</f>
        <v>25208.080000000002</v>
      </c>
      <c r="I20" s="14">
        <v>0.21</v>
      </c>
      <c r="J20" s="14">
        <v>0.05</v>
      </c>
      <c r="K20" s="15">
        <f>G20*I20-L20*I20</f>
        <v>5029.0119600000007</v>
      </c>
      <c r="L20" s="15">
        <f>H20*J20</f>
        <v>1260.4040000000002</v>
      </c>
      <c r="M20" s="15">
        <f t="shared" si="9"/>
        <v>35810.288395000003</v>
      </c>
      <c r="N20" s="15">
        <v>0</v>
      </c>
      <c r="Q20">
        <f>+Q19/0.389</f>
        <v>871266.61080976867</v>
      </c>
      <c r="R20" s="15"/>
      <c r="S20" s="15"/>
      <c r="T20" s="15"/>
    </row>
    <row r="21" spans="1:20" x14ac:dyDescent="0.2">
      <c r="A21" s="11">
        <v>44593</v>
      </c>
      <c r="C21" s="12">
        <v>4884234</v>
      </c>
      <c r="D21" s="13">
        <v>19781</v>
      </c>
      <c r="E21" s="13">
        <f>44989.08</f>
        <v>44989.08</v>
      </c>
      <c r="F21" s="13">
        <f>44989.08</f>
        <v>44989.08</v>
      </c>
      <c r="G21" s="18">
        <f>E21-D21</f>
        <v>25208.080000000002</v>
      </c>
      <c r="H21" s="18">
        <f>F21-D21</f>
        <v>25208.080000000002</v>
      </c>
      <c r="I21" s="14">
        <v>0.21</v>
      </c>
      <c r="J21" s="14">
        <v>0.05</v>
      </c>
      <c r="K21" s="15">
        <f>G21*I21-L21*I21</f>
        <v>5029.0119600000007</v>
      </c>
      <c r="L21" s="15">
        <f>H21*J21</f>
        <v>1260.4040000000002</v>
      </c>
      <c r="M21" s="15">
        <f t="shared" si="9"/>
        <v>42099.704355000009</v>
      </c>
      <c r="N21" s="15">
        <v>0</v>
      </c>
      <c r="Q21" s="15">
        <f>+M21-386700</f>
        <v>-344600.29564500001</v>
      </c>
      <c r="R21" s="29"/>
      <c r="T21" s="15"/>
    </row>
    <row r="22" spans="1:20" x14ac:dyDescent="0.2">
      <c r="A22" s="11">
        <v>44629</v>
      </c>
      <c r="C22" s="12">
        <v>4884234</v>
      </c>
      <c r="D22" s="13">
        <v>19781</v>
      </c>
      <c r="E22" s="13">
        <f>44989.08</f>
        <v>44989.08</v>
      </c>
      <c r="F22" s="13">
        <f t="shared" ref="F22:F27" si="10">44989.08</f>
        <v>44989.08</v>
      </c>
      <c r="G22" s="18">
        <f t="shared" ref="G22:G25" si="11">E22-D22</f>
        <v>25208.080000000002</v>
      </c>
      <c r="H22" s="18">
        <f t="shared" ref="H22:H25" si="12">F22-D22</f>
        <v>25208.080000000002</v>
      </c>
      <c r="I22" s="14">
        <v>0.21</v>
      </c>
      <c r="J22" s="14">
        <v>0.05</v>
      </c>
      <c r="K22" s="15">
        <f t="shared" ref="K22:K25" si="13">G22*I22-L22*I22</f>
        <v>5029.0119600000007</v>
      </c>
      <c r="L22" s="15">
        <f t="shared" ref="L22:L25" si="14">H22*J22</f>
        <v>1260.4040000000002</v>
      </c>
      <c r="M22" s="15">
        <f t="shared" si="9"/>
        <v>48389.120315000015</v>
      </c>
      <c r="N22" s="15">
        <v>0</v>
      </c>
      <c r="O22" s="15"/>
      <c r="P22" s="15"/>
      <c r="Q22">
        <f>+Q21/0.389</f>
        <v>-885861.94253213366</v>
      </c>
    </row>
    <row r="23" spans="1:20" x14ac:dyDescent="0.2">
      <c r="A23" s="11">
        <v>44652</v>
      </c>
      <c r="C23" s="12">
        <v>4884234</v>
      </c>
      <c r="D23" s="13">
        <v>19781</v>
      </c>
      <c r="E23" s="13">
        <f>44989.08</f>
        <v>44989.08</v>
      </c>
      <c r="F23" s="13">
        <f t="shared" si="10"/>
        <v>44989.08</v>
      </c>
      <c r="G23" s="18">
        <f t="shared" si="11"/>
        <v>25208.080000000002</v>
      </c>
      <c r="H23" s="18">
        <f t="shared" si="12"/>
        <v>25208.080000000002</v>
      </c>
      <c r="I23" s="14">
        <v>0.21</v>
      </c>
      <c r="J23" s="14">
        <v>0.05</v>
      </c>
      <c r="K23" s="15">
        <f t="shared" si="13"/>
        <v>5029.0119600000007</v>
      </c>
      <c r="L23" s="15">
        <f t="shared" si="14"/>
        <v>1260.4040000000002</v>
      </c>
      <c r="M23" s="15">
        <f t="shared" si="9"/>
        <v>54678.53627500002</v>
      </c>
      <c r="N23" s="15">
        <v>0</v>
      </c>
      <c r="O23" s="15"/>
      <c r="P23" s="15"/>
    </row>
    <row r="24" spans="1:20" x14ac:dyDescent="0.2">
      <c r="A24" s="11">
        <v>44682</v>
      </c>
      <c r="C24" s="12">
        <v>4884234</v>
      </c>
      <c r="D24" s="13">
        <v>19781</v>
      </c>
      <c r="E24" s="13">
        <f>44989.08</f>
        <v>44989.08</v>
      </c>
      <c r="F24" s="13">
        <f t="shared" si="10"/>
        <v>44989.08</v>
      </c>
      <c r="G24" s="18">
        <f t="shared" si="11"/>
        <v>25208.080000000002</v>
      </c>
      <c r="H24" s="18">
        <f t="shared" si="12"/>
        <v>25208.080000000002</v>
      </c>
      <c r="I24" s="14">
        <v>0.21</v>
      </c>
      <c r="J24" s="14">
        <v>0.05</v>
      </c>
      <c r="K24" s="15">
        <f t="shared" si="13"/>
        <v>5029.0119600000007</v>
      </c>
      <c r="L24" s="15">
        <f t="shared" si="14"/>
        <v>1260.4040000000002</v>
      </c>
      <c r="M24" s="15">
        <f t="shared" si="9"/>
        <v>60967.952235000026</v>
      </c>
      <c r="N24" s="15">
        <v>0</v>
      </c>
      <c r="O24" s="15"/>
      <c r="P24" s="15"/>
    </row>
    <row r="25" spans="1:20" x14ac:dyDescent="0.2">
      <c r="A25" s="11">
        <v>44713</v>
      </c>
      <c r="C25" s="12">
        <v>4884234</v>
      </c>
      <c r="D25" s="13">
        <v>19781.490000000002</v>
      </c>
      <c r="E25" s="13">
        <f>44988.5</f>
        <v>44988.5</v>
      </c>
      <c r="F25" s="13">
        <f>44988.5</f>
        <v>44988.5</v>
      </c>
      <c r="G25" s="18">
        <f t="shared" si="11"/>
        <v>25207.01</v>
      </c>
      <c r="H25" s="18">
        <f t="shared" si="12"/>
        <v>25207.01</v>
      </c>
      <c r="I25" s="14">
        <v>0.21</v>
      </c>
      <c r="J25" s="14">
        <v>0.05</v>
      </c>
      <c r="K25" s="15">
        <f t="shared" si="13"/>
        <v>5028.7984949999991</v>
      </c>
      <c r="L25" s="15">
        <f t="shared" si="14"/>
        <v>1260.3505</v>
      </c>
      <c r="M25" s="15">
        <f t="shared" si="9"/>
        <v>67257.101230000029</v>
      </c>
      <c r="N25" s="15">
        <v>0</v>
      </c>
    </row>
    <row r="26" spans="1:20" x14ac:dyDescent="0.2">
      <c r="A26" s="11">
        <v>44743</v>
      </c>
      <c r="C26" s="12">
        <v>4884234</v>
      </c>
      <c r="D26" s="13">
        <v>19781</v>
      </c>
      <c r="E26" s="13">
        <f>44989.08</f>
        <v>44989.08</v>
      </c>
      <c r="F26" s="13">
        <f t="shared" si="10"/>
        <v>44989.08</v>
      </c>
      <c r="G26" s="18">
        <f>E26-D26</f>
        <v>25208.080000000002</v>
      </c>
      <c r="H26" s="18">
        <f>F26-D26</f>
        <v>25208.080000000002</v>
      </c>
      <c r="I26" s="14">
        <v>0.21</v>
      </c>
      <c r="J26" s="14">
        <v>0.05</v>
      </c>
      <c r="K26" s="15">
        <f>G26*I26-L26*I26</f>
        <v>5029.0119600000007</v>
      </c>
      <c r="L26" s="15">
        <f>H26*J26</f>
        <v>1260.4040000000002</v>
      </c>
      <c r="M26" s="15">
        <f t="shared" si="9"/>
        <v>73546.517190000028</v>
      </c>
      <c r="N26" s="15">
        <v>0</v>
      </c>
    </row>
    <row r="27" spans="1:20" x14ac:dyDescent="0.2">
      <c r="A27" s="11">
        <v>44774</v>
      </c>
      <c r="C27" s="12">
        <v>4884234</v>
      </c>
      <c r="D27" s="13">
        <v>19781</v>
      </c>
      <c r="E27" s="13">
        <f>44989.08</f>
        <v>44989.08</v>
      </c>
      <c r="F27" s="13">
        <f t="shared" si="10"/>
        <v>44989.08</v>
      </c>
      <c r="G27" s="18">
        <f>E27-D27</f>
        <v>25208.080000000002</v>
      </c>
      <c r="H27" s="18">
        <f>F27-D27</f>
        <v>25208.080000000002</v>
      </c>
      <c r="I27" s="14">
        <v>0.21</v>
      </c>
      <c r="J27" s="14">
        <v>0.05</v>
      </c>
      <c r="K27" s="15">
        <f>G27*I27-L27*I27</f>
        <v>5029.0119600000007</v>
      </c>
      <c r="L27" s="15">
        <f>H27*J27</f>
        <v>1260.4040000000002</v>
      </c>
      <c r="M27" s="15">
        <f t="shared" si="9"/>
        <v>79835.933150000026</v>
      </c>
      <c r="N27" s="15">
        <v>0</v>
      </c>
    </row>
    <row r="28" spans="1:20" x14ac:dyDescent="0.2">
      <c r="A28" s="11">
        <v>44813</v>
      </c>
      <c r="C28" s="12">
        <v>4884234</v>
      </c>
      <c r="D28" s="13">
        <v>19781</v>
      </c>
      <c r="E28" s="31">
        <v>44989.08</v>
      </c>
      <c r="F28" s="31">
        <v>44989.08</v>
      </c>
      <c r="G28" s="18">
        <f t="shared" ref="G28:G31" si="15">E28-D28</f>
        <v>25208.080000000002</v>
      </c>
      <c r="H28" s="18">
        <f t="shared" ref="H28:H31" si="16">F28-D28</f>
        <v>25208.080000000002</v>
      </c>
      <c r="I28" s="14">
        <v>0.21</v>
      </c>
      <c r="J28" s="14">
        <v>0.05</v>
      </c>
      <c r="K28" s="15">
        <f t="shared" ref="K28:K31" si="17">G28*I28-L28*I28</f>
        <v>5029.0119600000007</v>
      </c>
      <c r="L28" s="15">
        <f t="shared" ref="L28:L31" si="18">H28*J28</f>
        <v>1260.4040000000002</v>
      </c>
      <c r="M28" s="15">
        <f t="shared" si="9"/>
        <v>86125.349110000025</v>
      </c>
      <c r="N28" s="15">
        <v>0</v>
      </c>
    </row>
    <row r="29" spans="1:20" x14ac:dyDescent="0.2">
      <c r="A29" s="11">
        <v>44835</v>
      </c>
      <c r="C29" s="12">
        <v>4884234</v>
      </c>
      <c r="D29" s="13">
        <v>19781</v>
      </c>
      <c r="E29" s="31">
        <v>44989.08</v>
      </c>
      <c r="F29" s="31">
        <v>44989.08</v>
      </c>
      <c r="G29" s="18">
        <f t="shared" si="15"/>
        <v>25208.080000000002</v>
      </c>
      <c r="H29" s="18">
        <f t="shared" si="16"/>
        <v>25208.080000000002</v>
      </c>
      <c r="I29" s="14">
        <v>0.21</v>
      </c>
      <c r="J29" s="14">
        <v>0.05</v>
      </c>
      <c r="K29" s="15">
        <f t="shared" si="17"/>
        <v>5029.0119600000007</v>
      </c>
      <c r="L29" s="15">
        <f t="shared" si="18"/>
        <v>1260.4040000000002</v>
      </c>
      <c r="M29" s="15">
        <f t="shared" si="9"/>
        <v>92414.765070000023</v>
      </c>
      <c r="N29" s="15">
        <v>0</v>
      </c>
    </row>
    <row r="30" spans="1:20" x14ac:dyDescent="0.2">
      <c r="A30" s="11">
        <v>44866</v>
      </c>
      <c r="C30" s="12">
        <v>4884234</v>
      </c>
      <c r="D30" s="13">
        <v>19781</v>
      </c>
      <c r="E30" s="31">
        <v>44989.08</v>
      </c>
      <c r="F30" s="31">
        <v>44989.08</v>
      </c>
      <c r="G30" s="18">
        <f t="shared" si="15"/>
        <v>25208.080000000002</v>
      </c>
      <c r="H30" s="18">
        <f t="shared" si="16"/>
        <v>25208.080000000002</v>
      </c>
      <c r="I30" s="14">
        <v>0.21</v>
      </c>
      <c r="J30" s="14">
        <v>0.05</v>
      </c>
      <c r="K30" s="15">
        <f t="shared" si="17"/>
        <v>5029.0119600000007</v>
      </c>
      <c r="L30" s="15">
        <f t="shared" si="18"/>
        <v>1260.4040000000002</v>
      </c>
      <c r="M30" s="15">
        <f t="shared" si="9"/>
        <v>98704.181030000022</v>
      </c>
      <c r="N30" s="15">
        <v>0</v>
      </c>
    </row>
    <row r="31" spans="1:20" x14ac:dyDescent="0.2">
      <c r="A31" s="11">
        <v>44896</v>
      </c>
      <c r="C31" s="12">
        <v>4884234</v>
      </c>
      <c r="D31" s="13">
        <v>19781</v>
      </c>
      <c r="E31" s="31">
        <v>44989.08</v>
      </c>
      <c r="F31" s="31">
        <v>44989.08</v>
      </c>
      <c r="G31" s="18">
        <f t="shared" si="15"/>
        <v>25208.080000000002</v>
      </c>
      <c r="H31" s="18">
        <f t="shared" si="16"/>
        <v>25208.080000000002</v>
      </c>
      <c r="I31" s="14">
        <v>0.21</v>
      </c>
      <c r="J31" s="14">
        <v>0.05</v>
      </c>
      <c r="K31" s="15">
        <f t="shared" si="17"/>
        <v>5029.0119600000007</v>
      </c>
      <c r="L31" s="15">
        <f t="shared" si="18"/>
        <v>1260.4040000000002</v>
      </c>
      <c r="M31" s="15">
        <f t="shared" si="9"/>
        <v>104993.59699000002</v>
      </c>
      <c r="N31" s="15">
        <v>0</v>
      </c>
    </row>
    <row r="32" spans="1:20" x14ac:dyDescent="0.2">
      <c r="A32" s="11">
        <v>44927</v>
      </c>
      <c r="C32" s="12">
        <v>4884234</v>
      </c>
      <c r="D32" s="13">
        <v>19781</v>
      </c>
      <c r="E32" s="13">
        <f>43444.85</f>
        <v>43444.85</v>
      </c>
      <c r="F32" s="13">
        <f>43444.85</f>
        <v>43444.85</v>
      </c>
      <c r="G32" s="18">
        <f>E32-D32</f>
        <v>23663.85</v>
      </c>
      <c r="H32" s="18">
        <f>F32-D32</f>
        <v>23663.85</v>
      </c>
      <c r="I32" s="14">
        <v>0.21</v>
      </c>
      <c r="J32" s="14">
        <v>0.05</v>
      </c>
      <c r="K32" s="15">
        <f>G32*I32-L32*I32</f>
        <v>4720.938075</v>
      </c>
      <c r="L32" s="15">
        <f>H32*J32</f>
        <v>1183.1924999999999</v>
      </c>
      <c r="M32" s="15">
        <f t="shared" si="9"/>
        <v>110897.72756500002</v>
      </c>
      <c r="N32" s="15">
        <v>0</v>
      </c>
    </row>
    <row r="33" spans="1:14" x14ac:dyDescent="0.2">
      <c r="A33" s="11">
        <v>44958</v>
      </c>
      <c r="C33" s="12">
        <v>4884234</v>
      </c>
      <c r="D33" s="13">
        <v>19781</v>
      </c>
      <c r="E33" s="13">
        <f>43444.85</f>
        <v>43444.85</v>
      </c>
      <c r="F33" s="13">
        <f>43444.85</f>
        <v>43444.85</v>
      </c>
      <c r="G33" s="18">
        <f>E33-D33</f>
        <v>23663.85</v>
      </c>
      <c r="H33" s="18">
        <f>F33-D33</f>
        <v>23663.85</v>
      </c>
      <c r="I33" s="14">
        <v>0.21</v>
      </c>
      <c r="J33" s="14">
        <v>0.05</v>
      </c>
      <c r="K33" s="15">
        <f>G33*I33-L33*I33</f>
        <v>4720.938075</v>
      </c>
      <c r="L33" s="15">
        <f>H33*J33</f>
        <v>1183.1924999999999</v>
      </c>
      <c r="M33" s="15">
        <f t="shared" si="9"/>
        <v>116801.85814000003</v>
      </c>
      <c r="N33" s="15">
        <v>0</v>
      </c>
    </row>
    <row r="34" spans="1:14" x14ac:dyDescent="0.2">
      <c r="H34" s="12"/>
    </row>
    <row r="35" spans="1:14" x14ac:dyDescent="0.2">
      <c r="C35" s="15"/>
      <c r="D35" s="24"/>
      <c r="E35" s="25"/>
      <c r="F35" s="15"/>
      <c r="G35" s="14"/>
      <c r="H35" s="15"/>
    </row>
    <row r="36" spans="1:14" x14ac:dyDescent="0.2">
      <c r="C36" s="12"/>
      <c r="D36" s="12"/>
      <c r="E36" s="12"/>
      <c r="F36" s="12"/>
      <c r="G36" s="14"/>
      <c r="H36" s="12"/>
    </row>
    <row r="37" spans="1:14" x14ac:dyDescent="0.2">
      <c r="C37" s="12"/>
      <c r="D37" s="12"/>
      <c r="E37" s="12"/>
      <c r="F37" s="12"/>
      <c r="H37" s="12"/>
    </row>
    <row r="38" spans="1:14" x14ac:dyDescent="0.2">
      <c r="C38" s="12"/>
      <c r="D38" s="12"/>
      <c r="E38" s="12"/>
      <c r="F38" s="12"/>
      <c r="G38" s="14"/>
      <c r="H38" s="12"/>
    </row>
    <row r="39" spans="1:14" x14ac:dyDescent="0.2">
      <c r="C39" s="12"/>
      <c r="D39" s="12"/>
      <c r="E39" s="12"/>
      <c r="F39" s="12"/>
      <c r="H39" s="12"/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9 of 9
Clements</oddHeader>
    <oddFooter>&amp;L_x000D_&amp;1#&amp;"Calibri"&amp;14&amp;K000000 Business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2023-00375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LGE</Value>
    </Compa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ECB2B1-68F2-4D93-8ABE-8AD2E967E7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32BD96-E487-4C7B-99CF-03E480A478DA}">
  <ds:schemaRefs>
    <ds:schemaRef ds:uri="65bfb563-8fe2-4d34-a09f-38a217d8feea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sharepoint/v4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37E3822-28B9-48FC-844B-825CAB347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Project 23</vt:lpstr>
      <vt:lpstr>Project 24</vt:lpstr>
      <vt:lpstr>Project 25</vt:lpstr>
      <vt:lpstr>Project 26</vt:lpstr>
      <vt:lpstr>Project 27</vt:lpstr>
      <vt:lpstr>Project 28</vt:lpstr>
      <vt:lpstr>Project 29</vt:lpstr>
      <vt:lpstr>Project 30</vt:lpstr>
      <vt:lpstr>Project 31</vt:lpstr>
      <vt:lpstr>'Project 23'!Print_Area</vt:lpstr>
      <vt:lpstr>'Project 24'!Print_Area</vt:lpstr>
      <vt:lpstr>'Project 25'!Print_Area</vt:lpstr>
      <vt:lpstr>'Project 26'!Print_Area</vt:lpstr>
      <vt:lpstr>'Project 27'!Print_Area</vt:lpstr>
      <vt:lpstr>'Project 28'!Print_Area</vt:lpstr>
      <vt:lpstr>'Project 29'!Print_Area</vt:lpstr>
      <vt:lpstr>'Project 30'!Print_Area</vt:lpstr>
      <vt:lpstr>'Project 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Jay Fister</dc:creator>
  <cp:lastModifiedBy>Fackler, Andrea</cp:lastModifiedBy>
  <cp:lastPrinted>2024-02-14T20:17:30Z</cp:lastPrinted>
  <dcterms:created xsi:type="dcterms:W3CDTF">2024-01-26T18:44:03Z</dcterms:created>
  <dcterms:modified xsi:type="dcterms:W3CDTF">2024-02-14T20:17:33Z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2024-01-26T18:55:39Z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d468f715-e419-402c-b72b-8ed24193025d</vt:lpwstr>
  </property>
  <property fmtid="{D5CDD505-2E9C-101B-9397-08002B2CF9AE}" pid="8" name="MSIP_Label_e0c8e74a-db15-49f1-980d-3d74f2e3ff07_ContentBits">
    <vt:lpwstr>2</vt:lpwstr>
  </property>
  <property fmtid="{D5CDD505-2E9C-101B-9397-08002B2CF9AE}" pid="9" name="ContentTypeId">
    <vt:lpwstr>0x010100FF510F20E04BCF41BE361D2F61EE6FFA</vt:lpwstr>
  </property>
  <property fmtid="{D5CDD505-2E9C-101B-9397-08002B2CF9AE}" pid="10" name="MSIP_Label_d662fcd2-3ff9-4261-9b26-9dd5808d0bb4_Enabled">
    <vt:lpwstr>true</vt:lpwstr>
  </property>
  <property fmtid="{D5CDD505-2E9C-101B-9397-08002B2CF9AE}" pid="11" name="MSIP_Label_d662fcd2-3ff9-4261-9b26-9dd5808d0bb4_SetDate">
    <vt:lpwstr>2024-02-14T20:17:19Z</vt:lpwstr>
  </property>
  <property fmtid="{D5CDD505-2E9C-101B-9397-08002B2CF9AE}" pid="12" name="MSIP_Label_d662fcd2-3ff9-4261-9b26-9dd5808d0bb4_Method">
    <vt:lpwstr>Privileged</vt:lpwstr>
  </property>
  <property fmtid="{D5CDD505-2E9C-101B-9397-08002B2CF9AE}" pid="13" name="MSIP_Label_d662fcd2-3ff9-4261-9b26-9dd5808d0bb4_Name">
    <vt:lpwstr>d662fcd2-3ff9-4261-9b26-9dd5808d0bb4</vt:lpwstr>
  </property>
  <property fmtid="{D5CDD505-2E9C-101B-9397-08002B2CF9AE}" pid="14" name="MSIP_Label_d662fcd2-3ff9-4261-9b26-9dd5808d0bb4_SiteId">
    <vt:lpwstr>5ee3b0ba-a559-45ee-a69e-6d3e963a3e72</vt:lpwstr>
  </property>
  <property fmtid="{D5CDD505-2E9C-101B-9397-08002B2CF9AE}" pid="15" name="MSIP_Label_d662fcd2-3ff9-4261-9b26-9dd5808d0bb4_ActionId">
    <vt:lpwstr>f69b47df-15b1-4e41-8f19-28602cd3293d</vt:lpwstr>
  </property>
  <property fmtid="{D5CDD505-2E9C-101B-9397-08002B2CF9AE}" pid="16" name="MSIP_Label_d662fcd2-3ff9-4261-9b26-9dd5808d0bb4_ContentBits">
    <vt:lpwstr>0</vt:lpwstr>
  </property>
</Properties>
</file>