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2\rates\CN2023\CNs-00375-00376 - L K ECR 2-year review (Sep19-Aug23)\3 - Data Requests and Testimony\LGE\0 - efiled 02-14-2024\"/>
    </mc:Choice>
  </mc:AlternateContent>
  <xr:revisionPtr revIDLastSave="0" documentId="13_ncr:1_{E524E660-E649-405B-9B15-ECCDE55E8E0C}" xr6:coauthVersionLast="47" xr6:coauthVersionMax="47" xr10:uidLastSave="{00000000-0000-0000-0000-000000000000}"/>
  <bookViews>
    <workbookView xWindow="-120" yWindow="-120" windowWidth="29040" windowHeight="17025" tabRatio="909" xr2:uid="{00000000-000D-0000-FFFF-FFFF00000000}"/>
  </bookViews>
  <sheets>
    <sheet name="Project 24" sheetId="26" r:id="rId1"/>
    <sheet name="Project 25" sheetId="25" r:id="rId2"/>
    <sheet name="Project 29" sheetId="30" r:id="rId3"/>
    <sheet name="Project 30" sheetId="29" r:id="rId4"/>
    <sheet name="Project 31" sheetId="31" r:id="rId5"/>
  </sheets>
  <definedNames>
    <definedName name="_xlnm.Print_Area" localSheetId="0">'Project 24'!$A$1:$N$47</definedName>
    <definedName name="_xlnm.Print_Area" localSheetId="1">'Project 25'!$A$1:$N$39</definedName>
    <definedName name="_xlnm.Print_Area" localSheetId="2">'Project 29'!$A$1:$N$45</definedName>
    <definedName name="_xlnm.Print_Area" localSheetId="3">'Project 30'!$A$1:$N$37</definedName>
    <definedName name="_xlnm.Print_Area" localSheetId="4">'Project 31'!$A$1:$N$15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31" l="1"/>
  <c r="E13" i="31"/>
  <c r="E15" i="31"/>
  <c r="E14" i="31"/>
  <c r="E12" i="31"/>
  <c r="E11" i="31"/>
  <c r="E10" i="31"/>
  <c r="F11" i="29"/>
  <c r="E11" i="29"/>
  <c r="E15" i="29"/>
  <c r="E14" i="29"/>
  <c r="E13" i="29"/>
  <c r="E10" i="29"/>
  <c r="H35" i="29"/>
  <c r="H36" i="29" s="1"/>
  <c r="H37" i="29" s="1"/>
  <c r="H34" i="29"/>
  <c r="H33" i="29"/>
  <c r="F36" i="29"/>
  <c r="E36" i="29"/>
  <c r="E28" i="29"/>
  <c r="F28" i="29"/>
  <c r="H28" i="29"/>
  <c r="H27" i="29"/>
  <c r="H26" i="29"/>
  <c r="H25" i="29"/>
  <c r="F35" i="29"/>
  <c r="F34" i="29"/>
  <c r="F33" i="29"/>
  <c r="F27" i="29"/>
  <c r="F26" i="29"/>
  <c r="F25" i="29"/>
  <c r="K15" i="30"/>
  <c r="K14" i="30"/>
  <c r="K13" i="30"/>
  <c r="K12" i="30"/>
  <c r="K11" i="30"/>
  <c r="E15" i="30"/>
  <c r="E14" i="30"/>
  <c r="E13" i="30"/>
  <c r="E12" i="30"/>
  <c r="E11" i="30"/>
  <c r="E10" i="30"/>
  <c r="H45" i="30"/>
  <c r="H33" i="30"/>
  <c r="H34" i="30" s="1"/>
  <c r="E44" i="30"/>
  <c r="F44" i="30"/>
  <c r="H44" i="30"/>
  <c r="H32" i="30"/>
  <c r="F32" i="30"/>
  <c r="E32" i="30"/>
  <c r="H38" i="30"/>
  <c r="H39" i="30"/>
  <c r="H40" i="30"/>
  <c r="H41" i="30"/>
  <c r="H42" i="30"/>
  <c r="H43" i="30"/>
  <c r="H37" i="30"/>
  <c r="F39" i="30"/>
  <c r="F40" i="30"/>
  <c r="F41" i="30"/>
  <c r="F42" i="30"/>
  <c r="F43" i="30"/>
  <c r="F38" i="30"/>
  <c r="F37" i="30"/>
  <c r="H26" i="30"/>
  <c r="H27" i="30"/>
  <c r="H28" i="30"/>
  <c r="H29" i="30"/>
  <c r="H30" i="30"/>
  <c r="H31" i="30"/>
  <c r="H25" i="30"/>
  <c r="F27" i="30"/>
  <c r="F28" i="30"/>
  <c r="F29" i="30"/>
  <c r="F30" i="30"/>
  <c r="F31" i="30"/>
  <c r="F26" i="30"/>
  <c r="F25" i="30"/>
  <c r="E14" i="25"/>
  <c r="H39" i="25"/>
  <c r="F36" i="25"/>
  <c r="F37" i="25"/>
  <c r="H37" i="25" s="1"/>
  <c r="F35" i="25"/>
  <c r="F34" i="25"/>
  <c r="E38" i="25"/>
  <c r="F38" i="25"/>
  <c r="H35" i="25"/>
  <c r="H36" i="25"/>
  <c r="H34" i="25"/>
  <c r="E29" i="25"/>
  <c r="F29" i="25"/>
  <c r="H29" i="25"/>
  <c r="H26" i="25"/>
  <c r="H27" i="25"/>
  <c r="H28" i="25"/>
  <c r="H25" i="25"/>
  <c r="F27" i="25"/>
  <c r="F28" i="25"/>
  <c r="F26" i="25"/>
  <c r="F25" i="25"/>
  <c r="K15" i="25"/>
  <c r="K13" i="25"/>
  <c r="K12" i="25"/>
  <c r="K11" i="25"/>
  <c r="K10" i="25"/>
  <c r="E15" i="25"/>
  <c r="E13" i="25"/>
  <c r="E12" i="25"/>
  <c r="E11" i="25"/>
  <c r="E10" i="25"/>
  <c r="K15" i="26"/>
  <c r="K14" i="26"/>
  <c r="K13" i="26"/>
  <c r="K12" i="26"/>
  <c r="K11" i="26"/>
  <c r="K10" i="26"/>
  <c r="E15" i="26"/>
  <c r="E14" i="26"/>
  <c r="E13" i="26"/>
  <c r="E12" i="26"/>
  <c r="E11" i="26"/>
  <c r="E10" i="26"/>
  <c r="E46" i="26"/>
  <c r="F46" i="26"/>
  <c r="H46" i="26"/>
  <c r="H34" i="26" s="1"/>
  <c r="H35" i="26" s="1"/>
  <c r="H39" i="26"/>
  <c r="H40" i="26"/>
  <c r="H41" i="26"/>
  <c r="H42" i="26"/>
  <c r="H43" i="26"/>
  <c r="H44" i="26"/>
  <c r="H45" i="26"/>
  <c r="H38" i="26"/>
  <c r="F40" i="26"/>
  <c r="F41" i="26"/>
  <c r="F42" i="26"/>
  <c r="F43" i="26"/>
  <c r="F44" i="26"/>
  <c r="F45" i="26"/>
  <c r="F39" i="26"/>
  <c r="F38" i="26"/>
  <c r="H33" i="26"/>
  <c r="E33" i="26"/>
  <c r="F33" i="26"/>
  <c r="H26" i="26"/>
  <c r="H27" i="26"/>
  <c r="H28" i="26"/>
  <c r="H29" i="26"/>
  <c r="H30" i="26"/>
  <c r="H31" i="26"/>
  <c r="H32" i="26"/>
  <c r="H25" i="26"/>
  <c r="F27" i="26"/>
  <c r="F28" i="26"/>
  <c r="F29" i="26"/>
  <c r="F30" i="26"/>
  <c r="F31" i="26"/>
  <c r="F32" i="26"/>
  <c r="F26" i="26"/>
  <c r="F25" i="26"/>
  <c r="F15" i="31"/>
  <c r="F15" i="29"/>
  <c r="F15" i="30"/>
  <c r="F15" i="25"/>
  <c r="F15" i="26"/>
  <c r="H29" i="29" l="1"/>
  <c r="H30" i="29" s="1"/>
  <c r="H38" i="25"/>
  <c r="H30" i="25" s="1"/>
  <c r="H31" i="25" s="1"/>
  <c r="H32" i="25" s="1"/>
  <c r="F14" i="31"/>
  <c r="F14" i="29"/>
  <c r="F13" i="29"/>
  <c r="F14" i="30"/>
  <c r="F13" i="30"/>
  <c r="F14" i="25"/>
  <c r="F13" i="25"/>
  <c r="F14" i="26"/>
  <c r="F13" i="26"/>
  <c r="F12" i="31" l="1"/>
  <c r="F12" i="29"/>
  <c r="E12" i="29"/>
  <c r="F12" i="30"/>
  <c r="F12" i="25"/>
  <c r="F12" i="26"/>
  <c r="F11" i="31" l="1"/>
  <c r="F11" i="30"/>
  <c r="F11" i="25"/>
  <c r="F11" i="26"/>
  <c r="F10" i="31" l="1"/>
  <c r="F10" i="29"/>
  <c r="F10" i="30"/>
  <c r="F10" i="25"/>
  <c r="F10" i="26"/>
  <c r="H14" i="31" l="1"/>
  <c r="L14" i="31" s="1"/>
  <c r="G14" i="31"/>
  <c r="H15" i="31"/>
  <c r="L15" i="31" s="1"/>
  <c r="G15" i="31"/>
  <c r="K15" i="31" s="1"/>
  <c r="H13" i="31"/>
  <c r="L13" i="31" s="1"/>
  <c r="G13" i="31"/>
  <c r="H12" i="31"/>
  <c r="L12" i="31" s="1"/>
  <c r="G12" i="31"/>
  <c r="H11" i="31"/>
  <c r="L11" i="31" s="1"/>
  <c r="G11" i="31"/>
  <c r="H10" i="31"/>
  <c r="L10" i="31" s="1"/>
  <c r="G10" i="31"/>
  <c r="K13" i="31" l="1"/>
  <c r="K11" i="31"/>
  <c r="K10" i="31"/>
  <c r="M10" i="31" s="1"/>
  <c r="K14" i="31"/>
  <c r="K12" i="31"/>
  <c r="M11" i="31" l="1"/>
  <c r="M12" i="31" s="1"/>
  <c r="M13" i="31" l="1"/>
  <c r="Q11" i="31"/>
  <c r="Q12" i="31" s="1"/>
  <c r="M14" i="31" l="1"/>
  <c r="M15" i="31" l="1"/>
  <c r="Q13" i="31"/>
  <c r="Q14" i="31" s="1"/>
  <c r="Q15" i="31" l="1"/>
  <c r="Q16" i="31" s="1"/>
  <c r="H13" i="29"/>
  <c r="L13" i="29" s="1"/>
  <c r="G13" i="29"/>
  <c r="H12" i="29"/>
  <c r="L12" i="29" s="1"/>
  <c r="G12" i="29"/>
  <c r="H11" i="29"/>
  <c r="L11" i="29" s="1"/>
  <c r="G11" i="29"/>
  <c r="H10" i="29"/>
  <c r="L10" i="29" s="1"/>
  <c r="G10" i="29"/>
  <c r="K11" i="29" l="1"/>
  <c r="K13" i="29"/>
  <c r="K10" i="29"/>
  <c r="K12" i="29"/>
  <c r="H15" i="30" l="1"/>
  <c r="L15" i="30" s="1"/>
  <c r="G15" i="30"/>
  <c r="H14" i="30"/>
  <c r="L14" i="30" s="1"/>
  <c r="G14" i="30"/>
  <c r="H13" i="30"/>
  <c r="L13" i="30" s="1"/>
  <c r="G13" i="30"/>
  <c r="H12" i="30"/>
  <c r="L12" i="30" s="1"/>
  <c r="G12" i="30"/>
  <c r="H11" i="30"/>
  <c r="L11" i="30" s="1"/>
  <c r="G11" i="30"/>
  <c r="H10" i="30"/>
  <c r="L10" i="30" s="1"/>
  <c r="G10" i="30"/>
  <c r="K10" i="30" s="1"/>
  <c r="H35" i="30" l="1"/>
  <c r="M10" i="30"/>
  <c r="M11" i="30" l="1"/>
  <c r="M12" i="30" l="1"/>
  <c r="M10" i="29"/>
  <c r="M13" i="30" l="1"/>
  <c r="M11" i="29"/>
  <c r="M14" i="30" l="1"/>
  <c r="M12" i="29"/>
  <c r="M15" i="30" l="1"/>
  <c r="M13" i="29"/>
  <c r="G15" i="25"/>
  <c r="G15" i="26"/>
  <c r="G10" i="26"/>
  <c r="G15" i="29"/>
  <c r="G14" i="29"/>
  <c r="H14" i="29"/>
  <c r="L14" i="29" s="1"/>
  <c r="H15" i="29"/>
  <c r="G13" i="25"/>
  <c r="H11" i="25"/>
  <c r="L11" i="25" s="1"/>
  <c r="H12" i="25"/>
  <c r="L12" i="25" s="1"/>
  <c r="H13" i="25"/>
  <c r="L13" i="25" s="1"/>
  <c r="H14" i="25"/>
  <c r="L14" i="25" s="1"/>
  <c r="H15" i="25"/>
  <c r="L15" i="25" s="1"/>
  <c r="G11" i="25"/>
  <c r="G12" i="25"/>
  <c r="G14" i="25"/>
  <c r="H10" i="25"/>
  <c r="L10" i="25" s="1"/>
  <c r="G10" i="25"/>
  <c r="G11" i="26"/>
  <c r="G12" i="26"/>
  <c r="H12" i="26"/>
  <c r="L12" i="26" s="1"/>
  <c r="G13" i="26"/>
  <c r="G14" i="26"/>
  <c r="H14" i="26"/>
  <c r="L14" i="26" s="1"/>
  <c r="H15" i="26"/>
  <c r="H11" i="26"/>
  <c r="L11" i="26" s="1"/>
  <c r="H13" i="26"/>
  <c r="L13" i="26" s="1"/>
  <c r="H10" i="26"/>
  <c r="L10" i="26" s="1"/>
  <c r="K14" i="25" l="1"/>
  <c r="M10" i="25"/>
  <c r="L15" i="29"/>
  <c r="L15" i="26"/>
  <c r="H47" i="26" s="1"/>
  <c r="M10" i="26"/>
  <c r="K14" i="29"/>
  <c r="M14" i="29" s="1"/>
  <c r="M11" i="25" l="1"/>
  <c r="K15" i="29"/>
  <c r="H31" i="29" s="1"/>
  <c r="H36" i="26"/>
  <c r="M11" i="26"/>
  <c r="M12" i="25" l="1"/>
  <c r="M12" i="26"/>
  <c r="M15" i="29"/>
  <c r="Q11" i="29"/>
  <c r="Q12" i="29" s="1"/>
  <c r="M13" i="25" l="1"/>
  <c r="M13" i="26"/>
  <c r="Q13" i="29"/>
  <c r="Q14" i="29" s="1"/>
  <c r="M14" i="25" l="1"/>
  <c r="M14" i="26"/>
  <c r="Q15" i="29"/>
  <c r="Q16" i="29" s="1"/>
  <c r="M15" i="25" l="1"/>
  <c r="M15" i="26"/>
</calcChain>
</file>

<file path=xl/sharedStrings.xml><?xml version="1.0" encoding="utf-8"?>
<sst xmlns="http://schemas.openxmlformats.org/spreadsheetml/2006/main" count="178" uniqueCount="47">
  <si>
    <t>Month</t>
  </si>
  <si>
    <t>Plant Balance</t>
  </si>
  <si>
    <t>Book Depreciation</t>
  </si>
  <si>
    <t>Louisville Gas and Electric Company</t>
  </si>
  <si>
    <t>Deferred Taxes on Retirements</t>
  </si>
  <si>
    <t>Accumulated Deferred Taxes</t>
  </si>
  <si>
    <t>Deferred Tax Calculations</t>
  </si>
  <si>
    <t>Environmental Compliance Plans, by Approved Project</t>
  </si>
  <si>
    <t>Beg Balance</t>
  </si>
  <si>
    <t>2009 - Plan</t>
  </si>
  <si>
    <t>Project 25 -Beneficial Reuse</t>
  </si>
  <si>
    <t xml:space="preserve"> </t>
  </si>
  <si>
    <t>2016 - Plan</t>
  </si>
  <si>
    <t>Project 30 - Trimble County New Process Water Systems</t>
  </si>
  <si>
    <t>Fed Tax Depreciation</t>
  </si>
  <si>
    <t>State Tax Depreciation</t>
  </si>
  <si>
    <t>Fed Temporary Difference</t>
  </si>
  <si>
    <t>State Temporary Difference</t>
  </si>
  <si>
    <t>Fed Tax Rate</t>
  </si>
  <si>
    <t>State Tax Rate</t>
  </si>
  <si>
    <t>Fed Deferred Tax</t>
  </si>
  <si>
    <t>State Deferred Tax</t>
  </si>
  <si>
    <t>is computed separately for Federal and State purposes.  Specifically, for Federal taxes, certain assets received 50% bonus</t>
  </si>
  <si>
    <t>is shown below:</t>
  </si>
  <si>
    <t>Federal Basis</t>
  </si>
  <si>
    <t>Book Depr.</t>
  </si>
  <si>
    <t>Federal Tax Depr</t>
  </si>
  <si>
    <t>Fed. Difference</t>
  </si>
  <si>
    <t>Fed Def Tax</t>
  </si>
  <si>
    <t xml:space="preserve">Due to Bonus Depreciation for tax purposes taken on certain components of Project 24, the deferred tax calculation for this project </t>
  </si>
  <si>
    <t>State Basis</t>
  </si>
  <si>
    <t>State Tax Depr</t>
  </si>
  <si>
    <t>St. Difference</t>
  </si>
  <si>
    <t>St Def Tax</t>
  </si>
  <si>
    <t>State Offset</t>
  </si>
  <si>
    <t xml:space="preserve">Due to Bonus Depreciation for tax purposes taken on certain components of Project 25, the deferred tax calculation for this project </t>
  </si>
  <si>
    <t xml:space="preserve">Due to Bonus Depreciation for tax purposes taken on certain components of Project 30, the deferred tax calculation for this project </t>
  </si>
  <si>
    <t>Project 24 - Trimble County CCP Storage (Landfill - Phase I)</t>
  </si>
  <si>
    <t>Project 29 - Mill Creek New Process Water Systems</t>
  </si>
  <si>
    <t>2020 - Plan</t>
  </si>
  <si>
    <t>Project 31 - Mill Creek ELG Water Treatment System and Diffuser</t>
  </si>
  <si>
    <t>The federal deferred tax column includes an amount for amortization of excess deferred tax amounts.</t>
  </si>
  <si>
    <t>Subtotal</t>
  </si>
  <si>
    <t>Excess fed deferred tax amortization</t>
  </si>
  <si>
    <t>depreciation, which reduces the Federal tax basis to 50% of the plant balance.  A sample calculation of deferred taxes for Aug 2022</t>
  </si>
  <si>
    <t>Excess deferred tax amortization</t>
  </si>
  <si>
    <t xml:space="preserve">Due to Bonus Depreciation for tax purposes taken on certain components of Project 29, the deferred tax calculation for this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</si>
</sst>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[$-409]mmm\-yy;@"/>
    <numFmt numFmtId="166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2" fillId="0" borderId="0" xfId="0" applyNumberFormat="1" applyFont="1" applyFill="1" applyBorder="1"/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/>
    <xf numFmtId="41" fontId="0" fillId="0" borderId="0" xfId="0" applyNumberFormat="1"/>
    <xf numFmtId="166" fontId="1" fillId="0" borderId="0" xfId="1" applyNumberFormat="1"/>
    <xf numFmtId="0" fontId="3" fillId="0" borderId="0" xfId="0" applyFont="1" applyFill="1" applyAlignment="1">
      <alignment horizontal="centerContinuous"/>
    </xf>
    <xf numFmtId="41" fontId="4" fillId="0" borderId="0" xfId="0" applyNumberFormat="1" applyFont="1"/>
    <xf numFmtId="38" fontId="4" fillId="0" borderId="0" xfId="0" applyNumberFormat="1" applyFont="1"/>
    <xf numFmtId="166" fontId="4" fillId="0" borderId="0" xfId="1" applyNumberFormat="1" applyFont="1"/>
    <xf numFmtId="41" fontId="0" fillId="0" borderId="0" xfId="0" applyNumberFormat="1" applyFill="1"/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quotePrefix="1" applyFont="1" applyFill="1" applyBorder="1" applyAlignment="1" applyProtection="1">
      <alignment horizontal="left"/>
    </xf>
    <xf numFmtId="38" fontId="0" fillId="0" borderId="0" xfId="0" applyNumberFormat="1"/>
    <xf numFmtId="165" fontId="2" fillId="0" borderId="0" xfId="0" quotePrefix="1" applyNumberFormat="1" applyFont="1" applyFill="1" applyBorder="1" applyAlignment="1">
      <alignment horizontal="left"/>
    </xf>
    <xf numFmtId="165" fontId="3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Border="1" applyAlignment="1" applyProtection="1">
      <alignment horizontal="left"/>
    </xf>
    <xf numFmtId="166" fontId="0" fillId="0" borderId="0" xfId="0" applyNumberFormat="1"/>
    <xf numFmtId="41" fontId="1" fillId="0" borderId="0" xfId="0" quotePrefix="1" applyNumberFormat="1" applyFont="1" applyFill="1" applyAlignment="1">
      <alignment horizontal="left"/>
    </xf>
    <xf numFmtId="166" fontId="1" fillId="0" borderId="0" xfId="3" applyNumberFormat="1" applyFont="1" applyFill="1"/>
    <xf numFmtId="43" fontId="1" fillId="0" borderId="0" xfId="3" applyFont="1" applyFill="1"/>
    <xf numFmtId="0" fontId="1" fillId="0" borderId="0" xfId="0" quotePrefix="1" applyFont="1" applyFill="1" applyAlignment="1">
      <alignment horizontal="left"/>
    </xf>
    <xf numFmtId="166" fontId="1" fillId="0" borderId="0" xfId="3" quotePrefix="1" applyNumberFormat="1" applyFont="1" applyFill="1" applyAlignment="1">
      <alignment horizontal="left"/>
    </xf>
    <xf numFmtId="164" fontId="0" fillId="0" borderId="0" xfId="0" applyNumberFormat="1" applyFill="1"/>
    <xf numFmtId="41" fontId="8" fillId="0" borderId="0" xfId="0" applyNumberFormat="1" applyFont="1"/>
    <xf numFmtId="0" fontId="1" fillId="0" borderId="0" xfId="0" applyFont="1"/>
    <xf numFmtId="165" fontId="1" fillId="0" borderId="0" xfId="8" applyNumberFormat="1" applyFont="1" applyAlignment="1">
      <alignment horizontal="left"/>
    </xf>
    <xf numFmtId="43" fontId="0" fillId="0" borderId="0" xfId="1" applyFont="1"/>
    <xf numFmtId="41" fontId="1" fillId="0" borderId="0" xfId="0" applyNumberFormat="1" applyFont="1"/>
    <xf numFmtId="38" fontId="1" fillId="0" borderId="0" xfId="0" applyNumberFormat="1" applyFont="1"/>
    <xf numFmtId="0" fontId="0" fillId="0" borderId="0" xfId="0"/>
    <xf numFmtId="164" fontId="0" fillId="0" borderId="0" xfId="0" applyNumberFormat="1"/>
    <xf numFmtId="41" fontId="0" fillId="0" borderId="0" xfId="0" applyNumberFormat="1"/>
    <xf numFmtId="41" fontId="1" fillId="0" borderId="0" xfId="0" applyNumberFormat="1" applyFont="1"/>
    <xf numFmtId="38" fontId="1" fillId="0" borderId="0" xfId="0" applyNumberFormat="1" applyFont="1"/>
    <xf numFmtId="166" fontId="1" fillId="0" borderId="0" xfId="1" applyNumberFormat="1" applyFont="1"/>
    <xf numFmtId="0" fontId="1" fillId="0" borderId="0" xfId="0" applyFont="1"/>
    <xf numFmtId="41" fontId="8" fillId="0" borderId="0" xfId="0" applyNumberFormat="1" applyFont="1"/>
    <xf numFmtId="166" fontId="1" fillId="0" borderId="0" xfId="17" applyNumberFormat="1" applyFont="1" applyFill="1"/>
    <xf numFmtId="43" fontId="1" fillId="0" borderId="0" xfId="17" applyFont="1" applyFill="1"/>
    <xf numFmtId="166" fontId="1" fillId="0" borderId="0" xfId="17" quotePrefix="1" applyNumberFormat="1" applyFont="1" applyFill="1" applyAlignment="1">
      <alignment horizontal="left"/>
    </xf>
    <xf numFmtId="164" fontId="1" fillId="0" borderId="0" xfId="0" applyNumberFormat="1" applyFont="1"/>
    <xf numFmtId="4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41" fontId="1" fillId="0" borderId="0" xfId="22" applyNumberFormat="1"/>
    <xf numFmtId="41" fontId="1" fillId="0" borderId="0" xfId="22" applyNumberFormat="1"/>
    <xf numFmtId="166" fontId="1" fillId="0" borderId="0" xfId="1" applyNumberFormat="1" applyFont="1"/>
    <xf numFmtId="166" fontId="1" fillId="0" borderId="0" xfId="17" applyNumberFormat="1" applyFont="1" applyFill="1"/>
    <xf numFmtId="43" fontId="1" fillId="0" borderId="0" xfId="17" applyFont="1" applyFill="1"/>
    <xf numFmtId="166" fontId="1" fillId="0" borderId="0" xfId="17" quotePrefix="1" applyNumberFormat="1" applyFont="1" applyFill="1" applyAlignment="1">
      <alignment horizontal="left"/>
    </xf>
    <xf numFmtId="0" fontId="1" fillId="0" borderId="0" xfId="22"/>
    <xf numFmtId="164" fontId="1" fillId="0" borderId="0" xfId="22" applyNumberFormat="1"/>
    <xf numFmtId="41" fontId="1" fillId="0" borderId="0" xfId="22" applyNumberFormat="1"/>
    <xf numFmtId="41" fontId="1" fillId="0" borderId="0" xfId="22" applyNumberFormat="1" applyFont="1"/>
    <xf numFmtId="38" fontId="1" fillId="0" borderId="0" xfId="22" applyNumberFormat="1" applyFont="1"/>
    <xf numFmtId="0" fontId="1" fillId="0" borderId="0" xfId="22" applyFont="1"/>
    <xf numFmtId="41" fontId="8" fillId="0" borderId="0" xfId="22" applyNumberFormat="1" applyFont="1"/>
    <xf numFmtId="164" fontId="1" fillId="0" borderId="0" xfId="22" applyNumberFormat="1" applyFont="1"/>
    <xf numFmtId="41" fontId="1" fillId="0" borderId="0" xfId="22" quotePrefix="1" applyNumberFormat="1" applyFont="1" applyAlignment="1">
      <alignment horizontal="left"/>
    </xf>
    <xf numFmtId="0" fontId="1" fillId="0" borderId="0" xfId="22" quotePrefix="1" applyFont="1" applyAlignment="1">
      <alignment horizontal="left"/>
    </xf>
    <xf numFmtId="0" fontId="1" fillId="0" borderId="0" xfId="22"/>
    <xf numFmtId="164" fontId="1" fillId="0" borderId="0" xfId="22" applyNumberFormat="1"/>
    <xf numFmtId="41" fontId="1" fillId="0" borderId="0" xfId="22" applyNumberFormat="1"/>
    <xf numFmtId="166" fontId="1" fillId="0" borderId="0" xfId="1" applyNumberFormat="1"/>
    <xf numFmtId="41" fontId="1" fillId="0" borderId="0" xfId="22" applyNumberFormat="1" applyFont="1"/>
    <xf numFmtId="38" fontId="1" fillId="0" borderId="0" xfId="22" applyNumberFormat="1" applyFont="1"/>
    <xf numFmtId="166" fontId="1" fillId="0" borderId="0" xfId="1" applyNumberFormat="1" applyFont="1"/>
    <xf numFmtId="0" fontId="1" fillId="0" borderId="0" xfId="22" applyFont="1"/>
    <xf numFmtId="41" fontId="8" fillId="0" borderId="0" xfId="22" applyNumberFormat="1" applyFont="1"/>
    <xf numFmtId="166" fontId="1" fillId="0" borderId="0" xfId="17" applyNumberFormat="1" applyFont="1" applyFill="1"/>
    <xf numFmtId="43" fontId="1" fillId="0" borderId="0" xfId="17" applyFont="1" applyFill="1"/>
    <xf numFmtId="166" fontId="1" fillId="0" borderId="0" xfId="17" quotePrefix="1" applyNumberFormat="1" applyFont="1" applyFill="1" applyAlignment="1">
      <alignment horizontal="left"/>
    </xf>
    <xf numFmtId="164" fontId="1" fillId="0" borderId="0" xfId="22" applyNumberFormat="1" applyFont="1"/>
    <xf numFmtId="41" fontId="1" fillId="0" borderId="0" xfId="22" quotePrefix="1" applyNumberFormat="1" applyFont="1" applyAlignment="1">
      <alignment horizontal="left"/>
    </xf>
    <xf numFmtId="41" fontId="1" fillId="0" borderId="0" xfId="22" applyNumberFormat="1"/>
    <xf numFmtId="41" fontId="1" fillId="0" borderId="0" xfId="22" applyNumberFormat="1" applyFont="1"/>
    <xf numFmtId="0" fontId="1" fillId="0" borderId="0" xfId="22" applyFont="1"/>
    <xf numFmtId="41" fontId="8" fillId="0" borderId="0" xfId="22" applyNumberFormat="1" applyFont="1"/>
    <xf numFmtId="0" fontId="1" fillId="0" borderId="0" xfId="22"/>
    <xf numFmtId="0" fontId="1" fillId="0" borderId="0" xfId="22" applyFont="1"/>
    <xf numFmtId="166" fontId="1" fillId="0" borderId="0" xfId="17" applyNumberFormat="1" applyFont="1" applyFill="1"/>
    <xf numFmtId="43" fontId="1" fillId="0" borderId="0" xfId="17" applyFont="1" applyFill="1"/>
    <xf numFmtId="166" fontId="1" fillId="0" borderId="0" xfId="17" quotePrefix="1" applyNumberFormat="1" applyFont="1" applyFill="1" applyAlignment="1">
      <alignment horizontal="left"/>
    </xf>
    <xf numFmtId="0" fontId="1" fillId="0" borderId="0" xfId="22"/>
    <xf numFmtId="164" fontId="1" fillId="0" borderId="0" xfId="22" applyNumberFormat="1"/>
    <xf numFmtId="41" fontId="1" fillId="0" borderId="0" xfId="22" applyNumberFormat="1"/>
    <xf numFmtId="41" fontId="1" fillId="0" borderId="0" xfId="22" applyNumberFormat="1" applyFont="1"/>
    <xf numFmtId="0" fontId="1" fillId="0" borderId="0" xfId="22" applyFont="1"/>
    <xf numFmtId="41" fontId="8" fillId="0" borderId="0" xfId="22" applyNumberFormat="1" applyFont="1"/>
    <xf numFmtId="164" fontId="1" fillId="0" borderId="0" xfId="22" applyNumberFormat="1" applyFont="1"/>
    <xf numFmtId="41" fontId="1" fillId="0" borderId="0" xfId="22" quotePrefix="1" applyNumberFormat="1" applyFont="1" applyAlignment="1">
      <alignment horizontal="left"/>
    </xf>
    <xf numFmtId="0" fontId="1" fillId="0" borderId="0" xfId="22" quotePrefix="1" applyFont="1" applyAlignment="1">
      <alignment horizontal="left"/>
    </xf>
  </cellXfs>
  <cellStyles count="23">
    <cellStyle name="Comma" xfId="1" builtinId="3"/>
    <cellStyle name="Comma 2" xfId="2" xr:uid="{00000000-0005-0000-0000-000001000000}"/>
    <cellStyle name="Comma 2 2" xfId="3" xr:uid="{00000000-0005-0000-0000-000002000000}"/>
    <cellStyle name="Comma 2 2 2" xfId="17" xr:uid="{7497E63D-6877-4B4C-BCED-2EEDA589E54B}"/>
    <cellStyle name="Comma 2 2 3" xfId="10" xr:uid="{6A7D59D2-309E-4B90-9224-94FA9FC88E18}"/>
    <cellStyle name="Comma 2 3" xfId="16" xr:uid="{41719E52-D927-47FC-892B-02917228893C}"/>
    <cellStyle name="Comma 2 4" xfId="9" xr:uid="{B94291E6-1851-4D64-8BCE-B78302A6C53A}"/>
    <cellStyle name="Comma 3" xfId="4" xr:uid="{00000000-0005-0000-0000-000003000000}"/>
    <cellStyle name="Comma 3 2" xfId="5" xr:uid="{00000000-0005-0000-0000-000004000000}"/>
    <cellStyle name="Comma 3 2 2" xfId="19" xr:uid="{6DB10A05-29C3-4FB7-8927-3D3B36F2F0A9}"/>
    <cellStyle name="Comma 3 2 3" xfId="12" xr:uid="{5FD69E67-1417-4242-9CB5-F6B62E5D280A}"/>
    <cellStyle name="Comma 3 3" xfId="18" xr:uid="{C0EC79E5-3775-464E-8981-E0C931306FA6}"/>
    <cellStyle name="Comma 3 4" xfId="11" xr:uid="{276C2E6B-FD27-4301-B921-5918CF2FFBD1}"/>
    <cellStyle name="Comma 4" xfId="6" xr:uid="{00000000-0005-0000-0000-000005000000}"/>
    <cellStyle name="Comma 4 2" xfId="20" xr:uid="{FB5A68F6-41C0-43A6-AE25-2660EACAFC43}"/>
    <cellStyle name="Comma 4 3" xfId="13" xr:uid="{9595D0F3-F28A-457D-A567-8D417A9FB582}"/>
    <cellStyle name="Comma 5" xfId="7" xr:uid="{00000000-0005-0000-0000-000006000000}"/>
    <cellStyle name="Comma 5 2" xfId="21" xr:uid="{A96BF516-3BED-4125-A1D5-13A8FF25FFCD}"/>
    <cellStyle name="Comma 5 3" xfId="14" xr:uid="{F0353A5D-90F1-437B-8671-844151B262A4}"/>
    <cellStyle name="Normal" xfId="0" builtinId="0"/>
    <cellStyle name="Normal 2" xfId="8" xr:uid="{00000000-0005-0000-0000-000008000000}"/>
    <cellStyle name="Normal 2 2" xfId="22" xr:uid="{66D124C9-8D39-4A7A-8BB6-CBE328C8932C}"/>
    <cellStyle name="Normal 2 3" xfId="15" xr:uid="{9A74CCCD-6B00-4B2B-B6E2-F080EFDF3F4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7"/>
  <sheetViews>
    <sheetView tabSelected="1"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28515625" customWidth="1"/>
    <col min="4" max="4" width="12.7109375" customWidth="1"/>
    <col min="5" max="5" width="16" customWidth="1"/>
    <col min="6" max="6" width="14.7109375" customWidth="1"/>
    <col min="7" max="7" width="14" customWidth="1"/>
    <col min="8" max="14" width="12.7109375" customWidth="1"/>
    <col min="15" max="15" width="14.85546875" bestFit="1" customWidth="1"/>
    <col min="16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20" t="s">
        <v>9</v>
      </c>
    </row>
    <row r="6" spans="1:18" x14ac:dyDescent="0.2">
      <c r="A6" s="21" t="s">
        <v>37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10811589</v>
      </c>
    </row>
    <row r="10" spans="1:18" x14ac:dyDescent="0.2">
      <c r="A10" s="32">
        <v>44629</v>
      </c>
      <c r="C10" s="12">
        <v>111441953</v>
      </c>
      <c r="D10" s="13">
        <v>248490</v>
      </c>
      <c r="E10" s="35">
        <f>357063.53</f>
        <v>357063.53</v>
      </c>
      <c r="F10" s="35">
        <f t="shared" ref="F10:F15" si="0">564867.61</f>
        <v>564867.61</v>
      </c>
      <c r="G10" s="14">
        <f t="shared" ref="G10:G15" si="1">E10-D10</f>
        <v>108573.53000000003</v>
      </c>
      <c r="H10" s="14">
        <f t="shared" ref="H10:H15" si="2">F10-D10</f>
        <v>316377.61</v>
      </c>
      <c r="I10" s="3">
        <v>0.21</v>
      </c>
      <c r="J10" s="3">
        <v>0.05</v>
      </c>
      <c r="K10" s="50">
        <f t="shared" ref="K10:K15" si="3">G10*I10-L10*I10-1117.77</f>
        <v>18360.706395000005</v>
      </c>
      <c r="L10" s="9">
        <f t="shared" ref="L10:L15" si="4">H10*J10</f>
        <v>15818.880499999999</v>
      </c>
      <c r="M10" s="15">
        <f t="shared" ref="M10:M15" si="5">M9+K10+L10</f>
        <v>10845768.586895</v>
      </c>
      <c r="N10" s="9">
        <v>0</v>
      </c>
      <c r="O10" s="33"/>
      <c r="R10" s="23"/>
    </row>
    <row r="11" spans="1:18" x14ac:dyDescent="0.2">
      <c r="A11" s="32">
        <v>44652</v>
      </c>
      <c r="C11" s="12">
        <v>111441953</v>
      </c>
      <c r="D11" s="13">
        <v>248490</v>
      </c>
      <c r="E11" s="40">
        <f t="shared" ref="E11:E15" si="6">357063.53</f>
        <v>357063.53</v>
      </c>
      <c r="F11" s="35">
        <f t="shared" si="0"/>
        <v>564867.61</v>
      </c>
      <c r="G11" s="14">
        <f t="shared" si="1"/>
        <v>108573.53000000003</v>
      </c>
      <c r="H11" s="14">
        <f t="shared" si="2"/>
        <v>316377.61</v>
      </c>
      <c r="I11" s="3">
        <v>0.21</v>
      </c>
      <c r="J11" s="3">
        <v>0.05</v>
      </c>
      <c r="K11" s="51">
        <f t="shared" si="3"/>
        <v>18360.706395000005</v>
      </c>
      <c r="L11" s="9">
        <f t="shared" si="4"/>
        <v>15818.880499999999</v>
      </c>
      <c r="M11" s="15">
        <f t="shared" si="5"/>
        <v>10879948.17379</v>
      </c>
      <c r="N11" s="9">
        <v>0</v>
      </c>
      <c r="O11" s="33"/>
      <c r="Q11" s="9"/>
      <c r="R11" s="23"/>
    </row>
    <row r="12" spans="1:18" x14ac:dyDescent="0.2">
      <c r="A12" s="32">
        <v>44682</v>
      </c>
      <c r="C12" s="12">
        <v>111441953</v>
      </c>
      <c r="D12" s="13">
        <v>248490</v>
      </c>
      <c r="E12" s="40">
        <f t="shared" si="6"/>
        <v>357063.53</v>
      </c>
      <c r="F12" s="35">
        <f t="shared" si="0"/>
        <v>564867.61</v>
      </c>
      <c r="G12" s="14">
        <f t="shared" si="1"/>
        <v>108573.53000000003</v>
      </c>
      <c r="H12" s="14">
        <f t="shared" si="2"/>
        <v>316377.61</v>
      </c>
      <c r="I12" s="3">
        <v>0.21</v>
      </c>
      <c r="J12" s="3">
        <v>0.05</v>
      </c>
      <c r="K12" s="51">
        <f t="shared" si="3"/>
        <v>18360.706395000005</v>
      </c>
      <c r="L12" s="9">
        <f t="shared" si="4"/>
        <v>15818.880499999999</v>
      </c>
      <c r="M12" s="15">
        <f t="shared" si="5"/>
        <v>10914127.760685001</v>
      </c>
      <c r="N12" s="9">
        <v>0</v>
      </c>
      <c r="R12" s="23"/>
    </row>
    <row r="13" spans="1:18" x14ac:dyDescent="0.2">
      <c r="A13" s="32">
        <v>44713</v>
      </c>
      <c r="C13" s="12">
        <v>111441953</v>
      </c>
      <c r="D13" s="13">
        <v>248490</v>
      </c>
      <c r="E13" s="40">
        <f t="shared" si="6"/>
        <v>357063.53</v>
      </c>
      <c r="F13" s="35">
        <f t="shared" si="0"/>
        <v>564867.61</v>
      </c>
      <c r="G13" s="14">
        <f t="shared" si="1"/>
        <v>108573.53000000003</v>
      </c>
      <c r="H13" s="14">
        <f t="shared" si="2"/>
        <v>316377.61</v>
      </c>
      <c r="I13" s="3">
        <v>0.21</v>
      </c>
      <c r="J13" s="3">
        <v>0.05</v>
      </c>
      <c r="K13" s="51">
        <f t="shared" si="3"/>
        <v>18360.706395000005</v>
      </c>
      <c r="L13" s="9">
        <f t="shared" si="4"/>
        <v>15818.880499999999</v>
      </c>
      <c r="M13" s="15">
        <f t="shared" si="5"/>
        <v>10948307.347580001</v>
      </c>
      <c r="N13" s="9">
        <v>0</v>
      </c>
      <c r="Q13" s="17"/>
      <c r="R13" s="23"/>
    </row>
    <row r="14" spans="1:18" x14ac:dyDescent="0.2">
      <c r="A14" s="32">
        <v>44743</v>
      </c>
      <c r="C14" s="12">
        <v>111441953</v>
      </c>
      <c r="D14" s="13">
        <v>248490</v>
      </c>
      <c r="E14" s="40">
        <f t="shared" si="6"/>
        <v>357063.53</v>
      </c>
      <c r="F14" s="35">
        <f t="shared" si="0"/>
        <v>564867.61</v>
      </c>
      <c r="G14" s="14">
        <f t="shared" si="1"/>
        <v>108573.53000000003</v>
      </c>
      <c r="H14" s="14">
        <f t="shared" si="2"/>
        <v>316377.61</v>
      </c>
      <c r="I14" s="3">
        <v>0.21</v>
      </c>
      <c r="J14" s="3">
        <v>0.05</v>
      </c>
      <c r="K14" s="51">
        <f t="shared" si="3"/>
        <v>18360.706395000005</v>
      </c>
      <c r="L14" s="9">
        <f t="shared" si="4"/>
        <v>15818.880499999999</v>
      </c>
      <c r="M14" s="15">
        <f t="shared" si="5"/>
        <v>10982486.934475001</v>
      </c>
      <c r="N14" s="9">
        <v>0</v>
      </c>
      <c r="Q14" s="12"/>
      <c r="R14" s="23"/>
    </row>
    <row r="15" spans="1:18" x14ac:dyDescent="0.2">
      <c r="A15" s="32">
        <v>44774</v>
      </c>
      <c r="C15" s="12">
        <v>111441953</v>
      </c>
      <c r="D15" s="13">
        <v>248490.49</v>
      </c>
      <c r="E15" s="40">
        <f t="shared" si="6"/>
        <v>357063.53</v>
      </c>
      <c r="F15" s="35">
        <f t="shared" si="0"/>
        <v>564867.61</v>
      </c>
      <c r="G15" s="14">
        <f t="shared" si="1"/>
        <v>108573.04000000004</v>
      </c>
      <c r="H15" s="14">
        <f t="shared" si="2"/>
        <v>316377.12</v>
      </c>
      <c r="I15" s="3">
        <v>0.21</v>
      </c>
      <c r="J15" s="3">
        <v>0.05</v>
      </c>
      <c r="K15" s="51">
        <f t="shared" si="3"/>
        <v>18360.608640000009</v>
      </c>
      <c r="L15" s="9">
        <f t="shared" si="4"/>
        <v>15818.856</v>
      </c>
      <c r="M15" s="15">
        <f t="shared" si="5"/>
        <v>11016666.399115002</v>
      </c>
      <c r="N15" s="9">
        <v>0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39" t="s">
        <v>41</v>
      </c>
      <c r="D17" s="40"/>
      <c r="E17" s="40"/>
      <c r="F17" s="40"/>
      <c r="G17" s="41"/>
      <c r="H17" s="41"/>
      <c r="I17" s="41"/>
      <c r="J17" s="39"/>
      <c r="K17" s="39"/>
      <c r="L17" s="3"/>
      <c r="M17" s="3"/>
      <c r="N17" s="9"/>
      <c r="O17" s="15"/>
      <c r="P17" s="9"/>
    </row>
    <row r="18" spans="1:16" x14ac:dyDescent="0.2">
      <c r="A18" s="16"/>
      <c r="C18" s="39"/>
      <c r="D18" s="40"/>
      <c r="E18" s="40"/>
      <c r="F18" s="40"/>
      <c r="G18" s="41"/>
      <c r="H18" s="41"/>
      <c r="I18" s="41"/>
      <c r="J18" s="39"/>
      <c r="K18" s="39"/>
      <c r="L18" s="3"/>
      <c r="M18" s="3"/>
      <c r="N18" s="9"/>
      <c r="O18" s="15"/>
      <c r="P18" s="9"/>
    </row>
    <row r="19" spans="1:16" x14ac:dyDescent="0.2">
      <c r="C19" s="48" t="s">
        <v>29</v>
      </c>
      <c r="D19" s="44"/>
      <c r="E19" s="44"/>
      <c r="F19" s="44"/>
      <c r="G19" s="45"/>
      <c r="H19" s="45"/>
      <c r="I19" s="36"/>
      <c r="J19" s="36"/>
      <c r="K19" s="36"/>
    </row>
    <row r="20" spans="1:16" x14ac:dyDescent="0.2">
      <c r="C20" s="48" t="s">
        <v>22</v>
      </c>
      <c r="D20" s="44"/>
      <c r="E20" s="44"/>
      <c r="F20" s="44"/>
      <c r="G20" s="45"/>
      <c r="H20" s="45"/>
      <c r="I20" s="36"/>
      <c r="J20" s="36"/>
      <c r="K20" s="36"/>
    </row>
    <row r="21" spans="1:16" x14ac:dyDescent="0.2">
      <c r="C21" s="48" t="s">
        <v>44</v>
      </c>
      <c r="D21" s="44"/>
      <c r="E21" s="44"/>
      <c r="F21" s="44"/>
      <c r="G21" s="45"/>
      <c r="H21" s="45"/>
      <c r="I21" s="36"/>
      <c r="J21" s="36"/>
      <c r="K21" s="36"/>
    </row>
    <row r="22" spans="1:16" x14ac:dyDescent="0.2">
      <c r="C22" s="38" t="s">
        <v>23</v>
      </c>
      <c r="D22" s="44"/>
      <c r="E22" s="44"/>
      <c r="F22" s="44"/>
      <c r="G22" s="45"/>
      <c r="H22" s="45"/>
      <c r="I22" s="36"/>
      <c r="J22" s="36"/>
      <c r="K22" s="36"/>
    </row>
    <row r="23" spans="1:16" x14ac:dyDescent="0.2">
      <c r="C23" s="49"/>
      <c r="D23" s="44"/>
      <c r="E23" s="44"/>
      <c r="F23" s="44"/>
      <c r="G23" s="44"/>
      <c r="H23" s="44"/>
      <c r="I23" s="36"/>
      <c r="J23" s="36"/>
      <c r="K23" s="36"/>
    </row>
    <row r="24" spans="1:16" x14ac:dyDescent="0.2">
      <c r="C24" s="38" t="s">
        <v>24</v>
      </c>
      <c r="D24" s="46" t="s">
        <v>25</v>
      </c>
      <c r="E24" s="45" t="s">
        <v>26</v>
      </c>
      <c r="F24" s="38" t="s">
        <v>27</v>
      </c>
      <c r="G24" s="37" t="s">
        <v>18</v>
      </c>
      <c r="H24" s="38" t="s">
        <v>28</v>
      </c>
      <c r="I24" s="36"/>
      <c r="J24" s="36"/>
      <c r="K24" s="36"/>
    </row>
    <row r="25" spans="1:16" x14ac:dyDescent="0.2">
      <c r="C25" s="39">
        <v>2033858.4350000001</v>
      </c>
      <c r="D25" s="39">
        <v>248490</v>
      </c>
      <c r="E25" s="39">
        <v>7664.26</v>
      </c>
      <c r="F25" s="39">
        <f>-D25+E25</f>
        <v>-240825.74</v>
      </c>
      <c r="G25" s="37">
        <v>0.21</v>
      </c>
      <c r="H25" s="39">
        <f>F25*G25</f>
        <v>-50573.405399999996</v>
      </c>
      <c r="I25" s="36"/>
      <c r="J25" s="36"/>
      <c r="K25" s="36"/>
    </row>
    <row r="26" spans="1:16" x14ac:dyDescent="0.2">
      <c r="C26" s="39">
        <v>4041284</v>
      </c>
      <c r="D26" s="39"/>
      <c r="E26" s="39">
        <v>17798.490000000002</v>
      </c>
      <c r="F26" s="39">
        <f>E26</f>
        <v>17798.490000000002</v>
      </c>
      <c r="G26" s="37">
        <v>0.21</v>
      </c>
      <c r="H26" s="39">
        <f t="shared" ref="H26:H32" si="7">F26*G26</f>
        <v>3737.6829000000002</v>
      </c>
      <c r="I26" s="36"/>
      <c r="J26" s="36"/>
      <c r="K26" s="36"/>
    </row>
    <row r="27" spans="1:16" x14ac:dyDescent="0.2">
      <c r="C27" s="39">
        <v>199697</v>
      </c>
      <c r="D27" s="39"/>
      <c r="E27" s="39">
        <v>950.72</v>
      </c>
      <c r="F27" s="39">
        <f t="shared" ref="F27:F32" si="8">E27</f>
        <v>950.72</v>
      </c>
      <c r="G27" s="37">
        <v>0.21</v>
      </c>
      <c r="H27" s="39">
        <f t="shared" si="7"/>
        <v>199.65119999999999</v>
      </c>
      <c r="I27" s="36"/>
      <c r="J27" s="36"/>
      <c r="K27" s="36"/>
    </row>
    <row r="28" spans="1:16" x14ac:dyDescent="0.2">
      <c r="C28" s="39">
        <v>39689535</v>
      </c>
      <c r="D28" s="39"/>
      <c r="E28" s="39">
        <v>204301.88</v>
      </c>
      <c r="F28" s="39">
        <f t="shared" si="8"/>
        <v>204301.88</v>
      </c>
      <c r="G28" s="37">
        <v>0.21</v>
      </c>
      <c r="H28" s="39">
        <f t="shared" si="7"/>
        <v>42903.394800000002</v>
      </c>
      <c r="I28" s="36"/>
      <c r="J28" s="36"/>
      <c r="K28" s="36"/>
    </row>
    <row r="29" spans="1:16" x14ac:dyDescent="0.2">
      <c r="C29" s="39">
        <v>226548</v>
      </c>
      <c r="D29" s="39"/>
      <c r="E29" s="39">
        <v>1166.1600000000001</v>
      </c>
      <c r="F29" s="39">
        <f t="shared" si="8"/>
        <v>1166.1600000000001</v>
      </c>
      <c r="G29" s="37">
        <v>0.21</v>
      </c>
      <c r="H29" s="39">
        <f t="shared" si="7"/>
        <v>244.89360000000002</v>
      </c>
      <c r="I29" s="36"/>
      <c r="J29" s="36"/>
      <c r="K29" s="36"/>
    </row>
    <row r="30" spans="1:16" x14ac:dyDescent="0.2">
      <c r="C30" s="39">
        <v>19943355</v>
      </c>
      <c r="D30" s="39"/>
      <c r="E30" s="39">
        <v>110968.15</v>
      </c>
      <c r="F30" s="39">
        <f t="shared" si="8"/>
        <v>110968.15</v>
      </c>
      <c r="G30" s="37">
        <v>0.21</v>
      </c>
      <c r="H30" s="39">
        <f t="shared" si="7"/>
        <v>23303.311499999996</v>
      </c>
      <c r="I30" s="42"/>
      <c r="J30" s="36"/>
      <c r="K30" s="36"/>
    </row>
    <row r="31" spans="1:16" x14ac:dyDescent="0.2">
      <c r="C31" s="39">
        <v>1516.95</v>
      </c>
      <c r="D31" s="39"/>
      <c r="E31" s="39">
        <v>8.44</v>
      </c>
      <c r="F31" s="39">
        <f t="shared" si="8"/>
        <v>8.44</v>
      </c>
      <c r="G31" s="37">
        <v>0.21</v>
      </c>
      <c r="H31" s="39">
        <f t="shared" si="7"/>
        <v>1.7723999999999998</v>
      </c>
      <c r="I31" s="36"/>
      <c r="J31" s="36"/>
      <c r="K31" s="36"/>
    </row>
    <row r="32" spans="1:16" ht="15" x14ac:dyDescent="0.35">
      <c r="C32" s="39">
        <v>2553020.2999999998</v>
      </c>
      <c r="D32" s="39"/>
      <c r="E32" s="43">
        <v>14205.43</v>
      </c>
      <c r="F32" s="43">
        <f t="shared" si="8"/>
        <v>14205.43</v>
      </c>
      <c r="G32" s="37">
        <v>0.21</v>
      </c>
      <c r="H32" s="43">
        <f t="shared" si="7"/>
        <v>2983.1403</v>
      </c>
      <c r="I32" s="36"/>
      <c r="J32" s="36"/>
      <c r="K32" s="36"/>
    </row>
    <row r="33" spans="3:9" x14ac:dyDescent="0.2">
      <c r="C33" s="39"/>
      <c r="D33" s="39"/>
      <c r="E33" s="39">
        <f>SUM(E25:E32)</f>
        <v>357063.53</v>
      </c>
      <c r="F33" s="39">
        <f>SUM(F25:F32)</f>
        <v>108573.53</v>
      </c>
      <c r="G33" s="47" t="s">
        <v>42</v>
      </c>
      <c r="H33" s="39">
        <f>SUM(H25:H32)</f>
        <v>22800.441300000002</v>
      </c>
      <c r="I33" s="36"/>
    </row>
    <row r="34" spans="3:9" ht="15" x14ac:dyDescent="0.35">
      <c r="C34" s="36"/>
      <c r="D34" s="36"/>
      <c r="E34" s="38"/>
      <c r="F34" s="38"/>
      <c r="G34" s="42" t="s">
        <v>34</v>
      </c>
      <c r="H34" s="43">
        <f>-H46*0.21</f>
        <v>-3321.9649050000007</v>
      </c>
      <c r="I34" s="36"/>
    </row>
    <row r="35" spans="3:9" x14ac:dyDescent="0.2">
      <c r="C35" s="36"/>
      <c r="D35" s="36"/>
      <c r="E35" s="36"/>
      <c r="F35" s="36"/>
      <c r="G35" s="36"/>
      <c r="H35" s="39">
        <f>H33+H34</f>
        <v>19478.476395000002</v>
      </c>
      <c r="I35" s="36"/>
    </row>
    <row r="36" spans="3:9" x14ac:dyDescent="0.2">
      <c r="C36" s="36"/>
      <c r="D36" s="36"/>
      <c r="E36" s="36"/>
      <c r="F36" s="36"/>
      <c r="G36" s="36"/>
      <c r="H36" s="39">
        <f>H35-K15</f>
        <v>1117.867754999992</v>
      </c>
      <c r="I36" s="42" t="s">
        <v>43</v>
      </c>
    </row>
    <row r="37" spans="3:9" x14ac:dyDescent="0.2">
      <c r="C37" s="38" t="s">
        <v>30</v>
      </c>
      <c r="D37" s="44" t="s">
        <v>25</v>
      </c>
      <c r="E37" s="45" t="s">
        <v>31</v>
      </c>
      <c r="F37" s="38" t="s">
        <v>32</v>
      </c>
      <c r="G37" s="37" t="s">
        <v>19</v>
      </c>
      <c r="H37" s="38" t="s">
        <v>33</v>
      </c>
      <c r="I37" s="36"/>
    </row>
    <row r="38" spans="3:9" x14ac:dyDescent="0.2">
      <c r="C38" s="39">
        <v>4067716.87</v>
      </c>
      <c r="D38" s="39">
        <v>248490</v>
      </c>
      <c r="E38" s="39">
        <v>15328.51</v>
      </c>
      <c r="F38" s="39">
        <f>-D38+E38</f>
        <v>-233161.49</v>
      </c>
      <c r="G38" s="37">
        <v>0.05</v>
      </c>
      <c r="H38" s="39">
        <f>F38*G38</f>
        <v>-11658.074500000001</v>
      </c>
      <c r="I38" s="36"/>
    </row>
    <row r="39" spans="3:9" x14ac:dyDescent="0.2">
      <c r="C39" s="39">
        <v>8082569</v>
      </c>
      <c r="D39" s="39"/>
      <c r="E39" s="39">
        <v>35596.980000000003</v>
      </c>
      <c r="F39" s="39">
        <f>E39</f>
        <v>35596.980000000003</v>
      </c>
      <c r="G39" s="37">
        <v>0.05</v>
      </c>
      <c r="H39" s="39">
        <f t="shared" ref="H39:H45" si="9">F39*G39</f>
        <v>1779.8490000000002</v>
      </c>
      <c r="I39" s="36"/>
    </row>
    <row r="40" spans="3:9" x14ac:dyDescent="0.2">
      <c r="C40" s="39">
        <v>199697</v>
      </c>
      <c r="D40" s="39"/>
      <c r="E40" s="39">
        <v>950.72</v>
      </c>
      <c r="F40" s="39">
        <f t="shared" ref="F40:F45" si="10">E40</f>
        <v>950.72</v>
      </c>
      <c r="G40" s="37">
        <v>0.05</v>
      </c>
      <c r="H40" s="39">
        <f t="shared" si="9"/>
        <v>47.536000000000001</v>
      </c>
      <c r="I40" s="36"/>
    </row>
    <row r="41" spans="3:9" x14ac:dyDescent="0.2">
      <c r="C41" s="39">
        <v>66149226</v>
      </c>
      <c r="D41" s="39"/>
      <c r="E41" s="39">
        <v>340503.14</v>
      </c>
      <c r="F41" s="39">
        <f t="shared" si="10"/>
        <v>340503.14</v>
      </c>
      <c r="G41" s="37">
        <v>0.05</v>
      </c>
      <c r="H41" s="39">
        <f t="shared" si="9"/>
        <v>17025.157000000003</v>
      </c>
      <c r="I41" s="36"/>
    </row>
    <row r="42" spans="3:9" x14ac:dyDescent="0.2">
      <c r="C42" s="39">
        <v>226548</v>
      </c>
      <c r="D42" s="39"/>
      <c r="E42" s="39">
        <v>1166.1600000000001</v>
      </c>
      <c r="F42" s="39">
        <f t="shared" si="10"/>
        <v>1166.1600000000001</v>
      </c>
      <c r="G42" s="37">
        <v>0.05</v>
      </c>
      <c r="H42" s="39">
        <f t="shared" si="9"/>
        <v>58.308000000000007</v>
      </c>
      <c r="I42" s="36"/>
    </row>
    <row r="43" spans="3:9" x14ac:dyDescent="0.2">
      <c r="C43" s="39">
        <v>28235715</v>
      </c>
      <c r="D43" s="36"/>
      <c r="E43" s="39">
        <v>157108.23000000001</v>
      </c>
      <c r="F43" s="39">
        <f t="shared" si="10"/>
        <v>157108.23000000001</v>
      </c>
      <c r="G43" s="37">
        <v>0.05</v>
      </c>
      <c r="H43" s="39">
        <f t="shared" si="9"/>
        <v>7855.4115000000011</v>
      </c>
      <c r="I43" s="36"/>
    </row>
    <row r="44" spans="3:9" x14ac:dyDescent="0.2">
      <c r="C44" s="39">
        <v>1516.95</v>
      </c>
      <c r="D44" s="36"/>
      <c r="E44" s="39">
        <v>8.44</v>
      </c>
      <c r="F44" s="39">
        <f t="shared" si="10"/>
        <v>8.44</v>
      </c>
      <c r="G44" s="37">
        <v>0.05</v>
      </c>
      <c r="H44" s="39">
        <f t="shared" si="9"/>
        <v>0.42199999999999999</v>
      </c>
      <c r="I44" s="36"/>
    </row>
    <row r="45" spans="3:9" ht="15" x14ac:dyDescent="0.35">
      <c r="C45" s="39">
        <v>2553020.2999999998</v>
      </c>
      <c r="D45" s="36"/>
      <c r="E45" s="43">
        <v>14205.43</v>
      </c>
      <c r="F45" s="43">
        <f t="shared" si="10"/>
        <v>14205.43</v>
      </c>
      <c r="G45" s="37">
        <v>0.05</v>
      </c>
      <c r="H45" s="43">
        <f t="shared" si="9"/>
        <v>710.27150000000006</v>
      </c>
      <c r="I45" s="36"/>
    </row>
    <row r="46" spans="3:9" x14ac:dyDescent="0.2">
      <c r="C46" s="36"/>
      <c r="D46" s="36"/>
      <c r="E46" s="38">
        <f>SUM(E38:E45)</f>
        <v>564867.61</v>
      </c>
      <c r="F46" s="38">
        <f>SUM(F38:F45)</f>
        <v>316377.61000000004</v>
      </c>
      <c r="G46" s="36"/>
      <c r="H46" s="38">
        <f>SUM(H38:H45)</f>
        <v>15818.880500000005</v>
      </c>
      <c r="I46" s="36"/>
    </row>
    <row r="47" spans="3:9" x14ac:dyDescent="0.2">
      <c r="C47" s="36"/>
      <c r="D47" s="36"/>
      <c r="E47" s="36"/>
      <c r="F47" s="36"/>
      <c r="G47" s="36"/>
      <c r="H47" s="38">
        <f>H46-L15</f>
        <v>2.4500000004991307E-2</v>
      </c>
      <c r="I47" s="36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1 of 5
Clements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R39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7109375" customWidth="1"/>
    <col min="4" max="4" width="12.7109375" customWidth="1"/>
    <col min="5" max="5" width="16.42578125" customWidth="1"/>
    <col min="6" max="6" width="15" customWidth="1"/>
    <col min="7" max="16" width="12.7109375" customWidth="1"/>
    <col min="17" max="17" width="9.28515625" bestFit="1" customWidth="1"/>
  </cols>
  <sheetData>
    <row r="1" spans="1:18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x14ac:dyDescent="0.2">
      <c r="A5" s="6" t="s">
        <v>9</v>
      </c>
    </row>
    <row r="6" spans="1:18" x14ac:dyDescent="0.2">
      <c r="A6" s="18" t="s">
        <v>10</v>
      </c>
    </row>
    <row r="8" spans="1:18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5</v>
      </c>
      <c r="N8" s="2" t="s">
        <v>4</v>
      </c>
    </row>
    <row r="9" spans="1:18" x14ac:dyDescent="0.2">
      <c r="A9" s="8" t="s">
        <v>8</v>
      </c>
      <c r="M9" s="10">
        <v>1419814</v>
      </c>
    </row>
    <row r="10" spans="1:18" x14ac:dyDescent="0.2">
      <c r="A10" s="32">
        <v>44629</v>
      </c>
      <c r="C10" s="12">
        <v>7413755</v>
      </c>
      <c r="D10" s="13">
        <v>21906</v>
      </c>
      <c r="E10" s="35">
        <f>14761.14</f>
        <v>14761.14</v>
      </c>
      <c r="F10" s="35">
        <f>29522.28</f>
        <v>29522.28</v>
      </c>
      <c r="G10" s="14">
        <f t="shared" ref="G10:G15" si="0">E10-D10</f>
        <v>-7144.8600000000006</v>
      </c>
      <c r="H10" s="14">
        <f t="shared" ref="H10:H15" si="1">F10-D10</f>
        <v>7616.2799999999988</v>
      </c>
      <c r="I10" s="3">
        <v>0.21</v>
      </c>
      <c r="J10" s="3">
        <v>0.05</v>
      </c>
      <c r="K10" s="9">
        <f t="shared" ref="K10:K15" si="2">G10*I10-L10*I10-969.15</f>
        <v>-2549.5415400000002</v>
      </c>
      <c r="L10" s="9">
        <f t="shared" ref="L10:L15" si="3">H10*J10</f>
        <v>380.81399999999996</v>
      </c>
      <c r="M10" s="15">
        <f t="shared" ref="M10:M15" si="4">M9+K10+L10</f>
        <v>1417645.2724600001</v>
      </c>
      <c r="N10" s="9">
        <v>0</v>
      </c>
      <c r="O10" s="33"/>
      <c r="Q10" s="9"/>
      <c r="R10" s="23"/>
    </row>
    <row r="11" spans="1:18" x14ac:dyDescent="0.2">
      <c r="A11" s="32">
        <v>44652</v>
      </c>
      <c r="C11" s="12">
        <v>7413755</v>
      </c>
      <c r="D11" s="13">
        <v>21906</v>
      </c>
      <c r="E11" s="40">
        <f>14761.14</f>
        <v>14761.14</v>
      </c>
      <c r="F11" s="35">
        <f>29522.28</f>
        <v>29522.28</v>
      </c>
      <c r="G11" s="14">
        <f t="shared" si="0"/>
        <v>-7144.8600000000006</v>
      </c>
      <c r="H11" s="14">
        <f t="shared" si="1"/>
        <v>7616.2799999999988</v>
      </c>
      <c r="I11" s="3">
        <v>0.21</v>
      </c>
      <c r="J11" s="3">
        <v>0.05</v>
      </c>
      <c r="K11" s="38">
        <f t="shared" si="2"/>
        <v>-2549.5415400000002</v>
      </c>
      <c r="L11" s="9">
        <f t="shared" si="3"/>
        <v>380.81399999999996</v>
      </c>
      <c r="M11" s="15">
        <f t="shared" si="4"/>
        <v>1415476.5449200002</v>
      </c>
      <c r="N11" s="9">
        <v>0</v>
      </c>
      <c r="O11" s="33"/>
      <c r="Q11" s="9"/>
      <c r="R11" s="23"/>
    </row>
    <row r="12" spans="1:18" x14ac:dyDescent="0.2">
      <c r="A12" s="32">
        <v>44682</v>
      </c>
      <c r="C12" s="12">
        <v>7413755</v>
      </c>
      <c r="D12" s="13">
        <v>21906</v>
      </c>
      <c r="E12" s="40">
        <f>14761.14</f>
        <v>14761.14</v>
      </c>
      <c r="F12" s="35">
        <f>29522.028</f>
        <v>29522.027999999998</v>
      </c>
      <c r="G12" s="14">
        <f t="shared" si="0"/>
        <v>-7144.8600000000006</v>
      </c>
      <c r="H12" s="14">
        <f t="shared" si="1"/>
        <v>7616.0279999999984</v>
      </c>
      <c r="I12" s="3">
        <v>0.21</v>
      </c>
      <c r="J12" s="3">
        <v>0.05</v>
      </c>
      <c r="K12" s="38">
        <f t="shared" si="2"/>
        <v>-2549.5388940000003</v>
      </c>
      <c r="L12" s="9">
        <f t="shared" si="3"/>
        <v>380.80139999999994</v>
      </c>
      <c r="M12" s="15">
        <f t="shared" si="4"/>
        <v>1413307.8074260002</v>
      </c>
      <c r="N12" s="9">
        <v>0</v>
      </c>
      <c r="R12" s="23"/>
    </row>
    <row r="13" spans="1:18" x14ac:dyDescent="0.2">
      <c r="A13" s="32">
        <v>44713</v>
      </c>
      <c r="C13" s="12">
        <v>7413755</v>
      </c>
      <c r="D13" s="13">
        <v>21906</v>
      </c>
      <c r="E13" s="40">
        <f>14761.14</f>
        <v>14761.14</v>
      </c>
      <c r="F13" s="35">
        <f>29522.28</f>
        <v>29522.28</v>
      </c>
      <c r="G13" s="14">
        <f t="shared" si="0"/>
        <v>-7144.8600000000006</v>
      </c>
      <c r="H13" s="14">
        <f t="shared" si="1"/>
        <v>7616.2799999999988</v>
      </c>
      <c r="I13" s="3">
        <v>0.21</v>
      </c>
      <c r="J13" s="3">
        <v>0.05</v>
      </c>
      <c r="K13" s="38">
        <f t="shared" si="2"/>
        <v>-2549.5415400000002</v>
      </c>
      <c r="L13" s="9">
        <f t="shared" si="3"/>
        <v>380.81399999999996</v>
      </c>
      <c r="M13" s="15">
        <f t="shared" si="4"/>
        <v>1411139.0798860004</v>
      </c>
      <c r="N13" s="9">
        <v>0</v>
      </c>
      <c r="R13" s="23"/>
    </row>
    <row r="14" spans="1:18" x14ac:dyDescent="0.2">
      <c r="A14" s="32">
        <v>44743</v>
      </c>
      <c r="C14" s="12">
        <v>7413755</v>
      </c>
      <c r="D14" s="13">
        <v>21905.5</v>
      </c>
      <c r="E14" s="40">
        <f>14761.49</f>
        <v>14761.49</v>
      </c>
      <c r="F14" s="35">
        <f>29522.28</f>
        <v>29522.28</v>
      </c>
      <c r="G14" s="14">
        <f t="shared" si="0"/>
        <v>-7144.01</v>
      </c>
      <c r="H14" s="14">
        <f t="shared" si="1"/>
        <v>7616.7799999999988</v>
      </c>
      <c r="I14" s="3">
        <v>0.21</v>
      </c>
      <c r="J14" s="3">
        <v>0.05</v>
      </c>
      <c r="K14" s="38">
        <f t="shared" si="2"/>
        <v>-2549.3682899999999</v>
      </c>
      <c r="L14" s="9">
        <f t="shared" si="3"/>
        <v>380.83899999999994</v>
      </c>
      <c r="M14" s="15">
        <f t="shared" si="4"/>
        <v>1408970.5505960004</v>
      </c>
      <c r="N14" s="9">
        <v>0</v>
      </c>
      <c r="R14" s="23"/>
    </row>
    <row r="15" spans="1:18" x14ac:dyDescent="0.2">
      <c r="A15" s="32">
        <v>44774</v>
      </c>
      <c r="C15" s="12">
        <v>7413755</v>
      </c>
      <c r="D15" s="13">
        <v>21906</v>
      </c>
      <c r="E15" s="40">
        <f>14761.14</f>
        <v>14761.14</v>
      </c>
      <c r="F15" s="35">
        <f>29522.28</f>
        <v>29522.28</v>
      </c>
      <c r="G15" s="14">
        <f t="shared" si="0"/>
        <v>-7144.8600000000006</v>
      </c>
      <c r="H15" s="14">
        <f t="shared" si="1"/>
        <v>7616.2799999999988</v>
      </c>
      <c r="I15" s="3">
        <v>0.21</v>
      </c>
      <c r="J15" s="3">
        <v>0.05</v>
      </c>
      <c r="K15" s="38">
        <f t="shared" si="2"/>
        <v>-2549.5415400000002</v>
      </c>
      <c r="L15" s="9">
        <f t="shared" si="3"/>
        <v>380.81399999999996</v>
      </c>
      <c r="M15" s="15">
        <f t="shared" si="4"/>
        <v>1406801.8230560005</v>
      </c>
      <c r="N15" s="9">
        <v>0</v>
      </c>
      <c r="R15" s="23"/>
    </row>
    <row r="16" spans="1:18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58" t="s">
        <v>41</v>
      </c>
      <c r="D17" s="60"/>
      <c r="E17" s="60"/>
      <c r="F17" s="60"/>
      <c r="G17" s="52"/>
      <c r="H17" s="52"/>
      <c r="I17" s="52"/>
      <c r="J17" s="59"/>
      <c r="K17" s="59"/>
      <c r="L17" s="3"/>
      <c r="M17" s="3"/>
      <c r="N17" s="9"/>
      <c r="O17" s="15"/>
      <c r="P17" s="9"/>
    </row>
    <row r="18" spans="1:16" x14ac:dyDescent="0.2">
      <c r="A18" s="16"/>
      <c r="C18" s="59"/>
      <c r="D18" s="60"/>
      <c r="E18" s="60"/>
      <c r="F18" s="60"/>
      <c r="G18" s="52"/>
      <c r="H18" s="52"/>
      <c r="I18" s="52"/>
      <c r="J18" s="59"/>
      <c r="K18" s="59"/>
      <c r="L18" s="3"/>
      <c r="M18" s="3"/>
      <c r="N18" s="9"/>
      <c r="O18" s="15"/>
      <c r="P18" s="9"/>
    </row>
    <row r="19" spans="1:16" x14ac:dyDescent="0.2">
      <c r="C19" s="64" t="s">
        <v>35</v>
      </c>
      <c r="D19" s="53"/>
      <c r="E19" s="53"/>
      <c r="F19" s="53"/>
      <c r="G19" s="54"/>
      <c r="H19" s="54"/>
      <c r="I19" s="56"/>
      <c r="J19" s="56"/>
      <c r="K19" s="56"/>
    </row>
    <row r="20" spans="1:16" x14ac:dyDescent="0.2">
      <c r="C20" s="64" t="s">
        <v>22</v>
      </c>
      <c r="D20" s="53"/>
      <c r="E20" s="53"/>
      <c r="F20" s="53"/>
      <c r="G20" s="54"/>
      <c r="H20" s="54"/>
      <c r="I20" s="56"/>
      <c r="J20" s="56"/>
      <c r="K20" s="56"/>
    </row>
    <row r="21" spans="1:16" x14ac:dyDescent="0.2">
      <c r="C21" s="64" t="s">
        <v>44</v>
      </c>
      <c r="D21" s="53"/>
      <c r="E21" s="53"/>
      <c r="F21" s="53"/>
      <c r="G21" s="54"/>
      <c r="H21" s="54"/>
      <c r="I21" s="56"/>
      <c r="J21" s="56"/>
      <c r="K21" s="56"/>
    </row>
    <row r="22" spans="1:16" x14ac:dyDescent="0.2">
      <c r="C22" s="58" t="s">
        <v>23</v>
      </c>
      <c r="D22" s="53"/>
      <c r="E22" s="53"/>
      <c r="F22" s="53"/>
      <c r="G22" s="54"/>
      <c r="H22" s="54"/>
      <c r="I22" s="56"/>
      <c r="J22" s="56"/>
      <c r="K22" s="56"/>
    </row>
    <row r="23" spans="1:16" x14ac:dyDescent="0.2">
      <c r="C23" s="65"/>
      <c r="D23" s="53"/>
      <c r="E23" s="53"/>
      <c r="F23" s="53"/>
      <c r="G23" s="53"/>
      <c r="H23" s="53"/>
      <c r="I23" s="56"/>
      <c r="J23" s="56"/>
      <c r="K23" s="56"/>
    </row>
    <row r="24" spans="1:16" x14ac:dyDescent="0.2">
      <c r="C24" s="58" t="s">
        <v>24</v>
      </c>
      <c r="D24" s="55" t="s">
        <v>25</v>
      </c>
      <c r="E24" s="54" t="s">
        <v>26</v>
      </c>
      <c r="F24" s="58" t="s">
        <v>27</v>
      </c>
      <c r="G24" s="57" t="s">
        <v>18</v>
      </c>
      <c r="H24" s="58" t="s">
        <v>28</v>
      </c>
      <c r="I24" s="56"/>
      <c r="J24" s="56"/>
      <c r="K24" s="56"/>
    </row>
    <row r="25" spans="1:16" x14ac:dyDescent="0.2">
      <c r="C25" s="59">
        <v>2318136</v>
      </c>
      <c r="D25" s="59">
        <v>21906</v>
      </c>
      <c r="E25" s="59">
        <v>8619.6</v>
      </c>
      <c r="F25" s="59">
        <f>-D25+E25</f>
        <v>-13286.4</v>
      </c>
      <c r="G25" s="57">
        <v>0.21</v>
      </c>
      <c r="H25" s="59">
        <f>F25*G25</f>
        <v>-2790.1439999999998</v>
      </c>
      <c r="I25" s="56"/>
      <c r="J25" s="56"/>
      <c r="K25" s="56"/>
    </row>
    <row r="26" spans="1:16" x14ac:dyDescent="0.2">
      <c r="C26" s="59">
        <v>-39771</v>
      </c>
      <c r="D26" s="59"/>
      <c r="E26" s="59">
        <v>-149.87</v>
      </c>
      <c r="F26" s="59">
        <f>E26</f>
        <v>-149.87</v>
      </c>
      <c r="G26" s="57">
        <v>0.21</v>
      </c>
      <c r="H26" s="59">
        <f t="shared" ref="H26:H28" si="5">F26*G26</f>
        <v>-31.4727</v>
      </c>
      <c r="I26" s="56"/>
      <c r="J26" s="56"/>
      <c r="K26" s="56"/>
    </row>
    <row r="27" spans="1:16" x14ac:dyDescent="0.2">
      <c r="C27" s="59">
        <v>1088793</v>
      </c>
      <c r="D27" s="59"/>
      <c r="E27" s="59">
        <v>4795.2299999999996</v>
      </c>
      <c r="F27" s="59">
        <f t="shared" ref="F27:F28" si="6">E27</f>
        <v>4795.2299999999996</v>
      </c>
      <c r="G27" s="57">
        <v>0.21</v>
      </c>
      <c r="H27" s="59">
        <f t="shared" si="5"/>
        <v>1006.9982999999999</v>
      </c>
      <c r="I27" s="56"/>
      <c r="J27" s="56"/>
      <c r="K27" s="56"/>
    </row>
    <row r="28" spans="1:16" ht="15" x14ac:dyDescent="0.35">
      <c r="C28" s="59">
        <v>339720</v>
      </c>
      <c r="D28" s="59"/>
      <c r="E28" s="62">
        <v>1496.18</v>
      </c>
      <c r="F28" s="62">
        <f t="shared" si="6"/>
        <v>1496.18</v>
      </c>
      <c r="G28" s="57">
        <v>0.21</v>
      </c>
      <c r="H28" s="62">
        <f t="shared" si="5"/>
        <v>314.19780000000003</v>
      </c>
      <c r="I28" s="56"/>
      <c r="J28" s="56"/>
      <c r="K28" s="56"/>
    </row>
    <row r="29" spans="1:16" x14ac:dyDescent="0.2">
      <c r="C29" s="59"/>
      <c r="D29" s="59"/>
      <c r="E29" s="59">
        <f>SUM(E25:E28)</f>
        <v>14761.14</v>
      </c>
      <c r="F29" s="59">
        <f>SUM(F25:F28)</f>
        <v>-7144.8600000000006</v>
      </c>
      <c r="G29" s="63" t="s">
        <v>42</v>
      </c>
      <c r="H29" s="59">
        <f>SUM(H25:H28)</f>
        <v>-1500.4205999999999</v>
      </c>
      <c r="I29" s="56"/>
      <c r="J29" s="56"/>
      <c r="K29" s="56"/>
    </row>
    <row r="30" spans="1:16" ht="15" x14ac:dyDescent="0.35">
      <c r="C30" s="56"/>
      <c r="D30" s="56"/>
      <c r="E30" s="58"/>
      <c r="F30" s="58"/>
      <c r="G30" s="61" t="s">
        <v>34</v>
      </c>
      <c r="H30" s="62">
        <f>-H38*0.21</f>
        <v>-79.970835000000022</v>
      </c>
      <c r="I30" s="56"/>
      <c r="J30" s="56"/>
      <c r="K30" s="56"/>
    </row>
    <row r="31" spans="1:16" x14ac:dyDescent="0.2">
      <c r="C31" s="56"/>
      <c r="D31" s="56"/>
      <c r="E31" s="56"/>
      <c r="F31" s="56"/>
      <c r="G31" s="56"/>
      <c r="H31" s="58">
        <f>H29+H30</f>
        <v>-1580.391435</v>
      </c>
      <c r="I31" s="56"/>
      <c r="J31" s="56"/>
      <c r="K31" s="56"/>
    </row>
    <row r="32" spans="1:16" x14ac:dyDescent="0.2">
      <c r="C32" s="56"/>
      <c r="D32" s="56"/>
      <c r="E32" s="56"/>
      <c r="F32" s="56"/>
      <c r="G32" s="56"/>
      <c r="H32" s="58">
        <f>H31-K15</f>
        <v>969.15010500000017</v>
      </c>
      <c r="I32" s="61" t="s">
        <v>45</v>
      </c>
      <c r="J32" s="56"/>
      <c r="K32" s="56"/>
    </row>
    <row r="33" spans="3:8" x14ac:dyDescent="0.2">
      <c r="C33" s="58" t="s">
        <v>30</v>
      </c>
      <c r="D33" s="53" t="s">
        <v>25</v>
      </c>
      <c r="E33" s="54" t="s">
        <v>31</v>
      </c>
      <c r="F33" s="58" t="s">
        <v>32</v>
      </c>
      <c r="G33" s="57" t="s">
        <v>19</v>
      </c>
      <c r="H33" s="58" t="s">
        <v>33</v>
      </c>
    </row>
    <row r="34" spans="3:8" x14ac:dyDescent="0.2">
      <c r="C34" s="59">
        <v>4636272</v>
      </c>
      <c r="D34" s="59">
        <v>21906</v>
      </c>
      <c r="E34" s="59">
        <v>17239.2</v>
      </c>
      <c r="F34" s="59">
        <f>-D34+E34</f>
        <v>-4666.7999999999993</v>
      </c>
      <c r="G34" s="57">
        <v>0.05</v>
      </c>
      <c r="H34" s="59">
        <f>F34*G34</f>
        <v>-233.33999999999997</v>
      </c>
    </row>
    <row r="35" spans="3:8" x14ac:dyDescent="0.2">
      <c r="C35" s="59">
        <v>-79542</v>
      </c>
      <c r="D35" s="59"/>
      <c r="E35" s="59">
        <v>-299.74</v>
      </c>
      <c r="F35" s="59">
        <f>E35</f>
        <v>-299.74</v>
      </c>
      <c r="G35" s="57">
        <v>0.05</v>
      </c>
      <c r="H35" s="59">
        <f t="shared" ref="H35:H37" si="7">F35*G35</f>
        <v>-14.987000000000002</v>
      </c>
    </row>
    <row r="36" spans="3:8" x14ac:dyDescent="0.2">
      <c r="C36" s="59">
        <v>2177586</v>
      </c>
      <c r="D36" s="59"/>
      <c r="E36" s="59">
        <v>9590.4500000000007</v>
      </c>
      <c r="F36" s="59">
        <f t="shared" ref="F36:F37" si="8">E36</f>
        <v>9590.4500000000007</v>
      </c>
      <c r="G36" s="57">
        <v>0.05</v>
      </c>
      <c r="H36" s="59">
        <f t="shared" si="7"/>
        <v>479.52250000000004</v>
      </c>
    </row>
    <row r="37" spans="3:8" ht="15" x14ac:dyDescent="0.35">
      <c r="C37" s="59">
        <v>679439</v>
      </c>
      <c r="D37" s="59"/>
      <c r="E37" s="62">
        <v>2992.36</v>
      </c>
      <c r="F37" s="62">
        <f t="shared" si="8"/>
        <v>2992.36</v>
      </c>
      <c r="G37" s="57">
        <v>0.05</v>
      </c>
      <c r="H37" s="62">
        <f t="shared" si="7"/>
        <v>149.61800000000002</v>
      </c>
    </row>
    <row r="38" spans="3:8" x14ac:dyDescent="0.2">
      <c r="C38" s="56"/>
      <c r="D38" s="56"/>
      <c r="E38" s="58">
        <f>SUM(E34:E37)</f>
        <v>29522.27</v>
      </c>
      <c r="F38" s="58">
        <f>SUM(F34:F37)</f>
        <v>7616.2700000000023</v>
      </c>
      <c r="G38" s="56"/>
      <c r="H38" s="58">
        <f>SUM(H34:H37)</f>
        <v>380.81350000000009</v>
      </c>
    </row>
    <row r="39" spans="3:8" x14ac:dyDescent="0.2">
      <c r="C39" s="56"/>
      <c r="D39" s="56"/>
      <c r="E39" s="56"/>
      <c r="F39" s="56"/>
      <c r="G39" s="56"/>
      <c r="H39" s="58">
        <f>H38-L15</f>
        <v>-4.9999999987448973E-4</v>
      </c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2 of 5
Clements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5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16" width="12.7109375" customWidth="1"/>
    <col min="17" max="17" width="9.28515625" bestFit="1" customWidth="1"/>
  </cols>
  <sheetData>
    <row r="1" spans="1:17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7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x14ac:dyDescent="0.2">
      <c r="A5" s="6" t="s">
        <v>12</v>
      </c>
    </row>
    <row r="6" spans="1:17" x14ac:dyDescent="0.2">
      <c r="A6" s="22" t="s">
        <v>38</v>
      </c>
    </row>
    <row r="8" spans="1:17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5</v>
      </c>
      <c r="N8" s="2" t="s">
        <v>4</v>
      </c>
    </row>
    <row r="9" spans="1:17" x14ac:dyDescent="0.2">
      <c r="A9" s="8" t="s">
        <v>8</v>
      </c>
      <c r="M9" s="10">
        <v>22102438</v>
      </c>
    </row>
    <row r="10" spans="1:17" x14ac:dyDescent="0.2">
      <c r="A10" s="32">
        <v>44629</v>
      </c>
      <c r="C10" s="12">
        <v>228618614</v>
      </c>
      <c r="D10" s="13">
        <v>920827</v>
      </c>
      <c r="E10" s="10">
        <f t="shared" ref="E10:E15" si="0">1266542.22</f>
        <v>1266542.22</v>
      </c>
      <c r="F10" s="10">
        <f t="shared" ref="F10:F15" si="1">1930001.43</f>
        <v>1930001.43</v>
      </c>
      <c r="G10" s="12">
        <f t="shared" ref="G10:G15" si="2">E10-D10</f>
        <v>345715.22</v>
      </c>
      <c r="H10" s="12">
        <f t="shared" ref="H10:H15" si="3">F10-D10</f>
        <v>1009174.4299999999</v>
      </c>
      <c r="I10" s="3">
        <v>0.21</v>
      </c>
      <c r="J10" s="3">
        <v>0.05</v>
      </c>
      <c r="K10" s="9">
        <f t="shared" ref="K10:K15" si="4">G10*I10-L10*I10-1736.26</f>
        <v>60267.604684999991</v>
      </c>
      <c r="L10" s="9">
        <f t="shared" ref="L10:L15" si="5">H10*J10</f>
        <v>50458.7215</v>
      </c>
      <c r="M10" s="15">
        <f t="shared" ref="M10:M15" si="6">M9+K10+L10</f>
        <v>22213164.326185003</v>
      </c>
      <c r="N10" s="9">
        <v>0</v>
      </c>
      <c r="O10" s="33"/>
      <c r="Q10" s="23"/>
    </row>
    <row r="11" spans="1:17" x14ac:dyDescent="0.2">
      <c r="A11" s="32">
        <v>44652</v>
      </c>
      <c r="C11" s="12">
        <v>228618614</v>
      </c>
      <c r="D11" s="13">
        <v>920827</v>
      </c>
      <c r="E11" s="69">
        <f t="shared" si="0"/>
        <v>1266542.22</v>
      </c>
      <c r="F11" s="10">
        <f t="shared" si="1"/>
        <v>1930001.43</v>
      </c>
      <c r="G11" s="12">
        <f t="shared" si="2"/>
        <v>345715.22</v>
      </c>
      <c r="H11" s="12">
        <f t="shared" si="3"/>
        <v>1009174.4299999999</v>
      </c>
      <c r="I11" s="3">
        <v>0.21</v>
      </c>
      <c r="J11" s="3">
        <v>0.05</v>
      </c>
      <c r="K11" s="38">
        <f t="shared" si="4"/>
        <v>60267.604684999991</v>
      </c>
      <c r="L11" s="9">
        <f t="shared" si="5"/>
        <v>50458.7215</v>
      </c>
      <c r="M11" s="15">
        <f t="shared" si="6"/>
        <v>22323890.652370006</v>
      </c>
      <c r="N11" s="9">
        <v>0</v>
      </c>
      <c r="O11" s="33"/>
      <c r="Q11" s="9"/>
    </row>
    <row r="12" spans="1:17" x14ac:dyDescent="0.2">
      <c r="A12" s="32">
        <v>44682</v>
      </c>
      <c r="C12" s="12">
        <v>228618614</v>
      </c>
      <c r="D12" s="13">
        <v>920827</v>
      </c>
      <c r="E12" s="69">
        <f t="shared" si="0"/>
        <v>1266542.22</v>
      </c>
      <c r="F12" s="10">
        <f t="shared" si="1"/>
        <v>1930001.43</v>
      </c>
      <c r="G12" s="12">
        <f>E12-D12</f>
        <v>345715.22</v>
      </c>
      <c r="H12" s="12">
        <f>F12-D12</f>
        <v>1009174.4299999999</v>
      </c>
      <c r="I12" s="3">
        <v>0.21</v>
      </c>
      <c r="J12" s="3">
        <v>0.05</v>
      </c>
      <c r="K12" s="38">
        <f t="shared" si="4"/>
        <v>60267.604684999991</v>
      </c>
      <c r="L12" s="9">
        <f t="shared" si="5"/>
        <v>50458.7215</v>
      </c>
      <c r="M12" s="15">
        <f t="shared" si="6"/>
        <v>22434616.978555009</v>
      </c>
      <c r="N12" s="9">
        <v>0</v>
      </c>
      <c r="Q12" s="9"/>
    </row>
    <row r="13" spans="1:17" x14ac:dyDescent="0.2">
      <c r="A13" s="32">
        <v>44713</v>
      </c>
      <c r="C13" s="12">
        <v>228618614</v>
      </c>
      <c r="D13" s="13">
        <v>920827</v>
      </c>
      <c r="E13" s="69">
        <f t="shared" si="0"/>
        <v>1266542.22</v>
      </c>
      <c r="F13" s="10">
        <f t="shared" si="1"/>
        <v>1930001.43</v>
      </c>
      <c r="G13" s="12">
        <f t="shared" si="2"/>
        <v>345715.22</v>
      </c>
      <c r="H13" s="12">
        <f t="shared" si="3"/>
        <v>1009174.4299999999</v>
      </c>
      <c r="I13" s="3">
        <v>0.21</v>
      </c>
      <c r="J13" s="3">
        <v>0.05</v>
      </c>
      <c r="K13" s="38">
        <f t="shared" si="4"/>
        <v>60267.604684999991</v>
      </c>
      <c r="L13" s="9">
        <f t="shared" si="5"/>
        <v>50458.7215</v>
      </c>
      <c r="M13" s="15">
        <f t="shared" si="6"/>
        <v>22545343.304740012</v>
      </c>
      <c r="N13" s="9">
        <v>0</v>
      </c>
      <c r="Q13" s="12"/>
    </row>
    <row r="14" spans="1:17" x14ac:dyDescent="0.2">
      <c r="A14" s="32">
        <v>44743</v>
      </c>
      <c r="C14" s="12">
        <v>228618614</v>
      </c>
      <c r="D14" s="13">
        <v>920827</v>
      </c>
      <c r="E14" s="69">
        <f t="shared" si="0"/>
        <v>1266542.22</v>
      </c>
      <c r="F14" s="10">
        <f t="shared" si="1"/>
        <v>1930001.43</v>
      </c>
      <c r="G14" s="12">
        <f>E14-D14</f>
        <v>345715.22</v>
      </c>
      <c r="H14" s="12">
        <f>F14-D14</f>
        <v>1009174.4299999999</v>
      </c>
      <c r="I14" s="3">
        <v>0.21</v>
      </c>
      <c r="J14" s="3">
        <v>0.05</v>
      </c>
      <c r="K14" s="38">
        <f t="shared" si="4"/>
        <v>60267.604684999991</v>
      </c>
      <c r="L14" s="9">
        <f t="shared" si="5"/>
        <v>50458.7215</v>
      </c>
      <c r="M14" s="15">
        <f t="shared" si="6"/>
        <v>22656069.630925015</v>
      </c>
      <c r="N14" s="9">
        <v>0</v>
      </c>
      <c r="P14" s="12"/>
      <c r="Q14" s="9"/>
    </row>
    <row r="15" spans="1:17" x14ac:dyDescent="0.2">
      <c r="A15" s="32">
        <v>44774</v>
      </c>
      <c r="C15" s="12">
        <v>228618614</v>
      </c>
      <c r="D15" s="13">
        <v>920827</v>
      </c>
      <c r="E15" s="69">
        <f t="shared" si="0"/>
        <v>1266542.22</v>
      </c>
      <c r="F15" s="10">
        <f t="shared" si="1"/>
        <v>1930001.43</v>
      </c>
      <c r="G15" s="12">
        <f t="shared" si="2"/>
        <v>345715.22</v>
      </c>
      <c r="H15" s="12">
        <f t="shared" si="3"/>
        <v>1009174.4299999999</v>
      </c>
      <c r="I15" s="3">
        <v>0.21</v>
      </c>
      <c r="J15" s="3">
        <v>0.05</v>
      </c>
      <c r="K15" s="38">
        <f t="shared" si="4"/>
        <v>60267.604684999991</v>
      </c>
      <c r="L15" s="9">
        <f t="shared" si="5"/>
        <v>50458.7215</v>
      </c>
      <c r="M15" s="15">
        <f t="shared" si="6"/>
        <v>22766795.957110018</v>
      </c>
      <c r="N15" s="9">
        <v>0</v>
      </c>
      <c r="Q15" s="9"/>
    </row>
    <row r="16" spans="1:17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</row>
    <row r="17" spans="1:16" x14ac:dyDescent="0.2">
      <c r="A17" s="16"/>
      <c r="C17" s="80" t="s">
        <v>41</v>
      </c>
      <c r="D17" s="71"/>
      <c r="E17" s="71"/>
      <c r="F17" s="71"/>
      <c r="G17" s="72"/>
      <c r="H17" s="72"/>
      <c r="I17" s="72"/>
      <c r="J17" s="70"/>
      <c r="K17" s="70"/>
      <c r="L17" s="3"/>
      <c r="M17" s="3"/>
      <c r="N17" s="9"/>
      <c r="O17" s="15"/>
      <c r="P17" s="9"/>
    </row>
    <row r="18" spans="1:16" x14ac:dyDescent="0.2">
      <c r="A18" s="16"/>
      <c r="C18" s="70"/>
      <c r="D18" s="71"/>
      <c r="E18" s="71"/>
      <c r="F18" s="71"/>
      <c r="G18" s="72"/>
      <c r="H18" s="72"/>
      <c r="I18" s="72"/>
      <c r="J18" s="70"/>
      <c r="K18" s="70"/>
      <c r="L18" s="3"/>
      <c r="M18" s="3"/>
      <c r="N18" s="9"/>
      <c r="O18" s="15"/>
      <c r="P18" s="9"/>
    </row>
    <row r="19" spans="1:16" x14ac:dyDescent="0.2">
      <c r="C19" s="79" t="s">
        <v>46</v>
      </c>
      <c r="D19" s="66"/>
      <c r="E19" s="66"/>
      <c r="F19" s="66"/>
      <c r="G19" s="66"/>
      <c r="H19" s="66"/>
      <c r="I19" s="66"/>
      <c r="J19" s="66"/>
      <c r="K19" s="66"/>
    </row>
    <row r="20" spans="1:16" x14ac:dyDescent="0.2">
      <c r="C20" s="79" t="s">
        <v>22</v>
      </c>
      <c r="D20" s="66"/>
      <c r="E20" s="66"/>
      <c r="F20" s="66"/>
      <c r="G20" s="66"/>
      <c r="H20" s="66"/>
      <c r="I20" s="66"/>
      <c r="J20" s="66"/>
      <c r="K20" s="66"/>
    </row>
    <row r="21" spans="1:16" x14ac:dyDescent="0.2">
      <c r="C21" s="64" t="s">
        <v>44</v>
      </c>
      <c r="D21" s="66"/>
      <c r="E21" s="66"/>
      <c r="F21" s="66"/>
      <c r="G21" s="66"/>
      <c r="H21" s="66"/>
      <c r="I21" s="66"/>
      <c r="J21" s="66"/>
      <c r="K21" s="66"/>
    </row>
    <row r="22" spans="1:16" x14ac:dyDescent="0.2">
      <c r="C22" s="68" t="s">
        <v>23</v>
      </c>
      <c r="D22" s="66"/>
      <c r="E22" s="66"/>
      <c r="F22" s="66"/>
      <c r="G22" s="66"/>
      <c r="H22" s="66"/>
      <c r="I22" s="66"/>
      <c r="J22" s="66"/>
      <c r="K22" s="66"/>
    </row>
    <row r="24" spans="1:16" x14ac:dyDescent="0.2">
      <c r="C24" s="68" t="s">
        <v>24</v>
      </c>
      <c r="D24" s="77" t="s">
        <v>25</v>
      </c>
      <c r="E24" s="76" t="s">
        <v>26</v>
      </c>
      <c r="F24" s="68" t="s">
        <v>27</v>
      </c>
      <c r="G24" s="67" t="s">
        <v>18</v>
      </c>
      <c r="H24" s="68" t="s">
        <v>28</v>
      </c>
      <c r="I24" s="66"/>
      <c r="J24" s="66"/>
      <c r="K24" s="66"/>
    </row>
    <row r="25" spans="1:16" x14ac:dyDescent="0.2">
      <c r="C25" s="70">
        <v>4378287</v>
      </c>
      <c r="D25" s="70">
        <v>920827</v>
      </c>
      <c r="E25" s="70">
        <v>17146.47</v>
      </c>
      <c r="F25" s="70">
        <f>-D25+E25</f>
        <v>-903680.53</v>
      </c>
      <c r="G25" s="67">
        <v>0.21</v>
      </c>
      <c r="H25" s="70">
        <f>F25*G25</f>
        <v>-189772.91130000001</v>
      </c>
      <c r="I25" s="66"/>
      <c r="J25" s="66"/>
      <c r="K25" s="66"/>
    </row>
    <row r="26" spans="1:16" x14ac:dyDescent="0.2">
      <c r="C26" s="70">
        <v>1178248</v>
      </c>
      <c r="D26" s="70"/>
      <c r="E26" s="70">
        <v>9817.85</v>
      </c>
      <c r="F26" s="70">
        <f>E26</f>
        <v>9817.85</v>
      </c>
      <c r="G26" s="67">
        <v>0.21</v>
      </c>
      <c r="H26" s="81">
        <f t="shared" ref="H26:H31" si="7">F26*G26</f>
        <v>2061.7485000000001</v>
      </c>
      <c r="I26" s="66"/>
      <c r="J26" s="66"/>
      <c r="K26" s="66"/>
    </row>
    <row r="27" spans="1:16" x14ac:dyDescent="0.2">
      <c r="C27" s="70">
        <v>527243</v>
      </c>
      <c r="D27" s="70"/>
      <c r="E27" s="70">
        <v>4536.01</v>
      </c>
      <c r="F27" s="81">
        <f t="shared" ref="F27:F31" si="8">E27</f>
        <v>4536.01</v>
      </c>
      <c r="G27" s="67">
        <v>0.21</v>
      </c>
      <c r="H27" s="81">
        <f t="shared" si="7"/>
        <v>952.56209999999999</v>
      </c>
      <c r="I27" s="66"/>
      <c r="J27" s="66"/>
      <c r="K27" s="66"/>
    </row>
    <row r="28" spans="1:16" x14ac:dyDescent="0.2">
      <c r="C28" s="70">
        <v>110974612</v>
      </c>
      <c r="D28" s="70"/>
      <c r="E28" s="70">
        <v>954742.33</v>
      </c>
      <c r="F28" s="81">
        <f t="shared" si="8"/>
        <v>954742.33</v>
      </c>
      <c r="G28" s="67">
        <v>0.21</v>
      </c>
      <c r="H28" s="81">
        <f t="shared" si="7"/>
        <v>200495.88929999998</v>
      </c>
      <c r="I28" s="66"/>
      <c r="J28" s="66"/>
      <c r="K28" s="66"/>
    </row>
    <row r="29" spans="1:16" x14ac:dyDescent="0.2">
      <c r="C29" s="70">
        <v>3397057.0700000003</v>
      </c>
      <c r="D29" s="70"/>
      <c r="E29" s="70">
        <v>30216.54</v>
      </c>
      <c r="F29" s="81">
        <f t="shared" si="8"/>
        <v>30216.54</v>
      </c>
      <c r="G29" s="67">
        <v>0.21</v>
      </c>
      <c r="H29" s="81">
        <f t="shared" si="7"/>
        <v>6345.4733999999999</v>
      </c>
      <c r="I29" s="66"/>
      <c r="J29" s="66"/>
      <c r="K29" s="66"/>
    </row>
    <row r="30" spans="1:16" x14ac:dyDescent="0.2">
      <c r="C30" s="70">
        <v>6388511.0600000005</v>
      </c>
      <c r="D30" s="70"/>
      <c r="E30" s="70">
        <v>56825.27</v>
      </c>
      <c r="F30" s="81">
        <f t="shared" si="8"/>
        <v>56825.27</v>
      </c>
      <c r="G30" s="67">
        <v>0.21</v>
      </c>
      <c r="H30" s="81">
        <f t="shared" si="7"/>
        <v>11933.306699999999</v>
      </c>
      <c r="I30" s="66"/>
      <c r="J30" s="66"/>
      <c r="K30" s="66"/>
    </row>
    <row r="31" spans="1:16" ht="15" x14ac:dyDescent="0.35">
      <c r="C31" s="70">
        <v>20981002</v>
      </c>
      <c r="D31" s="70"/>
      <c r="E31" s="74">
        <v>193257.76</v>
      </c>
      <c r="F31" s="83">
        <f t="shared" si="8"/>
        <v>193257.76</v>
      </c>
      <c r="G31" s="67">
        <v>0.21</v>
      </c>
      <c r="H31" s="83">
        <f t="shared" si="7"/>
        <v>40584.1296</v>
      </c>
      <c r="I31" s="66"/>
      <c r="J31" s="66"/>
      <c r="K31" s="66"/>
    </row>
    <row r="32" spans="1:16" x14ac:dyDescent="0.2">
      <c r="C32" s="66"/>
      <c r="D32" s="66"/>
      <c r="E32" s="68">
        <f>SUM(E25:E31)</f>
        <v>1266542.23</v>
      </c>
      <c r="F32" s="80">
        <f>SUM(F25:F31)</f>
        <v>345715.22999999992</v>
      </c>
      <c r="G32" s="73" t="s">
        <v>42</v>
      </c>
      <c r="H32" s="80">
        <f>SUM(H25:H31)</f>
        <v>72600.19829999996</v>
      </c>
      <c r="I32" s="66"/>
      <c r="J32" s="66"/>
      <c r="K32" s="66"/>
    </row>
    <row r="33" spans="3:11" ht="15" x14ac:dyDescent="0.35">
      <c r="C33" s="66"/>
      <c r="D33" s="66"/>
      <c r="E33" s="66"/>
      <c r="F33" s="66"/>
      <c r="G33" s="73" t="s">
        <v>34</v>
      </c>
      <c r="H33" s="74">
        <f>-H44*0.21</f>
        <v>-10596.331515</v>
      </c>
      <c r="I33" s="66"/>
      <c r="J33" s="66"/>
      <c r="K33" s="66"/>
    </row>
    <row r="34" spans="3:11" x14ac:dyDescent="0.2">
      <c r="C34" s="66"/>
      <c r="D34" s="66"/>
      <c r="E34" s="66"/>
      <c r="F34" s="66"/>
      <c r="G34" s="66"/>
      <c r="H34" s="68">
        <f>H32+H33</f>
        <v>62003.866784999962</v>
      </c>
      <c r="I34" s="66"/>
      <c r="J34" s="66"/>
      <c r="K34" s="66"/>
    </row>
    <row r="35" spans="3:11" x14ac:dyDescent="0.2">
      <c r="C35" s="66"/>
      <c r="D35" s="66"/>
      <c r="E35" s="66"/>
      <c r="F35" s="66"/>
      <c r="G35" s="66"/>
      <c r="H35" s="68">
        <f>H34-K15</f>
        <v>1736.2620999999708</v>
      </c>
      <c r="I35" s="82" t="s">
        <v>45</v>
      </c>
      <c r="J35" s="66"/>
      <c r="K35" s="66"/>
    </row>
    <row r="36" spans="3:11" x14ac:dyDescent="0.2">
      <c r="C36" s="68" t="s">
        <v>30</v>
      </c>
      <c r="D36" s="75" t="s">
        <v>25</v>
      </c>
      <c r="E36" s="76" t="s">
        <v>31</v>
      </c>
      <c r="F36" s="68" t="s">
        <v>32</v>
      </c>
      <c r="G36" s="67" t="s">
        <v>19</v>
      </c>
      <c r="H36" s="68" t="s">
        <v>33</v>
      </c>
      <c r="I36" s="66"/>
      <c r="J36" s="66"/>
      <c r="K36" s="66"/>
    </row>
    <row r="37" spans="3:11" x14ac:dyDescent="0.2">
      <c r="C37" s="70">
        <v>8756574</v>
      </c>
      <c r="D37" s="68">
        <v>920827</v>
      </c>
      <c r="E37" s="68">
        <v>34292.93</v>
      </c>
      <c r="F37" s="68">
        <f>-D37+E37</f>
        <v>-886534.07</v>
      </c>
      <c r="G37" s="67">
        <v>0.05</v>
      </c>
      <c r="H37" s="68">
        <f>F37*G37</f>
        <v>-44326.703500000003</v>
      </c>
      <c r="I37" s="66"/>
      <c r="J37" s="66"/>
      <c r="K37" s="66"/>
    </row>
    <row r="38" spans="3:11" x14ac:dyDescent="0.2">
      <c r="C38" s="70">
        <v>2356496</v>
      </c>
      <c r="D38" s="66"/>
      <c r="E38" s="68">
        <v>19635.7</v>
      </c>
      <c r="F38" s="68">
        <f>E38</f>
        <v>19635.7</v>
      </c>
      <c r="G38" s="67">
        <v>0.05</v>
      </c>
      <c r="H38" s="80">
        <f t="shared" ref="H38:H43" si="9">F38*G38</f>
        <v>981.78500000000008</v>
      </c>
      <c r="I38" s="66"/>
      <c r="J38" s="66"/>
      <c r="K38" s="66"/>
    </row>
    <row r="39" spans="3:11" x14ac:dyDescent="0.2">
      <c r="C39" s="70">
        <v>527243</v>
      </c>
      <c r="D39" s="66"/>
      <c r="E39" s="68">
        <v>4536.01</v>
      </c>
      <c r="F39" s="80">
        <f t="shared" ref="F39:F43" si="10">E39</f>
        <v>4536.01</v>
      </c>
      <c r="G39" s="67">
        <v>0.05</v>
      </c>
      <c r="H39" s="80">
        <f t="shared" si="9"/>
        <v>226.80050000000003</v>
      </c>
      <c r="I39" s="66"/>
      <c r="J39" s="66"/>
      <c r="K39" s="66"/>
    </row>
    <row r="40" spans="3:11" x14ac:dyDescent="0.2">
      <c r="C40" s="70">
        <v>184957686</v>
      </c>
      <c r="D40" s="66"/>
      <c r="E40" s="70">
        <v>1591237.22</v>
      </c>
      <c r="F40" s="80">
        <f t="shared" si="10"/>
        <v>1591237.22</v>
      </c>
      <c r="G40" s="67">
        <v>0.05</v>
      </c>
      <c r="H40" s="80">
        <f t="shared" si="9"/>
        <v>79561.861000000004</v>
      </c>
      <c r="I40" s="66"/>
      <c r="J40" s="66"/>
      <c r="K40" s="66"/>
    </row>
    <row r="41" spans="3:11" x14ac:dyDescent="0.2">
      <c r="C41" s="70">
        <v>3397057.0700000003</v>
      </c>
      <c r="D41" s="66"/>
      <c r="E41" s="70">
        <v>30216.54</v>
      </c>
      <c r="F41" s="80">
        <f t="shared" si="10"/>
        <v>30216.54</v>
      </c>
      <c r="G41" s="78">
        <v>0.05</v>
      </c>
      <c r="H41" s="80">
        <f t="shared" si="9"/>
        <v>1510.8270000000002</v>
      </c>
      <c r="I41" s="66"/>
      <c r="J41" s="66"/>
      <c r="K41" s="66"/>
    </row>
    <row r="42" spans="3:11" x14ac:dyDescent="0.2">
      <c r="C42" s="70">
        <v>6388511.0600000005</v>
      </c>
      <c r="D42" s="66"/>
      <c r="E42" s="70">
        <v>56825.27</v>
      </c>
      <c r="F42" s="80">
        <f t="shared" si="10"/>
        <v>56825.27</v>
      </c>
      <c r="G42" s="78">
        <v>0.05</v>
      </c>
      <c r="H42" s="80">
        <f t="shared" si="9"/>
        <v>2841.2635</v>
      </c>
      <c r="I42" s="66"/>
      <c r="J42" s="66"/>
      <c r="K42" s="66"/>
    </row>
    <row r="43" spans="3:11" ht="15" x14ac:dyDescent="0.35">
      <c r="C43" s="70">
        <v>20981002</v>
      </c>
      <c r="D43" s="66"/>
      <c r="E43" s="74">
        <v>193257.76</v>
      </c>
      <c r="F43" s="83">
        <f t="shared" si="10"/>
        <v>193257.76</v>
      </c>
      <c r="G43" s="78">
        <v>0.05</v>
      </c>
      <c r="H43" s="83">
        <f t="shared" si="9"/>
        <v>9662.8880000000008</v>
      </c>
      <c r="I43" s="66"/>
      <c r="J43" s="66"/>
      <c r="K43" s="66"/>
    </row>
    <row r="44" spans="3:11" x14ac:dyDescent="0.2">
      <c r="C44" s="66"/>
      <c r="D44" s="66"/>
      <c r="E44" s="80">
        <f>SUM(E37:E43)</f>
        <v>1930001.43</v>
      </c>
      <c r="F44" s="80">
        <f>SUM(F37:F43)</f>
        <v>1009174.43</v>
      </c>
      <c r="G44" s="66"/>
      <c r="H44" s="80">
        <f>SUM(H37:H43)</f>
        <v>50458.7215</v>
      </c>
      <c r="I44" s="66"/>
      <c r="J44" s="66"/>
      <c r="K44" s="66"/>
    </row>
    <row r="45" spans="3:11" x14ac:dyDescent="0.2">
      <c r="C45" s="66"/>
      <c r="D45" s="66"/>
      <c r="E45" s="66"/>
      <c r="F45" s="66"/>
      <c r="G45" s="66"/>
      <c r="H45" s="68">
        <f>H44-L15</f>
        <v>0</v>
      </c>
      <c r="I45" s="66"/>
      <c r="J45" s="66"/>
      <c r="K45" s="66"/>
    </row>
  </sheetData>
  <pageMargins left="0.5" right="0.5" top="1.5" bottom="0.5" header="0.5" footer="0.5"/>
  <pageSetup scale="58" orientation="portrait" r:id="rId1"/>
  <headerFooter alignWithMargins="0">
    <oddHeader>&amp;R&amp;"Times New Roman,Bold"&amp;12Attachment to Response to Question No. 3
Page 3 of 5
Clements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7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11</v>
      </c>
      <c r="N4" s="4"/>
      <c r="O4" s="4"/>
      <c r="P4" s="4"/>
    </row>
    <row r="5" spans="1:20" x14ac:dyDescent="0.2">
      <c r="A5" s="6" t="s">
        <v>12</v>
      </c>
    </row>
    <row r="6" spans="1:20" x14ac:dyDescent="0.2">
      <c r="A6" s="22" t="s">
        <v>13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4190783</v>
      </c>
    </row>
    <row r="10" spans="1:20" x14ac:dyDescent="0.2">
      <c r="A10" s="32">
        <v>44629</v>
      </c>
      <c r="C10" s="12">
        <v>44210372</v>
      </c>
      <c r="D10" s="13">
        <v>96526</v>
      </c>
      <c r="E10" s="35">
        <f>144641.57</f>
        <v>144641.57</v>
      </c>
      <c r="F10" s="35">
        <f t="shared" ref="F10:F15" si="0">227440.73</f>
        <v>227440.73</v>
      </c>
      <c r="G10" s="14">
        <f t="shared" ref="G10:G13" si="1">E10-D10</f>
        <v>48115.570000000007</v>
      </c>
      <c r="H10" s="14">
        <f t="shared" ref="H10:H13" si="2">F10-D10</f>
        <v>130914.73000000001</v>
      </c>
      <c r="I10" s="3">
        <v>0.21</v>
      </c>
      <c r="J10" s="3">
        <v>0.05</v>
      </c>
      <c r="K10" s="9">
        <f t="shared" ref="K10:K13" si="3">G10*I10-L10*I10</f>
        <v>8729.665035</v>
      </c>
      <c r="L10" s="9">
        <f t="shared" ref="L10:L13" si="4">H10*J10</f>
        <v>6545.7365000000009</v>
      </c>
      <c r="M10" s="15">
        <f t="shared" ref="M10:M15" si="5">M9+K10+L10</f>
        <v>4206058.4015349997</v>
      </c>
      <c r="N10" s="9">
        <v>0</v>
      </c>
      <c r="O10" s="33"/>
    </row>
    <row r="11" spans="1:20" x14ac:dyDescent="0.2">
      <c r="A11" s="32">
        <v>44652</v>
      </c>
      <c r="C11" s="12">
        <v>44210372</v>
      </c>
      <c r="D11" s="13">
        <v>96526.49</v>
      </c>
      <c r="E11" s="35">
        <f>144640.6</f>
        <v>144640.6</v>
      </c>
      <c r="F11" s="35">
        <f>227439.6</f>
        <v>227439.6</v>
      </c>
      <c r="G11" s="14">
        <f t="shared" si="1"/>
        <v>48114.11</v>
      </c>
      <c r="H11" s="14">
        <f t="shared" si="2"/>
        <v>130913.11</v>
      </c>
      <c r="I11" s="3">
        <v>0.21</v>
      </c>
      <c r="J11" s="3">
        <v>0.05</v>
      </c>
      <c r="K11" s="9">
        <f t="shared" si="3"/>
        <v>8729.3754449999997</v>
      </c>
      <c r="L11" s="9">
        <f t="shared" si="4"/>
        <v>6545.6555000000008</v>
      </c>
      <c r="M11" s="15">
        <f t="shared" si="5"/>
        <v>4221333.43248</v>
      </c>
      <c r="N11" s="9">
        <v>0</v>
      </c>
      <c r="O11" s="33"/>
      <c r="Q11" s="9">
        <f>358619-M12</f>
        <v>-3877989.8340149997</v>
      </c>
      <c r="R11" s="17" t="s">
        <v>11</v>
      </c>
    </row>
    <row r="12" spans="1:20" x14ac:dyDescent="0.2">
      <c r="A12" s="32">
        <v>44682</v>
      </c>
      <c r="C12" s="12">
        <v>44210372</v>
      </c>
      <c r="D12" s="13">
        <v>96526</v>
      </c>
      <c r="E12" s="35">
        <f>144641.57</f>
        <v>144641.57</v>
      </c>
      <c r="F12" s="35">
        <f t="shared" si="0"/>
        <v>227440.73</v>
      </c>
      <c r="G12" s="14">
        <f t="shared" si="1"/>
        <v>48115.570000000007</v>
      </c>
      <c r="H12" s="14">
        <f t="shared" si="2"/>
        <v>130914.73000000001</v>
      </c>
      <c r="I12" s="3">
        <v>0.21</v>
      </c>
      <c r="J12" s="3">
        <v>0.05</v>
      </c>
      <c r="K12" s="9">
        <f t="shared" si="3"/>
        <v>8729.665035</v>
      </c>
      <c r="L12" s="9">
        <f t="shared" si="4"/>
        <v>6545.7365000000009</v>
      </c>
      <c r="M12" s="15">
        <f t="shared" si="5"/>
        <v>4236608.8340149997</v>
      </c>
      <c r="N12" s="9">
        <v>0</v>
      </c>
      <c r="Q12">
        <f>+Q11/0.389</f>
        <v>-9969125.5373136234</v>
      </c>
      <c r="R12" s="9"/>
    </row>
    <row r="13" spans="1:20" x14ac:dyDescent="0.2">
      <c r="A13" s="32">
        <v>44713</v>
      </c>
      <c r="C13" s="12">
        <v>44210372</v>
      </c>
      <c r="D13" s="13">
        <v>96526</v>
      </c>
      <c r="E13" s="35">
        <f>144641.57</f>
        <v>144641.57</v>
      </c>
      <c r="F13" s="35">
        <f t="shared" si="0"/>
        <v>227440.73</v>
      </c>
      <c r="G13" s="14">
        <f t="shared" si="1"/>
        <v>48115.570000000007</v>
      </c>
      <c r="H13" s="14">
        <f t="shared" si="2"/>
        <v>130914.73000000001</v>
      </c>
      <c r="I13" s="3">
        <v>0.21</v>
      </c>
      <c r="J13" s="3">
        <v>0.05</v>
      </c>
      <c r="K13" s="9">
        <f t="shared" si="3"/>
        <v>8729.665035</v>
      </c>
      <c r="L13" s="9">
        <f t="shared" si="4"/>
        <v>6545.7365000000009</v>
      </c>
      <c r="M13" s="15">
        <f t="shared" si="5"/>
        <v>4251884.2355499994</v>
      </c>
      <c r="N13" s="9">
        <v>0</v>
      </c>
      <c r="Q13" s="9">
        <f>374733-M14</f>
        <v>-3892426.6370849991</v>
      </c>
    </row>
    <row r="14" spans="1:20" x14ac:dyDescent="0.2">
      <c r="A14" s="32">
        <v>44743</v>
      </c>
      <c r="C14" s="12">
        <v>44210372</v>
      </c>
      <c r="D14" s="13">
        <v>96526</v>
      </c>
      <c r="E14" s="35">
        <f>144641.57</f>
        <v>144641.57</v>
      </c>
      <c r="F14" s="35">
        <f t="shared" si="0"/>
        <v>227440.73</v>
      </c>
      <c r="G14" s="14">
        <f>E14-D14</f>
        <v>48115.570000000007</v>
      </c>
      <c r="H14" s="14">
        <f>F14-D14</f>
        <v>130914.73000000001</v>
      </c>
      <c r="I14" s="3">
        <v>0.21</v>
      </c>
      <c r="J14" s="3">
        <v>0.05</v>
      </c>
      <c r="K14" s="9">
        <f>G14*I14-L14*I14</f>
        <v>8729.665035</v>
      </c>
      <c r="L14" s="9">
        <f>H14*J14</f>
        <v>6545.7365000000009</v>
      </c>
      <c r="M14" s="15">
        <f t="shared" si="5"/>
        <v>4267159.6370849991</v>
      </c>
      <c r="N14" s="9">
        <v>0</v>
      </c>
      <c r="Q14">
        <f>+Q13/0.389</f>
        <v>-10006238.141606681</v>
      </c>
      <c r="R14" s="9"/>
      <c r="S14" s="9"/>
      <c r="T14" s="9"/>
    </row>
    <row r="15" spans="1:20" x14ac:dyDescent="0.2">
      <c r="A15" s="32">
        <v>44774</v>
      </c>
      <c r="C15" s="12">
        <v>44210372</v>
      </c>
      <c r="D15" s="13">
        <v>96526</v>
      </c>
      <c r="E15" s="35">
        <f>144641.57</f>
        <v>144641.57</v>
      </c>
      <c r="F15" s="35">
        <f t="shared" si="0"/>
        <v>227440.73</v>
      </c>
      <c r="G15" s="14">
        <f>E15-D15</f>
        <v>48115.570000000007</v>
      </c>
      <c r="H15" s="14">
        <f>F15-D15</f>
        <v>130914.73000000001</v>
      </c>
      <c r="I15" s="3">
        <v>0.21</v>
      </c>
      <c r="J15" s="3">
        <v>0.05</v>
      </c>
      <c r="K15" s="9">
        <f>G15*I15-L15*I15</f>
        <v>8729.665035</v>
      </c>
      <c r="L15" s="9">
        <f>H15*J15</f>
        <v>6545.7365000000009</v>
      </c>
      <c r="M15" s="15">
        <f t="shared" si="5"/>
        <v>4282435.0386199988</v>
      </c>
      <c r="N15" s="9">
        <v>0</v>
      </c>
      <c r="Q15" s="9">
        <f>+M15-386700</f>
        <v>3895735.0386199988</v>
      </c>
      <c r="R15" s="19"/>
      <c r="T15" s="9"/>
    </row>
    <row r="16" spans="1:20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10014743.029871462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96" t="s">
        <v>36</v>
      </c>
      <c r="D19" s="86"/>
      <c r="E19" s="86"/>
      <c r="F19" s="86"/>
      <c r="G19" s="87"/>
      <c r="H19" s="87"/>
      <c r="I19" s="89"/>
      <c r="J19" s="89"/>
      <c r="K19" s="89"/>
    </row>
    <row r="20" spans="1:16" x14ac:dyDescent="0.2">
      <c r="C20" s="96" t="s">
        <v>22</v>
      </c>
      <c r="D20" s="86"/>
      <c r="E20" s="86"/>
      <c r="F20" s="86"/>
      <c r="G20" s="87"/>
      <c r="H20" s="87"/>
      <c r="I20" s="89"/>
      <c r="J20" s="89"/>
      <c r="K20" s="89"/>
    </row>
    <row r="21" spans="1:16" x14ac:dyDescent="0.2">
      <c r="C21" s="64" t="s">
        <v>44</v>
      </c>
      <c r="D21" s="86"/>
      <c r="E21" s="86"/>
      <c r="F21" s="86"/>
      <c r="G21" s="87"/>
      <c r="H21" s="87"/>
      <c r="I21" s="89"/>
      <c r="J21" s="89"/>
      <c r="K21" s="89"/>
    </row>
    <row r="22" spans="1:16" x14ac:dyDescent="0.2">
      <c r="C22" s="91" t="s">
        <v>23</v>
      </c>
      <c r="D22" s="86"/>
      <c r="E22" s="86"/>
      <c r="F22" s="86"/>
      <c r="G22" s="87"/>
      <c r="H22" s="87"/>
      <c r="I22" s="89"/>
      <c r="J22" s="89"/>
      <c r="K22" s="89"/>
    </row>
    <row r="23" spans="1:16" x14ac:dyDescent="0.2">
      <c r="C23" s="97"/>
      <c r="D23" s="86"/>
      <c r="E23" s="86"/>
      <c r="F23" s="86"/>
      <c r="G23" s="86"/>
      <c r="H23" s="86"/>
      <c r="I23" s="89"/>
      <c r="J23" s="89"/>
      <c r="K23" s="89"/>
    </row>
    <row r="24" spans="1:16" x14ac:dyDescent="0.2">
      <c r="C24" s="91" t="s">
        <v>24</v>
      </c>
      <c r="D24" s="88" t="s">
        <v>25</v>
      </c>
      <c r="E24" s="87" t="s">
        <v>26</v>
      </c>
      <c r="F24" s="91" t="s">
        <v>27</v>
      </c>
      <c r="G24" s="90" t="s">
        <v>18</v>
      </c>
      <c r="H24" s="91" t="s">
        <v>28</v>
      </c>
      <c r="I24" s="89"/>
      <c r="J24" s="89"/>
      <c r="K24" s="89"/>
    </row>
    <row r="25" spans="1:16" x14ac:dyDescent="0.2">
      <c r="C25" s="92">
        <v>189606.505</v>
      </c>
      <c r="D25" s="92">
        <v>96526</v>
      </c>
      <c r="E25" s="92">
        <v>835.06</v>
      </c>
      <c r="F25" s="92">
        <f>-D25+E25</f>
        <v>-95690.94</v>
      </c>
      <c r="G25" s="90">
        <v>0.21</v>
      </c>
      <c r="H25" s="92">
        <f>F25*G25</f>
        <v>-20095.097399999999</v>
      </c>
      <c r="I25" s="89"/>
      <c r="J25" s="89"/>
      <c r="K25" s="89"/>
    </row>
    <row r="26" spans="1:16" x14ac:dyDescent="0.2">
      <c r="C26" s="92">
        <v>27735645</v>
      </c>
      <c r="D26" s="92"/>
      <c r="E26" s="92">
        <v>142769.23000000001</v>
      </c>
      <c r="F26" s="92">
        <f>E26</f>
        <v>142769.23000000001</v>
      </c>
      <c r="G26" s="95">
        <v>0.21</v>
      </c>
      <c r="H26" s="92">
        <f>F26*G26</f>
        <v>29981.5383</v>
      </c>
      <c r="I26" s="89"/>
      <c r="J26" s="89"/>
      <c r="K26" s="89"/>
    </row>
    <row r="27" spans="1:16" ht="15" x14ac:dyDescent="0.35">
      <c r="C27" s="92">
        <v>172425</v>
      </c>
      <c r="D27" s="92"/>
      <c r="E27" s="94">
        <v>1037.28</v>
      </c>
      <c r="F27" s="94">
        <f>E27</f>
        <v>1037.28</v>
      </c>
      <c r="G27" s="95">
        <v>0.21</v>
      </c>
      <c r="H27" s="94">
        <f>F27*G27</f>
        <v>217.82879999999997</v>
      </c>
      <c r="I27" s="89"/>
      <c r="J27" s="89"/>
      <c r="K27" s="89"/>
    </row>
    <row r="28" spans="1:16" x14ac:dyDescent="0.2">
      <c r="C28" s="92"/>
      <c r="D28" s="92"/>
      <c r="E28" s="92">
        <f>SUM(E25:E27)</f>
        <v>144641.57</v>
      </c>
      <c r="F28" s="92">
        <f>SUM(F25:F27)</f>
        <v>48115.570000000007</v>
      </c>
      <c r="G28" s="95" t="s">
        <v>42</v>
      </c>
      <c r="H28" s="92">
        <f>SUM(H25:H27)</f>
        <v>10104.269700000001</v>
      </c>
      <c r="I28" s="89"/>
      <c r="J28" s="89"/>
      <c r="K28" s="89"/>
    </row>
    <row r="29" spans="1:16" ht="15" x14ac:dyDescent="0.35">
      <c r="C29" s="92"/>
      <c r="D29" s="92"/>
      <c r="E29" s="92"/>
      <c r="F29" s="92"/>
      <c r="G29" s="93" t="s">
        <v>34</v>
      </c>
      <c r="H29" s="94">
        <f>-H36*0.21</f>
        <v>-1374.6046649999996</v>
      </c>
      <c r="I29" s="89"/>
      <c r="J29" s="89"/>
      <c r="K29" s="89"/>
    </row>
    <row r="30" spans="1:16" x14ac:dyDescent="0.2">
      <c r="C30" s="89"/>
      <c r="D30" s="89"/>
      <c r="E30" s="89"/>
      <c r="F30" s="89"/>
      <c r="G30" s="89"/>
      <c r="H30" s="92">
        <f>H28+H29</f>
        <v>8729.6650350000018</v>
      </c>
      <c r="I30" s="89"/>
      <c r="J30" s="89"/>
      <c r="K30" s="89"/>
    </row>
    <row r="31" spans="1:16" x14ac:dyDescent="0.2">
      <c r="C31" s="89"/>
      <c r="D31" s="89"/>
      <c r="E31" s="89"/>
      <c r="F31" s="89"/>
      <c r="G31" s="89"/>
      <c r="H31" s="92">
        <f>H30-K15</f>
        <v>0</v>
      </c>
      <c r="I31" s="89"/>
      <c r="J31" s="89"/>
      <c r="K31" s="89"/>
    </row>
    <row r="32" spans="1:16" x14ac:dyDescent="0.2">
      <c r="C32" s="91" t="s">
        <v>30</v>
      </c>
      <c r="D32" s="86" t="s">
        <v>25</v>
      </c>
      <c r="E32" s="87" t="s">
        <v>31</v>
      </c>
      <c r="F32" s="91" t="s">
        <v>32</v>
      </c>
      <c r="G32" s="90" t="s">
        <v>19</v>
      </c>
      <c r="H32" s="91" t="s">
        <v>33</v>
      </c>
      <c r="I32" s="89"/>
      <c r="J32" s="89"/>
      <c r="K32" s="89"/>
    </row>
    <row r="33" spans="3:11" x14ac:dyDescent="0.2">
      <c r="C33" s="92">
        <v>379213.01</v>
      </c>
      <c r="D33" s="92">
        <v>96526</v>
      </c>
      <c r="E33" s="92">
        <v>1670.12</v>
      </c>
      <c r="F33" s="92">
        <f>-D33+E33</f>
        <v>-94855.88</v>
      </c>
      <c r="G33" s="90">
        <v>0.05</v>
      </c>
      <c r="H33" s="92">
        <f>F33*G33</f>
        <v>-4742.7940000000008</v>
      </c>
      <c r="I33" s="89"/>
      <c r="J33" s="89"/>
      <c r="K33" s="89"/>
    </row>
    <row r="34" spans="3:11" x14ac:dyDescent="0.2">
      <c r="C34" s="92">
        <v>43658734</v>
      </c>
      <c r="D34" s="92"/>
      <c r="E34" s="92">
        <v>224733.33</v>
      </c>
      <c r="F34" s="92">
        <f>E34</f>
        <v>224733.33</v>
      </c>
      <c r="G34" s="95">
        <v>0.05</v>
      </c>
      <c r="H34" s="92">
        <f>F34*G34</f>
        <v>11236.666499999999</v>
      </c>
      <c r="I34" s="85"/>
      <c r="J34" s="85"/>
      <c r="K34" s="84"/>
    </row>
    <row r="35" spans="3:11" ht="15" x14ac:dyDescent="0.35">
      <c r="C35" s="92">
        <v>172425</v>
      </c>
      <c r="D35" s="92"/>
      <c r="E35" s="94">
        <v>1037.28</v>
      </c>
      <c r="F35" s="94">
        <f>E35</f>
        <v>1037.28</v>
      </c>
      <c r="G35" s="95">
        <v>0.05</v>
      </c>
      <c r="H35" s="94">
        <f>F35*G35</f>
        <v>51.864000000000004</v>
      </c>
      <c r="I35" s="84"/>
      <c r="J35" s="84"/>
      <c r="K35" s="84"/>
    </row>
    <row r="36" spans="3:11" x14ac:dyDescent="0.2">
      <c r="C36" s="92"/>
      <c r="D36" s="92"/>
      <c r="E36" s="92">
        <f>SUM(E33:E35)</f>
        <v>227440.72999999998</v>
      </c>
      <c r="F36" s="92">
        <f>SUM(F33:F35)</f>
        <v>130914.72999999998</v>
      </c>
      <c r="G36" s="89"/>
      <c r="H36" s="92">
        <f>SUM(H33:H35)</f>
        <v>6545.7364999999982</v>
      </c>
      <c r="I36" s="84"/>
      <c r="J36" s="84"/>
      <c r="K36" s="84"/>
    </row>
    <row r="37" spans="3:11" x14ac:dyDescent="0.2">
      <c r="C37" s="92"/>
      <c r="D37" s="92"/>
      <c r="E37" s="92"/>
      <c r="F37" s="92"/>
      <c r="G37" s="90"/>
      <c r="H37" s="92">
        <f>H36-L15</f>
        <v>0</v>
      </c>
      <c r="I37" s="84"/>
      <c r="J37" s="84"/>
      <c r="K37" s="84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4 of 5
Clements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FFD6-7AD5-476B-B26B-F38D3E680E55}">
  <sheetPr>
    <pageSetUpPr fitToPage="1"/>
  </sheetPr>
  <dimension ref="A1:T33"/>
  <sheetViews>
    <sheetView zoomScaleNormal="100" workbookViewId="0"/>
  </sheetViews>
  <sheetFormatPr defaultRowHeight="12.75" x14ac:dyDescent="0.2"/>
  <cols>
    <col min="1" max="1" width="11.28515625" style="8" customWidth="1"/>
    <col min="2" max="2" width="1.7109375" customWidth="1"/>
    <col min="3" max="3" width="13.42578125" customWidth="1"/>
    <col min="4" max="4" width="12.7109375" customWidth="1"/>
    <col min="5" max="5" width="15.85546875" customWidth="1"/>
    <col min="6" max="6" width="14.7109375" customWidth="1"/>
    <col min="7" max="16" width="12.7109375" customWidth="1"/>
    <col min="17" max="17" width="9.28515625" hidden="1" customWidth="1"/>
    <col min="18" max="18" width="11.7109375" bestFit="1" customWidth="1"/>
  </cols>
  <sheetData>
    <row r="1" spans="1:20" x14ac:dyDescent="0.2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0" x14ac:dyDescent="0.2">
      <c r="A2" s="1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x14ac:dyDescent="0.2">
      <c r="A3" s="11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x14ac:dyDescent="0.2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11</v>
      </c>
      <c r="N4" s="4"/>
      <c r="O4" s="4"/>
      <c r="P4" s="4"/>
    </row>
    <row r="5" spans="1:20" x14ac:dyDescent="0.2">
      <c r="A5" s="6" t="s">
        <v>39</v>
      </c>
    </row>
    <row r="6" spans="1:20" x14ac:dyDescent="0.2">
      <c r="A6" s="22" t="s">
        <v>40</v>
      </c>
    </row>
    <row r="8" spans="1:20" s="1" customFormat="1" ht="38.25" x14ac:dyDescent="0.2">
      <c r="A8" s="7" t="s">
        <v>0</v>
      </c>
      <c r="B8" s="2"/>
      <c r="C8" s="2" t="s">
        <v>1</v>
      </c>
      <c r="D8" s="2" t="s">
        <v>2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5</v>
      </c>
      <c r="N8" s="2" t="s">
        <v>4</v>
      </c>
    </row>
    <row r="9" spans="1:20" x14ac:dyDescent="0.2">
      <c r="A9" s="8" t="s">
        <v>8</v>
      </c>
      <c r="M9" s="10">
        <v>42100</v>
      </c>
    </row>
    <row r="10" spans="1:20" x14ac:dyDescent="0.2">
      <c r="A10" s="32">
        <v>44629</v>
      </c>
      <c r="C10" s="12">
        <v>4884234</v>
      </c>
      <c r="D10" s="13">
        <v>19781</v>
      </c>
      <c r="E10" s="35">
        <f>44989.08</f>
        <v>44989.08</v>
      </c>
      <c r="F10" s="35">
        <f t="shared" ref="F10:F15" si="0">44989.08</f>
        <v>44989.08</v>
      </c>
      <c r="G10" s="14">
        <f t="shared" ref="G10:G13" si="1">E10-D10</f>
        <v>25208.080000000002</v>
      </c>
      <c r="H10" s="14">
        <f t="shared" ref="H10:H13" si="2">F10-D10</f>
        <v>25208.080000000002</v>
      </c>
      <c r="I10" s="3">
        <v>0.21</v>
      </c>
      <c r="J10" s="3">
        <v>0.05</v>
      </c>
      <c r="K10" s="9">
        <f t="shared" ref="K10:K13" si="3">G10*I10-L10*I10</f>
        <v>5029.0119600000007</v>
      </c>
      <c r="L10" s="9">
        <f t="shared" ref="L10:L13" si="4">H10*J10</f>
        <v>1260.4040000000002</v>
      </c>
      <c r="M10" s="15">
        <f t="shared" ref="M10:M15" si="5">M9+K10+L10</f>
        <v>48389.415960000006</v>
      </c>
      <c r="N10" s="9">
        <v>0</v>
      </c>
      <c r="O10" s="34"/>
      <c r="P10" s="35" t="s">
        <v>11</v>
      </c>
    </row>
    <row r="11" spans="1:20" x14ac:dyDescent="0.2">
      <c r="A11" s="32">
        <v>44652</v>
      </c>
      <c r="C11" s="12">
        <v>4884234</v>
      </c>
      <c r="D11" s="13">
        <v>19781</v>
      </c>
      <c r="E11" s="40">
        <f>44989.08</f>
        <v>44989.08</v>
      </c>
      <c r="F11" s="35">
        <f t="shared" si="0"/>
        <v>44989.08</v>
      </c>
      <c r="G11" s="14">
        <f t="shared" si="1"/>
        <v>25208.080000000002</v>
      </c>
      <c r="H11" s="14">
        <f t="shared" si="2"/>
        <v>25208.080000000002</v>
      </c>
      <c r="I11" s="3">
        <v>0.21</v>
      </c>
      <c r="J11" s="3">
        <v>0.05</v>
      </c>
      <c r="K11" s="9">
        <f t="shared" si="3"/>
        <v>5029.0119600000007</v>
      </c>
      <c r="L11" s="9">
        <f t="shared" si="4"/>
        <v>1260.4040000000002</v>
      </c>
      <c r="M11" s="15">
        <f t="shared" si="5"/>
        <v>54678.831920000011</v>
      </c>
      <c r="N11" s="9">
        <v>0</v>
      </c>
      <c r="O11" s="33"/>
      <c r="Q11" s="9">
        <f>358619-M12</f>
        <v>297650.75211999996</v>
      </c>
      <c r="R11" s="17" t="s">
        <v>11</v>
      </c>
    </row>
    <row r="12" spans="1:20" x14ac:dyDescent="0.2">
      <c r="A12" s="32">
        <v>44682</v>
      </c>
      <c r="C12" s="12">
        <v>4884234</v>
      </c>
      <c r="D12" s="13">
        <v>19781</v>
      </c>
      <c r="E12" s="40">
        <f>44989.08</f>
        <v>44989.08</v>
      </c>
      <c r="F12" s="35">
        <f t="shared" si="0"/>
        <v>44989.08</v>
      </c>
      <c r="G12" s="14">
        <f t="shared" si="1"/>
        <v>25208.080000000002</v>
      </c>
      <c r="H12" s="14">
        <f t="shared" si="2"/>
        <v>25208.080000000002</v>
      </c>
      <c r="I12" s="3">
        <v>0.21</v>
      </c>
      <c r="J12" s="3">
        <v>0.05</v>
      </c>
      <c r="K12" s="9">
        <f t="shared" si="3"/>
        <v>5029.0119600000007</v>
      </c>
      <c r="L12" s="9">
        <f t="shared" si="4"/>
        <v>1260.4040000000002</v>
      </c>
      <c r="M12" s="15">
        <f t="shared" si="5"/>
        <v>60968.247880000017</v>
      </c>
      <c r="N12" s="9">
        <v>0</v>
      </c>
      <c r="Q12">
        <f>+Q11/0.389</f>
        <v>765169.02858611813</v>
      </c>
      <c r="R12" s="9"/>
    </row>
    <row r="13" spans="1:20" x14ac:dyDescent="0.2">
      <c r="A13" s="32">
        <v>44713</v>
      </c>
      <c r="C13" s="12">
        <v>4884234</v>
      </c>
      <c r="D13" s="13">
        <v>19781.490000000002</v>
      </c>
      <c r="E13" s="40">
        <f>44988.5</f>
        <v>44988.5</v>
      </c>
      <c r="F13" s="35">
        <f>44988.5</f>
        <v>44988.5</v>
      </c>
      <c r="G13" s="14">
        <f t="shared" si="1"/>
        <v>25207.01</v>
      </c>
      <c r="H13" s="14">
        <f t="shared" si="2"/>
        <v>25207.01</v>
      </c>
      <c r="I13" s="3">
        <v>0.21</v>
      </c>
      <c r="J13" s="3">
        <v>0.05</v>
      </c>
      <c r="K13" s="9">
        <f t="shared" si="3"/>
        <v>5028.7984949999991</v>
      </c>
      <c r="L13" s="9">
        <f t="shared" si="4"/>
        <v>1260.3505</v>
      </c>
      <c r="M13" s="15">
        <f t="shared" si="5"/>
        <v>67257.39687500002</v>
      </c>
      <c r="N13" s="9">
        <v>0</v>
      </c>
      <c r="Q13" s="9">
        <f>374733-M14</f>
        <v>301186.18716500001</v>
      </c>
    </row>
    <row r="14" spans="1:20" x14ac:dyDescent="0.2">
      <c r="A14" s="32">
        <v>44743</v>
      </c>
      <c r="C14" s="12">
        <v>4884234</v>
      </c>
      <c r="D14" s="13">
        <v>19781</v>
      </c>
      <c r="E14" s="40">
        <f>44989.08</f>
        <v>44989.08</v>
      </c>
      <c r="F14" s="35">
        <f t="shared" si="0"/>
        <v>44989.08</v>
      </c>
      <c r="G14" s="14">
        <f>E14-D14</f>
        <v>25208.080000000002</v>
      </c>
      <c r="H14" s="14">
        <f>F14-D14</f>
        <v>25208.080000000002</v>
      </c>
      <c r="I14" s="3">
        <v>0.21</v>
      </c>
      <c r="J14" s="3">
        <v>0.05</v>
      </c>
      <c r="K14" s="9">
        <f>G14*I14-L14*I14</f>
        <v>5029.0119600000007</v>
      </c>
      <c r="L14" s="9">
        <f>H14*J14</f>
        <v>1260.4040000000002</v>
      </c>
      <c r="M14" s="15">
        <f t="shared" si="5"/>
        <v>73546.812835000019</v>
      </c>
      <c r="N14" s="9">
        <v>0</v>
      </c>
      <c r="Q14">
        <f>+Q13/0.389</f>
        <v>774257.55055269925</v>
      </c>
      <c r="R14" s="9"/>
      <c r="S14" s="9"/>
      <c r="T14" s="9"/>
    </row>
    <row r="15" spans="1:20" x14ac:dyDescent="0.2">
      <c r="A15" s="32">
        <v>44774</v>
      </c>
      <c r="C15" s="12">
        <v>4884234</v>
      </c>
      <c r="D15" s="13">
        <v>19781</v>
      </c>
      <c r="E15" s="40">
        <f>44989.08</f>
        <v>44989.08</v>
      </c>
      <c r="F15" s="35">
        <f t="shared" si="0"/>
        <v>44989.08</v>
      </c>
      <c r="G15" s="14">
        <f>E15-D15</f>
        <v>25208.080000000002</v>
      </c>
      <c r="H15" s="14">
        <f>F15-D15</f>
        <v>25208.080000000002</v>
      </c>
      <c r="I15" s="3">
        <v>0.21</v>
      </c>
      <c r="J15" s="3">
        <v>0.05</v>
      </c>
      <c r="K15" s="9">
        <f>G15*I15-L15*I15</f>
        <v>5029.0119600000007</v>
      </c>
      <c r="L15" s="9">
        <f>H15*J15</f>
        <v>1260.4040000000002</v>
      </c>
      <c r="M15" s="15">
        <f t="shared" si="5"/>
        <v>79836.228795000017</v>
      </c>
      <c r="N15" s="9">
        <v>0</v>
      </c>
      <c r="Q15" s="9">
        <f>+M15-386700</f>
        <v>-306863.771205</v>
      </c>
      <c r="R15" s="19"/>
      <c r="T15" s="9"/>
    </row>
    <row r="16" spans="1:20" x14ac:dyDescent="0.2">
      <c r="A16" s="16"/>
      <c r="C16" s="12"/>
      <c r="D16" s="13"/>
      <c r="E16" s="13"/>
      <c r="F16" s="13"/>
      <c r="G16" s="14"/>
      <c r="H16" s="14"/>
      <c r="I16" s="14"/>
      <c r="J16" s="12"/>
      <c r="K16" s="12"/>
      <c r="L16" s="3"/>
      <c r="M16" s="3"/>
      <c r="N16" s="9"/>
      <c r="O16" s="15"/>
      <c r="P16" s="9"/>
      <c r="Q16">
        <f>+Q15/0.389</f>
        <v>-788852.88227506424</v>
      </c>
    </row>
    <row r="17" spans="1:16" x14ac:dyDescent="0.2">
      <c r="A17" s="16"/>
      <c r="C17" s="12"/>
      <c r="D17" s="13"/>
      <c r="E17" s="13"/>
      <c r="F17" s="13"/>
      <c r="G17" s="14"/>
      <c r="H17" s="14"/>
      <c r="I17" s="14"/>
      <c r="J17" s="12"/>
      <c r="K17" s="12"/>
      <c r="L17" s="3"/>
      <c r="M17" s="3"/>
      <c r="N17" s="9"/>
      <c r="O17" s="15"/>
      <c r="P17" s="9"/>
    </row>
    <row r="18" spans="1:16" x14ac:dyDescent="0.2">
      <c r="A18" s="16"/>
      <c r="C18" s="12"/>
      <c r="D18" s="13"/>
      <c r="E18" s="13"/>
      <c r="F18" s="13"/>
      <c r="G18" s="14"/>
      <c r="H18" s="14"/>
      <c r="I18" s="14"/>
      <c r="J18" s="12"/>
      <c r="K18" s="12"/>
      <c r="L18" s="3"/>
      <c r="M18" s="3"/>
      <c r="N18" s="9"/>
      <c r="O18" s="15"/>
      <c r="P18" s="9"/>
    </row>
    <row r="19" spans="1:16" x14ac:dyDescent="0.2">
      <c r="C19" s="24"/>
      <c r="D19" s="25"/>
      <c r="E19" s="25"/>
      <c r="F19" s="25"/>
      <c r="G19" s="26"/>
      <c r="H19" s="26"/>
    </row>
    <row r="20" spans="1:16" x14ac:dyDescent="0.2">
      <c r="C20" s="24"/>
      <c r="D20" s="25"/>
      <c r="E20" s="25"/>
      <c r="F20" s="25"/>
      <c r="G20" s="26"/>
      <c r="H20" s="26"/>
    </row>
    <row r="21" spans="1:16" x14ac:dyDescent="0.2">
      <c r="C21" s="24"/>
      <c r="D21" s="25"/>
      <c r="E21" s="25"/>
      <c r="F21" s="25"/>
      <c r="G21" s="26"/>
      <c r="H21" s="26"/>
    </row>
    <row r="22" spans="1:16" x14ac:dyDescent="0.2">
      <c r="C22" s="15"/>
      <c r="D22" s="25"/>
      <c r="E22" s="25"/>
      <c r="F22" s="25"/>
      <c r="G22" s="26"/>
      <c r="H22" s="26"/>
    </row>
    <row r="23" spans="1:16" x14ac:dyDescent="0.2">
      <c r="C23" s="27"/>
      <c r="D23" s="25"/>
      <c r="E23" s="25"/>
      <c r="F23" s="25"/>
      <c r="G23" s="25"/>
      <c r="H23" s="25"/>
    </row>
    <row r="24" spans="1:16" x14ac:dyDescent="0.2">
      <c r="C24" s="15"/>
      <c r="D24" s="28"/>
      <c r="E24" s="26"/>
      <c r="F24" s="15"/>
      <c r="G24" s="29"/>
      <c r="H24" s="15"/>
    </row>
    <row r="25" spans="1:16" x14ac:dyDescent="0.2">
      <c r="C25" s="34"/>
      <c r="D25" s="34"/>
      <c r="E25" s="34"/>
      <c r="F25" s="34"/>
      <c r="G25" s="3"/>
      <c r="H25" s="34"/>
    </row>
    <row r="26" spans="1:16" ht="15" x14ac:dyDescent="0.35">
      <c r="C26" s="34"/>
      <c r="D26" s="34"/>
      <c r="E26" s="34"/>
      <c r="F26" s="34"/>
      <c r="G26" s="31"/>
      <c r="H26" s="30"/>
    </row>
    <row r="27" spans="1:16" x14ac:dyDescent="0.2">
      <c r="H27" s="34"/>
    </row>
    <row r="28" spans="1:16" x14ac:dyDescent="0.2">
      <c r="H28" s="34"/>
    </row>
    <row r="29" spans="1:16" x14ac:dyDescent="0.2">
      <c r="C29" s="15"/>
      <c r="D29" s="25"/>
      <c r="E29" s="26"/>
      <c r="F29" s="15"/>
      <c r="G29" s="29"/>
      <c r="H29" s="15"/>
    </row>
    <row r="30" spans="1:16" x14ac:dyDescent="0.2">
      <c r="C30" s="34"/>
      <c r="D30" s="34"/>
      <c r="E30" s="34"/>
      <c r="F30" s="34"/>
      <c r="G30" s="3"/>
      <c r="H30" s="34"/>
    </row>
    <row r="31" spans="1:16" x14ac:dyDescent="0.2">
      <c r="C31" s="34"/>
      <c r="D31" s="34"/>
      <c r="E31" s="34"/>
      <c r="F31" s="34"/>
      <c r="H31" s="34"/>
    </row>
    <row r="32" spans="1:16" x14ac:dyDescent="0.2">
      <c r="C32" s="12"/>
      <c r="D32" s="12"/>
      <c r="E32" s="12"/>
      <c r="F32" s="12"/>
      <c r="G32" s="3"/>
      <c r="H32" s="12"/>
    </row>
    <row r="33" spans="3:8" x14ac:dyDescent="0.2">
      <c r="C33" s="12"/>
      <c r="D33" s="12"/>
      <c r="E33" s="12"/>
      <c r="F33" s="12"/>
      <c r="H33" s="12"/>
    </row>
  </sheetData>
  <pageMargins left="0.5" right="0.5" top="1.5" bottom="0.5" header="0.5" footer="0.5"/>
  <pageSetup scale="56" orientation="portrait" r:id="rId1"/>
  <headerFooter alignWithMargins="0">
    <oddHeader>&amp;R&amp;"Times New Roman,Bold"&amp;12Attachment to Response to Question No. 3
Page 5 of 5
Clements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2024</Year>
    <Filing_x0020_Case_x0020__x0023_ xmlns="65bfb563-8fe2-4d34-a09f-38a217d8feea" xsi:nil="true"/>
    <Construction_x0020_Monitoring_x0020_Description xmlns="65bfb563-8fe2-4d34-a09f-38a217d8feea" xsi:nil="true"/>
    <Review_x0020_Case_x0020_Doc_x0020_Types xmlns="65bfb563-8fe2-4d34-a09f-38a217d8feea">01.2 – 1st Data Request Attachments</Review_x0020_Case_x0020_Doc_x0020_Types>
    <Status xmlns="65bfb563-8fe2-4d34-a09f-38a217d8feea"/>
    <Filing_x0020_Witness xmlns="65bfb563-8fe2-4d34-a09f-38a217d8feea" xsi:nil="true"/>
    <Filings xmlns="65bfb563-8fe2-4d34-a09f-38a217d8feea" xsi:nil="true"/>
    <IconOverlay xmlns="http://schemas.microsoft.com/sharepoint/v4" xsi:nil="true"/>
    <Document_x0020_Type xmlns="65bfb563-8fe2-4d34-a09f-38a217d8feea">
      <Value>ECR</Value>
    </Document_x0020_Type>
    <Filing_x0020_Type xmlns="65bfb563-8fe2-4d34-a09f-38a217d8feea">
      <Value>Review Cases (ECR/FAC/OST)</Value>
    </Filing_x0020_Type>
    <Construction_x0020_Monitoring xmlns="65bfb563-8fe2-4d34-a09f-38a217d8feea" xsi:nil="true"/>
    <Case_x0020__x0023_ xmlns="65bfb563-8fe2-4d34-a09f-38a217d8feea">2023-00375</Case_x0020__x0023_>
    <Review_x0020_Case_x0020_Expense_x0020_Period xmlns="65bfb563-8fe2-4d34-a09f-38a217d8feea">Mar-Feb (ECR)</Review_x0020_Case_x0020_Expense_x0020_Period>
    <Filing_x0020_Doc_x0020_Types xmlns="65bfb563-8fe2-4d34-a09f-38a217d8feea" xsi:nil="true"/>
    <Company xmlns="65bfb563-8fe2-4d34-a09f-38a217d8feea">
      <Value>LGE</Value>
    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32" ma:contentTypeDescription="Create a new document." ma:contentTypeScope="" ma:versionID="9202b90fee17b6f8c867726da0d4e789">
  <xsd:schema xmlns:xsd="http://www.w3.org/2001/XMLSchema" xmlns:xs="http://www.w3.org/2001/XMLSchema" xmlns:p="http://schemas.microsoft.com/office/2006/metadata/properties" xmlns:ns1="http://schemas.microsoft.com/sharepoint/v3" xmlns:ns2="65bfb563-8fe2-4d34-a09f-38a217d8feea" xmlns:ns3="http://schemas.microsoft.com/sharepoint/v4" targetNamespace="http://schemas.microsoft.com/office/2006/metadata/properties" ma:root="true" ma:fieldsID="f66fd574be8513941aebec9a583d385e" ns1:_="" ns2:_="" ns3:_="">
    <xsd:import namespace="http://schemas.microsoft.com/sharepoint/v3"/>
    <xsd:import namespace="65bfb563-8fe2-4d34-a09f-38a217d8fee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3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26"/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Fixed NAS FAC/OSS Factor (NFOF)"/>
                    <xsd:enumeration value="Fuel Supply Contracts (FAC)"/>
                    <xsd:enumeration value="Avoided Energy Cost (LQF)"/>
                    <xsd:enumeration value="Municipal WPS Reports (FAC)"/>
                    <xsd:enumeration value="Quarterly Filings (GSC)"/>
                    <xsd:enumeration value="Annual Filing (DSM)"/>
                    <xsd:enumeration value="Annual Filing (GLT/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/GLT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/Requests for Information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– Briefs"/>
          <xsd:enumeration value="07 – Support"/>
          <xsd:enumeration value="08 – Tariffs"/>
          <xsd:enumeration value="09 – Proof of Publication/Certificate of Notice"/>
          <xsd:enumeration value="10 – eFiled/Filed Documents"/>
          <xsd:enumeration value="10.1 – Application"/>
          <xsd:enumeration value="10.2 – Application - As Filed"/>
          <xsd:enumeration value="11 – Talking Points (Internal Use Only)"/>
          <xsd:enumeration value="12 – Data Request Assignments"/>
          <xsd:enumeration value="13 – Review Checklis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Drake, Michael"/>
          <xsd:enumeration value="Fackler, Andrea"/>
          <xsd:enumeration value="Garrett, Chris"/>
          <xsd:enumeration value="Rahn, Derek"/>
          <xsd:enumeration value="Rieth, Tom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1.5 – 1st Data Request/Testimony Support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06 - Witness E-book"/>
          <xsd:enumeration value="10 – Application"/>
          <xsd:enumeration value="10.1 – Application - As Filed"/>
          <xsd:enumeration value="11 - Talking Points (Internal Use Only)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Billiter, Delbert"/>
          <xsd:enumeration value="Drake, Michael"/>
          <xsd:enumeration value="Fackler, Andrea"/>
          <xsd:enumeration value="Garrett, Christopher"/>
          <xsd:enumeration value="Neal, Susan"/>
          <xsd:enumeration value="Williams, Scott"/>
          <xsd:enumeration value="Multiple"/>
          <xsd:enumeration value="N/A"/>
          <xsd:enumeration value="Rahn, Derek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  <xsd:enumeration value="2020 ECR Plan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880254-AB12-4CBE-8D0F-6924F878301B}">
  <ds:schemaRefs>
    <ds:schemaRef ds:uri="http://schemas.microsoft.com/office/2006/metadata/properties"/>
    <ds:schemaRef ds:uri="http://schemas.microsoft.com/office/infopath/2007/PartnerControls"/>
    <ds:schemaRef ds:uri="65bfb563-8fe2-4d34-a09f-38a217d8feea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0846BA82-C7ED-47F6-95F2-FAD7E64C64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7C7E2-4E7C-419A-84E8-D41A6D3E78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bfb563-8fe2-4d34-a09f-38a217d8fee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Project 24</vt:lpstr>
      <vt:lpstr>Project 25</vt:lpstr>
      <vt:lpstr>Project 29</vt:lpstr>
      <vt:lpstr>Project 30</vt:lpstr>
      <vt:lpstr>Project 31</vt:lpstr>
      <vt:lpstr>'Project 24'!Print_Area</vt:lpstr>
      <vt:lpstr>'Project 25'!Print_Area</vt:lpstr>
      <vt:lpstr>'Project 29'!Print_Area</vt:lpstr>
      <vt:lpstr>'Project 30'!Print_Area</vt:lpstr>
      <vt:lpstr>'Project 31'!Print_Area</vt:lpstr>
    </vt:vector>
  </TitlesOfParts>
  <Company>LG&amp;E Energy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N093419</dc:creator>
  <cp:lastModifiedBy>Fackler, Andrea</cp:lastModifiedBy>
  <cp:lastPrinted>2024-02-14T20:17:09Z</cp:lastPrinted>
  <dcterms:created xsi:type="dcterms:W3CDTF">2006-06-09T14:23:56Z</dcterms:created>
  <dcterms:modified xsi:type="dcterms:W3CDTF">2024-02-14T20:17:14Z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c8e74a-db15-49f1-980d-3d74f2e3ff07_Enabled">
    <vt:lpwstr>true</vt:lpwstr>
  </property>
  <property fmtid="{D5CDD505-2E9C-101B-9397-08002B2CF9AE}" pid="3" name="MSIP_Label_e0c8e74a-db15-49f1-980d-3d74f2e3ff07_SetDate">
    <vt:lpwstr>2024-01-25T18:46:38Z</vt:lpwstr>
  </property>
  <property fmtid="{D5CDD505-2E9C-101B-9397-08002B2CF9AE}" pid="4" name="MSIP_Label_e0c8e74a-db15-49f1-980d-3d74f2e3ff07_Method">
    <vt:lpwstr>Privileged</vt:lpwstr>
  </property>
  <property fmtid="{D5CDD505-2E9C-101B-9397-08002B2CF9AE}" pid="5" name="MSIP_Label_e0c8e74a-db15-49f1-980d-3d74f2e3ff07_Name">
    <vt:lpwstr>376d9127-3fad-41bb7-827b-657efc89d923</vt:lpwstr>
  </property>
  <property fmtid="{D5CDD505-2E9C-101B-9397-08002B2CF9AE}" pid="6" name="MSIP_Label_e0c8e74a-db15-49f1-980d-3d74f2e3ff07_SiteId">
    <vt:lpwstr>25b79aa0-07c6-4d65-9c80-df92aacdc157</vt:lpwstr>
  </property>
  <property fmtid="{D5CDD505-2E9C-101B-9397-08002B2CF9AE}" pid="7" name="MSIP_Label_e0c8e74a-db15-49f1-980d-3d74f2e3ff07_ActionId">
    <vt:lpwstr>0ee475b1-a050-49ed-8e8e-cd5a994cc972</vt:lpwstr>
  </property>
  <property fmtid="{D5CDD505-2E9C-101B-9397-08002B2CF9AE}" pid="8" name="MSIP_Label_e0c8e74a-db15-49f1-980d-3d74f2e3ff07_ContentBits">
    <vt:lpwstr>2</vt:lpwstr>
  </property>
  <property fmtid="{D5CDD505-2E9C-101B-9397-08002B2CF9AE}" pid="9" name="ContentTypeId">
    <vt:lpwstr>0x010100FF510F20E04BCF41BE361D2F61EE6FFA</vt:lpwstr>
  </property>
  <property fmtid="{D5CDD505-2E9C-101B-9397-08002B2CF9AE}" pid="10" name="MSIP_Label_d662fcd2-3ff9-4261-9b26-9dd5808d0bb4_Enabled">
    <vt:lpwstr>true</vt:lpwstr>
  </property>
  <property fmtid="{D5CDD505-2E9C-101B-9397-08002B2CF9AE}" pid="11" name="MSIP_Label_d662fcd2-3ff9-4261-9b26-9dd5808d0bb4_SetDate">
    <vt:lpwstr>2024-02-14T20:17:06Z</vt:lpwstr>
  </property>
  <property fmtid="{D5CDD505-2E9C-101B-9397-08002B2CF9AE}" pid="12" name="MSIP_Label_d662fcd2-3ff9-4261-9b26-9dd5808d0bb4_Method">
    <vt:lpwstr>Privileged</vt:lpwstr>
  </property>
  <property fmtid="{D5CDD505-2E9C-101B-9397-08002B2CF9AE}" pid="13" name="MSIP_Label_d662fcd2-3ff9-4261-9b26-9dd5808d0bb4_Name">
    <vt:lpwstr>d662fcd2-3ff9-4261-9b26-9dd5808d0bb4</vt:lpwstr>
  </property>
  <property fmtid="{D5CDD505-2E9C-101B-9397-08002B2CF9AE}" pid="14" name="MSIP_Label_d662fcd2-3ff9-4261-9b26-9dd5808d0bb4_SiteId">
    <vt:lpwstr>5ee3b0ba-a559-45ee-a69e-6d3e963a3e72</vt:lpwstr>
  </property>
  <property fmtid="{D5CDD505-2E9C-101B-9397-08002B2CF9AE}" pid="15" name="MSIP_Label_d662fcd2-3ff9-4261-9b26-9dd5808d0bb4_ActionId">
    <vt:lpwstr>83ab02cf-f014-4415-9730-7aa45a850b8b</vt:lpwstr>
  </property>
  <property fmtid="{D5CDD505-2E9C-101B-9397-08002B2CF9AE}" pid="16" name="MSIP_Label_d662fcd2-3ff9-4261-9b26-9dd5808d0bb4_ContentBits">
    <vt:lpwstr>0</vt:lpwstr>
  </property>
</Properties>
</file>