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LGE\0 - efiled 02-14-2024\"/>
    </mc:Choice>
  </mc:AlternateContent>
  <xr:revisionPtr revIDLastSave="0" documentId="13_ncr:1_{42D11178-A46E-4FC9-A822-E8C0B7010AEE}" xr6:coauthVersionLast="47" xr6:coauthVersionMax="47" xr10:uidLastSave="{00000000-0000-0000-0000-000000000000}"/>
  <bookViews>
    <workbookView xWindow="-120" yWindow="-120" windowWidth="29040" windowHeight="17025" tabRatio="909" xr2:uid="{00000000-000D-0000-FFFF-FFFF00000000}"/>
  </bookViews>
  <sheets>
    <sheet name="Project 23" sheetId="23" r:id="rId1"/>
    <sheet name="Project 24" sheetId="26" r:id="rId2"/>
    <sheet name="Project 25" sheetId="25" r:id="rId3"/>
    <sheet name="Project 26" sheetId="24" r:id="rId4"/>
    <sheet name="Project 27" sheetId="27" r:id="rId5"/>
    <sheet name="Project 28" sheetId="28" r:id="rId6"/>
    <sheet name="Project 29" sheetId="30" r:id="rId7"/>
    <sheet name="Project 30" sheetId="29" r:id="rId8"/>
  </sheets>
  <definedNames>
    <definedName name="_xlnm.Print_Area" localSheetId="0">'Project 23'!$A$1:$N$15</definedName>
    <definedName name="_xlnm.Print_Area" localSheetId="1">'Project 24'!$A$1:$N$47</definedName>
    <definedName name="_xlnm.Print_Area" localSheetId="2">'Project 25'!$A$1:$N$39</definedName>
    <definedName name="_xlnm.Print_Area" localSheetId="3">'Project 26'!$A$1:$N$99</definedName>
    <definedName name="_xlnm.Print_Area" localSheetId="4">'Project 27'!$A$1:$N$45</definedName>
    <definedName name="_xlnm.Print_Area" localSheetId="5">'Project 28'!$A$1:$N$58</definedName>
    <definedName name="_xlnm.Print_Area" localSheetId="6">'Project 29'!$A$1:$N$43</definedName>
    <definedName name="_xlnm.Print_Area" localSheetId="7">'Project 30'!$A$1:$N$35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30" l="1"/>
  <c r="N12" i="30"/>
  <c r="N11" i="30"/>
  <c r="N10" i="30"/>
  <c r="E34" i="29"/>
  <c r="F33" i="29"/>
  <c r="H33" i="29" s="1"/>
  <c r="D32" i="29"/>
  <c r="F32" i="29" s="1"/>
  <c r="H32" i="29" s="1"/>
  <c r="H34" i="29" s="1"/>
  <c r="F27" i="29"/>
  <c r="E27" i="29"/>
  <c r="H26" i="29"/>
  <c r="F26" i="29"/>
  <c r="F25" i="29"/>
  <c r="H25" i="29" s="1"/>
  <c r="H27" i="29" s="1"/>
  <c r="E41" i="30"/>
  <c r="F41" i="30" s="1"/>
  <c r="H41" i="30" s="1"/>
  <c r="E30" i="30"/>
  <c r="F13" i="30"/>
  <c r="E13" i="30"/>
  <c r="F14" i="30"/>
  <c r="E14" i="30"/>
  <c r="F15" i="30"/>
  <c r="E15" i="30"/>
  <c r="F12" i="30"/>
  <c r="E12" i="30"/>
  <c r="F11" i="30"/>
  <c r="E11" i="30"/>
  <c r="F10" i="30"/>
  <c r="E10" i="30"/>
  <c r="F30" i="30"/>
  <c r="H30" i="30" s="1"/>
  <c r="C41" i="30"/>
  <c r="E40" i="30"/>
  <c r="F40" i="30" s="1"/>
  <c r="H40" i="30" s="1"/>
  <c r="F39" i="30"/>
  <c r="H39" i="30" s="1"/>
  <c r="E39" i="30"/>
  <c r="E38" i="30"/>
  <c r="F38" i="30" s="1"/>
  <c r="H38" i="30" s="1"/>
  <c r="E37" i="30"/>
  <c r="F37" i="30" s="1"/>
  <c r="H37" i="30" s="1"/>
  <c r="E36" i="30"/>
  <c r="D36" i="30"/>
  <c r="C30" i="30"/>
  <c r="E29" i="30"/>
  <c r="F29" i="30" s="1"/>
  <c r="H29" i="30" s="1"/>
  <c r="C29" i="30"/>
  <c r="C40" i="30" s="1"/>
  <c r="E28" i="30"/>
  <c r="F28" i="30" s="1"/>
  <c r="H28" i="30" s="1"/>
  <c r="E27" i="30"/>
  <c r="F27" i="30" s="1"/>
  <c r="H27" i="30" s="1"/>
  <c r="E26" i="30"/>
  <c r="E25" i="30"/>
  <c r="F25" i="30" s="1"/>
  <c r="H58" i="28"/>
  <c r="H42" i="28"/>
  <c r="E57" i="28"/>
  <c r="F56" i="28"/>
  <c r="H56" i="28" s="1"/>
  <c r="F55" i="28"/>
  <c r="H55" i="28" s="1"/>
  <c r="H54" i="28"/>
  <c r="F54" i="28"/>
  <c r="H53" i="28"/>
  <c r="F53" i="28"/>
  <c r="H52" i="28"/>
  <c r="F52" i="28"/>
  <c r="F51" i="28"/>
  <c r="H51" i="28" s="1"/>
  <c r="H50" i="28"/>
  <c r="F50" i="28"/>
  <c r="H49" i="28"/>
  <c r="F49" i="28"/>
  <c r="H48" i="28"/>
  <c r="F48" i="28"/>
  <c r="F47" i="28"/>
  <c r="H47" i="28" s="1"/>
  <c r="H46" i="28"/>
  <c r="F46" i="28"/>
  <c r="H45" i="28"/>
  <c r="F45" i="28"/>
  <c r="D44" i="28"/>
  <c r="F44" i="28" s="1"/>
  <c r="E39" i="28"/>
  <c r="F38" i="28"/>
  <c r="H38" i="28" s="1"/>
  <c r="H37" i="28"/>
  <c r="F37" i="28"/>
  <c r="F36" i="28"/>
  <c r="H36" i="28" s="1"/>
  <c r="F35" i="28"/>
  <c r="H35" i="28" s="1"/>
  <c r="F34" i="28"/>
  <c r="H34" i="28" s="1"/>
  <c r="H33" i="28"/>
  <c r="F33" i="28"/>
  <c r="F32" i="28"/>
  <c r="H32" i="28" s="1"/>
  <c r="F31" i="28"/>
  <c r="H31" i="28" s="1"/>
  <c r="F30" i="28"/>
  <c r="H30" i="28" s="1"/>
  <c r="H29" i="28"/>
  <c r="F29" i="28"/>
  <c r="F28" i="28"/>
  <c r="H28" i="28" s="1"/>
  <c r="F27" i="28"/>
  <c r="H27" i="28" s="1"/>
  <c r="F26" i="28"/>
  <c r="H26" i="28" s="1"/>
  <c r="H25" i="28"/>
  <c r="F25" i="28"/>
  <c r="F39" i="28" s="1"/>
  <c r="H45" i="27"/>
  <c r="H35" i="27"/>
  <c r="E44" i="27"/>
  <c r="F43" i="27"/>
  <c r="H43" i="27" s="1"/>
  <c r="F42" i="27"/>
  <c r="H42" i="27" s="1"/>
  <c r="H41" i="27"/>
  <c r="F41" i="27"/>
  <c r="F40" i="27"/>
  <c r="H40" i="27" s="1"/>
  <c r="F39" i="27"/>
  <c r="H39" i="27" s="1"/>
  <c r="F38" i="27"/>
  <c r="H38" i="27" s="1"/>
  <c r="H37" i="27"/>
  <c r="F37" i="27"/>
  <c r="F44" i="27" s="1"/>
  <c r="D37" i="27"/>
  <c r="E32" i="27"/>
  <c r="H31" i="27"/>
  <c r="F31" i="27"/>
  <c r="H30" i="27"/>
  <c r="F30" i="27"/>
  <c r="H29" i="27"/>
  <c r="F29" i="27"/>
  <c r="F28" i="27"/>
  <c r="F32" i="27" s="1"/>
  <c r="H27" i="27"/>
  <c r="F27" i="27"/>
  <c r="H26" i="27"/>
  <c r="F26" i="27"/>
  <c r="H25" i="27"/>
  <c r="F25" i="27"/>
  <c r="E59" i="24"/>
  <c r="F13" i="24"/>
  <c r="E13" i="24"/>
  <c r="F12" i="24"/>
  <c r="E12" i="24"/>
  <c r="F11" i="24"/>
  <c r="E11" i="24"/>
  <c r="K10" i="24"/>
  <c r="E97" i="24"/>
  <c r="E10" i="24"/>
  <c r="F59" i="24"/>
  <c r="C97" i="24"/>
  <c r="C59" i="24"/>
  <c r="F96" i="24"/>
  <c r="H96" i="24" s="1"/>
  <c r="C96" i="24"/>
  <c r="E95" i="24"/>
  <c r="F95" i="24" s="1"/>
  <c r="H95" i="24" s="1"/>
  <c r="F94" i="24"/>
  <c r="H94" i="24" s="1"/>
  <c r="E93" i="24"/>
  <c r="F93" i="24" s="1"/>
  <c r="H93" i="24" s="1"/>
  <c r="E92" i="24"/>
  <c r="F92" i="24" s="1"/>
  <c r="H92" i="24" s="1"/>
  <c r="F91" i="24"/>
  <c r="H91" i="24" s="1"/>
  <c r="H90" i="24"/>
  <c r="F90" i="24"/>
  <c r="F89" i="24"/>
  <c r="H89" i="24" s="1"/>
  <c r="F88" i="24"/>
  <c r="H88" i="24" s="1"/>
  <c r="F87" i="24"/>
  <c r="H87" i="24" s="1"/>
  <c r="F86" i="24"/>
  <c r="H86" i="24" s="1"/>
  <c r="F85" i="24"/>
  <c r="H85" i="24" s="1"/>
  <c r="F84" i="24"/>
  <c r="H84" i="24" s="1"/>
  <c r="F83" i="24"/>
  <c r="H83" i="24" s="1"/>
  <c r="F82" i="24"/>
  <c r="H82" i="24" s="1"/>
  <c r="F81" i="24"/>
  <c r="H81" i="24" s="1"/>
  <c r="F80" i="24"/>
  <c r="H80" i="24" s="1"/>
  <c r="F79" i="24"/>
  <c r="H79" i="24" s="1"/>
  <c r="H78" i="24"/>
  <c r="F78" i="24"/>
  <c r="F77" i="24"/>
  <c r="H77" i="24" s="1"/>
  <c r="F76" i="24"/>
  <c r="H76" i="24" s="1"/>
  <c r="F75" i="24"/>
  <c r="H75" i="24" s="1"/>
  <c r="H74" i="24"/>
  <c r="F74" i="24"/>
  <c r="H73" i="24"/>
  <c r="F73" i="24"/>
  <c r="F72" i="24"/>
  <c r="H72" i="24" s="1"/>
  <c r="F71" i="24"/>
  <c r="H71" i="24" s="1"/>
  <c r="F70" i="24"/>
  <c r="H70" i="24" s="1"/>
  <c r="H69" i="24"/>
  <c r="F69" i="24"/>
  <c r="F68" i="24"/>
  <c r="H68" i="24" s="1"/>
  <c r="F67" i="24"/>
  <c r="H67" i="24" s="1"/>
  <c r="H66" i="24"/>
  <c r="F66" i="24"/>
  <c r="D65" i="24"/>
  <c r="F65" i="24" s="1"/>
  <c r="F58" i="24"/>
  <c r="H58" i="24" s="1"/>
  <c r="E57" i="24"/>
  <c r="F57" i="24" s="1"/>
  <c r="H57" i="24" s="1"/>
  <c r="C57" i="24"/>
  <c r="C95" i="24" s="1"/>
  <c r="F56" i="24"/>
  <c r="H56" i="24" s="1"/>
  <c r="F55" i="24"/>
  <c r="H55" i="24" s="1"/>
  <c r="F54" i="24"/>
  <c r="H54" i="24" s="1"/>
  <c r="F53" i="24"/>
  <c r="H53" i="24" s="1"/>
  <c r="F52" i="24"/>
  <c r="H52" i="24" s="1"/>
  <c r="F51" i="24"/>
  <c r="H51" i="24" s="1"/>
  <c r="F50" i="24"/>
  <c r="H50" i="24" s="1"/>
  <c r="F49" i="24"/>
  <c r="H49" i="24" s="1"/>
  <c r="F48" i="24"/>
  <c r="H48" i="24" s="1"/>
  <c r="F47" i="24"/>
  <c r="H47" i="24" s="1"/>
  <c r="F46" i="24"/>
  <c r="H46" i="24" s="1"/>
  <c r="F45" i="24"/>
  <c r="H45" i="24" s="1"/>
  <c r="F44" i="24"/>
  <c r="H44" i="24" s="1"/>
  <c r="F43" i="24"/>
  <c r="H43" i="24" s="1"/>
  <c r="F42" i="24"/>
  <c r="H42" i="24" s="1"/>
  <c r="F41" i="24"/>
  <c r="H41" i="24" s="1"/>
  <c r="F40" i="24"/>
  <c r="H40" i="24" s="1"/>
  <c r="F39" i="24"/>
  <c r="H39" i="24" s="1"/>
  <c r="F38" i="24"/>
  <c r="H38" i="24" s="1"/>
  <c r="F37" i="24"/>
  <c r="H37" i="24" s="1"/>
  <c r="F36" i="24"/>
  <c r="H36" i="24" s="1"/>
  <c r="F35" i="24"/>
  <c r="H35" i="24" s="1"/>
  <c r="F34" i="24"/>
  <c r="H34" i="24" s="1"/>
  <c r="F33" i="24"/>
  <c r="H33" i="24" s="1"/>
  <c r="F32" i="24"/>
  <c r="H32" i="24" s="1"/>
  <c r="F31" i="24"/>
  <c r="H31" i="24" s="1"/>
  <c r="F30" i="24"/>
  <c r="H30" i="24" s="1"/>
  <c r="F29" i="24"/>
  <c r="H29" i="24" s="1"/>
  <c r="F28" i="24"/>
  <c r="H28" i="24" s="1"/>
  <c r="F27" i="24"/>
  <c r="H27" i="24" s="1"/>
  <c r="F26" i="24"/>
  <c r="H26" i="24" s="1"/>
  <c r="F25" i="24"/>
  <c r="H25" i="24" s="1"/>
  <c r="E37" i="25"/>
  <c r="E28" i="25"/>
  <c r="E29" i="25" s="1"/>
  <c r="F15" i="25"/>
  <c r="E15" i="25"/>
  <c r="F14" i="25"/>
  <c r="E14" i="25"/>
  <c r="K13" i="25"/>
  <c r="F13" i="25"/>
  <c r="E13" i="25"/>
  <c r="K12" i="25"/>
  <c r="F12" i="25"/>
  <c r="E12" i="25"/>
  <c r="F11" i="25"/>
  <c r="E11" i="25"/>
  <c r="F10" i="25"/>
  <c r="E10" i="25"/>
  <c r="E38" i="25"/>
  <c r="F37" i="25"/>
  <c r="H37" i="25" s="1"/>
  <c r="F36" i="25"/>
  <c r="H36" i="25" s="1"/>
  <c r="H35" i="25"/>
  <c r="F35" i="25"/>
  <c r="D34" i="25"/>
  <c r="F34" i="25" s="1"/>
  <c r="H27" i="25"/>
  <c r="F27" i="25"/>
  <c r="H26" i="25"/>
  <c r="F26" i="25"/>
  <c r="F25" i="25"/>
  <c r="E45" i="26"/>
  <c r="E32" i="26"/>
  <c r="F15" i="26"/>
  <c r="E15" i="26"/>
  <c r="F14" i="26"/>
  <c r="E14" i="26"/>
  <c r="K13" i="26"/>
  <c r="K12" i="26"/>
  <c r="K11" i="26"/>
  <c r="K10" i="26"/>
  <c r="E13" i="26"/>
  <c r="E12" i="26"/>
  <c r="E11" i="26"/>
  <c r="E10" i="26"/>
  <c r="E46" i="26"/>
  <c r="F45" i="26"/>
  <c r="H45" i="26" s="1"/>
  <c r="C45" i="26"/>
  <c r="F44" i="26"/>
  <c r="H44" i="26" s="1"/>
  <c r="C44" i="26"/>
  <c r="F43" i="26"/>
  <c r="H43" i="26" s="1"/>
  <c r="F42" i="26"/>
  <c r="H42" i="26" s="1"/>
  <c r="F41" i="26"/>
  <c r="H41" i="26" s="1"/>
  <c r="F40" i="26"/>
  <c r="H40" i="26" s="1"/>
  <c r="F39" i="26"/>
  <c r="H39" i="26" s="1"/>
  <c r="D38" i="26"/>
  <c r="F38" i="26" s="1"/>
  <c r="E33" i="26"/>
  <c r="F32" i="26"/>
  <c r="H32" i="26" s="1"/>
  <c r="F31" i="26"/>
  <c r="H31" i="26" s="1"/>
  <c r="F30" i="26"/>
  <c r="H30" i="26" s="1"/>
  <c r="F29" i="26"/>
  <c r="H29" i="26" s="1"/>
  <c r="F28" i="26"/>
  <c r="H28" i="26" s="1"/>
  <c r="F27" i="26"/>
  <c r="H27" i="26" s="1"/>
  <c r="F26" i="26"/>
  <c r="H26" i="26" s="1"/>
  <c r="F25" i="26"/>
  <c r="H25" i="26" s="1"/>
  <c r="H35" i="29" l="1"/>
  <c r="H28" i="29"/>
  <c r="H29" i="29" s="1"/>
  <c r="H30" i="29" s="1"/>
  <c r="F34" i="29"/>
  <c r="E42" i="30"/>
  <c r="E31" i="30"/>
  <c r="H25" i="30"/>
  <c r="F26" i="30"/>
  <c r="H26" i="30" s="1"/>
  <c r="F36" i="30"/>
  <c r="F57" i="28"/>
  <c r="H44" i="28"/>
  <c r="H57" i="28" s="1"/>
  <c r="H39" i="28"/>
  <c r="H32" i="27"/>
  <c r="H44" i="27"/>
  <c r="H28" i="27"/>
  <c r="F97" i="24"/>
  <c r="H97" i="24" s="1"/>
  <c r="H98" i="24" s="1"/>
  <c r="H99" i="24" s="1"/>
  <c r="E98" i="24"/>
  <c r="F60" i="24"/>
  <c r="H59" i="24"/>
  <c r="H60" i="24" s="1"/>
  <c r="E60" i="24"/>
  <c r="H65" i="24"/>
  <c r="F28" i="25"/>
  <c r="H28" i="25" s="1"/>
  <c r="F29" i="25"/>
  <c r="F38" i="25"/>
  <c r="H34" i="25"/>
  <c r="H38" i="25" s="1"/>
  <c r="H25" i="25"/>
  <c r="H33" i="26"/>
  <c r="H38" i="26"/>
  <c r="H46" i="26" s="1"/>
  <c r="F46" i="26"/>
  <c r="F33" i="26"/>
  <c r="H36" i="30" l="1"/>
  <c r="H42" i="30" s="1"/>
  <c r="F42" i="30"/>
  <c r="F31" i="30"/>
  <c r="H31" i="30"/>
  <c r="H41" i="28"/>
  <c r="H40" i="28"/>
  <c r="H33" i="27"/>
  <c r="H34" i="27"/>
  <c r="F98" i="24"/>
  <c r="H61" i="24"/>
  <c r="H62" i="24" s="1"/>
  <c r="H63" i="24" s="1"/>
  <c r="H29" i="25"/>
  <c r="H30" i="25"/>
  <c r="H31" i="25" s="1"/>
  <c r="H34" i="26"/>
  <c r="H35" i="26" s="1"/>
  <c r="H32" i="30" l="1"/>
  <c r="H33" i="30" s="1"/>
  <c r="F15" i="29" l="1"/>
  <c r="E15" i="29"/>
  <c r="E14" i="29" l="1"/>
  <c r="F14" i="29"/>
  <c r="E13" i="29"/>
  <c r="F13" i="29" l="1"/>
  <c r="F13" i="28"/>
  <c r="E13" i="28"/>
  <c r="F13" i="27"/>
  <c r="E13" i="27"/>
  <c r="F13" i="26"/>
  <c r="F13" i="23"/>
  <c r="E13" i="23"/>
  <c r="F12" i="29" l="1"/>
  <c r="E12" i="29"/>
  <c r="F12" i="28"/>
  <c r="E12" i="28"/>
  <c r="F12" i="27"/>
  <c r="E12" i="27"/>
  <c r="F12" i="26"/>
  <c r="F12" i="23"/>
  <c r="E12" i="23"/>
  <c r="F11" i="29" l="1"/>
  <c r="E11" i="29"/>
  <c r="F11" i="28"/>
  <c r="E11" i="28"/>
  <c r="F11" i="27"/>
  <c r="E11" i="27"/>
  <c r="F11" i="26"/>
  <c r="E11" i="23"/>
  <c r="F11" i="23"/>
  <c r="E10" i="23" l="1"/>
  <c r="E10" i="29" l="1"/>
  <c r="F10" i="29"/>
  <c r="E10" i="28"/>
  <c r="F10" i="28"/>
  <c r="F10" i="27"/>
  <c r="E10" i="27"/>
  <c r="F10" i="24"/>
  <c r="F10" i="26"/>
  <c r="F10" i="23"/>
  <c r="H15" i="28" l="1"/>
  <c r="G15" i="28"/>
  <c r="H14" i="28"/>
  <c r="G14" i="28"/>
  <c r="G10" i="28" l="1"/>
  <c r="H10" i="28"/>
  <c r="L10" i="28" s="1"/>
  <c r="K10" i="28" l="1"/>
  <c r="H13" i="29" l="1"/>
  <c r="L13" i="29" s="1"/>
  <c r="G13" i="29"/>
  <c r="H12" i="29"/>
  <c r="L12" i="29" s="1"/>
  <c r="G12" i="29"/>
  <c r="H11" i="29"/>
  <c r="L11" i="29" s="1"/>
  <c r="G11" i="29"/>
  <c r="H10" i="29"/>
  <c r="L10" i="29" s="1"/>
  <c r="G10" i="29"/>
  <c r="K11" i="29" l="1"/>
  <c r="K13" i="29"/>
  <c r="K10" i="29"/>
  <c r="K12" i="29"/>
  <c r="H15" i="30" l="1"/>
  <c r="L15" i="30" s="1"/>
  <c r="H43" i="30" s="1"/>
  <c r="G15" i="30"/>
  <c r="H14" i="30"/>
  <c r="L14" i="30" s="1"/>
  <c r="G14" i="30"/>
  <c r="H13" i="30"/>
  <c r="L13" i="30" s="1"/>
  <c r="G13" i="30"/>
  <c r="H12" i="30"/>
  <c r="L12" i="30" s="1"/>
  <c r="G12" i="30"/>
  <c r="H11" i="30"/>
  <c r="L11" i="30" s="1"/>
  <c r="G11" i="30"/>
  <c r="H10" i="30"/>
  <c r="L10" i="30" s="1"/>
  <c r="G10" i="30"/>
  <c r="K15" i="30" l="1"/>
  <c r="H34" i="30" s="1"/>
  <c r="K11" i="30"/>
  <c r="K14" i="30"/>
  <c r="K10" i="30"/>
  <c r="M10" i="30" s="1"/>
  <c r="K13" i="30"/>
  <c r="K12" i="30"/>
  <c r="M11" i="30" l="1"/>
  <c r="M12" i="30" l="1"/>
  <c r="M10" i="29"/>
  <c r="M13" i="30" l="1"/>
  <c r="M11" i="29"/>
  <c r="M10" i="28"/>
  <c r="M14" i="30" l="1"/>
  <c r="M12" i="29"/>
  <c r="M15" i="30" l="1"/>
  <c r="M13" i="29"/>
  <c r="G12" i="28"/>
  <c r="G13" i="27"/>
  <c r="G12" i="27"/>
  <c r="G14" i="24"/>
  <c r="G13" i="24"/>
  <c r="G11" i="24"/>
  <c r="G15" i="25"/>
  <c r="K15" i="25" s="1"/>
  <c r="G15" i="23"/>
  <c r="G12" i="23"/>
  <c r="G10" i="23"/>
  <c r="G11" i="23"/>
  <c r="G15" i="26"/>
  <c r="G10" i="26"/>
  <c r="G15" i="29"/>
  <c r="G14" i="29"/>
  <c r="H14" i="29"/>
  <c r="L14" i="29" s="1"/>
  <c r="H15" i="29"/>
  <c r="H13" i="28"/>
  <c r="L13" i="28" s="1"/>
  <c r="G13" i="28"/>
  <c r="H12" i="28"/>
  <c r="L12" i="28" s="1"/>
  <c r="H11" i="28"/>
  <c r="L11" i="28" s="1"/>
  <c r="G11" i="28"/>
  <c r="L14" i="28"/>
  <c r="H12" i="27"/>
  <c r="L12" i="27" s="1"/>
  <c r="H11" i="27"/>
  <c r="L11" i="27" s="1"/>
  <c r="G10" i="27"/>
  <c r="H10" i="27"/>
  <c r="L10" i="27" s="1"/>
  <c r="G11" i="27"/>
  <c r="H13" i="27"/>
  <c r="L13" i="27" s="1"/>
  <c r="G14" i="27"/>
  <c r="H14" i="27"/>
  <c r="L14" i="27" s="1"/>
  <c r="G15" i="27"/>
  <c r="H15" i="27"/>
  <c r="H13" i="24"/>
  <c r="L13" i="24" s="1"/>
  <c r="H11" i="24"/>
  <c r="L11" i="24" s="1"/>
  <c r="G10" i="24"/>
  <c r="H10" i="24"/>
  <c r="L10" i="24" s="1"/>
  <c r="G12" i="24"/>
  <c r="H12" i="24"/>
  <c r="L12" i="24" s="1"/>
  <c r="H14" i="24"/>
  <c r="L14" i="24" s="1"/>
  <c r="G15" i="24"/>
  <c r="H15" i="24"/>
  <c r="G13" i="25"/>
  <c r="H11" i="25"/>
  <c r="L11" i="25" s="1"/>
  <c r="H12" i="25"/>
  <c r="L12" i="25" s="1"/>
  <c r="H13" i="25"/>
  <c r="L13" i="25" s="1"/>
  <c r="H14" i="25"/>
  <c r="L14" i="25" s="1"/>
  <c r="H15" i="25"/>
  <c r="L15" i="25" s="1"/>
  <c r="H39" i="25" s="1"/>
  <c r="G11" i="25"/>
  <c r="G12" i="25"/>
  <c r="G14" i="25"/>
  <c r="H10" i="25"/>
  <c r="L10" i="25" s="1"/>
  <c r="G10" i="25"/>
  <c r="G11" i="26"/>
  <c r="G12" i="26"/>
  <c r="H12" i="26"/>
  <c r="L12" i="26" s="1"/>
  <c r="G13" i="26"/>
  <c r="G14" i="26"/>
  <c r="H14" i="26"/>
  <c r="L14" i="26" s="1"/>
  <c r="H15" i="26"/>
  <c r="H11" i="26"/>
  <c r="L11" i="26" s="1"/>
  <c r="H13" i="26"/>
  <c r="L13" i="26" s="1"/>
  <c r="H10" i="26"/>
  <c r="L10" i="26" s="1"/>
  <c r="G14" i="23"/>
  <c r="H11" i="23"/>
  <c r="L11" i="23" s="1"/>
  <c r="H12" i="23"/>
  <c r="L12" i="23" s="1"/>
  <c r="G13" i="23"/>
  <c r="H13" i="23"/>
  <c r="L13" i="23" s="1"/>
  <c r="H14" i="23"/>
  <c r="L14" i="23" s="1"/>
  <c r="H15" i="23"/>
  <c r="L15" i="23" s="1"/>
  <c r="H10" i="23"/>
  <c r="L10" i="23" s="1"/>
  <c r="K13" i="24" l="1"/>
  <c r="K12" i="24"/>
  <c r="K11" i="24"/>
  <c r="K14" i="25"/>
  <c r="K11" i="25"/>
  <c r="K10" i="25"/>
  <c r="K14" i="26"/>
  <c r="K14" i="27"/>
  <c r="M10" i="25"/>
  <c r="L15" i="29"/>
  <c r="L15" i="28"/>
  <c r="L15" i="27"/>
  <c r="L15" i="24"/>
  <c r="L15" i="26"/>
  <c r="H47" i="26" s="1"/>
  <c r="K14" i="28"/>
  <c r="H32" i="25"/>
  <c r="M10" i="26"/>
  <c r="K10" i="23"/>
  <c r="M10" i="23" s="1"/>
  <c r="K13" i="23"/>
  <c r="K14" i="24"/>
  <c r="K12" i="23"/>
  <c r="K15" i="23"/>
  <c r="K14" i="23"/>
  <c r="K11" i="23"/>
  <c r="K14" i="29"/>
  <c r="M14" i="29" s="1"/>
  <c r="K13" i="28"/>
  <c r="K12" i="28"/>
  <c r="K11" i="28"/>
  <c r="K13" i="27"/>
  <c r="K12" i="27"/>
  <c r="K11" i="27"/>
  <c r="K10" i="27"/>
  <c r="M10" i="27" s="1"/>
  <c r="M10" i="24"/>
  <c r="K15" i="26" l="1"/>
  <c r="K15" i="28"/>
  <c r="K15" i="27"/>
  <c r="M11" i="25"/>
  <c r="K15" i="29"/>
  <c r="K15" i="24"/>
  <c r="H36" i="26"/>
  <c r="M11" i="27"/>
  <c r="M11" i="24"/>
  <c r="M11" i="26"/>
  <c r="M11" i="23"/>
  <c r="M12" i="27" l="1"/>
  <c r="M12" i="24"/>
  <c r="M12" i="25"/>
  <c r="M12" i="26"/>
  <c r="M12" i="23"/>
  <c r="M15" i="29"/>
  <c r="Q11" i="29"/>
  <c r="Q12" i="29" s="1"/>
  <c r="M13" i="25" l="1"/>
  <c r="M13" i="27"/>
  <c r="M13" i="24"/>
  <c r="M13" i="26"/>
  <c r="M13" i="23"/>
  <c r="Q13" i="29"/>
  <c r="Q14" i="29" s="1"/>
  <c r="M14" i="25" l="1"/>
  <c r="M14" i="26"/>
  <c r="Q15" i="29"/>
  <c r="Q16" i="29" s="1"/>
  <c r="M11" i="28"/>
  <c r="M15" i="25" l="1"/>
  <c r="M15" i="26"/>
  <c r="M12" i="28"/>
  <c r="M13" i="28" l="1"/>
  <c r="Q11" i="28"/>
  <c r="Q12" i="28" s="1"/>
  <c r="Q11" i="24"/>
  <c r="Q12" i="24" s="1"/>
  <c r="Q11" i="27" l="1"/>
  <c r="Q12" i="27" s="1"/>
  <c r="Q15" i="28" l="1"/>
  <c r="Q13" i="28"/>
  <c r="Q14" i="28" s="1"/>
  <c r="Q13" i="27"/>
  <c r="Q14" i="27" s="1"/>
  <c r="Q15" i="27"/>
  <c r="Q16" i="27" s="1"/>
  <c r="Q13" i="24" l="1"/>
  <c r="Q14" i="24" s="1"/>
  <c r="Q15" i="24"/>
  <c r="Q16" i="24" s="1"/>
</calcChain>
</file>

<file path=xl/sharedStrings.xml><?xml version="1.0" encoding="utf-8"?>
<sst xmlns="http://schemas.openxmlformats.org/spreadsheetml/2006/main" count="286" uniqueCount="55">
  <si>
    <t>Month</t>
  </si>
  <si>
    <t>Plant Balance</t>
  </si>
  <si>
    <t>Book Depreciation</t>
  </si>
  <si>
    <t>Louisville Gas and Electric Company</t>
  </si>
  <si>
    <t>Deferred Taxes on Retirements</t>
  </si>
  <si>
    <t>Accumulated Deferred Taxes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</si>
  <si>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</si>
  <si>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</si>
  <si>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</si>
  <si>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</si>
  <si>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</si>
  <si>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</si>
  <si>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</si>
  <si>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</si>
  <si>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</si>
  <si>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27 - Trimble County Unit 1 Air Compliance</t>
  </si>
  <si>
    <t>2016 - Plan</t>
  </si>
  <si>
    <t>Project 28 - Supplemental Mecury Control</t>
  </si>
  <si>
    <t>Project 30 -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</si>
  <si>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</si>
  <si>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</si>
  <si>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</si>
  <si>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</si>
  <si>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</si>
  <si>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</si>
  <si>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</si>
  <si>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</si>
  <si>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 xml:space="preserve">Due to Bonus Depreciation for tax purposes taken on certain components of Project 27,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</si>
  <si>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</si>
  <si>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</si>
  <si>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</si>
  <si>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</si>
  <si>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</si>
  <si>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</si>
  <si>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</si>
  <si>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 xml:space="preserve">Due to Bonus Depreciation for tax purposes taken on certain components of Project 24, the deferred tax calculation for this project </t>
  </si>
  <si>
    <t>State Basis</t>
  </si>
  <si>
    <t>State Tax Depr</t>
  </si>
  <si>
    <t>St. Difference</t>
  </si>
  <si>
    <t>St Def Tax</t>
  </si>
  <si>
    <t>State Offset</t>
  </si>
  <si>
    <t xml:space="preserve">Due to Bonus Depreciation for tax purposes taken on certain components of Project 25, the deferred tax calculation for this project </t>
  </si>
  <si>
    <t>Subtotal</t>
  </si>
  <si>
    <t xml:space="preserve">Due to Bonus Depreciation for tax purposes taken on certain components of Project 26, the deferred tax calculation for this project </t>
  </si>
  <si>
    <t xml:space="preserve">Due to Bonus Depreciation for tax purposes taken on certain components of Project 28, the deferred tax calculation for this project </t>
  </si>
  <si>
    <t xml:space="preserve">Due to Bonus Depreciation for tax purposes taken on certain components of Project 30, the deferred tax calculation for this project </t>
  </si>
  <si>
    <t>Project 24 - Trimble County CCP Storage (Landfill - Phase I)</t>
  </si>
  <si>
    <t>Project 29 - Mill Creek New Process Water Systems</t>
  </si>
  <si>
    <t>The federal deferred tax column includes an amount for amortization of excess deferred tax amounts.</t>
  </si>
  <si>
    <t>depreciation, which reduces the Federal tax basis to 50% of the plant balance.  A sample calculation of deferred taxes for Feb 2021</t>
  </si>
  <si>
    <t>Excess fed deferred tax amortization</t>
  </si>
  <si>
    <t>depreciation, which reduces the Federal tax basis to 50% of the plant balance.  A sample calculation of deferred taxes for Aug 2021</t>
  </si>
  <si>
    <t>Excess deferred tax amortization</t>
  </si>
  <si>
    <t>depreciation, which reduces the Federal tax basis to 50% of the plant balance.  A sample calculation of deferred taxes for Jun 2021</t>
  </si>
  <si>
    <t xml:space="preserve">Due to Bonus Depreciation for tax purposes taken on certain components of Project 29, the deferred tax calculation for this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</si>
</sst>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 applyFill="1" applyAlignment="1"/>
    <xf numFmtId="165" fontId="3" fillId="0" borderId="0" xfId="0" applyNumberFormat="1" applyFont="1" applyFill="1" applyAlignment="1"/>
    <xf numFmtId="165" fontId="2" fillId="0" borderId="0" xfId="0" applyNumberFormat="1" applyFont="1" applyFill="1" applyBorder="1"/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41" fontId="0" fillId="0" borderId="0" xfId="0" applyNumberFormat="1"/>
    <xf numFmtId="166" fontId="1" fillId="0" borderId="0" xfId="1" applyNumberFormat="1"/>
    <xf numFmtId="0" fontId="3" fillId="0" borderId="0" xfId="0" applyFont="1" applyFill="1" applyAlignment="1">
      <alignment horizontal="centerContinuous"/>
    </xf>
    <xf numFmtId="41" fontId="4" fillId="0" borderId="0" xfId="0" applyNumberFormat="1" applyFont="1"/>
    <xf numFmtId="38" fontId="4" fillId="0" borderId="0" xfId="0" applyNumberFormat="1" applyFont="1"/>
    <xf numFmtId="166" fontId="4" fillId="0" borderId="0" xfId="1" applyNumberFormat="1" applyFont="1"/>
    <xf numFmtId="41" fontId="0" fillId="0" borderId="0" xfId="0" applyNumberFormat="1" applyFill="1"/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quotePrefix="1" applyFont="1" applyFill="1" applyBorder="1" applyAlignment="1" applyProtection="1">
      <alignment horizontal="left"/>
    </xf>
    <xf numFmtId="38" fontId="0" fillId="0" borderId="0" xfId="0" applyNumberFormat="1"/>
    <xf numFmtId="165" fontId="2" fillId="0" borderId="0" xfId="0" quotePrefix="1" applyNumberFormat="1" applyFont="1" applyFill="1" applyBorder="1" applyAlignment="1">
      <alignment horizontal="left"/>
    </xf>
    <xf numFmtId="165" fontId="3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166" fontId="0" fillId="0" borderId="0" xfId="0" applyNumberFormat="1"/>
    <xf numFmtId="166" fontId="1" fillId="0" borderId="0" xfId="3" applyNumberFormat="1" applyFont="1" applyFill="1"/>
    <xf numFmtId="43" fontId="1" fillId="0" borderId="0" xfId="3" applyFont="1" applyFill="1"/>
    <xf numFmtId="166" fontId="1" fillId="0" borderId="0" xfId="3" quotePrefix="1" applyNumberFormat="1" applyFont="1" applyFill="1" applyAlignment="1">
      <alignment horizontal="left"/>
    </xf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43" fontId="0" fillId="0" borderId="0" xfId="1" applyFont="1"/>
    <xf numFmtId="43" fontId="0" fillId="0" borderId="0" xfId="1" applyNumberFormat="1" applyFont="1"/>
    <xf numFmtId="41" fontId="1" fillId="0" borderId="0" xfId="0" applyNumberFormat="1" applyFont="1"/>
    <xf numFmtId="164" fontId="1" fillId="0" borderId="0" xfId="0" applyNumberFormat="1" applyFont="1"/>
    <xf numFmtId="41" fontId="1" fillId="0" borderId="1" xfId="0" applyNumberFormat="1" applyFont="1" applyBorder="1"/>
    <xf numFmtId="38" fontId="1" fillId="0" borderId="0" xfId="0" applyNumberFormat="1" applyFont="1"/>
    <xf numFmtId="166" fontId="1" fillId="0" borderId="0" xfId="1" applyNumberFormat="1" applyFont="1"/>
    <xf numFmtId="4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</cellXfs>
  <cellStyles count="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Normal" xfId="0" builtinId="0"/>
    <cellStyle name="Normal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S18"/>
  <sheetViews>
    <sheetView tabSelected="1"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9</v>
      </c>
    </row>
    <row r="6" spans="1:19" x14ac:dyDescent="0.2">
      <c r="A6" s="18" t="s">
        <v>10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-187344</v>
      </c>
    </row>
    <row r="10" spans="1:19" x14ac:dyDescent="0.2">
      <c r="A10" s="29">
        <v>44264</v>
      </c>
      <c r="C10" s="12">
        <v>9599354</v>
      </c>
      <c r="D10" s="13">
        <v>16570</v>
      </c>
      <c r="E10" s="10">
        <f>35693.85+2</f>
        <v>35695.85</v>
      </c>
      <c r="F10" s="10">
        <f>35693.85</f>
        <v>35693.85</v>
      </c>
      <c r="G10" s="12">
        <f t="shared" ref="G10:G15" si="0">E10-D10</f>
        <v>19125.849999999999</v>
      </c>
      <c r="H10" s="12">
        <f t="shared" ref="H10:H15" si="1">F10-D10</f>
        <v>19123.849999999999</v>
      </c>
      <c r="I10" s="3">
        <v>0.21</v>
      </c>
      <c r="J10" s="3">
        <v>0.05</v>
      </c>
      <c r="K10" s="9">
        <f t="shared" ref="K10:K15" si="2">G10*I10-L10*I10</f>
        <v>3815.6280749999996</v>
      </c>
      <c r="L10" s="9">
        <f t="shared" ref="L10:L15" si="3">H10*J10</f>
        <v>956.1925</v>
      </c>
      <c r="M10" s="15">
        <f t="shared" ref="M10:M13" si="4">M9+K10+L10</f>
        <v>-182572.17942500001</v>
      </c>
      <c r="N10" s="9">
        <v>0</v>
      </c>
      <c r="O10" s="31"/>
      <c r="Q10" s="23"/>
    </row>
    <row r="11" spans="1:19" x14ac:dyDescent="0.2">
      <c r="A11" s="29">
        <v>44287</v>
      </c>
      <c r="C11" s="12">
        <v>9599354</v>
      </c>
      <c r="D11" s="13">
        <v>16570</v>
      </c>
      <c r="E11" s="10">
        <f>35693.85</f>
        <v>35693.85</v>
      </c>
      <c r="F11" s="10">
        <f>35693.85</f>
        <v>35693.85</v>
      </c>
      <c r="G11" s="12">
        <f t="shared" si="0"/>
        <v>19123.849999999999</v>
      </c>
      <c r="H11" s="12">
        <f t="shared" si="1"/>
        <v>19123.849999999999</v>
      </c>
      <c r="I11" s="3">
        <v>0.21</v>
      </c>
      <c r="J11" s="3">
        <v>0.05</v>
      </c>
      <c r="K11" s="9">
        <f t="shared" si="2"/>
        <v>3815.2080749999996</v>
      </c>
      <c r="L11" s="9">
        <f t="shared" si="3"/>
        <v>956.1925</v>
      </c>
      <c r="M11" s="15">
        <f t="shared" si="4"/>
        <v>-177800.77885</v>
      </c>
      <c r="N11" s="9">
        <v>0</v>
      </c>
      <c r="O11" s="31"/>
      <c r="Q11" s="9"/>
      <c r="S11" s="9"/>
    </row>
    <row r="12" spans="1:19" x14ac:dyDescent="0.2">
      <c r="A12" s="29">
        <v>44317</v>
      </c>
      <c r="C12" s="12">
        <v>9599354</v>
      </c>
      <c r="D12" s="13">
        <v>16570</v>
      </c>
      <c r="E12" s="10">
        <f>35693.85</f>
        <v>35693.85</v>
      </c>
      <c r="F12" s="10">
        <f>35693.85</f>
        <v>35693.85</v>
      </c>
      <c r="G12" s="12">
        <f t="shared" si="0"/>
        <v>19123.849999999999</v>
      </c>
      <c r="H12" s="12">
        <f t="shared" si="1"/>
        <v>19123.849999999999</v>
      </c>
      <c r="I12" s="3">
        <v>0.21</v>
      </c>
      <c r="J12" s="3">
        <v>0.05</v>
      </c>
      <c r="K12" s="9">
        <f t="shared" si="2"/>
        <v>3815.2080749999996</v>
      </c>
      <c r="L12" s="9">
        <f t="shared" si="3"/>
        <v>956.1925</v>
      </c>
      <c r="M12" s="15">
        <f t="shared" si="4"/>
        <v>-173029.378275</v>
      </c>
      <c r="N12" s="9">
        <v>0</v>
      </c>
      <c r="Q12" s="9"/>
    </row>
    <row r="13" spans="1:19" x14ac:dyDescent="0.2">
      <c r="A13" s="29">
        <v>44348</v>
      </c>
      <c r="C13" s="12">
        <v>9599354</v>
      </c>
      <c r="D13" s="13">
        <v>16570</v>
      </c>
      <c r="E13" s="10">
        <f>35693.85</f>
        <v>35693.85</v>
      </c>
      <c r="F13" s="10">
        <f>35693.85</f>
        <v>35693.85</v>
      </c>
      <c r="G13" s="12">
        <f t="shared" si="0"/>
        <v>19123.849999999999</v>
      </c>
      <c r="H13" s="12">
        <f t="shared" si="1"/>
        <v>19123.849999999999</v>
      </c>
      <c r="I13" s="3">
        <v>0.21</v>
      </c>
      <c r="J13" s="3">
        <v>0.05</v>
      </c>
      <c r="K13" s="9">
        <f t="shared" si="2"/>
        <v>3815.2080749999996</v>
      </c>
      <c r="L13" s="9">
        <f t="shared" si="3"/>
        <v>956.1925</v>
      </c>
      <c r="M13" s="15">
        <f t="shared" si="4"/>
        <v>-168257.97769999999</v>
      </c>
      <c r="N13" s="9">
        <v>0</v>
      </c>
      <c r="Q13" s="12"/>
    </row>
    <row r="14" spans="1:19" x14ac:dyDescent="0.2">
      <c r="A14" s="29">
        <v>44378</v>
      </c>
      <c r="C14" s="12"/>
      <c r="D14" s="13"/>
      <c r="E14" s="10"/>
      <c r="F14" s="10"/>
      <c r="G14" s="12">
        <f t="shared" si="0"/>
        <v>0</v>
      </c>
      <c r="H14" s="12">
        <f t="shared" si="1"/>
        <v>0</v>
      </c>
      <c r="I14" s="3">
        <v>0.21</v>
      </c>
      <c r="J14" s="3">
        <v>0.05</v>
      </c>
      <c r="K14" s="9">
        <f t="shared" si="2"/>
        <v>0</v>
      </c>
      <c r="L14" s="9">
        <f t="shared" si="3"/>
        <v>0</v>
      </c>
      <c r="M14" s="15">
        <v>0</v>
      </c>
      <c r="N14" s="9">
        <v>0</v>
      </c>
      <c r="P14" s="12"/>
      <c r="Q14" s="9"/>
    </row>
    <row r="15" spans="1:19" x14ac:dyDescent="0.2">
      <c r="A15" s="29">
        <v>44409</v>
      </c>
      <c r="C15" s="12"/>
      <c r="D15" s="13"/>
      <c r="E15" s="14"/>
      <c r="F15" s="14"/>
      <c r="G15" s="12">
        <f t="shared" si="0"/>
        <v>0</v>
      </c>
      <c r="H15" s="12">
        <f t="shared" si="1"/>
        <v>0</v>
      </c>
      <c r="I15" s="3">
        <v>0.21</v>
      </c>
      <c r="J15" s="3">
        <v>0.05</v>
      </c>
      <c r="K15" s="9">
        <f t="shared" si="2"/>
        <v>0</v>
      </c>
      <c r="L15" s="9">
        <f t="shared" si="3"/>
        <v>0</v>
      </c>
      <c r="M15" s="15">
        <v>0</v>
      </c>
      <c r="N15" s="9">
        <v>0</v>
      </c>
      <c r="Q15" s="9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1 of 8
Clements</oddHead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20" t="s">
        <v>9</v>
      </c>
    </row>
    <row r="6" spans="1:18" x14ac:dyDescent="0.2">
      <c r="A6" s="21" t="s">
        <v>46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10292082</v>
      </c>
    </row>
    <row r="10" spans="1:18" x14ac:dyDescent="0.2">
      <c r="A10" s="29">
        <v>44264</v>
      </c>
      <c r="C10" s="12">
        <v>110849018</v>
      </c>
      <c r="D10" s="13">
        <v>223666</v>
      </c>
      <c r="E10" s="35">
        <f>385995.72</f>
        <v>385995.72</v>
      </c>
      <c r="F10" s="35">
        <f t="shared" ref="F10:F13" si="0">610631.76</f>
        <v>610631.76</v>
      </c>
      <c r="G10" s="14">
        <f t="shared" ref="G10:G15" si="1">E10-D10</f>
        <v>162329.71999999997</v>
      </c>
      <c r="H10" s="14">
        <f t="shared" ref="H10:H15" si="2">F10-D10</f>
        <v>386965.76000000001</v>
      </c>
      <c r="I10" s="3">
        <v>0.21</v>
      </c>
      <c r="J10" s="3">
        <v>0.05</v>
      </c>
      <c r="K10" s="9">
        <f>G10*I10-L10*I10-150.58</f>
        <v>29875.520719999986</v>
      </c>
      <c r="L10" s="9">
        <f t="shared" ref="L10:L15" si="3">H10*J10</f>
        <v>19348.288</v>
      </c>
      <c r="M10" s="15">
        <f t="shared" ref="M10:M15" si="4">M9+K10+L10</f>
        <v>10341305.80872</v>
      </c>
      <c r="N10" s="9">
        <v>296464.3</v>
      </c>
      <c r="R10" s="23"/>
    </row>
    <row r="11" spans="1:18" x14ac:dyDescent="0.2">
      <c r="A11" s="29">
        <v>44287</v>
      </c>
      <c r="C11" s="12">
        <v>110849018</v>
      </c>
      <c r="D11" s="13">
        <v>223666</v>
      </c>
      <c r="E11" s="35">
        <f>385995.72</f>
        <v>385995.72</v>
      </c>
      <c r="F11" s="35">
        <f t="shared" si="0"/>
        <v>610631.76</v>
      </c>
      <c r="G11" s="14">
        <f t="shared" si="1"/>
        <v>162329.71999999997</v>
      </c>
      <c r="H11" s="14">
        <f t="shared" si="2"/>
        <v>386965.76000000001</v>
      </c>
      <c r="I11" s="3">
        <v>0.21</v>
      </c>
      <c r="J11" s="3">
        <v>0.05</v>
      </c>
      <c r="K11" s="9">
        <f>G11*I11-L11*I11-150.58</f>
        <v>29875.520719999986</v>
      </c>
      <c r="L11" s="9">
        <f t="shared" si="3"/>
        <v>19348.288</v>
      </c>
      <c r="M11" s="15">
        <f t="shared" si="4"/>
        <v>10390529.61744</v>
      </c>
      <c r="N11" s="9">
        <v>296464.3</v>
      </c>
      <c r="Q11" s="9"/>
      <c r="R11" s="23"/>
    </row>
    <row r="12" spans="1:18" x14ac:dyDescent="0.2">
      <c r="A12" s="29">
        <v>44317</v>
      </c>
      <c r="C12" s="12">
        <v>110849018</v>
      </c>
      <c r="D12" s="13">
        <v>223666</v>
      </c>
      <c r="E12" s="35">
        <f>385995.72</f>
        <v>385995.72</v>
      </c>
      <c r="F12" s="35">
        <f t="shared" si="0"/>
        <v>610631.76</v>
      </c>
      <c r="G12" s="14">
        <f t="shared" si="1"/>
        <v>162329.71999999997</v>
      </c>
      <c r="H12" s="14">
        <f t="shared" si="2"/>
        <v>386965.76000000001</v>
      </c>
      <c r="I12" s="3">
        <v>0.21</v>
      </c>
      <c r="J12" s="3">
        <v>0.05</v>
      </c>
      <c r="K12" s="9">
        <f>G12*I12-L12*I12-150.58</f>
        <v>29875.520719999986</v>
      </c>
      <c r="L12" s="9">
        <f t="shared" si="3"/>
        <v>19348.288</v>
      </c>
      <c r="M12" s="15">
        <f t="shared" si="4"/>
        <v>10439753.42616</v>
      </c>
      <c r="N12" s="9">
        <v>296464.3</v>
      </c>
      <c r="R12" s="23"/>
    </row>
    <row r="13" spans="1:18" x14ac:dyDescent="0.2">
      <c r="A13" s="29">
        <v>44348</v>
      </c>
      <c r="C13" s="12">
        <v>110849018</v>
      </c>
      <c r="D13" s="13">
        <v>223666</v>
      </c>
      <c r="E13" s="35">
        <f>385995.72</f>
        <v>385995.72</v>
      </c>
      <c r="F13" s="35">
        <f t="shared" si="0"/>
        <v>610631.76</v>
      </c>
      <c r="G13" s="14">
        <f t="shared" si="1"/>
        <v>162329.71999999997</v>
      </c>
      <c r="H13" s="14">
        <f t="shared" si="2"/>
        <v>386965.76000000001</v>
      </c>
      <c r="I13" s="3">
        <v>0.21</v>
      </c>
      <c r="J13" s="3">
        <v>0.05</v>
      </c>
      <c r="K13" s="9">
        <f>G13*I13-L13*I13-150.58</f>
        <v>29875.520719999986</v>
      </c>
      <c r="L13" s="9">
        <f t="shared" si="3"/>
        <v>19348.288</v>
      </c>
      <c r="M13" s="15">
        <f t="shared" si="4"/>
        <v>10488977.23488</v>
      </c>
      <c r="N13" s="9">
        <v>296464.3</v>
      </c>
      <c r="Q13" s="17"/>
      <c r="R13" s="23"/>
    </row>
    <row r="14" spans="1:18" x14ac:dyDescent="0.2">
      <c r="A14" s="29">
        <v>44378</v>
      </c>
      <c r="C14" s="12">
        <v>111441953</v>
      </c>
      <c r="D14" s="13">
        <v>248490</v>
      </c>
      <c r="E14" s="13">
        <f>385995.72-1311.2</f>
        <v>384684.51999999996</v>
      </c>
      <c r="F14" s="13">
        <f>610631.76-1311.2</f>
        <v>609320.56000000006</v>
      </c>
      <c r="G14" s="14">
        <f t="shared" si="1"/>
        <v>136194.51999999996</v>
      </c>
      <c r="H14" s="14">
        <f t="shared" si="2"/>
        <v>360830.56000000006</v>
      </c>
      <c r="I14" s="3">
        <v>0.21</v>
      </c>
      <c r="J14" s="3">
        <v>0.05</v>
      </c>
      <c r="K14" s="9">
        <f>G14*I14-L14*I14-477.89</f>
        <v>24334.238319999989</v>
      </c>
      <c r="L14" s="9">
        <f t="shared" si="3"/>
        <v>18041.528000000002</v>
      </c>
      <c r="M14" s="15">
        <f t="shared" si="4"/>
        <v>10531353.001200002</v>
      </c>
      <c r="N14" s="9">
        <v>0</v>
      </c>
      <c r="Q14" s="12"/>
      <c r="R14" s="23"/>
    </row>
    <row r="15" spans="1:18" x14ac:dyDescent="0.2">
      <c r="A15" s="29">
        <v>44409</v>
      </c>
      <c r="C15" s="12">
        <v>111441953</v>
      </c>
      <c r="D15" s="13">
        <v>248490</v>
      </c>
      <c r="E15" s="13">
        <f>385995.72-1314.28</f>
        <v>384681.43999999994</v>
      </c>
      <c r="F15" s="13">
        <f>610631.76-1314.28</f>
        <v>609317.48</v>
      </c>
      <c r="G15" s="14">
        <f t="shared" si="1"/>
        <v>136191.43999999994</v>
      </c>
      <c r="H15" s="14">
        <f t="shared" si="2"/>
        <v>360827.48</v>
      </c>
      <c r="I15" s="3">
        <v>0.21</v>
      </c>
      <c r="J15" s="3">
        <v>0.05</v>
      </c>
      <c r="K15" s="9">
        <f>G15*I15-L15*I15-477.89</f>
        <v>24333.623859999989</v>
      </c>
      <c r="L15" s="9">
        <f t="shared" si="3"/>
        <v>18041.374</v>
      </c>
      <c r="M15" s="15">
        <f t="shared" si="4"/>
        <v>10573727.999060001</v>
      </c>
      <c r="N15" s="9">
        <v>0</v>
      </c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30"/>
      <c r="P16" s="9"/>
    </row>
    <row r="17" spans="1:16" x14ac:dyDescent="0.2">
      <c r="A17" s="16"/>
      <c r="C17" s="32" t="s">
        <v>48</v>
      </c>
      <c r="D17" s="35"/>
      <c r="E17" s="35"/>
      <c r="F17" s="35"/>
      <c r="G17" s="36"/>
      <c r="H17" s="36"/>
      <c r="I17" s="36"/>
      <c r="J17" s="32"/>
      <c r="K17" s="32"/>
      <c r="L17" s="3"/>
      <c r="M17" s="3"/>
      <c r="N17" s="9"/>
      <c r="O17" s="30"/>
      <c r="P17" s="9"/>
    </row>
    <row r="18" spans="1:16" x14ac:dyDescent="0.2">
      <c r="A18" s="16"/>
      <c r="C18" s="32"/>
      <c r="D18" s="35"/>
      <c r="E18" s="35"/>
      <c r="F18" s="35"/>
      <c r="G18" s="36"/>
      <c r="H18" s="36"/>
      <c r="I18" s="36"/>
      <c r="J18" s="32"/>
      <c r="K18" s="32"/>
      <c r="L18" s="3"/>
      <c r="M18" s="3"/>
      <c r="N18" s="9"/>
      <c r="O18" s="15"/>
      <c r="P18" s="9"/>
    </row>
    <row r="19" spans="1:16" x14ac:dyDescent="0.2">
      <c r="C19" s="37" t="s">
        <v>35</v>
      </c>
      <c r="D19" s="24"/>
      <c r="E19" s="24"/>
      <c r="F19" s="24"/>
      <c r="G19" s="25"/>
      <c r="H19" s="25"/>
    </row>
    <row r="20" spans="1:16" x14ac:dyDescent="0.2">
      <c r="C20" s="37" t="s">
        <v>28</v>
      </c>
      <c r="D20" s="24"/>
      <c r="E20" s="24"/>
      <c r="F20" s="24"/>
      <c r="G20" s="25"/>
      <c r="H20" s="25"/>
    </row>
    <row r="21" spans="1:16" x14ac:dyDescent="0.2">
      <c r="C21" s="37" t="s">
        <v>51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8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2033858.4350000001</v>
      </c>
      <c r="D25" s="32">
        <v>248490</v>
      </c>
      <c r="E25" s="32">
        <v>8284.58</v>
      </c>
      <c r="F25" s="32">
        <f>E25-D25</f>
        <v>-240205.42</v>
      </c>
      <c r="G25" s="3">
        <v>0.21</v>
      </c>
      <c r="H25" s="32">
        <f>F25*G25</f>
        <v>-50443.138200000001</v>
      </c>
    </row>
    <row r="26" spans="1:16" x14ac:dyDescent="0.2">
      <c r="C26" s="32">
        <v>4041284</v>
      </c>
      <c r="D26" s="32"/>
      <c r="E26" s="32">
        <v>19239.88</v>
      </c>
      <c r="F26" s="32">
        <f t="shared" ref="F26:F32" si="5">E26-D26</f>
        <v>19239.88</v>
      </c>
      <c r="G26" s="3">
        <v>0.21</v>
      </c>
      <c r="H26" s="32">
        <f t="shared" ref="H26:H32" si="6">F26*G26</f>
        <v>4040.3748000000001</v>
      </c>
    </row>
    <row r="27" spans="1:16" x14ac:dyDescent="0.2">
      <c r="C27" s="32">
        <v>199697</v>
      </c>
      <c r="D27" s="32"/>
      <c r="E27" s="32">
        <v>1027.94</v>
      </c>
      <c r="F27" s="32">
        <f t="shared" si="5"/>
        <v>1027.94</v>
      </c>
      <c r="G27" s="3">
        <v>0.21</v>
      </c>
      <c r="H27" s="32">
        <f t="shared" si="6"/>
        <v>215.8674</v>
      </c>
    </row>
    <row r="28" spans="1:16" x14ac:dyDescent="0.2">
      <c r="C28" s="32">
        <v>39689535</v>
      </c>
      <c r="D28" s="32"/>
      <c r="E28" s="32">
        <v>220839.19</v>
      </c>
      <c r="F28" s="32">
        <f t="shared" si="5"/>
        <v>220839.19</v>
      </c>
      <c r="G28" s="3">
        <v>0.21</v>
      </c>
      <c r="H28" s="32">
        <f t="shared" si="6"/>
        <v>46376.229899999998</v>
      </c>
    </row>
    <row r="29" spans="1:16" x14ac:dyDescent="0.2">
      <c r="C29" s="32">
        <v>226548</v>
      </c>
      <c r="D29" s="32"/>
      <c r="E29" s="32">
        <v>1260.55</v>
      </c>
      <c r="F29" s="32">
        <f t="shared" si="5"/>
        <v>1260.55</v>
      </c>
      <c r="G29" s="3">
        <v>0.21</v>
      </c>
      <c r="H29" s="32">
        <f t="shared" si="6"/>
        <v>264.71549999999996</v>
      </c>
    </row>
    <row r="30" spans="1:16" x14ac:dyDescent="0.2">
      <c r="C30" s="32">
        <v>19943355</v>
      </c>
      <c r="D30" s="32"/>
      <c r="E30" s="32">
        <v>119975.9</v>
      </c>
      <c r="F30" s="32">
        <f t="shared" si="5"/>
        <v>119975.9</v>
      </c>
      <c r="G30" s="3">
        <v>0.21</v>
      </c>
      <c r="H30" s="32">
        <f t="shared" si="6"/>
        <v>25194.938999999998</v>
      </c>
      <c r="I30" s="28"/>
    </row>
    <row r="31" spans="1:16" x14ac:dyDescent="0.2">
      <c r="C31" s="32">
        <v>1516.95</v>
      </c>
      <c r="D31" s="32"/>
      <c r="E31" s="32">
        <v>9.1300000000000008</v>
      </c>
      <c r="F31" s="32">
        <f t="shared" si="5"/>
        <v>9.1300000000000008</v>
      </c>
      <c r="G31" s="3">
        <v>0.21</v>
      </c>
      <c r="H31" s="32">
        <f t="shared" si="6"/>
        <v>1.9173</v>
      </c>
    </row>
    <row r="32" spans="1:16" ht="15" x14ac:dyDescent="0.35">
      <c r="C32" s="32">
        <v>2553020.2999999998</v>
      </c>
      <c r="D32" s="32"/>
      <c r="E32" s="27">
        <f>15358.54-1314.5</f>
        <v>14044.04</v>
      </c>
      <c r="F32" s="27">
        <f t="shared" si="5"/>
        <v>14044.04</v>
      </c>
      <c r="G32" s="3">
        <v>0.21</v>
      </c>
      <c r="H32" s="27">
        <f t="shared" si="6"/>
        <v>2949.2483999999999</v>
      </c>
    </row>
    <row r="33" spans="3:9" x14ac:dyDescent="0.2">
      <c r="C33" s="32"/>
      <c r="D33" s="32"/>
      <c r="E33" s="32">
        <f>SUM(E25:E32)</f>
        <v>384681.20999999996</v>
      </c>
      <c r="F33" s="32">
        <f>SUM(F25:F32)</f>
        <v>136191.21</v>
      </c>
      <c r="G33" s="33" t="s">
        <v>42</v>
      </c>
      <c r="H33" s="32">
        <f>SUM(H25:H32)</f>
        <v>28600.154099999996</v>
      </c>
    </row>
    <row r="34" spans="3:9" ht="15" x14ac:dyDescent="0.35">
      <c r="E34" s="9"/>
      <c r="F34" s="9"/>
      <c r="G34" s="28" t="s">
        <v>40</v>
      </c>
      <c r="H34" s="27">
        <f>-H46*0.21</f>
        <v>-3788.6863349999999</v>
      </c>
    </row>
    <row r="35" spans="3:9" x14ac:dyDescent="0.2">
      <c r="H35" s="32">
        <f>H33+H34</f>
        <v>24811.467764999998</v>
      </c>
    </row>
    <row r="36" spans="3:9" x14ac:dyDescent="0.2">
      <c r="H36" s="32">
        <f>H35-K15</f>
        <v>477.84390500000882</v>
      </c>
      <c r="I36" s="28" t="s">
        <v>50</v>
      </c>
    </row>
    <row r="37" spans="3:9" x14ac:dyDescent="0.2">
      <c r="C37" s="9" t="s">
        <v>36</v>
      </c>
      <c r="D37" s="24" t="s">
        <v>31</v>
      </c>
      <c r="E37" s="25" t="s">
        <v>37</v>
      </c>
      <c r="F37" s="9" t="s">
        <v>38</v>
      </c>
      <c r="G37" s="3" t="s">
        <v>24</v>
      </c>
      <c r="H37" s="9" t="s">
        <v>39</v>
      </c>
    </row>
    <row r="38" spans="3:9" x14ac:dyDescent="0.2">
      <c r="C38" s="32">
        <v>4067716.87</v>
      </c>
      <c r="D38" s="32">
        <f>D25</f>
        <v>248490</v>
      </c>
      <c r="E38" s="32">
        <v>16569.169999999998</v>
      </c>
      <c r="F38" s="32">
        <f>E38-D38</f>
        <v>-231920.83000000002</v>
      </c>
      <c r="G38" s="3">
        <v>0.05</v>
      </c>
      <c r="H38" s="32">
        <f>F38*G38</f>
        <v>-11596.041500000001</v>
      </c>
    </row>
    <row r="39" spans="3:9" x14ac:dyDescent="0.2">
      <c r="C39" s="32">
        <v>8082569</v>
      </c>
      <c r="D39" s="32"/>
      <c r="E39" s="32">
        <v>38479.760000000002</v>
      </c>
      <c r="F39" s="32">
        <f t="shared" ref="F39:F45" si="7">E39-D39</f>
        <v>38479.760000000002</v>
      </c>
      <c r="G39" s="3">
        <v>0.05</v>
      </c>
      <c r="H39" s="32">
        <f t="shared" ref="H39:H45" si="8">F39*G39</f>
        <v>1923.9880000000003</v>
      </c>
    </row>
    <row r="40" spans="3:9" x14ac:dyDescent="0.2">
      <c r="C40" s="32">
        <v>199697</v>
      </c>
      <c r="D40" s="32"/>
      <c r="E40" s="32">
        <v>1027.94</v>
      </c>
      <c r="F40" s="32">
        <f t="shared" si="7"/>
        <v>1027.94</v>
      </c>
      <c r="G40" s="3">
        <v>0.05</v>
      </c>
      <c r="H40" s="32">
        <f t="shared" si="8"/>
        <v>51.397000000000006</v>
      </c>
    </row>
    <row r="41" spans="3:9" x14ac:dyDescent="0.2">
      <c r="C41" s="32">
        <v>66149226</v>
      </c>
      <c r="D41" s="32"/>
      <c r="E41" s="32">
        <v>368065.32</v>
      </c>
      <c r="F41" s="32">
        <f t="shared" si="7"/>
        <v>368065.32</v>
      </c>
      <c r="G41" s="3">
        <v>0.05</v>
      </c>
      <c r="H41" s="32">
        <f t="shared" si="8"/>
        <v>18403.266</v>
      </c>
    </row>
    <row r="42" spans="3:9" x14ac:dyDescent="0.2">
      <c r="C42" s="32">
        <v>226548</v>
      </c>
      <c r="D42" s="32"/>
      <c r="E42" s="32">
        <v>1260.55</v>
      </c>
      <c r="F42" s="32">
        <f t="shared" si="7"/>
        <v>1260.55</v>
      </c>
      <c r="G42" s="3">
        <v>0.05</v>
      </c>
      <c r="H42" s="32">
        <f t="shared" si="8"/>
        <v>63.027500000000003</v>
      </c>
    </row>
    <row r="43" spans="3:9" x14ac:dyDescent="0.2">
      <c r="C43" s="32">
        <v>28235715</v>
      </c>
      <c r="E43" s="32">
        <v>169861.36</v>
      </c>
      <c r="F43" s="32">
        <f t="shared" si="7"/>
        <v>169861.36</v>
      </c>
      <c r="G43" s="3">
        <v>0.05</v>
      </c>
      <c r="H43" s="32">
        <f t="shared" si="8"/>
        <v>8493.0679999999993</v>
      </c>
    </row>
    <row r="44" spans="3:9" x14ac:dyDescent="0.2">
      <c r="C44" s="32">
        <f>C31</f>
        <v>1516.95</v>
      </c>
      <c r="E44" s="32">
        <v>9.1300000000000008</v>
      </c>
      <c r="F44" s="32">
        <f t="shared" si="7"/>
        <v>9.1300000000000008</v>
      </c>
      <c r="G44" s="3">
        <v>0.05</v>
      </c>
      <c r="H44" s="32">
        <f t="shared" si="8"/>
        <v>0.45650000000000007</v>
      </c>
    </row>
    <row r="45" spans="3:9" ht="15" x14ac:dyDescent="0.35">
      <c r="C45" s="32">
        <f>C32</f>
        <v>2553020.2999999998</v>
      </c>
      <c r="E45" s="27">
        <f>15358.54-1314.5</f>
        <v>14044.04</v>
      </c>
      <c r="F45" s="27">
        <f t="shared" si="7"/>
        <v>14044.04</v>
      </c>
      <c r="G45" s="3">
        <v>0.05</v>
      </c>
      <c r="H45" s="27">
        <f t="shared" si="8"/>
        <v>702.20200000000011</v>
      </c>
    </row>
    <row r="46" spans="3:9" x14ac:dyDescent="0.2">
      <c r="E46" s="9">
        <f>SUM(E38:E45)</f>
        <v>609317.27</v>
      </c>
      <c r="F46" s="9">
        <f>SUM(F38:F45)</f>
        <v>360827.26999999996</v>
      </c>
      <c r="H46" s="9">
        <f>SUM(H38:H45)</f>
        <v>18041.363499999999</v>
      </c>
    </row>
    <row r="47" spans="3:9" x14ac:dyDescent="0.2">
      <c r="H47" s="9">
        <f>H46-L15</f>
        <v>-1.0500000000320142E-2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2 of 8
Clements</oddHead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R39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6" t="s">
        <v>9</v>
      </c>
    </row>
    <row r="6" spans="1:18" x14ac:dyDescent="0.2">
      <c r="A6" s="18" t="s">
        <v>13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1439780</v>
      </c>
    </row>
    <row r="10" spans="1:18" x14ac:dyDescent="0.2">
      <c r="A10" s="29">
        <v>44264</v>
      </c>
      <c r="C10" s="12">
        <v>7413755</v>
      </c>
      <c r="D10" s="13">
        <v>19482</v>
      </c>
      <c r="E10" s="35">
        <f>15256.58+216.66</f>
        <v>15473.24</v>
      </c>
      <c r="F10" s="35">
        <f>30513.16+216.66</f>
        <v>30729.82</v>
      </c>
      <c r="G10" s="14">
        <f t="shared" ref="G10:G15" si="0">E10-D10</f>
        <v>-4008.76</v>
      </c>
      <c r="H10" s="14">
        <f t="shared" ref="H10:H15" si="1">F10-D10</f>
        <v>11247.82</v>
      </c>
      <c r="I10" s="3">
        <v>0.21</v>
      </c>
      <c r="J10" s="3">
        <v>0.05</v>
      </c>
      <c r="K10" s="9">
        <f t="shared" ref="K10:K15" si="2">G10*I10-L10*I10-737.45</f>
        <v>-1697.3917100000001</v>
      </c>
      <c r="L10" s="9">
        <f t="shared" ref="L10:L15" si="3">H10*J10</f>
        <v>562.39099999999996</v>
      </c>
      <c r="M10" s="15">
        <f t="shared" ref="M10:M15" si="4">M9+K10+L10</f>
        <v>1438644.9992899999</v>
      </c>
      <c r="N10" s="9">
        <v>0</v>
      </c>
      <c r="Q10" s="9"/>
      <c r="R10" s="23"/>
    </row>
    <row r="11" spans="1:18" x14ac:dyDescent="0.2">
      <c r="A11" s="29">
        <v>44287</v>
      </c>
      <c r="C11" s="12">
        <v>7413755</v>
      </c>
      <c r="D11" s="13">
        <v>19482</v>
      </c>
      <c r="E11" s="35">
        <f>15256.58+216.66</f>
        <v>15473.24</v>
      </c>
      <c r="F11" s="35">
        <f>30513.16+216.66</f>
        <v>30729.82</v>
      </c>
      <c r="G11" s="14">
        <f t="shared" si="0"/>
        <v>-4008.76</v>
      </c>
      <c r="H11" s="14">
        <f t="shared" si="1"/>
        <v>11247.82</v>
      </c>
      <c r="I11" s="3">
        <v>0.21</v>
      </c>
      <c r="J11" s="3">
        <v>0.05</v>
      </c>
      <c r="K11" s="9">
        <f t="shared" si="2"/>
        <v>-1697.3917100000001</v>
      </c>
      <c r="L11" s="9">
        <f t="shared" si="3"/>
        <v>562.39099999999996</v>
      </c>
      <c r="M11" s="15">
        <f t="shared" si="4"/>
        <v>1437509.9985799999</v>
      </c>
      <c r="N11" s="9">
        <v>0</v>
      </c>
      <c r="Q11" s="9"/>
      <c r="R11" s="23"/>
    </row>
    <row r="12" spans="1:18" x14ac:dyDescent="0.2">
      <c r="A12" s="29">
        <v>44317</v>
      </c>
      <c r="C12" s="12">
        <v>7413755</v>
      </c>
      <c r="D12" s="13">
        <v>19482</v>
      </c>
      <c r="E12" s="35">
        <f>15256.58+216.66</f>
        <v>15473.24</v>
      </c>
      <c r="F12" s="35">
        <f>30513.16+216.66</f>
        <v>30729.82</v>
      </c>
      <c r="G12" s="14">
        <f t="shared" si="0"/>
        <v>-4008.76</v>
      </c>
      <c r="H12" s="14">
        <f t="shared" si="1"/>
        <v>11247.82</v>
      </c>
      <c r="I12" s="3">
        <v>0.21</v>
      </c>
      <c r="J12" s="3">
        <v>0.05</v>
      </c>
      <c r="K12" s="9">
        <f t="shared" si="2"/>
        <v>-1697.3917100000001</v>
      </c>
      <c r="L12" s="9">
        <f t="shared" si="3"/>
        <v>562.39099999999996</v>
      </c>
      <c r="M12" s="15">
        <f t="shared" si="4"/>
        <v>1436374.9978699998</v>
      </c>
      <c r="N12" s="9">
        <v>0</v>
      </c>
      <c r="R12" s="23"/>
    </row>
    <row r="13" spans="1:18" x14ac:dyDescent="0.2">
      <c r="A13" s="29">
        <v>44348</v>
      </c>
      <c r="C13" s="12">
        <v>7413755</v>
      </c>
      <c r="D13" s="13">
        <v>19482</v>
      </c>
      <c r="E13" s="35">
        <f>15256.58+216.66</f>
        <v>15473.24</v>
      </c>
      <c r="F13" s="35">
        <f>30513.16+216.66</f>
        <v>30729.82</v>
      </c>
      <c r="G13" s="14">
        <f t="shared" si="0"/>
        <v>-4008.76</v>
      </c>
      <c r="H13" s="14">
        <f t="shared" si="1"/>
        <v>11247.82</v>
      </c>
      <c r="I13" s="3">
        <v>0.21</v>
      </c>
      <c r="J13" s="3">
        <v>0.05</v>
      </c>
      <c r="K13" s="9">
        <f t="shared" si="2"/>
        <v>-1697.3917100000001</v>
      </c>
      <c r="L13" s="9">
        <f t="shared" si="3"/>
        <v>562.39099999999996</v>
      </c>
      <c r="M13" s="15">
        <f t="shared" si="4"/>
        <v>1435239.9971599998</v>
      </c>
      <c r="N13" s="9">
        <v>0</v>
      </c>
      <c r="R13" s="23"/>
    </row>
    <row r="14" spans="1:18" x14ac:dyDescent="0.2">
      <c r="A14" s="29">
        <v>44378</v>
      </c>
      <c r="C14" s="12">
        <v>7413755</v>
      </c>
      <c r="D14" s="13">
        <v>21906</v>
      </c>
      <c r="E14" s="35">
        <f>15256.58+216.66-433.7</f>
        <v>15039.539999999999</v>
      </c>
      <c r="F14" s="35">
        <f>30513.16+216.66-433.7</f>
        <v>30296.12</v>
      </c>
      <c r="G14" s="14">
        <f t="shared" si="0"/>
        <v>-6866.4600000000009</v>
      </c>
      <c r="H14" s="14">
        <f t="shared" si="1"/>
        <v>8390.119999999999</v>
      </c>
      <c r="I14" s="3">
        <v>0.21</v>
      </c>
      <c r="J14" s="3">
        <v>0.05</v>
      </c>
      <c r="K14" s="9">
        <f t="shared" si="2"/>
        <v>-2267.5028600000005</v>
      </c>
      <c r="L14" s="9">
        <f t="shared" si="3"/>
        <v>419.50599999999997</v>
      </c>
      <c r="M14" s="15">
        <f t="shared" si="4"/>
        <v>1433392.0003</v>
      </c>
      <c r="N14" s="9">
        <v>0</v>
      </c>
      <c r="O14" s="30"/>
      <c r="R14" s="23"/>
    </row>
    <row r="15" spans="1:18" x14ac:dyDescent="0.2">
      <c r="A15" s="29">
        <v>44409</v>
      </c>
      <c r="C15" s="12">
        <v>7413755</v>
      </c>
      <c r="D15" s="13">
        <v>21906</v>
      </c>
      <c r="E15" s="35">
        <f>15256.58+216.66-433.7</f>
        <v>15039.539999999999</v>
      </c>
      <c r="F15" s="35">
        <f>30513.16+216.66-433.7</f>
        <v>30296.12</v>
      </c>
      <c r="G15" s="14">
        <f t="shared" si="0"/>
        <v>-6866.4600000000009</v>
      </c>
      <c r="H15" s="14">
        <f t="shared" si="1"/>
        <v>8390.119999999999</v>
      </c>
      <c r="I15" s="3">
        <v>0.21</v>
      </c>
      <c r="J15" s="3">
        <v>0.05</v>
      </c>
      <c r="K15" s="9">
        <f t="shared" si="2"/>
        <v>-2267.5028600000005</v>
      </c>
      <c r="L15" s="9">
        <f t="shared" si="3"/>
        <v>419.50599999999997</v>
      </c>
      <c r="M15" s="15">
        <f t="shared" si="4"/>
        <v>1431544.0034400001</v>
      </c>
      <c r="N15" s="9">
        <v>0</v>
      </c>
      <c r="O15" s="30"/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9" t="s">
        <v>48</v>
      </c>
      <c r="D17" s="35"/>
      <c r="E17" s="35"/>
      <c r="F17" s="35"/>
      <c r="G17" s="36"/>
      <c r="H17" s="36"/>
      <c r="I17" s="36"/>
      <c r="J17" s="32"/>
      <c r="K17" s="32"/>
      <c r="L17" s="3"/>
      <c r="M17" s="3"/>
      <c r="N17" s="9"/>
      <c r="O17" s="15"/>
      <c r="P17" s="9"/>
    </row>
    <row r="18" spans="1:16" x14ac:dyDescent="0.2">
      <c r="A18" s="16"/>
      <c r="C18" s="32"/>
      <c r="D18" s="35"/>
      <c r="E18" s="35"/>
      <c r="F18" s="35"/>
      <c r="G18" s="36"/>
      <c r="H18" s="36"/>
      <c r="I18" s="36"/>
      <c r="J18" s="32"/>
      <c r="K18" s="32"/>
      <c r="L18" s="3"/>
      <c r="M18" s="3"/>
      <c r="N18" s="9"/>
      <c r="O18" s="15"/>
      <c r="P18" s="9"/>
    </row>
    <row r="19" spans="1:16" x14ac:dyDescent="0.2">
      <c r="C19" s="37" t="s">
        <v>41</v>
      </c>
      <c r="D19" s="24"/>
      <c r="E19" s="24"/>
      <c r="F19" s="24"/>
      <c r="G19" s="25"/>
      <c r="H19" s="25"/>
    </row>
    <row r="20" spans="1:16" x14ac:dyDescent="0.2">
      <c r="C20" s="37" t="s">
        <v>28</v>
      </c>
      <c r="D20" s="24"/>
      <c r="E20" s="24"/>
      <c r="F20" s="24"/>
      <c r="G20" s="25"/>
      <c r="H20" s="25"/>
    </row>
    <row r="21" spans="1:16" x14ac:dyDescent="0.2">
      <c r="C21" s="37" t="s">
        <v>51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8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2318136</v>
      </c>
      <c r="D25" s="32">
        <v>21906</v>
      </c>
      <c r="E25" s="32">
        <v>8617.67</v>
      </c>
      <c r="F25" s="32">
        <f>E25-D25</f>
        <v>-13288.33</v>
      </c>
      <c r="G25" s="3">
        <v>0.21</v>
      </c>
      <c r="H25" s="32">
        <f>F25*G25</f>
        <v>-2790.5492999999997</v>
      </c>
    </row>
    <row r="26" spans="1:16" x14ac:dyDescent="0.2">
      <c r="C26" s="32">
        <v>-39771</v>
      </c>
      <c r="D26" s="32"/>
      <c r="E26" s="32">
        <v>-162</v>
      </c>
      <c r="F26" s="32">
        <f t="shared" ref="F26:F28" si="5">E26-D26</f>
        <v>-162</v>
      </c>
      <c r="G26" s="3">
        <v>0.21</v>
      </c>
      <c r="H26" s="32">
        <f t="shared" ref="H26:H28" si="6">F26*G26</f>
        <v>-34.019999999999996</v>
      </c>
    </row>
    <row r="27" spans="1:16" x14ac:dyDescent="0.2">
      <c r="C27" s="32">
        <v>1088793</v>
      </c>
      <c r="D27" s="32"/>
      <c r="E27" s="32">
        <v>5183.5600000000004</v>
      </c>
      <c r="F27" s="32">
        <f t="shared" si="5"/>
        <v>5183.5600000000004</v>
      </c>
      <c r="G27" s="3">
        <v>0.21</v>
      </c>
      <c r="H27" s="32">
        <f t="shared" si="6"/>
        <v>1088.5476000000001</v>
      </c>
    </row>
    <row r="28" spans="1:16" ht="15" x14ac:dyDescent="0.35">
      <c r="C28" s="32">
        <v>339720</v>
      </c>
      <c r="D28" s="32"/>
      <c r="E28" s="27">
        <f>1617.35-217</f>
        <v>1400.35</v>
      </c>
      <c r="F28" s="27">
        <f t="shared" si="5"/>
        <v>1400.35</v>
      </c>
      <c r="G28" s="3">
        <v>0.21</v>
      </c>
      <c r="H28" s="27">
        <f t="shared" si="6"/>
        <v>294.07349999999997</v>
      </c>
    </row>
    <row r="29" spans="1:16" x14ac:dyDescent="0.2">
      <c r="C29" s="32"/>
      <c r="D29" s="32"/>
      <c r="E29" s="32">
        <f>SUM(E25:E28)</f>
        <v>15039.58</v>
      </c>
      <c r="F29" s="32">
        <f>SUM(F25:F28)</f>
        <v>-6866.42</v>
      </c>
      <c r="G29" s="33" t="s">
        <v>42</v>
      </c>
      <c r="H29" s="32">
        <f>SUM(H25:H28)</f>
        <v>-1441.9481999999996</v>
      </c>
    </row>
    <row r="30" spans="1:16" x14ac:dyDescent="0.2">
      <c r="E30" s="9"/>
      <c r="F30" s="9"/>
      <c r="G30" s="28" t="s">
        <v>40</v>
      </c>
      <c r="H30" s="32">
        <f>-H38*0.21</f>
        <v>-88.096680000000021</v>
      </c>
    </row>
    <row r="31" spans="1:16" x14ac:dyDescent="0.2">
      <c r="H31" s="9">
        <f>H29+H30</f>
        <v>-1530.0448799999997</v>
      </c>
    </row>
    <row r="32" spans="1:16" x14ac:dyDescent="0.2">
      <c r="H32" s="9">
        <f>H31-K15</f>
        <v>737.45798000000082</v>
      </c>
      <c r="I32" s="28" t="s">
        <v>52</v>
      </c>
    </row>
    <row r="33" spans="3:8" x14ac:dyDescent="0.2">
      <c r="C33" s="9" t="s">
        <v>36</v>
      </c>
      <c r="D33" s="24" t="s">
        <v>31</v>
      </c>
      <c r="E33" s="25" t="s">
        <v>37</v>
      </c>
      <c r="F33" s="9" t="s">
        <v>38</v>
      </c>
      <c r="G33" s="3" t="s">
        <v>24</v>
      </c>
      <c r="H33" s="9" t="s">
        <v>39</v>
      </c>
    </row>
    <row r="34" spans="3:8" x14ac:dyDescent="0.2">
      <c r="C34" s="32">
        <v>4636272</v>
      </c>
      <c r="D34" s="32">
        <f>D25</f>
        <v>21906</v>
      </c>
      <c r="E34" s="32">
        <v>17235.34</v>
      </c>
      <c r="F34" s="32">
        <f>E34-D34</f>
        <v>-4670.66</v>
      </c>
      <c r="G34" s="3">
        <v>0.05</v>
      </c>
      <c r="H34" s="32">
        <f>F34*G34</f>
        <v>-233.53300000000002</v>
      </c>
    </row>
    <row r="35" spans="3:8" x14ac:dyDescent="0.2">
      <c r="C35" s="32">
        <v>-79542</v>
      </c>
      <c r="D35" s="32"/>
      <c r="E35" s="32">
        <v>-324</v>
      </c>
      <c r="F35" s="32">
        <f t="shared" ref="F35:F37" si="7">E35-D35</f>
        <v>-324</v>
      </c>
      <c r="G35" s="3">
        <v>0.05</v>
      </c>
      <c r="H35" s="32">
        <f t="shared" ref="H35:H37" si="8">F35*G35</f>
        <v>-16.2</v>
      </c>
    </row>
    <row r="36" spans="3:8" x14ac:dyDescent="0.2">
      <c r="C36" s="32">
        <v>2177586</v>
      </c>
      <c r="D36" s="32"/>
      <c r="E36" s="32">
        <v>10367.120000000001</v>
      </c>
      <c r="F36" s="32">
        <f t="shared" si="7"/>
        <v>10367.120000000001</v>
      </c>
      <c r="G36" s="3">
        <v>0.05</v>
      </c>
      <c r="H36" s="32">
        <f t="shared" si="8"/>
        <v>518.35600000000011</v>
      </c>
    </row>
    <row r="37" spans="3:8" ht="15" x14ac:dyDescent="0.35">
      <c r="C37" s="32">
        <v>679439</v>
      </c>
      <c r="D37" s="32"/>
      <c r="E37" s="27">
        <f>3234.7-217</f>
        <v>3017.7</v>
      </c>
      <c r="F37" s="27">
        <f t="shared" si="7"/>
        <v>3017.7</v>
      </c>
      <c r="G37" s="3">
        <v>0.05</v>
      </c>
      <c r="H37" s="27">
        <f t="shared" si="8"/>
        <v>150.88499999999999</v>
      </c>
    </row>
    <row r="38" spans="3:8" x14ac:dyDescent="0.2">
      <c r="E38" s="9">
        <f>SUM(E34:E37)</f>
        <v>30296.16</v>
      </c>
      <c r="F38" s="9">
        <f>SUM(F34:F37)</f>
        <v>8390.16</v>
      </c>
      <c r="H38" s="9">
        <f>SUM(H34:H37)</f>
        <v>419.5080000000001</v>
      </c>
    </row>
    <row r="39" spans="3:8" x14ac:dyDescent="0.2">
      <c r="H39" s="9">
        <f>H38-L15</f>
        <v>2.0000000001232365E-3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3 of 8
Clements</oddHeader>
    <oddFooter>&amp;L_x000D_&amp;1#&amp;"Calibri"&amp;14&amp;K000000 Business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S99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4" customWidth="1"/>
    <col min="4" max="4" width="12.7109375" customWidth="1"/>
    <col min="5" max="5" width="16.7109375" customWidth="1"/>
    <col min="6" max="6" width="15" customWidth="1"/>
    <col min="7" max="14" width="12.7109375" customWidth="1"/>
    <col min="15" max="15" width="13.5703125" bestFit="1" customWidth="1"/>
    <col min="16" max="16" width="12.7109375" customWidth="1"/>
    <col min="17" max="17" width="9.28515625" hidden="1" customWidth="1"/>
    <col min="18" max="18" width="11.7109375" bestFit="1" customWidth="1"/>
    <col min="19" max="19" width="12.425781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11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243605643</v>
      </c>
    </row>
    <row r="10" spans="1:19" x14ac:dyDescent="0.2">
      <c r="A10" s="29">
        <v>44264</v>
      </c>
      <c r="C10" s="12">
        <v>1038657007</v>
      </c>
      <c r="D10" s="13">
        <v>4396151</v>
      </c>
      <c r="E10" s="35">
        <f>3146634.5</f>
        <v>3146634.5</v>
      </c>
      <c r="F10" s="35">
        <f>6202308.31</f>
        <v>6202308.3099999996</v>
      </c>
      <c r="G10" s="14">
        <f t="shared" ref="G10:G15" si="0">E10-D10</f>
        <v>-1249516.5</v>
      </c>
      <c r="H10" s="14">
        <f t="shared" ref="H10:H15" si="1">F10-D10</f>
        <v>1806157.3099999996</v>
      </c>
      <c r="I10" s="3">
        <v>0.21</v>
      </c>
      <c r="J10" s="3">
        <v>0.05</v>
      </c>
      <c r="K10" s="9">
        <f>G10*I10-L10*I10-216719</f>
        <v>-498082.11675499997</v>
      </c>
      <c r="L10" s="9">
        <f t="shared" ref="L10:L15" si="2">H10*J10</f>
        <v>90307.865499999985</v>
      </c>
      <c r="M10" s="15">
        <f t="shared" ref="M10:M13" si="3">M9+K10+L10</f>
        <v>243197868.74874499</v>
      </c>
      <c r="N10" s="9">
        <v>283944.40000000002</v>
      </c>
      <c r="O10" s="30"/>
      <c r="S10" s="23"/>
    </row>
    <row r="11" spans="1:19" x14ac:dyDescent="0.2">
      <c r="A11" s="29">
        <v>44287</v>
      </c>
      <c r="C11" s="12">
        <v>1039571916</v>
      </c>
      <c r="D11" s="13">
        <v>4398495</v>
      </c>
      <c r="E11" s="35">
        <f>3150446.62-2087.35</f>
        <v>3148359.27</v>
      </c>
      <c r="F11" s="35">
        <f>6206120.43-2087.35</f>
        <v>6204033.0800000001</v>
      </c>
      <c r="G11" s="14">
        <f t="shared" si="0"/>
        <v>-1250135.73</v>
      </c>
      <c r="H11" s="14">
        <f t="shared" si="1"/>
        <v>1805538.08</v>
      </c>
      <c r="I11" s="3">
        <v>0.21</v>
      </c>
      <c r="J11" s="3">
        <v>0.05</v>
      </c>
      <c r="K11" s="9">
        <f>G11*I11-L11*I11-216719</f>
        <v>-498205.65314000001</v>
      </c>
      <c r="L11" s="9">
        <f t="shared" si="2"/>
        <v>90276.90400000001</v>
      </c>
      <c r="M11" s="15">
        <f t="shared" si="3"/>
        <v>242789939.999605</v>
      </c>
      <c r="N11" s="9">
        <v>368892.42</v>
      </c>
      <c r="O11" s="30"/>
      <c r="Q11" s="9">
        <f>358619-M12</f>
        <v>-242023392.998965</v>
      </c>
      <c r="S11" s="23"/>
    </row>
    <row r="12" spans="1:19" x14ac:dyDescent="0.2">
      <c r="A12" s="29">
        <v>44317</v>
      </c>
      <c r="C12" s="12">
        <v>1039571916</v>
      </c>
      <c r="D12" s="13">
        <v>4400839</v>
      </c>
      <c r="E12" s="35">
        <f>3150446.62+259.65</f>
        <v>3150706.27</v>
      </c>
      <c r="F12" s="35">
        <f>6206120.43+259.65</f>
        <v>6206380.0800000001</v>
      </c>
      <c r="G12" s="14">
        <f t="shared" si="0"/>
        <v>-1250132.73</v>
      </c>
      <c r="H12" s="14">
        <f t="shared" si="1"/>
        <v>1805541.08</v>
      </c>
      <c r="I12" s="3">
        <v>0.21</v>
      </c>
      <c r="J12" s="3">
        <v>0.05</v>
      </c>
      <c r="K12" s="9">
        <f>G12*I12-L12*I12-216719</f>
        <v>-498205.05463999999</v>
      </c>
      <c r="L12" s="9">
        <f t="shared" si="2"/>
        <v>90277.054000000004</v>
      </c>
      <c r="M12" s="15">
        <f t="shared" si="3"/>
        <v>242382011.998965</v>
      </c>
      <c r="N12" s="9">
        <v>495504.78</v>
      </c>
      <c r="Q12">
        <f>+Q11/0.389</f>
        <v>-622168105.3957969</v>
      </c>
      <c r="R12" s="9"/>
      <c r="S12" s="23"/>
    </row>
    <row r="13" spans="1:19" x14ac:dyDescent="0.2">
      <c r="A13" s="29">
        <v>44348</v>
      </c>
      <c r="C13" s="12">
        <v>1040712482</v>
      </c>
      <c r="D13" s="13">
        <v>4403458</v>
      </c>
      <c r="E13" s="35">
        <f>3156556.8-1989</f>
        <v>3154567.8</v>
      </c>
      <c r="F13" s="35">
        <f>6212230.61-1989</f>
        <v>6210241.6100000003</v>
      </c>
      <c r="G13" s="14">
        <f t="shared" si="0"/>
        <v>-1248890.2000000002</v>
      </c>
      <c r="H13" s="14">
        <f t="shared" si="1"/>
        <v>1806783.6100000003</v>
      </c>
      <c r="I13" s="3">
        <v>0.21</v>
      </c>
      <c r="J13" s="3">
        <v>0.05</v>
      </c>
      <c r="K13" s="9">
        <f>G13*I13-L13*I13-216719</f>
        <v>-497957.16990500002</v>
      </c>
      <c r="L13" s="9">
        <f t="shared" si="2"/>
        <v>90339.180500000017</v>
      </c>
      <c r="M13" s="15">
        <f t="shared" si="3"/>
        <v>241974394.00955999</v>
      </c>
      <c r="N13" s="9">
        <v>492243.74</v>
      </c>
      <c r="Q13" s="9">
        <f>374733-M14</f>
        <v>374733</v>
      </c>
      <c r="S13" s="23"/>
    </row>
    <row r="14" spans="1:19" x14ac:dyDescent="0.2">
      <c r="A14" s="29">
        <v>44378</v>
      </c>
      <c r="C14" s="12"/>
      <c r="D14" s="13"/>
      <c r="E14" s="35"/>
      <c r="F14" s="35"/>
      <c r="G14" s="14">
        <f t="shared" si="0"/>
        <v>0</v>
      </c>
      <c r="H14" s="14">
        <f t="shared" si="1"/>
        <v>0</v>
      </c>
      <c r="I14" s="3">
        <v>0.21</v>
      </c>
      <c r="J14" s="3">
        <v>0.05</v>
      </c>
      <c r="K14" s="9">
        <f t="shared" ref="K14:K15" si="4">G14*I14-L14*I14</f>
        <v>0</v>
      </c>
      <c r="L14" s="9">
        <f t="shared" si="2"/>
        <v>0</v>
      </c>
      <c r="M14" s="15">
        <v>0</v>
      </c>
      <c r="N14" s="9">
        <v>0</v>
      </c>
      <c r="Q14">
        <f>+Q13/0.389</f>
        <v>963323.90745501278</v>
      </c>
      <c r="R14" s="9"/>
      <c r="S14" s="23"/>
    </row>
    <row r="15" spans="1:19" x14ac:dyDescent="0.2">
      <c r="A15" s="29">
        <v>44409</v>
      </c>
      <c r="C15" s="12"/>
      <c r="D15" s="13"/>
      <c r="E15" s="13"/>
      <c r="F15" s="13"/>
      <c r="G15" s="14">
        <f t="shared" si="0"/>
        <v>0</v>
      </c>
      <c r="H15" s="14">
        <f t="shared" si="1"/>
        <v>0</v>
      </c>
      <c r="I15" s="3">
        <v>0.21</v>
      </c>
      <c r="J15" s="3">
        <v>0.05</v>
      </c>
      <c r="K15" s="9">
        <f t="shared" si="4"/>
        <v>0</v>
      </c>
      <c r="L15" s="9">
        <f t="shared" si="2"/>
        <v>0</v>
      </c>
      <c r="M15" s="15">
        <v>0</v>
      </c>
      <c r="N15" s="9">
        <v>0</v>
      </c>
      <c r="Q15" s="9">
        <f>+M15-386700</f>
        <v>-386700</v>
      </c>
      <c r="R15" s="19"/>
      <c r="S15" s="23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-994087.40359897166</v>
      </c>
    </row>
    <row r="17" spans="1:16" x14ac:dyDescent="0.2">
      <c r="A17" s="16"/>
      <c r="C17" s="9" t="s">
        <v>48</v>
      </c>
      <c r="D17" s="35"/>
      <c r="E17" s="35"/>
      <c r="F17" s="35"/>
      <c r="G17" s="36"/>
      <c r="H17" s="36"/>
      <c r="I17" s="36"/>
      <c r="J17" s="32"/>
      <c r="K17" s="32"/>
      <c r="L17" s="3"/>
      <c r="M17" s="3"/>
      <c r="N17" s="9"/>
      <c r="O17" s="15"/>
      <c r="P17" s="9"/>
    </row>
    <row r="18" spans="1:16" x14ac:dyDescent="0.2">
      <c r="A18" s="16"/>
      <c r="C18" s="32"/>
      <c r="D18" s="35"/>
      <c r="E18" s="35"/>
      <c r="F18" s="35"/>
      <c r="G18" s="36"/>
      <c r="H18" s="36"/>
      <c r="I18" s="36"/>
      <c r="J18" s="32"/>
      <c r="K18" s="32"/>
      <c r="L18" s="3"/>
      <c r="M18" s="3"/>
      <c r="N18" s="9"/>
      <c r="O18" s="15"/>
      <c r="P18" s="9"/>
    </row>
    <row r="19" spans="1:16" x14ac:dyDescent="0.2">
      <c r="C19" s="37" t="s">
        <v>43</v>
      </c>
      <c r="D19" s="24"/>
      <c r="E19" s="24"/>
      <c r="F19" s="24"/>
      <c r="G19" s="25"/>
      <c r="H19" s="25"/>
    </row>
    <row r="20" spans="1:16" x14ac:dyDescent="0.2">
      <c r="C20" s="37" t="s">
        <v>28</v>
      </c>
      <c r="D20" s="24"/>
      <c r="E20" s="24"/>
      <c r="F20" s="24"/>
      <c r="G20" s="25"/>
      <c r="H20" s="25"/>
    </row>
    <row r="21" spans="1:16" x14ac:dyDescent="0.2">
      <c r="C21" s="37" t="s">
        <v>53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8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360851</v>
      </c>
      <c r="D25" s="32">
        <v>4403458</v>
      </c>
      <c r="E25" s="32">
        <v>0</v>
      </c>
      <c r="F25" s="32">
        <f>E25-D25</f>
        <v>-4403458</v>
      </c>
      <c r="G25" s="3">
        <v>0.21</v>
      </c>
      <c r="H25" s="32">
        <f>F25*G25</f>
        <v>-924726.17999999993</v>
      </c>
    </row>
    <row r="26" spans="1:16" x14ac:dyDescent="0.2">
      <c r="C26" s="32">
        <v>982514</v>
      </c>
      <c r="D26" s="32"/>
      <c r="E26" s="32">
        <v>3652.5</v>
      </c>
      <c r="F26" s="32">
        <f>E26</f>
        <v>3652.5</v>
      </c>
      <c r="G26" s="3">
        <v>0.21</v>
      </c>
      <c r="H26" s="32">
        <f t="shared" ref="H26:H59" si="5">F26*G26</f>
        <v>767.02499999999998</v>
      </c>
    </row>
    <row r="27" spans="1:16" x14ac:dyDescent="0.2">
      <c r="C27" s="32">
        <v>9377.5</v>
      </c>
      <c r="D27" s="32"/>
      <c r="E27" s="32">
        <v>0</v>
      </c>
      <c r="F27" s="32">
        <f t="shared" ref="F27:F59" si="6">E27</f>
        <v>0</v>
      </c>
      <c r="G27" s="3">
        <v>0.21</v>
      </c>
      <c r="H27" s="32">
        <f t="shared" si="5"/>
        <v>0</v>
      </c>
    </row>
    <row r="28" spans="1:16" x14ac:dyDescent="0.2">
      <c r="C28" s="32">
        <v>2975815</v>
      </c>
      <c r="D28" s="32"/>
      <c r="E28" s="32">
        <v>11065.07</v>
      </c>
      <c r="F28" s="32">
        <f t="shared" si="6"/>
        <v>11065.07</v>
      </c>
      <c r="G28" s="3">
        <v>0.21</v>
      </c>
      <c r="H28" s="32">
        <f t="shared" si="5"/>
        <v>2323.6646999999998</v>
      </c>
    </row>
    <row r="29" spans="1:16" x14ac:dyDescent="0.2">
      <c r="C29" s="32">
        <v>-5631.44</v>
      </c>
      <c r="D29" s="32"/>
      <c r="E29" s="32">
        <v>-21.4</v>
      </c>
      <c r="F29" s="32">
        <f t="shared" si="6"/>
        <v>-21.4</v>
      </c>
      <c r="G29" s="3">
        <v>0.21</v>
      </c>
      <c r="H29" s="32">
        <f t="shared" si="5"/>
        <v>-4.4939999999999998</v>
      </c>
    </row>
    <row r="30" spans="1:16" x14ac:dyDescent="0.2">
      <c r="C30" s="32">
        <v>64989652.743999988</v>
      </c>
      <c r="D30" s="32"/>
      <c r="E30" s="32">
        <v>244902.67</v>
      </c>
      <c r="F30" s="32">
        <f t="shared" si="6"/>
        <v>244902.67</v>
      </c>
      <c r="G30" s="3">
        <v>0.21</v>
      </c>
      <c r="H30" s="32">
        <f t="shared" si="5"/>
        <v>51429.560700000002</v>
      </c>
    </row>
    <row r="31" spans="1:16" x14ac:dyDescent="0.2">
      <c r="C31" s="32">
        <v>97484479.115999967</v>
      </c>
      <c r="D31" s="32"/>
      <c r="E31" s="32">
        <v>1063818.72</v>
      </c>
      <c r="F31" s="32">
        <f t="shared" si="6"/>
        <v>1063818.72</v>
      </c>
      <c r="G31" s="3">
        <v>0.21</v>
      </c>
      <c r="H31" s="32">
        <f t="shared" si="5"/>
        <v>223401.93119999999</v>
      </c>
    </row>
    <row r="32" spans="1:16" x14ac:dyDescent="0.2">
      <c r="C32" s="32">
        <v>3354199.04</v>
      </c>
      <c r="D32" s="32"/>
      <c r="E32" s="32">
        <v>12639.74</v>
      </c>
      <c r="F32" s="32">
        <f t="shared" si="6"/>
        <v>12639.74</v>
      </c>
      <c r="G32" s="3">
        <v>0.21</v>
      </c>
      <c r="H32" s="32">
        <f t="shared" si="5"/>
        <v>2654.3453999999997</v>
      </c>
    </row>
    <row r="33" spans="3:8" x14ac:dyDescent="0.2">
      <c r="C33" s="32">
        <v>2749178.17</v>
      </c>
      <c r="D33" s="32"/>
      <c r="E33" s="32">
        <v>11198.32</v>
      </c>
      <c r="F33" s="32">
        <f t="shared" si="6"/>
        <v>11198.32</v>
      </c>
      <c r="G33" s="3">
        <v>0.21</v>
      </c>
      <c r="H33" s="32">
        <f t="shared" si="5"/>
        <v>2351.6471999999999</v>
      </c>
    </row>
    <row r="34" spans="3:8" x14ac:dyDescent="0.2">
      <c r="C34" s="32">
        <v>4123767.2549999999</v>
      </c>
      <c r="D34" s="32"/>
      <c r="E34" s="32">
        <v>49092.467321428565</v>
      </c>
      <c r="F34" s="32">
        <f t="shared" si="6"/>
        <v>49092.467321428565</v>
      </c>
      <c r="G34" s="3">
        <v>0.21</v>
      </c>
      <c r="H34" s="32">
        <f t="shared" si="5"/>
        <v>10309.418137499999</v>
      </c>
    </row>
    <row r="35" spans="3:8" x14ac:dyDescent="0.2">
      <c r="C35" s="32">
        <v>73250212.46800001</v>
      </c>
      <c r="D35" s="32"/>
      <c r="E35" s="32">
        <v>298372.53000000003</v>
      </c>
      <c r="F35" s="32">
        <f t="shared" si="6"/>
        <v>298372.53000000003</v>
      </c>
      <c r="G35" s="3">
        <v>0.21</v>
      </c>
      <c r="H35" s="32">
        <f t="shared" si="5"/>
        <v>62658.231300000007</v>
      </c>
    </row>
    <row r="36" spans="3:8" x14ac:dyDescent="0.2">
      <c r="C36" s="32">
        <v>109875318.70200001</v>
      </c>
      <c r="D36" s="32"/>
      <c r="E36" s="32"/>
      <c r="F36" s="32">
        <f t="shared" si="6"/>
        <v>0</v>
      </c>
      <c r="G36" s="3">
        <v>0.21</v>
      </c>
      <c r="H36" s="32">
        <f t="shared" si="5"/>
        <v>0</v>
      </c>
    </row>
    <row r="37" spans="3:8" x14ac:dyDescent="0.2">
      <c r="C37" s="32">
        <v>787778.5340000001</v>
      </c>
      <c r="D37" s="32"/>
      <c r="E37" s="32">
        <v>3208.88</v>
      </c>
      <c r="F37" s="32">
        <f t="shared" si="6"/>
        <v>3208.88</v>
      </c>
      <c r="G37" s="3">
        <v>0.21</v>
      </c>
      <c r="H37" s="32">
        <f t="shared" si="5"/>
        <v>673.86479999999995</v>
      </c>
    </row>
    <row r="38" spans="3:8" x14ac:dyDescent="0.2">
      <c r="C38" s="32">
        <v>1181667.801</v>
      </c>
      <c r="D38" s="32"/>
      <c r="E38" s="32">
        <v>14067.47</v>
      </c>
      <c r="F38" s="32">
        <f t="shared" si="6"/>
        <v>14067.47</v>
      </c>
      <c r="G38" s="3">
        <v>0.21</v>
      </c>
      <c r="H38" s="32">
        <f t="shared" si="5"/>
        <v>2954.1686999999997</v>
      </c>
    </row>
    <row r="39" spans="3:8" x14ac:dyDescent="0.2">
      <c r="C39" s="32">
        <v>2965892.7320000008</v>
      </c>
      <c r="D39" s="32"/>
      <c r="E39" s="32">
        <v>12081.07</v>
      </c>
      <c r="F39" s="32">
        <f t="shared" si="6"/>
        <v>12081.07</v>
      </c>
      <c r="G39" s="3">
        <v>0.21</v>
      </c>
      <c r="H39" s="32">
        <f t="shared" si="5"/>
        <v>2537.0246999999999</v>
      </c>
    </row>
    <row r="40" spans="3:8" x14ac:dyDescent="0.2">
      <c r="C40" s="32">
        <v>4448839.0980000012</v>
      </c>
      <c r="D40" s="32"/>
      <c r="E40" s="32"/>
      <c r="F40" s="32">
        <f t="shared" si="6"/>
        <v>0</v>
      </c>
      <c r="G40" s="3">
        <v>0.21</v>
      </c>
      <c r="H40" s="32">
        <f t="shared" si="5"/>
        <v>0</v>
      </c>
    </row>
    <row r="41" spans="3:8" x14ac:dyDescent="0.2">
      <c r="C41" s="32">
        <v>61477.070000000007</v>
      </c>
      <c r="D41" s="32"/>
      <c r="E41" s="32">
        <v>250.42</v>
      </c>
      <c r="F41" s="32">
        <f t="shared" si="6"/>
        <v>250.42</v>
      </c>
      <c r="G41" s="3">
        <v>0.21</v>
      </c>
      <c r="H41" s="32">
        <f t="shared" si="5"/>
        <v>52.588199999999993</v>
      </c>
    </row>
    <row r="42" spans="3:8" x14ac:dyDescent="0.2">
      <c r="C42" s="32">
        <v>48864.22</v>
      </c>
      <c r="D42" s="32"/>
      <c r="E42" s="32">
        <v>215.21</v>
      </c>
      <c r="F42" s="32">
        <f t="shared" si="6"/>
        <v>215.21</v>
      </c>
      <c r="G42" s="3">
        <v>0.21</v>
      </c>
      <c r="H42" s="32">
        <f t="shared" si="5"/>
        <v>45.194099999999999</v>
      </c>
    </row>
    <row r="43" spans="3:8" x14ac:dyDescent="0.2">
      <c r="C43" s="32">
        <v>59018708.316</v>
      </c>
      <c r="D43" s="32"/>
      <c r="E43" s="32">
        <v>259928.23</v>
      </c>
      <c r="F43" s="32">
        <f t="shared" si="6"/>
        <v>259928.23</v>
      </c>
      <c r="G43" s="3">
        <v>0.21</v>
      </c>
      <c r="H43" s="32">
        <f t="shared" si="5"/>
        <v>54584.9283</v>
      </c>
    </row>
    <row r="44" spans="3:8" x14ac:dyDescent="0.2">
      <c r="C44" s="32">
        <v>88528062.473999992</v>
      </c>
      <c r="D44" s="32"/>
      <c r="E44" s="32">
        <v>1053905.51</v>
      </c>
      <c r="F44" s="32">
        <f t="shared" si="6"/>
        <v>1053905.51</v>
      </c>
      <c r="G44" s="3">
        <v>0.21</v>
      </c>
      <c r="H44" s="32">
        <f t="shared" si="5"/>
        <v>221320.15709999998</v>
      </c>
    </row>
    <row r="45" spans="3:8" x14ac:dyDescent="0.2">
      <c r="C45" s="32">
        <v>2761999.0980000007</v>
      </c>
      <c r="D45" s="32"/>
      <c r="E45" s="32">
        <v>12164.3</v>
      </c>
      <c r="F45" s="32">
        <f t="shared" si="6"/>
        <v>12164.3</v>
      </c>
      <c r="G45" s="3">
        <v>0.21</v>
      </c>
      <c r="H45" s="32">
        <f t="shared" si="5"/>
        <v>2554.5029999999997</v>
      </c>
    </row>
    <row r="46" spans="3:8" x14ac:dyDescent="0.2">
      <c r="C46" s="32">
        <v>1834207.4429999997</v>
      </c>
      <c r="D46" s="32"/>
      <c r="E46" s="32">
        <v>17832.57</v>
      </c>
      <c r="F46" s="32">
        <f t="shared" si="6"/>
        <v>17832.57</v>
      </c>
      <c r="G46" s="3">
        <v>0.21</v>
      </c>
      <c r="H46" s="32">
        <f t="shared" si="5"/>
        <v>3744.8397</v>
      </c>
    </row>
    <row r="47" spans="3:8" x14ac:dyDescent="0.2">
      <c r="C47" s="32">
        <v>2308791.2039999999</v>
      </c>
      <c r="D47" s="32"/>
      <c r="E47" s="32">
        <v>27485.61</v>
      </c>
      <c r="F47" s="32">
        <f t="shared" si="6"/>
        <v>27485.61</v>
      </c>
      <c r="G47" s="3">
        <v>0.21</v>
      </c>
      <c r="H47" s="32">
        <f t="shared" si="5"/>
        <v>5771.9781000000003</v>
      </c>
    </row>
    <row r="48" spans="3:8" x14ac:dyDescent="0.2">
      <c r="C48" s="32">
        <v>28925</v>
      </c>
      <c r="D48" s="32"/>
      <c r="E48" s="32">
        <v>137.71</v>
      </c>
      <c r="F48" s="32">
        <f t="shared" si="6"/>
        <v>137.71</v>
      </c>
      <c r="G48" s="3">
        <v>0.21</v>
      </c>
      <c r="H48" s="32">
        <f t="shared" si="5"/>
        <v>28.9191</v>
      </c>
    </row>
    <row r="49" spans="3:9" x14ac:dyDescent="0.2">
      <c r="C49" s="32">
        <v>1678783</v>
      </c>
      <c r="D49" s="32"/>
      <c r="E49" s="32">
        <v>7992.41</v>
      </c>
      <c r="F49" s="32">
        <f t="shared" si="6"/>
        <v>7992.41</v>
      </c>
      <c r="G49" s="3">
        <v>0.21</v>
      </c>
      <c r="H49" s="32">
        <f t="shared" si="5"/>
        <v>1678.4060999999999</v>
      </c>
    </row>
    <row r="50" spans="3:9" x14ac:dyDescent="0.2">
      <c r="C50" s="32">
        <v>5224318</v>
      </c>
      <c r="D50" s="32"/>
      <c r="E50" s="32"/>
      <c r="F50" s="32">
        <f t="shared" si="6"/>
        <v>0</v>
      </c>
      <c r="G50" s="3">
        <v>0.21</v>
      </c>
      <c r="H50" s="32">
        <f t="shared" si="5"/>
        <v>0</v>
      </c>
    </row>
    <row r="51" spans="3:9" x14ac:dyDescent="0.2">
      <c r="C51" s="32">
        <v>2238219</v>
      </c>
      <c r="D51" s="32"/>
      <c r="E51" s="32">
        <v>11521.23</v>
      </c>
      <c r="F51" s="32">
        <f t="shared" si="6"/>
        <v>11521.23</v>
      </c>
      <c r="G51" s="3">
        <v>0.21</v>
      </c>
      <c r="H51" s="32">
        <f t="shared" si="5"/>
        <v>2419.4582999999998</v>
      </c>
    </row>
    <row r="52" spans="3:9" x14ac:dyDescent="0.2">
      <c r="C52" s="32">
        <v>2433435</v>
      </c>
      <c r="D52" s="32"/>
      <c r="E52" s="32">
        <v>28969.46</v>
      </c>
      <c r="F52" s="32">
        <f t="shared" si="6"/>
        <v>28969.46</v>
      </c>
      <c r="G52" s="3">
        <v>0.21</v>
      </c>
      <c r="H52" s="32">
        <f t="shared" si="5"/>
        <v>6083.5865999999996</v>
      </c>
    </row>
    <row r="53" spans="3:9" x14ac:dyDescent="0.2">
      <c r="C53" s="32">
        <v>923894</v>
      </c>
      <c r="D53" s="32"/>
      <c r="E53" s="32">
        <v>15398.23</v>
      </c>
      <c r="F53" s="32">
        <f t="shared" si="6"/>
        <v>15398.23</v>
      </c>
      <c r="G53" s="33">
        <v>0.21</v>
      </c>
      <c r="H53" s="32">
        <f t="shared" si="5"/>
        <v>3233.6282999999999</v>
      </c>
    </row>
    <row r="54" spans="3:9" x14ac:dyDescent="0.2">
      <c r="C54" s="32">
        <v>2547757</v>
      </c>
      <c r="D54" s="32"/>
      <c r="E54" s="32">
        <v>23444.09</v>
      </c>
      <c r="F54" s="32">
        <f t="shared" si="6"/>
        <v>23444.09</v>
      </c>
      <c r="G54" s="33">
        <v>0.21</v>
      </c>
      <c r="H54" s="32">
        <f t="shared" si="5"/>
        <v>4923.2588999999998</v>
      </c>
    </row>
    <row r="55" spans="3:9" x14ac:dyDescent="0.2">
      <c r="C55" s="32">
        <v>-5508918</v>
      </c>
      <c r="D55" s="32"/>
      <c r="E55" s="32">
        <v>-51834.14</v>
      </c>
      <c r="F55" s="32">
        <f t="shared" si="6"/>
        <v>-51834.14</v>
      </c>
      <c r="G55" s="33">
        <v>0.21</v>
      </c>
      <c r="H55" s="32">
        <f t="shared" si="5"/>
        <v>-10885.169399999999</v>
      </c>
    </row>
    <row r="56" spans="3:9" x14ac:dyDescent="0.2">
      <c r="C56" s="32">
        <v>5285</v>
      </c>
      <c r="D56" s="32"/>
      <c r="E56" s="32">
        <v>29.41</v>
      </c>
      <c r="F56" s="32">
        <f t="shared" si="6"/>
        <v>29.41</v>
      </c>
      <c r="G56" s="33">
        <v>0.21</v>
      </c>
      <c r="H56" s="32">
        <f t="shared" si="5"/>
        <v>6.1760999999999999</v>
      </c>
    </row>
    <row r="57" spans="3:9" x14ac:dyDescent="0.2">
      <c r="C57" s="32">
        <f>1004143.76+1507731.31</f>
        <v>2511875.0700000003</v>
      </c>
      <c r="D57" s="32"/>
      <c r="E57" s="32">
        <f>6040.76+9070.26</f>
        <v>15111.02</v>
      </c>
      <c r="F57" s="32">
        <f t="shared" si="6"/>
        <v>15111.02</v>
      </c>
      <c r="G57" s="33">
        <v>0.21</v>
      </c>
      <c r="H57" s="32">
        <f t="shared" si="5"/>
        <v>3173.3141999999998</v>
      </c>
    </row>
    <row r="58" spans="3:9" x14ac:dyDescent="0.2">
      <c r="C58" s="32">
        <v>1523.16</v>
      </c>
      <c r="D58" s="32"/>
      <c r="E58" s="32">
        <v>4.76</v>
      </c>
      <c r="F58" s="32">
        <f t="shared" si="6"/>
        <v>4.76</v>
      </c>
      <c r="G58" s="33">
        <v>0.21</v>
      </c>
      <c r="H58" s="32">
        <f t="shared" si="5"/>
        <v>0.99959999999999993</v>
      </c>
    </row>
    <row r="59" spans="3:9" ht="15" x14ac:dyDescent="0.35">
      <c r="C59" s="32">
        <f>914908+1140567</f>
        <v>2055475</v>
      </c>
      <c r="D59" s="32"/>
      <c r="E59" s="27">
        <f>2859.09+3564.27+1510</f>
        <v>7933.3600000000006</v>
      </c>
      <c r="F59" s="27">
        <f t="shared" si="6"/>
        <v>7933.3600000000006</v>
      </c>
      <c r="G59" s="33">
        <v>0.21</v>
      </c>
      <c r="H59" s="27">
        <f t="shared" si="5"/>
        <v>1666.0056</v>
      </c>
    </row>
    <row r="60" spans="3:9" x14ac:dyDescent="0.2">
      <c r="E60" s="32">
        <f>SUM(E25:E59)</f>
        <v>3154567.4273214275</v>
      </c>
      <c r="F60" s="32">
        <f>SUM(F25:F59)</f>
        <v>-1248890.572678572</v>
      </c>
      <c r="G60" s="28" t="s">
        <v>42</v>
      </c>
      <c r="H60" s="32">
        <f>SUM(H25:H59)</f>
        <v>-262267.02026250004</v>
      </c>
    </row>
    <row r="61" spans="3:9" ht="15" x14ac:dyDescent="0.35">
      <c r="E61" s="9"/>
      <c r="F61" s="9"/>
      <c r="G61" s="28" t="s">
        <v>40</v>
      </c>
      <c r="H61" s="27">
        <f>-H98*0.21</f>
        <v>-18971.224125000001</v>
      </c>
    </row>
    <row r="62" spans="3:9" x14ac:dyDescent="0.2">
      <c r="H62" s="9">
        <f>H60+H61</f>
        <v>-281238.24438750005</v>
      </c>
    </row>
    <row r="63" spans="3:9" x14ac:dyDescent="0.2">
      <c r="H63" s="9">
        <f>H62-K13</f>
        <v>216718.92551749997</v>
      </c>
      <c r="I63" s="28" t="s">
        <v>52</v>
      </c>
    </row>
    <row r="64" spans="3:9" x14ac:dyDescent="0.2">
      <c r="C64" s="9" t="s">
        <v>36</v>
      </c>
      <c r="D64" s="24" t="s">
        <v>31</v>
      </c>
      <c r="E64" s="25" t="s">
        <v>37</v>
      </c>
      <c r="F64" s="9" t="s">
        <v>38</v>
      </c>
      <c r="G64" s="3" t="s">
        <v>24</v>
      </c>
      <c r="H64" s="9" t="s">
        <v>39</v>
      </c>
    </row>
    <row r="65" spans="3:8" x14ac:dyDescent="0.2">
      <c r="C65" s="32">
        <v>360851</v>
      </c>
      <c r="D65" s="32">
        <f>D25</f>
        <v>4403458</v>
      </c>
      <c r="E65" s="32">
        <v>0</v>
      </c>
      <c r="F65" s="32">
        <f>E65-D65</f>
        <v>-4403458</v>
      </c>
      <c r="G65" s="3">
        <v>0.05</v>
      </c>
      <c r="H65" s="32">
        <f>F65*G65</f>
        <v>-220172.90000000002</v>
      </c>
    </row>
    <row r="66" spans="3:8" x14ac:dyDescent="0.2">
      <c r="C66" s="32">
        <v>1965028</v>
      </c>
      <c r="D66" s="32"/>
      <c r="E66" s="32">
        <v>7304.99</v>
      </c>
      <c r="F66" s="32">
        <f>E66</f>
        <v>7304.99</v>
      </c>
      <c r="G66" s="3">
        <v>0.05</v>
      </c>
      <c r="H66" s="32">
        <f t="shared" ref="H66:H97" si="7">F66*G66</f>
        <v>365.24950000000001</v>
      </c>
    </row>
    <row r="67" spans="3:8" x14ac:dyDescent="0.2">
      <c r="C67" s="32">
        <v>18755</v>
      </c>
      <c r="D67" s="32"/>
      <c r="E67" s="32"/>
      <c r="F67" s="32">
        <f t="shared" ref="F67:F97" si="8">E67</f>
        <v>0</v>
      </c>
      <c r="G67" s="3">
        <v>0.05</v>
      </c>
      <c r="H67" s="32">
        <f t="shared" si="7"/>
        <v>0</v>
      </c>
    </row>
    <row r="68" spans="3:8" x14ac:dyDescent="0.2">
      <c r="C68" s="32">
        <v>3107470</v>
      </c>
      <c r="D68" s="32"/>
      <c r="E68" s="32">
        <v>11554.61</v>
      </c>
      <c r="F68" s="32">
        <f t="shared" si="8"/>
        <v>11554.61</v>
      </c>
      <c r="G68" s="3">
        <v>0.05</v>
      </c>
      <c r="H68" s="32">
        <f t="shared" si="7"/>
        <v>577.73050000000001</v>
      </c>
    </row>
    <row r="69" spans="3:8" x14ac:dyDescent="0.2">
      <c r="C69" s="32">
        <v>-5725</v>
      </c>
      <c r="D69" s="32"/>
      <c r="E69" s="32">
        <v>-21.57</v>
      </c>
      <c r="F69" s="32">
        <f t="shared" si="8"/>
        <v>-21.57</v>
      </c>
      <c r="G69" s="3">
        <v>0.05</v>
      </c>
      <c r="H69" s="32">
        <f t="shared" si="7"/>
        <v>-1.0785</v>
      </c>
    </row>
    <row r="70" spans="3:8" x14ac:dyDescent="0.2">
      <c r="C70" s="32">
        <v>127918333.47199999</v>
      </c>
      <c r="D70" s="32"/>
      <c r="E70" s="32">
        <v>482038.92</v>
      </c>
      <c r="F70" s="32">
        <f t="shared" si="8"/>
        <v>482038.92</v>
      </c>
      <c r="G70" s="3">
        <v>0.05</v>
      </c>
      <c r="H70" s="32">
        <f t="shared" si="7"/>
        <v>24101.946</v>
      </c>
    </row>
    <row r="71" spans="3:8" x14ac:dyDescent="0.2">
      <c r="C71" s="32">
        <v>191877500.20799997</v>
      </c>
      <c r="D71" s="32"/>
      <c r="E71" s="32">
        <v>2093901.29</v>
      </c>
      <c r="F71" s="32">
        <f t="shared" si="8"/>
        <v>2093901.29</v>
      </c>
      <c r="G71" s="3">
        <v>0.05</v>
      </c>
      <c r="H71" s="32">
        <f t="shared" si="7"/>
        <v>104695.06450000001</v>
      </c>
    </row>
    <row r="72" spans="3:8" x14ac:dyDescent="0.2">
      <c r="C72" s="32">
        <v>3354199.04</v>
      </c>
      <c r="D72" s="32"/>
      <c r="E72" s="32">
        <v>12639.74</v>
      </c>
      <c r="F72" s="32">
        <f t="shared" si="8"/>
        <v>12639.74</v>
      </c>
      <c r="G72" s="3">
        <v>0.05</v>
      </c>
      <c r="H72" s="32">
        <f t="shared" si="7"/>
        <v>631.98700000000008</v>
      </c>
    </row>
    <row r="73" spans="3:8" x14ac:dyDescent="0.2">
      <c r="C73" s="32">
        <v>5411173.5480000004</v>
      </c>
      <c r="D73" s="32"/>
      <c r="E73" s="32">
        <v>22041.51</v>
      </c>
      <c r="F73" s="32">
        <f t="shared" si="8"/>
        <v>22041.51</v>
      </c>
      <c r="G73" s="3">
        <v>0.05</v>
      </c>
      <c r="H73" s="32">
        <f t="shared" si="7"/>
        <v>1102.0754999999999</v>
      </c>
    </row>
    <row r="74" spans="3:8" x14ac:dyDescent="0.2">
      <c r="C74" s="32">
        <v>8116760.3219999988</v>
      </c>
      <c r="D74" s="32"/>
      <c r="E74" s="32">
        <v>96628.1</v>
      </c>
      <c r="F74" s="32">
        <f t="shared" si="8"/>
        <v>96628.1</v>
      </c>
      <c r="G74" s="3">
        <v>0.05</v>
      </c>
      <c r="H74" s="32">
        <f t="shared" si="7"/>
        <v>4831.4050000000007</v>
      </c>
    </row>
    <row r="75" spans="3:8" x14ac:dyDescent="0.2">
      <c r="C75" s="32">
        <v>143218226.94000003</v>
      </c>
      <c r="D75" s="32"/>
      <c r="E75" s="32">
        <v>583375.57999999996</v>
      </c>
      <c r="F75" s="32">
        <f t="shared" si="8"/>
        <v>583375.57999999996</v>
      </c>
      <c r="G75" s="3">
        <v>0.05</v>
      </c>
      <c r="H75" s="32">
        <f t="shared" si="7"/>
        <v>29168.778999999999</v>
      </c>
    </row>
    <row r="76" spans="3:8" x14ac:dyDescent="0.2">
      <c r="C76" s="32">
        <v>214827340.41</v>
      </c>
      <c r="D76" s="32"/>
      <c r="E76" s="32"/>
      <c r="F76" s="32">
        <f t="shared" si="8"/>
        <v>0</v>
      </c>
      <c r="G76" s="3">
        <v>0.05</v>
      </c>
      <c r="H76" s="32">
        <f t="shared" si="7"/>
        <v>0</v>
      </c>
    </row>
    <row r="77" spans="3:8" x14ac:dyDescent="0.2">
      <c r="C77" s="32">
        <v>1550574.7880000002</v>
      </c>
      <c r="D77" s="32"/>
      <c r="E77" s="32">
        <v>6316.01</v>
      </c>
      <c r="F77" s="32">
        <f t="shared" si="8"/>
        <v>6316.01</v>
      </c>
      <c r="G77" s="3">
        <v>0.05</v>
      </c>
      <c r="H77" s="32">
        <f t="shared" si="7"/>
        <v>315.80050000000006</v>
      </c>
    </row>
    <row r="78" spans="3:8" x14ac:dyDescent="0.2">
      <c r="C78" s="32">
        <v>2325862.182</v>
      </c>
      <c r="D78" s="32"/>
      <c r="E78" s="32">
        <v>27688.84</v>
      </c>
      <c r="F78" s="32">
        <f t="shared" si="8"/>
        <v>27688.84</v>
      </c>
      <c r="G78" s="3">
        <v>0.05</v>
      </c>
      <c r="H78" s="32">
        <f t="shared" si="7"/>
        <v>1384.442</v>
      </c>
    </row>
    <row r="79" spans="3:8" x14ac:dyDescent="0.2">
      <c r="C79" s="32">
        <v>5798889.6400000006</v>
      </c>
      <c r="D79" s="32"/>
      <c r="E79" s="32">
        <v>23620.81</v>
      </c>
      <c r="F79" s="32">
        <f t="shared" si="8"/>
        <v>23620.81</v>
      </c>
      <c r="G79" s="3">
        <v>0.05</v>
      </c>
      <c r="H79" s="32">
        <f t="shared" si="7"/>
        <v>1181.0405000000001</v>
      </c>
    </row>
    <row r="80" spans="3:8" x14ac:dyDescent="0.2">
      <c r="C80" s="32">
        <v>8698334.459999999</v>
      </c>
      <c r="D80" s="32"/>
      <c r="E80" s="32"/>
      <c r="F80" s="32">
        <f t="shared" si="8"/>
        <v>0</v>
      </c>
      <c r="G80" s="3">
        <v>0.05</v>
      </c>
      <c r="H80" s="32">
        <f t="shared" si="7"/>
        <v>0</v>
      </c>
    </row>
    <row r="81" spans="3:8" x14ac:dyDescent="0.2">
      <c r="C81" s="32">
        <v>61477.070000000007</v>
      </c>
      <c r="D81" s="32"/>
      <c r="E81" s="32">
        <v>250.42</v>
      </c>
      <c r="F81" s="32">
        <f t="shared" si="8"/>
        <v>250.42</v>
      </c>
      <c r="G81" s="3">
        <v>0.05</v>
      </c>
      <c r="H81" s="32">
        <f t="shared" si="7"/>
        <v>12.521000000000001</v>
      </c>
    </row>
    <row r="82" spans="3:8" x14ac:dyDescent="0.2">
      <c r="C82" s="32">
        <v>97728.44</v>
      </c>
      <c r="D82" s="32"/>
      <c r="E82" s="32">
        <v>430.41</v>
      </c>
      <c r="F82" s="32">
        <f t="shared" si="8"/>
        <v>430.41</v>
      </c>
      <c r="G82" s="3">
        <v>0.05</v>
      </c>
      <c r="H82" s="32">
        <f t="shared" si="7"/>
        <v>21.520500000000002</v>
      </c>
    </row>
    <row r="83" spans="3:8" x14ac:dyDescent="0.2">
      <c r="C83" s="32">
        <v>113639335.91600001</v>
      </c>
      <c r="D83" s="32"/>
      <c r="E83" s="32">
        <v>500486.58</v>
      </c>
      <c r="F83" s="32">
        <f t="shared" si="8"/>
        <v>500486.58</v>
      </c>
      <c r="G83" s="3">
        <v>0.05</v>
      </c>
      <c r="H83" s="32">
        <f t="shared" si="7"/>
        <v>25024.329000000002</v>
      </c>
    </row>
    <row r="84" spans="3:8" x14ac:dyDescent="0.2">
      <c r="C84" s="32">
        <v>170459003.87400001</v>
      </c>
      <c r="D84" s="32"/>
      <c r="E84" s="32">
        <v>2029273.86</v>
      </c>
      <c r="F84" s="32">
        <f t="shared" si="8"/>
        <v>2029273.86</v>
      </c>
      <c r="G84" s="3">
        <v>0.05</v>
      </c>
      <c r="H84" s="32">
        <f t="shared" si="7"/>
        <v>101463.69300000001</v>
      </c>
    </row>
    <row r="85" spans="3:8" x14ac:dyDescent="0.2">
      <c r="C85" s="32">
        <v>5354505.7920000004</v>
      </c>
      <c r="D85" s="32"/>
      <c r="E85" s="32">
        <v>23582.14</v>
      </c>
      <c r="F85" s="32">
        <f t="shared" si="8"/>
        <v>23582.14</v>
      </c>
      <c r="G85" s="3">
        <v>0.05</v>
      </c>
      <c r="H85" s="32">
        <f t="shared" si="7"/>
        <v>1179.107</v>
      </c>
    </row>
    <row r="86" spans="3:8" x14ac:dyDescent="0.2">
      <c r="C86" s="32">
        <v>3586227.6599999997</v>
      </c>
      <c r="D86" s="32"/>
      <c r="E86" s="32">
        <v>34866.1</v>
      </c>
      <c r="F86" s="32">
        <f t="shared" si="8"/>
        <v>34866.1</v>
      </c>
      <c r="G86" s="3">
        <v>0.05</v>
      </c>
      <c r="H86" s="32">
        <f t="shared" si="7"/>
        <v>1743.3050000000001</v>
      </c>
    </row>
    <row r="87" spans="3:8" x14ac:dyDescent="0.2">
      <c r="C87" s="32">
        <v>4445531.0279999999</v>
      </c>
      <c r="D87" s="32"/>
      <c r="E87" s="32">
        <v>52922.99</v>
      </c>
      <c r="F87" s="32">
        <f t="shared" si="8"/>
        <v>52922.99</v>
      </c>
      <c r="G87" s="3">
        <v>0.05</v>
      </c>
      <c r="H87" s="32">
        <f t="shared" si="7"/>
        <v>2646.1495</v>
      </c>
    </row>
    <row r="88" spans="3:8" x14ac:dyDescent="0.2">
      <c r="C88" s="32">
        <v>3386491</v>
      </c>
      <c r="D88" s="32"/>
      <c r="E88" s="32">
        <v>16122.52</v>
      </c>
      <c r="F88" s="32">
        <f t="shared" si="8"/>
        <v>16122.52</v>
      </c>
      <c r="G88" s="33">
        <v>0.05</v>
      </c>
      <c r="H88" s="32">
        <f t="shared" si="7"/>
        <v>806.12600000000009</v>
      </c>
    </row>
    <row r="89" spans="3:8" x14ac:dyDescent="0.2">
      <c r="C89" s="32">
        <v>4327946</v>
      </c>
      <c r="D89" s="32"/>
      <c r="E89" s="32">
        <v>22278.1</v>
      </c>
      <c r="F89" s="32">
        <f t="shared" si="8"/>
        <v>22278.1</v>
      </c>
      <c r="G89" s="33">
        <v>0.05</v>
      </c>
      <c r="H89" s="32">
        <f t="shared" si="7"/>
        <v>1113.905</v>
      </c>
    </row>
    <row r="90" spans="3:8" x14ac:dyDescent="0.2">
      <c r="C90" s="32">
        <v>4685530</v>
      </c>
      <c r="D90" s="32"/>
      <c r="E90" s="32">
        <v>55780.12</v>
      </c>
      <c r="F90" s="32">
        <f t="shared" si="8"/>
        <v>55780.12</v>
      </c>
      <c r="G90" s="33">
        <v>0.05</v>
      </c>
      <c r="H90" s="32">
        <f t="shared" si="7"/>
        <v>2789.0060000000003</v>
      </c>
    </row>
    <row r="91" spans="3:8" x14ac:dyDescent="0.2">
      <c r="C91" s="32">
        <v>1806390</v>
      </c>
      <c r="D91" s="32"/>
      <c r="E91" s="32">
        <v>30106.49</v>
      </c>
      <c r="F91" s="32">
        <f t="shared" si="8"/>
        <v>30106.49</v>
      </c>
      <c r="G91" s="33">
        <v>0.05</v>
      </c>
      <c r="H91" s="32">
        <f t="shared" si="7"/>
        <v>1505.3245000000002</v>
      </c>
    </row>
    <row r="92" spans="3:8" x14ac:dyDescent="0.2">
      <c r="C92" s="32">
        <v>5014718</v>
      </c>
      <c r="D92" s="32"/>
      <c r="E92" s="32">
        <f>10325.3+35819.42</f>
        <v>46144.72</v>
      </c>
      <c r="F92" s="32">
        <f t="shared" si="8"/>
        <v>46144.72</v>
      </c>
      <c r="G92" s="33">
        <v>0.05</v>
      </c>
      <c r="H92" s="32">
        <f t="shared" si="7"/>
        <v>2307.2360000000003</v>
      </c>
    </row>
    <row r="93" spans="3:8" x14ac:dyDescent="0.2">
      <c r="C93" s="32">
        <v>729864</v>
      </c>
      <c r="D93" s="32"/>
      <c r="E93" s="32">
        <f>1624.43+2734.11+3470.88</f>
        <v>7829.42</v>
      </c>
      <c r="F93" s="32">
        <f t="shared" si="8"/>
        <v>7829.42</v>
      </c>
      <c r="G93" s="33">
        <v>0.05</v>
      </c>
      <c r="H93" s="32">
        <f t="shared" si="7"/>
        <v>391.471</v>
      </c>
    </row>
    <row r="94" spans="3:8" x14ac:dyDescent="0.2">
      <c r="C94" s="32">
        <v>5285</v>
      </c>
      <c r="D94" s="32"/>
      <c r="E94" s="32">
        <v>29.41</v>
      </c>
      <c r="F94" s="32">
        <f t="shared" si="8"/>
        <v>29.41</v>
      </c>
      <c r="G94" s="33">
        <v>0.05</v>
      </c>
      <c r="H94" s="32">
        <f t="shared" si="7"/>
        <v>1.4705000000000001</v>
      </c>
    </row>
    <row r="95" spans="3:8" x14ac:dyDescent="0.2">
      <c r="C95" s="32">
        <f>C57</f>
        <v>2511875.0700000003</v>
      </c>
      <c r="D95" s="32"/>
      <c r="E95" s="32">
        <f>6040.76+9070.26</f>
        <v>15111.02</v>
      </c>
      <c r="F95" s="32">
        <f t="shared" si="8"/>
        <v>15111.02</v>
      </c>
      <c r="G95" s="33">
        <v>0.05</v>
      </c>
      <c r="H95" s="32">
        <f t="shared" si="7"/>
        <v>755.55100000000004</v>
      </c>
    </row>
    <row r="96" spans="3:8" x14ac:dyDescent="0.2">
      <c r="C96" s="32">
        <f>C58</f>
        <v>1523.16</v>
      </c>
      <c r="D96" s="32"/>
      <c r="E96" s="32">
        <v>4.76</v>
      </c>
      <c r="F96" s="32">
        <f t="shared" si="8"/>
        <v>4.76</v>
      </c>
      <c r="G96" s="33">
        <v>0.05</v>
      </c>
      <c r="H96" s="32">
        <f t="shared" si="7"/>
        <v>0.23799999999999999</v>
      </c>
    </row>
    <row r="97" spans="3:8" ht="15" x14ac:dyDescent="0.35">
      <c r="C97" s="32">
        <f>C59</f>
        <v>2055475</v>
      </c>
      <c r="D97" s="32"/>
      <c r="E97" s="27">
        <f>E59</f>
        <v>7933.3600000000006</v>
      </c>
      <c r="F97" s="27">
        <f t="shared" si="8"/>
        <v>7933.3600000000006</v>
      </c>
      <c r="G97" s="33">
        <v>0.05</v>
      </c>
      <c r="H97" s="27">
        <f t="shared" si="7"/>
        <v>396.66800000000006</v>
      </c>
    </row>
    <row r="98" spans="3:8" x14ac:dyDescent="0.2">
      <c r="E98" s="9">
        <f>SUM(E65:E97)</f>
        <v>6210241.2499999991</v>
      </c>
      <c r="F98" s="9">
        <f>SUM(F65:F97)</f>
        <v>1806783.2500000009</v>
      </c>
      <c r="H98" s="9">
        <f>SUM(H65:H97)</f>
        <v>90339.162500000006</v>
      </c>
    </row>
    <row r="99" spans="3:8" x14ac:dyDescent="0.2">
      <c r="E99" s="9"/>
      <c r="F99" s="9"/>
      <c r="H99" s="9">
        <f>H98-L13</f>
        <v>-1.800000001094304E-2</v>
      </c>
    </row>
  </sheetData>
  <pageMargins left="0.5" right="0.5" top="1.5" bottom="0.5" header="0.5" footer="0.5"/>
  <pageSetup scale="51" orientation="portrait" r:id="rId1"/>
  <headerFooter alignWithMargins="0">
    <oddHeader>&amp;R&amp;"Times New Roman,Bold"&amp;12Attachment to Response to Question No. 3
Page 4 of 8
Clements</oddHeader>
    <oddFooter>&amp;L_x000D_&amp;1#&amp;"Calibri"&amp;14&amp;K000000 Business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14062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1.425781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15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23656269</v>
      </c>
    </row>
    <row r="10" spans="1:19" x14ac:dyDescent="0.2">
      <c r="A10" s="29">
        <v>44264</v>
      </c>
      <c r="C10" s="12">
        <v>100993470</v>
      </c>
      <c r="D10" s="13">
        <v>244315</v>
      </c>
      <c r="E10" s="35">
        <f>443428.19</f>
        <v>443428.19</v>
      </c>
      <c r="F10" s="35">
        <f>886038.09</f>
        <v>886038.09</v>
      </c>
      <c r="G10" s="14">
        <f t="shared" ref="G10:G15" si="0">E10-D10</f>
        <v>199113.19</v>
      </c>
      <c r="H10" s="14">
        <f t="shared" ref="H10:H15" si="1">F10-D10</f>
        <v>641723.09</v>
      </c>
      <c r="I10" s="3">
        <v>0.21</v>
      </c>
      <c r="J10" s="3">
        <v>0.05</v>
      </c>
      <c r="K10" s="9">
        <f t="shared" ref="K10:K15" si="2">G10*I10-L10*I10</f>
        <v>35075.677454999997</v>
      </c>
      <c r="L10" s="9">
        <f t="shared" ref="L10:L15" si="3">H10*J10</f>
        <v>32086.154500000001</v>
      </c>
      <c r="M10" s="15">
        <f t="shared" ref="M10:M13" si="4">M9+K10+L10</f>
        <v>23723430.831955001</v>
      </c>
      <c r="N10" s="9">
        <v>0</v>
      </c>
      <c r="O10" s="30"/>
      <c r="S10" s="23"/>
    </row>
    <row r="11" spans="1:19" x14ac:dyDescent="0.2">
      <c r="A11" s="29">
        <v>44287</v>
      </c>
      <c r="C11" s="12">
        <v>100993470</v>
      </c>
      <c r="D11" s="13">
        <v>244315</v>
      </c>
      <c r="E11" s="35">
        <f>443428.19</f>
        <v>443428.19</v>
      </c>
      <c r="F11" s="35">
        <f>886038.09</f>
        <v>886038.09</v>
      </c>
      <c r="G11" s="14">
        <f t="shared" si="0"/>
        <v>199113.19</v>
      </c>
      <c r="H11" s="14">
        <f t="shared" si="1"/>
        <v>641723.09</v>
      </c>
      <c r="I11" s="3">
        <v>0.21</v>
      </c>
      <c r="J11" s="3">
        <v>0.05</v>
      </c>
      <c r="K11" s="9">
        <f t="shared" si="2"/>
        <v>35075.677454999997</v>
      </c>
      <c r="L11" s="9">
        <f t="shared" si="3"/>
        <v>32086.154500000001</v>
      </c>
      <c r="M11" s="15">
        <f t="shared" si="4"/>
        <v>23790592.663910002</v>
      </c>
      <c r="N11" s="9">
        <v>0</v>
      </c>
      <c r="O11" s="30"/>
      <c r="Q11" s="9">
        <f>358619-M12</f>
        <v>-23499135.495865002</v>
      </c>
      <c r="R11" s="17"/>
      <c r="S11" s="23"/>
    </row>
    <row r="12" spans="1:19" x14ac:dyDescent="0.2">
      <c r="A12" s="29">
        <v>44317</v>
      </c>
      <c r="C12" s="12">
        <v>100993470</v>
      </c>
      <c r="D12" s="13">
        <v>244315</v>
      </c>
      <c r="E12" s="35">
        <f>443428.19</f>
        <v>443428.19</v>
      </c>
      <c r="F12" s="35">
        <f>886038.09</f>
        <v>886038.09</v>
      </c>
      <c r="G12" s="14">
        <f t="shared" si="0"/>
        <v>199113.19</v>
      </c>
      <c r="H12" s="14">
        <f t="shared" si="1"/>
        <v>641723.09</v>
      </c>
      <c r="I12" s="3">
        <v>0.21</v>
      </c>
      <c r="J12" s="3">
        <v>0.05</v>
      </c>
      <c r="K12" s="9">
        <f t="shared" si="2"/>
        <v>35075.677454999997</v>
      </c>
      <c r="L12" s="9">
        <f t="shared" si="3"/>
        <v>32086.154500000001</v>
      </c>
      <c r="M12" s="15">
        <f t="shared" si="4"/>
        <v>23857754.495865002</v>
      </c>
      <c r="N12" s="9">
        <v>0</v>
      </c>
      <c r="Q12">
        <f>+Q11/0.389</f>
        <v>-60409088.678316198</v>
      </c>
      <c r="R12" s="9"/>
      <c r="S12" s="23"/>
    </row>
    <row r="13" spans="1:19" x14ac:dyDescent="0.2">
      <c r="A13" s="29">
        <v>44348</v>
      </c>
      <c r="C13" s="12">
        <v>100993470</v>
      </c>
      <c r="D13" s="13">
        <v>244315</v>
      </c>
      <c r="E13" s="35">
        <f>443428.19</f>
        <v>443428.19</v>
      </c>
      <c r="F13" s="35">
        <f>886038.09</f>
        <v>886038.09</v>
      </c>
      <c r="G13" s="14">
        <f t="shared" si="0"/>
        <v>199113.19</v>
      </c>
      <c r="H13" s="14">
        <f t="shared" si="1"/>
        <v>641723.09</v>
      </c>
      <c r="I13" s="3">
        <v>0.21</v>
      </c>
      <c r="J13" s="3">
        <v>0.05</v>
      </c>
      <c r="K13" s="9">
        <f t="shared" si="2"/>
        <v>35075.677454999997</v>
      </c>
      <c r="L13" s="9">
        <f t="shared" si="3"/>
        <v>32086.154500000001</v>
      </c>
      <c r="M13" s="15">
        <f t="shared" si="4"/>
        <v>23924916.327820003</v>
      </c>
      <c r="N13" s="9">
        <v>0</v>
      </c>
      <c r="Q13" s="9">
        <f>374733-M14</f>
        <v>374733</v>
      </c>
      <c r="S13" s="23"/>
    </row>
    <row r="14" spans="1:19" x14ac:dyDescent="0.2">
      <c r="A14" s="29">
        <v>44378</v>
      </c>
      <c r="C14" s="12"/>
      <c r="D14" s="13"/>
      <c r="E14" s="35"/>
      <c r="F14" s="35"/>
      <c r="G14" s="14">
        <f t="shared" si="0"/>
        <v>0</v>
      </c>
      <c r="H14" s="14">
        <f t="shared" si="1"/>
        <v>0</v>
      </c>
      <c r="I14" s="3">
        <v>0.21</v>
      </c>
      <c r="J14" s="3">
        <v>0.05</v>
      </c>
      <c r="K14" s="9">
        <f t="shared" si="2"/>
        <v>0</v>
      </c>
      <c r="L14" s="9">
        <f t="shared" si="3"/>
        <v>0</v>
      </c>
      <c r="M14" s="15">
        <v>0</v>
      </c>
      <c r="N14" s="9">
        <v>0</v>
      </c>
      <c r="Q14">
        <f>+Q13/0.389</f>
        <v>963323.90745501278</v>
      </c>
      <c r="R14" s="9"/>
      <c r="S14" s="23"/>
    </row>
    <row r="15" spans="1:19" x14ac:dyDescent="0.2">
      <c r="A15" s="29">
        <v>44409</v>
      </c>
      <c r="C15" s="12"/>
      <c r="D15" s="13"/>
      <c r="E15" s="13"/>
      <c r="F15" s="13"/>
      <c r="G15" s="14">
        <f t="shared" si="0"/>
        <v>0</v>
      </c>
      <c r="H15" s="14">
        <f t="shared" si="1"/>
        <v>0</v>
      </c>
      <c r="I15" s="3">
        <v>0.21</v>
      </c>
      <c r="J15" s="3">
        <v>0.05</v>
      </c>
      <c r="K15" s="9">
        <f t="shared" si="2"/>
        <v>0</v>
      </c>
      <c r="L15" s="9">
        <f t="shared" si="3"/>
        <v>0</v>
      </c>
      <c r="M15" s="15">
        <v>0</v>
      </c>
      <c r="N15" s="9">
        <v>0</v>
      </c>
      <c r="Q15" s="9">
        <f>+M15-386700</f>
        <v>-386700</v>
      </c>
      <c r="R15" s="19"/>
      <c r="S15" s="23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-994087.40359897166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7" t="s">
        <v>27</v>
      </c>
      <c r="D19" s="24"/>
      <c r="E19" s="24"/>
      <c r="F19" s="24"/>
      <c r="G19" s="25"/>
      <c r="H19" s="25"/>
    </row>
    <row r="20" spans="1:16" x14ac:dyDescent="0.2">
      <c r="C20" s="37" t="s">
        <v>28</v>
      </c>
      <c r="D20" s="24"/>
      <c r="E20" s="24"/>
      <c r="F20" s="24"/>
      <c r="G20" s="25"/>
      <c r="H20" s="25"/>
    </row>
    <row r="21" spans="1:16" x14ac:dyDescent="0.2">
      <c r="C21" s="37" t="s">
        <v>49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8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19447093.452</v>
      </c>
      <c r="D25" s="32">
        <v>244315</v>
      </c>
      <c r="E25" s="32">
        <v>79214.490000000005</v>
      </c>
      <c r="F25" s="32">
        <f>E25-D25</f>
        <v>-165100.51</v>
      </c>
      <c r="G25" s="3">
        <v>0.21</v>
      </c>
      <c r="H25" s="32">
        <f>F25*G25</f>
        <v>-34671.107100000001</v>
      </c>
    </row>
    <row r="26" spans="1:16" x14ac:dyDescent="0.2">
      <c r="C26" s="32">
        <v>29170640.177999996</v>
      </c>
      <c r="D26" s="32"/>
      <c r="E26" s="32">
        <v>347269.53</v>
      </c>
      <c r="F26" s="32">
        <f>E26</f>
        <v>347269.53</v>
      </c>
      <c r="G26" s="3">
        <v>0.21</v>
      </c>
      <c r="H26" s="32">
        <f t="shared" ref="H26:H31" si="5">F26*G26</f>
        <v>72926.601300000009</v>
      </c>
    </row>
    <row r="27" spans="1:16" x14ac:dyDescent="0.2">
      <c r="C27" s="32">
        <v>584700.50199999998</v>
      </c>
      <c r="D27" s="32"/>
      <c r="E27" s="32">
        <v>2575.12</v>
      </c>
      <c r="F27" s="32">
        <f t="shared" ref="F27:F31" si="6">E27</f>
        <v>2575.12</v>
      </c>
      <c r="G27" s="3">
        <v>0.21</v>
      </c>
      <c r="H27" s="32">
        <f t="shared" si="5"/>
        <v>540.77519999999993</v>
      </c>
    </row>
    <row r="28" spans="1:16" x14ac:dyDescent="0.2">
      <c r="C28" s="32">
        <v>877050.75299999991</v>
      </c>
      <c r="D28" s="32"/>
      <c r="E28" s="32">
        <v>10441.08</v>
      </c>
      <c r="F28" s="32">
        <f t="shared" si="6"/>
        <v>10441.08</v>
      </c>
      <c r="G28" s="33">
        <v>0.21</v>
      </c>
      <c r="H28" s="32">
        <f t="shared" si="5"/>
        <v>2192.6268</v>
      </c>
    </row>
    <row r="29" spans="1:16" x14ac:dyDescent="0.2">
      <c r="C29" s="32">
        <v>137487</v>
      </c>
      <c r="D29" s="32"/>
      <c r="E29" s="32">
        <v>654.54999999999995</v>
      </c>
      <c r="F29" s="32">
        <f t="shared" si="6"/>
        <v>654.54999999999995</v>
      </c>
      <c r="G29" s="33">
        <v>0.21</v>
      </c>
      <c r="H29" s="32">
        <f t="shared" si="5"/>
        <v>137.45549999999997</v>
      </c>
    </row>
    <row r="30" spans="1:16" x14ac:dyDescent="0.2">
      <c r="C30" s="32">
        <v>206231</v>
      </c>
      <c r="D30" s="32"/>
      <c r="E30" s="32">
        <v>2455.13</v>
      </c>
      <c r="F30" s="32">
        <f t="shared" si="6"/>
        <v>2455.13</v>
      </c>
      <c r="G30" s="33">
        <v>0.21</v>
      </c>
      <c r="H30" s="32">
        <f t="shared" si="5"/>
        <v>515.57730000000004</v>
      </c>
    </row>
    <row r="31" spans="1:16" ht="15" x14ac:dyDescent="0.35">
      <c r="C31" s="32">
        <v>147065</v>
      </c>
      <c r="D31" s="32"/>
      <c r="E31" s="27">
        <v>818.3</v>
      </c>
      <c r="F31" s="27">
        <f t="shared" si="6"/>
        <v>818.3</v>
      </c>
      <c r="G31" s="33">
        <v>0.21</v>
      </c>
      <c r="H31" s="27">
        <f t="shared" si="5"/>
        <v>171.84299999999999</v>
      </c>
    </row>
    <row r="32" spans="1:16" x14ac:dyDescent="0.2">
      <c r="C32" s="32"/>
      <c r="D32" s="32"/>
      <c r="E32" s="32">
        <f>SUM(E25:E31)</f>
        <v>443428.2</v>
      </c>
      <c r="F32" s="32">
        <f>SUM(F25:F31)</f>
        <v>199113.19999999998</v>
      </c>
      <c r="G32" s="28" t="s">
        <v>42</v>
      </c>
      <c r="H32" s="32">
        <f>SUM(H25:H31)</f>
        <v>41813.771999999997</v>
      </c>
    </row>
    <row r="33" spans="3:8" ht="15" x14ac:dyDescent="0.35">
      <c r="E33" s="9"/>
      <c r="F33" s="9"/>
      <c r="G33" s="28" t="s">
        <v>40</v>
      </c>
      <c r="H33" s="27">
        <f>-H44*0.21</f>
        <v>-6738.0925500000012</v>
      </c>
    </row>
    <row r="34" spans="3:8" x14ac:dyDescent="0.2">
      <c r="H34" s="9">
        <f>H32+H33</f>
        <v>35075.679449999996</v>
      </c>
    </row>
    <row r="35" spans="3:8" x14ac:dyDescent="0.2">
      <c r="H35" s="9">
        <f>H34-K13</f>
        <v>1.9949999987147748E-3</v>
      </c>
    </row>
    <row r="36" spans="3:8" x14ac:dyDescent="0.2">
      <c r="C36" s="9" t="s">
        <v>36</v>
      </c>
      <c r="D36" s="24" t="s">
        <v>31</v>
      </c>
      <c r="E36" s="25" t="s">
        <v>37</v>
      </c>
      <c r="F36" s="9" t="s">
        <v>38</v>
      </c>
      <c r="G36" s="3" t="s">
        <v>24</v>
      </c>
      <c r="H36" s="9" t="s">
        <v>39</v>
      </c>
    </row>
    <row r="37" spans="3:8" x14ac:dyDescent="0.2">
      <c r="C37" s="32">
        <v>38894186.903999999</v>
      </c>
      <c r="D37" s="32">
        <f>D25</f>
        <v>244315</v>
      </c>
      <c r="E37" s="32">
        <v>158428.99</v>
      </c>
      <c r="F37" s="32">
        <f>E37-D37</f>
        <v>-85886.010000000009</v>
      </c>
      <c r="G37" s="3">
        <v>0.05</v>
      </c>
      <c r="H37" s="32">
        <f>F37*G37</f>
        <v>-4294.3005000000003</v>
      </c>
    </row>
    <row r="38" spans="3:8" x14ac:dyDescent="0.2">
      <c r="C38" s="32">
        <v>58341280.355999991</v>
      </c>
      <c r="D38" s="32"/>
      <c r="E38" s="32">
        <v>694539.05</v>
      </c>
      <c r="F38" s="32">
        <f>E38</f>
        <v>694539.05</v>
      </c>
      <c r="G38" s="3">
        <v>0.05</v>
      </c>
      <c r="H38" s="32">
        <f t="shared" ref="H38:H43" si="7">F38*G38</f>
        <v>34726.952500000007</v>
      </c>
    </row>
    <row r="39" spans="3:8" x14ac:dyDescent="0.2">
      <c r="C39" s="32">
        <v>1169401.004</v>
      </c>
      <c r="D39" s="32"/>
      <c r="E39" s="32">
        <v>5150.24</v>
      </c>
      <c r="F39" s="32">
        <f t="shared" ref="F39:F43" si="8">E39</f>
        <v>5150.24</v>
      </c>
      <c r="G39" s="3">
        <v>0.05</v>
      </c>
      <c r="H39" s="32">
        <f t="shared" si="7"/>
        <v>257.512</v>
      </c>
    </row>
    <row r="40" spans="3:8" x14ac:dyDescent="0.2">
      <c r="C40" s="32">
        <v>1754101.5059999998</v>
      </c>
      <c r="D40" s="32"/>
      <c r="E40" s="32">
        <v>20882.16</v>
      </c>
      <c r="F40" s="32">
        <f t="shared" si="8"/>
        <v>20882.16</v>
      </c>
      <c r="G40" s="3">
        <v>0.05</v>
      </c>
      <c r="H40" s="32">
        <f t="shared" si="7"/>
        <v>1044.1079999999999</v>
      </c>
    </row>
    <row r="41" spans="3:8" x14ac:dyDescent="0.2">
      <c r="C41" s="32">
        <v>274974</v>
      </c>
      <c r="D41" s="32"/>
      <c r="E41" s="32">
        <v>1309.1099999999999</v>
      </c>
      <c r="F41" s="32">
        <f t="shared" si="8"/>
        <v>1309.1099999999999</v>
      </c>
      <c r="G41" s="3">
        <v>0.05</v>
      </c>
      <c r="H41" s="32">
        <f t="shared" si="7"/>
        <v>65.455500000000001</v>
      </c>
    </row>
    <row r="42" spans="3:8" x14ac:dyDescent="0.2">
      <c r="C42" s="32">
        <v>412461</v>
      </c>
      <c r="D42" s="32"/>
      <c r="E42" s="32">
        <v>4910.25</v>
      </c>
      <c r="F42" s="32">
        <f t="shared" si="8"/>
        <v>4910.25</v>
      </c>
      <c r="G42" s="33">
        <v>0.05</v>
      </c>
      <c r="H42" s="32">
        <f t="shared" si="7"/>
        <v>245.51250000000002</v>
      </c>
    </row>
    <row r="43" spans="3:8" ht="15" x14ac:dyDescent="0.35">
      <c r="C43" s="32">
        <v>147065</v>
      </c>
      <c r="D43" s="32"/>
      <c r="E43" s="27">
        <v>818.3</v>
      </c>
      <c r="F43" s="27">
        <f t="shared" si="8"/>
        <v>818.3</v>
      </c>
      <c r="G43" s="33">
        <v>0.05</v>
      </c>
      <c r="H43" s="27">
        <f t="shared" si="7"/>
        <v>40.914999999999999</v>
      </c>
    </row>
    <row r="44" spans="3:8" x14ac:dyDescent="0.2">
      <c r="E44" s="9">
        <f>SUM(E37:E43)</f>
        <v>886038.10000000009</v>
      </c>
      <c r="F44" s="9">
        <f>SUM(F37:F43)</f>
        <v>641723.10000000009</v>
      </c>
      <c r="H44" s="32">
        <f>SUM(H37:H43)</f>
        <v>32086.155000000006</v>
      </c>
    </row>
    <row r="45" spans="3:8" x14ac:dyDescent="0.2">
      <c r="E45" s="9"/>
      <c r="F45" s="9"/>
      <c r="H45" s="9">
        <f>H44-L13</f>
        <v>5.0000000555883162E-4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5 of 8
Clements</oddHeader>
    <oddFooter>&amp;L_x000D_&amp;1#&amp;"Calibri"&amp;14&amp;K000000 Business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8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5703125" customWidth="1"/>
    <col min="4" max="4" width="12.7109375" customWidth="1"/>
    <col min="5" max="5" width="16.14062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16</v>
      </c>
    </row>
    <row r="6" spans="1:19" x14ac:dyDescent="0.2">
      <c r="A6" s="22" t="s">
        <v>17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908606</v>
      </c>
      <c r="O9" s="9"/>
    </row>
    <row r="10" spans="1:19" x14ac:dyDescent="0.2">
      <c r="A10" s="29">
        <v>44264</v>
      </c>
      <c r="C10" s="12">
        <v>4512896</v>
      </c>
      <c r="D10" s="13">
        <v>20334</v>
      </c>
      <c r="E10" s="35">
        <f>23430.45</f>
        <v>23430.45</v>
      </c>
      <c r="F10" s="35">
        <f>45891.21</f>
        <v>45891.21</v>
      </c>
      <c r="G10" s="14">
        <f t="shared" ref="G10:G13" si="0">E10-D10</f>
        <v>3096.4500000000007</v>
      </c>
      <c r="H10" s="14">
        <f t="shared" ref="H10:H13" si="1">F10-D10</f>
        <v>25557.21</v>
      </c>
      <c r="I10" s="3">
        <v>0.21</v>
      </c>
      <c r="J10" s="3">
        <v>0.05</v>
      </c>
      <c r="K10" s="9">
        <f t="shared" ref="K10:K15" si="2">G10*I10-L10*I10</f>
        <v>381.90379500000012</v>
      </c>
      <c r="L10" s="9">
        <f t="shared" ref="L10:L15" si="3">H10*J10</f>
        <v>1277.8605</v>
      </c>
      <c r="M10" s="15">
        <f t="shared" ref="M10:M13" si="4">M9+K10+L10</f>
        <v>910265.764295</v>
      </c>
      <c r="N10" s="9">
        <v>0</v>
      </c>
      <c r="O10" s="30"/>
    </row>
    <row r="11" spans="1:19" x14ac:dyDescent="0.2">
      <c r="A11" s="29">
        <v>44287</v>
      </c>
      <c r="C11" s="12">
        <v>4512896</v>
      </c>
      <c r="D11" s="13">
        <v>20334</v>
      </c>
      <c r="E11" s="35">
        <f>23430.45</f>
        <v>23430.45</v>
      </c>
      <c r="F11" s="35">
        <f>45891.21</f>
        <v>45891.21</v>
      </c>
      <c r="G11" s="14">
        <f t="shared" si="0"/>
        <v>3096.4500000000007</v>
      </c>
      <c r="H11" s="14">
        <f t="shared" si="1"/>
        <v>25557.21</v>
      </c>
      <c r="I11" s="3">
        <v>0.21</v>
      </c>
      <c r="J11" s="3">
        <v>0.05</v>
      </c>
      <c r="K11" s="9">
        <f t="shared" si="2"/>
        <v>381.90379500000012</v>
      </c>
      <c r="L11" s="9">
        <f t="shared" si="3"/>
        <v>1277.8605</v>
      </c>
      <c r="M11" s="15">
        <f t="shared" si="4"/>
        <v>911925.52859</v>
      </c>
      <c r="N11" s="9">
        <v>0</v>
      </c>
      <c r="O11" s="30"/>
      <c r="Q11" s="9">
        <f>358619-M12</f>
        <v>-554966.292885</v>
      </c>
      <c r="R11" s="17"/>
      <c r="S11" s="9"/>
    </row>
    <row r="12" spans="1:19" x14ac:dyDescent="0.2">
      <c r="A12" s="29">
        <v>44317</v>
      </c>
      <c r="C12" s="12">
        <v>4512896</v>
      </c>
      <c r="D12" s="13">
        <v>20334</v>
      </c>
      <c r="E12" s="35">
        <f>23430.45</f>
        <v>23430.45</v>
      </c>
      <c r="F12" s="35">
        <f>45891.21</f>
        <v>45891.21</v>
      </c>
      <c r="G12" s="14">
        <f t="shared" si="0"/>
        <v>3096.4500000000007</v>
      </c>
      <c r="H12" s="14">
        <f t="shared" si="1"/>
        <v>25557.21</v>
      </c>
      <c r="I12" s="3">
        <v>0.21</v>
      </c>
      <c r="J12" s="3">
        <v>0.05</v>
      </c>
      <c r="K12" s="9">
        <f t="shared" si="2"/>
        <v>381.90379500000012</v>
      </c>
      <c r="L12" s="9">
        <f t="shared" si="3"/>
        <v>1277.8605</v>
      </c>
      <c r="M12" s="15">
        <f t="shared" si="4"/>
        <v>913585.292885</v>
      </c>
      <c r="N12" s="9">
        <v>0</v>
      </c>
      <c r="Q12">
        <f>+Q11/0.389</f>
        <v>-1426648.5678277635</v>
      </c>
      <c r="R12" s="9"/>
      <c r="S12" s="9"/>
    </row>
    <row r="13" spans="1:19" x14ac:dyDescent="0.2">
      <c r="A13" s="29">
        <v>44348</v>
      </c>
      <c r="C13" s="12">
        <v>4512896</v>
      </c>
      <c r="D13" s="13">
        <v>20334</v>
      </c>
      <c r="E13" s="35">
        <f>23430.45</f>
        <v>23430.45</v>
      </c>
      <c r="F13" s="35">
        <f>45891.21</f>
        <v>45891.21</v>
      </c>
      <c r="G13" s="14">
        <f t="shared" si="0"/>
        <v>3096.4500000000007</v>
      </c>
      <c r="H13" s="14">
        <f t="shared" si="1"/>
        <v>25557.21</v>
      </c>
      <c r="I13" s="3">
        <v>0.21</v>
      </c>
      <c r="J13" s="3">
        <v>0.05</v>
      </c>
      <c r="K13" s="9">
        <f t="shared" si="2"/>
        <v>381.90379500000012</v>
      </c>
      <c r="L13" s="9">
        <f t="shared" si="3"/>
        <v>1277.8605</v>
      </c>
      <c r="M13" s="15">
        <f t="shared" si="4"/>
        <v>915245.05718</v>
      </c>
      <c r="N13" s="9">
        <v>0</v>
      </c>
      <c r="Q13" s="9">
        <f>374733-M14</f>
        <v>374733</v>
      </c>
      <c r="S13" s="9"/>
    </row>
    <row r="14" spans="1:19" x14ac:dyDescent="0.2">
      <c r="A14" s="29">
        <v>44378</v>
      </c>
      <c r="C14" s="12"/>
      <c r="D14" s="13"/>
      <c r="E14" s="35"/>
      <c r="F14" s="35"/>
      <c r="G14" s="14">
        <f t="shared" ref="G14" si="5">E14-D14</f>
        <v>0</v>
      </c>
      <c r="H14" s="14">
        <f t="shared" ref="H14" si="6">F14-D14</f>
        <v>0</v>
      </c>
      <c r="I14" s="3">
        <v>0.21</v>
      </c>
      <c r="J14" s="3">
        <v>0.05</v>
      </c>
      <c r="K14" s="9">
        <f t="shared" si="2"/>
        <v>0</v>
      </c>
      <c r="L14" s="9">
        <f t="shared" si="3"/>
        <v>0</v>
      </c>
      <c r="M14" s="15">
        <v>0</v>
      </c>
      <c r="N14" s="9">
        <v>0</v>
      </c>
      <c r="Q14">
        <f>+Q13/0.389</f>
        <v>963323.90745501278</v>
      </c>
      <c r="R14" s="9"/>
      <c r="S14" s="9"/>
    </row>
    <row r="15" spans="1:19" x14ac:dyDescent="0.2">
      <c r="A15" s="29">
        <v>44409</v>
      </c>
      <c r="C15" s="12"/>
      <c r="D15" s="13"/>
      <c r="E15" s="13"/>
      <c r="F15" s="13"/>
      <c r="G15" s="14">
        <f t="shared" ref="G15" si="7">E15-D15</f>
        <v>0</v>
      </c>
      <c r="H15" s="14">
        <f t="shared" ref="H15" si="8">F15-D15</f>
        <v>0</v>
      </c>
      <c r="I15" s="3">
        <v>0.21</v>
      </c>
      <c r="J15" s="3">
        <v>0.05</v>
      </c>
      <c r="K15" s="9">
        <f t="shared" si="2"/>
        <v>0</v>
      </c>
      <c r="L15" s="9">
        <f t="shared" si="3"/>
        <v>0</v>
      </c>
      <c r="M15" s="15">
        <v>0</v>
      </c>
      <c r="N15" s="9">
        <v>0</v>
      </c>
      <c r="Q15" s="9">
        <f>+M15-386700</f>
        <v>-386700</v>
      </c>
      <c r="R15" s="19"/>
      <c r="S15" s="9"/>
    </row>
    <row r="16" spans="1:19" x14ac:dyDescent="0.2">
      <c r="A16" s="16"/>
      <c r="C16" s="12"/>
      <c r="D16" s="13"/>
      <c r="E16" s="13"/>
      <c r="F16" s="13"/>
      <c r="G16" s="14"/>
      <c r="H16" s="14"/>
      <c r="I16" s="3"/>
      <c r="J16" s="3"/>
      <c r="K16" s="9"/>
      <c r="L16" s="9"/>
      <c r="M16" s="15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3"/>
      <c r="J17" s="3"/>
      <c r="K17" s="9"/>
      <c r="L17" s="9"/>
      <c r="M17" s="15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3"/>
      <c r="J18" s="3"/>
      <c r="K18" s="9"/>
      <c r="L18" s="9"/>
      <c r="M18" s="15"/>
      <c r="N18" s="9"/>
      <c r="O18" s="15"/>
      <c r="P18" s="9"/>
    </row>
    <row r="19" spans="1:16" x14ac:dyDescent="0.2">
      <c r="A19" s="16"/>
      <c r="C19" s="37" t="s">
        <v>44</v>
      </c>
      <c r="D19" s="24"/>
      <c r="E19" s="24"/>
      <c r="F19" s="24"/>
      <c r="G19" s="25"/>
      <c r="H19" s="25"/>
      <c r="L19" s="9"/>
      <c r="M19" s="15"/>
      <c r="N19" s="9"/>
      <c r="O19" s="15"/>
      <c r="P19" s="9"/>
    </row>
    <row r="20" spans="1:16" x14ac:dyDescent="0.2">
      <c r="A20" s="16"/>
      <c r="C20" s="37" t="s">
        <v>28</v>
      </c>
      <c r="D20" s="24"/>
      <c r="E20" s="24"/>
      <c r="F20" s="24"/>
      <c r="G20" s="25"/>
      <c r="H20" s="25"/>
      <c r="L20" s="3"/>
      <c r="M20" s="3"/>
      <c r="N20" s="9"/>
      <c r="O20" s="15"/>
      <c r="P20" s="9"/>
    </row>
    <row r="21" spans="1:16" x14ac:dyDescent="0.2">
      <c r="C21" s="37" t="s">
        <v>53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8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234559.42400000003</v>
      </c>
      <c r="D25" s="32">
        <v>20334</v>
      </c>
      <c r="E25" s="32">
        <v>1033.04</v>
      </c>
      <c r="F25" s="32">
        <f>E25-D25</f>
        <v>-19300.96</v>
      </c>
      <c r="G25" s="3">
        <v>0.21</v>
      </c>
      <c r="H25" s="32">
        <f>F25*G25</f>
        <v>-4053.2015999999999</v>
      </c>
    </row>
    <row r="26" spans="1:16" x14ac:dyDescent="0.2">
      <c r="C26" s="32">
        <v>351839.136</v>
      </c>
      <c r="D26" s="32"/>
      <c r="E26" s="32">
        <v>4188.5600000000004</v>
      </c>
      <c r="F26" s="32">
        <f>E26</f>
        <v>4188.5600000000004</v>
      </c>
      <c r="G26" s="33">
        <v>0.21</v>
      </c>
      <c r="H26" s="32">
        <f>F26*G26</f>
        <v>879.59760000000006</v>
      </c>
    </row>
    <row r="27" spans="1:16" x14ac:dyDescent="0.2">
      <c r="C27" s="32">
        <v>2765</v>
      </c>
      <c r="D27" s="32"/>
      <c r="E27" s="32">
        <v>13.16</v>
      </c>
      <c r="F27" s="32">
        <f t="shared" ref="F27:F38" si="9">E27</f>
        <v>13.16</v>
      </c>
      <c r="G27" s="33">
        <v>0.21</v>
      </c>
      <c r="H27" s="32">
        <f t="shared" ref="H27:H34" si="10">F27*G27</f>
        <v>2.7635999999999998</v>
      </c>
    </row>
    <row r="28" spans="1:16" x14ac:dyDescent="0.2">
      <c r="C28" s="32">
        <v>4147</v>
      </c>
      <c r="D28" s="32"/>
      <c r="E28" s="32">
        <v>49.37</v>
      </c>
      <c r="F28" s="32">
        <f t="shared" si="9"/>
        <v>49.37</v>
      </c>
      <c r="G28" s="33">
        <v>0.21</v>
      </c>
      <c r="H28" s="32">
        <f t="shared" si="10"/>
        <v>10.367699999999999</v>
      </c>
    </row>
    <row r="29" spans="1:16" x14ac:dyDescent="0.2">
      <c r="C29" s="32">
        <v>363607</v>
      </c>
      <c r="D29" s="32"/>
      <c r="E29" s="32">
        <v>1731.07</v>
      </c>
      <c r="F29" s="32">
        <f t="shared" si="9"/>
        <v>1731.07</v>
      </c>
      <c r="G29" s="33">
        <v>0.21</v>
      </c>
      <c r="H29" s="32">
        <f t="shared" si="10"/>
        <v>363.5247</v>
      </c>
    </row>
    <row r="30" spans="1:16" x14ac:dyDescent="0.2">
      <c r="C30" s="32">
        <v>545411</v>
      </c>
      <c r="D30" s="32"/>
      <c r="E30" s="32">
        <v>9090.18</v>
      </c>
      <c r="F30" s="32">
        <f t="shared" si="9"/>
        <v>9090.18</v>
      </c>
      <c r="G30" s="33">
        <v>0.21</v>
      </c>
      <c r="H30" s="32">
        <f t="shared" si="10"/>
        <v>1908.9377999999999</v>
      </c>
    </row>
    <row r="31" spans="1:16" x14ac:dyDescent="0.2">
      <c r="C31" s="32">
        <v>195243</v>
      </c>
      <c r="D31" s="32"/>
      <c r="E31" s="32">
        <v>929.52</v>
      </c>
      <c r="F31" s="32">
        <f t="shared" si="9"/>
        <v>929.52</v>
      </c>
      <c r="G31" s="33">
        <v>0.21</v>
      </c>
      <c r="H31" s="32">
        <f t="shared" si="10"/>
        <v>195.19919999999999</v>
      </c>
    </row>
    <row r="32" spans="1:16" x14ac:dyDescent="0.2">
      <c r="C32" s="32">
        <v>292865</v>
      </c>
      <c r="D32" s="32"/>
      <c r="E32" s="32">
        <v>3486.49</v>
      </c>
      <c r="F32" s="32">
        <f t="shared" si="9"/>
        <v>3486.49</v>
      </c>
      <c r="G32" s="33">
        <v>0.21</v>
      </c>
      <c r="H32" s="32">
        <f t="shared" si="10"/>
        <v>732.16289999999992</v>
      </c>
    </row>
    <row r="33" spans="3:8" x14ac:dyDescent="0.2">
      <c r="C33" s="32"/>
      <c r="D33" s="32"/>
      <c r="E33" s="32">
        <v>0</v>
      </c>
      <c r="F33" s="32">
        <f t="shared" si="9"/>
        <v>0</v>
      </c>
      <c r="G33" s="33">
        <v>0.21</v>
      </c>
      <c r="H33" s="32">
        <f t="shared" si="10"/>
        <v>0</v>
      </c>
    </row>
    <row r="34" spans="3:8" x14ac:dyDescent="0.2">
      <c r="C34" s="32">
        <v>126132</v>
      </c>
      <c r="D34" s="32"/>
      <c r="E34" s="32">
        <v>649.26</v>
      </c>
      <c r="F34" s="32">
        <f t="shared" si="9"/>
        <v>649.26</v>
      </c>
      <c r="G34" s="33">
        <v>0.21</v>
      </c>
      <c r="H34" s="32">
        <f t="shared" si="10"/>
        <v>136.34459999999999</v>
      </c>
    </row>
    <row r="35" spans="3:8" x14ac:dyDescent="0.2">
      <c r="C35" s="32">
        <v>189198</v>
      </c>
      <c r="D35" s="32"/>
      <c r="E35" s="32">
        <v>2252.36</v>
      </c>
      <c r="F35" s="32">
        <f t="shared" si="9"/>
        <v>2252.36</v>
      </c>
      <c r="G35" s="33">
        <v>0.21</v>
      </c>
      <c r="H35" s="32">
        <f>F35*G35</f>
        <v>472.99560000000002</v>
      </c>
    </row>
    <row r="36" spans="3:8" x14ac:dyDescent="0.2">
      <c r="C36" s="32">
        <v>6472</v>
      </c>
      <c r="D36" s="32"/>
      <c r="E36" s="32">
        <v>7.43</v>
      </c>
      <c r="F36" s="32">
        <f t="shared" si="9"/>
        <v>7.43</v>
      </c>
      <c r="G36" s="33">
        <v>0.21</v>
      </c>
      <c r="H36" s="32">
        <f t="shared" ref="H36:H37" si="11">F36*G36</f>
        <v>1.5602999999999998</v>
      </c>
    </row>
    <row r="37" spans="3:8" x14ac:dyDescent="0.2">
      <c r="C37" s="32">
        <v>-4163</v>
      </c>
      <c r="D37" s="32"/>
      <c r="E37" s="32">
        <v>-39</v>
      </c>
      <c r="F37" s="32">
        <f t="shared" si="9"/>
        <v>-39</v>
      </c>
      <c r="G37" s="33">
        <v>0.21</v>
      </c>
      <c r="H37" s="32">
        <f t="shared" si="11"/>
        <v>-8.19</v>
      </c>
    </row>
    <row r="38" spans="3:8" ht="15" x14ac:dyDescent="0.35">
      <c r="C38" s="32">
        <v>4163</v>
      </c>
      <c r="D38" s="32"/>
      <c r="E38" s="27">
        <v>39</v>
      </c>
      <c r="F38" s="27">
        <f t="shared" si="9"/>
        <v>39</v>
      </c>
      <c r="G38" s="33">
        <v>0.21</v>
      </c>
      <c r="H38" s="27">
        <f>F38*G38</f>
        <v>8.19</v>
      </c>
    </row>
    <row r="39" spans="3:8" x14ac:dyDescent="0.2">
      <c r="C39" s="32"/>
      <c r="D39" s="32"/>
      <c r="E39" s="32">
        <f>SUM(E25:E38)</f>
        <v>23430.44</v>
      </c>
      <c r="F39" s="32">
        <f>SUM(F25:F38)</f>
        <v>3096.4400000000028</v>
      </c>
      <c r="G39" s="28" t="s">
        <v>42</v>
      </c>
      <c r="H39" s="32">
        <f>SUM(H25:H38)</f>
        <v>650.25239999999997</v>
      </c>
    </row>
    <row r="40" spans="3:8" x14ac:dyDescent="0.2">
      <c r="E40" s="9"/>
      <c r="F40" s="9"/>
      <c r="G40" s="28" t="s">
        <v>40</v>
      </c>
      <c r="H40" s="34">
        <f>-H57*0.21</f>
        <v>-268.35070500000006</v>
      </c>
    </row>
    <row r="41" spans="3:8" x14ac:dyDescent="0.2">
      <c r="H41" s="9">
        <f>H39+H40</f>
        <v>381.9016949999999</v>
      </c>
    </row>
    <row r="42" spans="3:8" x14ac:dyDescent="0.2">
      <c r="H42" s="9">
        <f>H41-K13</f>
        <v>-2.1000000002118213E-3</v>
      </c>
    </row>
    <row r="43" spans="3:8" x14ac:dyDescent="0.2">
      <c r="C43" s="9" t="s">
        <v>36</v>
      </c>
      <c r="D43" s="24" t="s">
        <v>31</v>
      </c>
      <c r="E43" s="25" t="s">
        <v>37</v>
      </c>
      <c r="F43" s="9" t="s">
        <v>38</v>
      </c>
      <c r="G43" s="3" t="s">
        <v>24</v>
      </c>
      <c r="H43" s="9" t="s">
        <v>39</v>
      </c>
    </row>
    <row r="44" spans="3:8" x14ac:dyDescent="0.2">
      <c r="C44" s="32">
        <v>469118.84800000006</v>
      </c>
      <c r="D44" s="32">
        <f>D25</f>
        <v>20334</v>
      </c>
      <c r="E44" s="32">
        <v>2066.08</v>
      </c>
      <c r="F44" s="32">
        <f>E44-D44</f>
        <v>-18267.919999999998</v>
      </c>
      <c r="G44" s="3">
        <v>0.05</v>
      </c>
      <c r="H44" s="32">
        <f>F44*G44</f>
        <v>-913.39599999999996</v>
      </c>
    </row>
    <row r="45" spans="3:8" x14ac:dyDescent="0.2">
      <c r="C45" s="32">
        <v>703678.272</v>
      </c>
      <c r="D45" s="32"/>
      <c r="E45" s="32">
        <v>8377.1200000000008</v>
      </c>
      <c r="F45" s="32">
        <f>E45</f>
        <v>8377.1200000000008</v>
      </c>
      <c r="G45" s="3">
        <v>0.05</v>
      </c>
      <c r="H45" s="32">
        <f>F45*G45</f>
        <v>418.85600000000005</v>
      </c>
    </row>
    <row r="46" spans="3:8" x14ac:dyDescent="0.2">
      <c r="C46" s="32">
        <v>5529</v>
      </c>
      <c r="D46" s="32"/>
      <c r="E46" s="32">
        <v>26.32</v>
      </c>
      <c r="F46" s="32">
        <f t="shared" ref="F46:F56" si="12">E46</f>
        <v>26.32</v>
      </c>
      <c r="G46" s="3">
        <v>0.05</v>
      </c>
      <c r="H46" s="32">
        <f t="shared" ref="H46:H52" si="13">F46*G46</f>
        <v>1.3160000000000001</v>
      </c>
    </row>
    <row r="47" spans="3:8" x14ac:dyDescent="0.2">
      <c r="C47" s="32">
        <v>8294</v>
      </c>
      <c r="D47" s="32"/>
      <c r="E47" s="32">
        <v>98.73</v>
      </c>
      <c r="F47" s="32">
        <f t="shared" si="12"/>
        <v>98.73</v>
      </c>
      <c r="G47" s="3">
        <v>0.05</v>
      </c>
      <c r="H47" s="32">
        <f t="shared" si="13"/>
        <v>4.9365000000000006</v>
      </c>
    </row>
    <row r="48" spans="3:8" x14ac:dyDescent="0.2">
      <c r="C48" s="32">
        <v>727215</v>
      </c>
      <c r="D48" s="32"/>
      <c r="E48" s="32">
        <v>3462.15</v>
      </c>
      <c r="F48" s="32">
        <f t="shared" si="12"/>
        <v>3462.15</v>
      </c>
      <c r="G48" s="3">
        <v>0.05</v>
      </c>
      <c r="H48" s="32">
        <f t="shared" si="13"/>
        <v>173.10750000000002</v>
      </c>
    </row>
    <row r="49" spans="3:8" x14ac:dyDescent="0.2">
      <c r="C49" s="32">
        <v>1090822</v>
      </c>
      <c r="D49" s="32"/>
      <c r="E49" s="32">
        <v>18180.36</v>
      </c>
      <c r="F49" s="32">
        <f t="shared" si="12"/>
        <v>18180.36</v>
      </c>
      <c r="G49" s="3">
        <v>0.05</v>
      </c>
      <c r="H49" s="32">
        <f t="shared" si="13"/>
        <v>909.01800000000003</v>
      </c>
    </row>
    <row r="50" spans="3:8" x14ac:dyDescent="0.2">
      <c r="C50" s="32">
        <v>390487</v>
      </c>
      <c r="D50" s="32"/>
      <c r="E50" s="32">
        <v>1859.04</v>
      </c>
      <c r="F50" s="32">
        <f t="shared" si="12"/>
        <v>1859.04</v>
      </c>
      <c r="G50" s="3">
        <v>0.05</v>
      </c>
      <c r="H50" s="32">
        <f t="shared" si="13"/>
        <v>92.951999999999998</v>
      </c>
    </row>
    <row r="51" spans="3:8" x14ac:dyDescent="0.2">
      <c r="C51" s="32">
        <v>585730</v>
      </c>
      <c r="D51" s="32"/>
      <c r="E51" s="32">
        <v>6972.98</v>
      </c>
      <c r="F51" s="32">
        <f t="shared" si="12"/>
        <v>6972.98</v>
      </c>
      <c r="G51" s="3">
        <v>0.05</v>
      </c>
      <c r="H51" s="32">
        <f t="shared" si="13"/>
        <v>348.649</v>
      </c>
    </row>
    <row r="52" spans="3:8" x14ac:dyDescent="0.2">
      <c r="C52" s="32">
        <v>210220</v>
      </c>
      <c r="D52" s="32"/>
      <c r="E52" s="32">
        <v>1082.1099999999999</v>
      </c>
      <c r="F52" s="32">
        <f t="shared" si="12"/>
        <v>1082.1099999999999</v>
      </c>
      <c r="G52" s="3">
        <v>0.05</v>
      </c>
      <c r="H52" s="32">
        <f t="shared" si="13"/>
        <v>54.105499999999999</v>
      </c>
    </row>
    <row r="53" spans="3:8" x14ac:dyDescent="0.2">
      <c r="C53" s="32">
        <v>315330</v>
      </c>
      <c r="D53" s="32"/>
      <c r="E53" s="32">
        <v>3753.93</v>
      </c>
      <c r="F53" s="32">
        <f t="shared" si="12"/>
        <v>3753.93</v>
      </c>
      <c r="G53" s="33">
        <v>0.05</v>
      </c>
      <c r="H53" s="32">
        <f>F53*G53</f>
        <v>187.69650000000001</v>
      </c>
    </row>
    <row r="54" spans="3:8" x14ac:dyDescent="0.2">
      <c r="C54" s="32">
        <v>6472</v>
      </c>
      <c r="D54" s="32"/>
      <c r="E54" s="32">
        <v>13.33</v>
      </c>
      <c r="F54" s="32">
        <f t="shared" si="12"/>
        <v>13.33</v>
      </c>
      <c r="G54" s="33">
        <v>0.05</v>
      </c>
      <c r="H54" s="32">
        <f t="shared" ref="H54:H55" si="14">F54*G54</f>
        <v>0.66650000000000009</v>
      </c>
    </row>
    <row r="55" spans="3:8" x14ac:dyDescent="0.2">
      <c r="C55" s="32">
        <v>-6939</v>
      </c>
      <c r="D55" s="32"/>
      <c r="E55" s="32">
        <v>-65.95</v>
      </c>
      <c r="F55" s="32">
        <f t="shared" si="12"/>
        <v>-65.95</v>
      </c>
      <c r="G55" s="33">
        <v>0.05</v>
      </c>
      <c r="H55" s="32">
        <f t="shared" si="14"/>
        <v>-3.2975000000000003</v>
      </c>
    </row>
    <row r="56" spans="3:8" ht="15" x14ac:dyDescent="0.35">
      <c r="C56" s="32">
        <v>6939</v>
      </c>
      <c r="D56" s="32"/>
      <c r="E56" s="27">
        <v>65.010000000000005</v>
      </c>
      <c r="F56" s="27">
        <f t="shared" si="12"/>
        <v>65.010000000000005</v>
      </c>
      <c r="G56" s="33">
        <v>0.05</v>
      </c>
      <c r="H56" s="27">
        <f>F56*G56</f>
        <v>3.2505000000000006</v>
      </c>
    </row>
    <row r="57" spans="3:8" x14ac:dyDescent="0.2">
      <c r="C57" s="32"/>
      <c r="D57" s="32"/>
      <c r="E57" s="32">
        <f>SUM(E44:E56)</f>
        <v>45891.210000000006</v>
      </c>
      <c r="F57" s="32">
        <f>SUM(F44:F56)</f>
        <v>25557.210000000003</v>
      </c>
      <c r="H57" s="32">
        <f>SUM(H44:H56)</f>
        <v>1277.8605000000005</v>
      </c>
    </row>
    <row r="58" spans="3:8" x14ac:dyDescent="0.2">
      <c r="E58" s="9"/>
      <c r="F58" s="9"/>
      <c r="H58" s="9">
        <f>H57-L13</f>
        <v>0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6 of 8
Clements</oddHeader>
    <oddFooter>&amp;L_x000D_&amp;1#&amp;"Calibri"&amp;14&amp;K000000 Business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3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7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A5" s="6" t="s">
        <v>16</v>
      </c>
    </row>
    <row r="6" spans="1:17" x14ac:dyDescent="0.2">
      <c r="A6" s="22" t="s">
        <v>47</v>
      </c>
    </row>
    <row r="8" spans="1:17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7" x14ac:dyDescent="0.2">
      <c r="A9" s="8" t="s">
        <v>8</v>
      </c>
      <c r="M9" s="10">
        <v>20534460</v>
      </c>
    </row>
    <row r="10" spans="1:17" x14ac:dyDescent="0.2">
      <c r="A10" s="29">
        <v>44264</v>
      </c>
      <c r="C10" s="12">
        <v>207637612</v>
      </c>
      <c r="D10" s="13">
        <v>620871</v>
      </c>
      <c r="E10" s="10">
        <f>1128554.6-1396.44</f>
        <v>1127158.1600000001</v>
      </c>
      <c r="F10" s="10">
        <f>1833247.08-1396.44</f>
        <v>1831850.6400000001</v>
      </c>
      <c r="G10" s="12">
        <f t="shared" ref="G10:G15" si="0">E10-D10</f>
        <v>506287.16000000015</v>
      </c>
      <c r="H10" s="12">
        <f t="shared" ref="H10:H15" si="1">F10-D10</f>
        <v>1210979.6400000001</v>
      </c>
      <c r="I10" s="3">
        <v>0.21</v>
      </c>
      <c r="J10" s="3">
        <v>0.05</v>
      </c>
      <c r="K10" s="9">
        <f t="shared" ref="K10:K15" si="2">G10*I10-L10*I10</f>
        <v>93605.017380000034</v>
      </c>
      <c r="L10" s="9">
        <f t="shared" ref="L10:L15" si="3">H10*J10</f>
        <v>60548.982000000011</v>
      </c>
      <c r="M10" s="15">
        <f t="shared" ref="M10:M15" si="4">M9+K10+L10</f>
        <v>20688613.99938</v>
      </c>
      <c r="N10" s="9">
        <f>40400.24+494194.14</f>
        <v>534594.38</v>
      </c>
      <c r="O10" s="30"/>
      <c r="Q10" s="23"/>
    </row>
    <row r="11" spans="1:17" x14ac:dyDescent="0.2">
      <c r="A11" s="29">
        <v>44287</v>
      </c>
      <c r="C11" s="12">
        <v>207637612</v>
      </c>
      <c r="D11" s="13">
        <v>620871</v>
      </c>
      <c r="E11" s="10">
        <f>1128554.6-1396.44</f>
        <v>1127158.1600000001</v>
      </c>
      <c r="F11" s="10">
        <f>1833247.08-1396.44</f>
        <v>1831850.6400000001</v>
      </c>
      <c r="G11" s="12">
        <f t="shared" si="0"/>
        <v>506287.16000000015</v>
      </c>
      <c r="H11" s="12">
        <f t="shared" si="1"/>
        <v>1210979.6400000001</v>
      </c>
      <c r="I11" s="3">
        <v>0.21</v>
      </c>
      <c r="J11" s="3">
        <v>0.05</v>
      </c>
      <c r="K11" s="9">
        <f t="shared" si="2"/>
        <v>93605.017380000034</v>
      </c>
      <c r="L11" s="9">
        <f t="shared" si="3"/>
        <v>60548.982000000011</v>
      </c>
      <c r="M11" s="15">
        <f t="shared" si="4"/>
        <v>20842767.99876</v>
      </c>
      <c r="N11" s="9">
        <f>40400.24+490362.89</f>
        <v>530763.13</v>
      </c>
      <c r="O11" s="30"/>
      <c r="Q11" s="9"/>
    </row>
    <row r="12" spans="1:17" x14ac:dyDescent="0.2">
      <c r="A12" s="29">
        <v>44317</v>
      </c>
      <c r="C12" s="12">
        <v>207637612</v>
      </c>
      <c r="D12" s="13">
        <v>620871</v>
      </c>
      <c r="E12" s="10">
        <f>1128554.6-1396.44</f>
        <v>1127158.1600000001</v>
      </c>
      <c r="F12" s="10">
        <f>1833247.08-1396.44</f>
        <v>1831850.6400000001</v>
      </c>
      <c r="G12" s="12">
        <f>E12-D12</f>
        <v>506287.16000000015</v>
      </c>
      <c r="H12" s="12">
        <f>F12-D12</f>
        <v>1210979.6400000001</v>
      </c>
      <c r="I12" s="3">
        <v>0.21</v>
      </c>
      <c r="J12" s="3">
        <v>0.05</v>
      </c>
      <c r="K12" s="9">
        <f t="shared" si="2"/>
        <v>93605.017380000034</v>
      </c>
      <c r="L12" s="9">
        <f t="shared" si="3"/>
        <v>60548.982000000011</v>
      </c>
      <c r="M12" s="15">
        <f t="shared" si="4"/>
        <v>20996921.99814</v>
      </c>
      <c r="N12" s="9">
        <f>40400.24+486531.63</f>
        <v>526931.87</v>
      </c>
      <c r="Q12" s="9"/>
    </row>
    <row r="13" spans="1:17" x14ac:dyDescent="0.2">
      <c r="A13" s="29">
        <v>44348</v>
      </c>
      <c r="C13" s="12">
        <v>207637612</v>
      </c>
      <c r="D13" s="13">
        <v>620870.5</v>
      </c>
      <c r="E13" s="10">
        <f>1128556.1-1396.44</f>
        <v>1127159.6600000001</v>
      </c>
      <c r="F13" s="10">
        <f>1833249.1-1396.44</f>
        <v>1831852.6600000001</v>
      </c>
      <c r="G13" s="12">
        <f t="shared" si="0"/>
        <v>506289.16000000015</v>
      </c>
      <c r="H13" s="12">
        <f t="shared" si="1"/>
        <v>1210982.1600000001</v>
      </c>
      <c r="I13" s="3">
        <v>0.21</v>
      </c>
      <c r="J13" s="3">
        <v>0.05</v>
      </c>
      <c r="K13" s="9">
        <f t="shared" si="2"/>
        <v>93605.410920000024</v>
      </c>
      <c r="L13" s="9">
        <f t="shared" si="3"/>
        <v>60549.108000000007</v>
      </c>
      <c r="M13" s="15">
        <f t="shared" si="4"/>
        <v>21151076.51706</v>
      </c>
      <c r="N13" s="9">
        <f>40400.24+482700.38</f>
        <v>523100.62</v>
      </c>
      <c r="Q13" s="12"/>
    </row>
    <row r="14" spans="1:17" x14ac:dyDescent="0.2">
      <c r="A14" s="29">
        <v>44378</v>
      </c>
      <c r="C14" s="12">
        <v>207637612</v>
      </c>
      <c r="D14" s="13">
        <v>835853</v>
      </c>
      <c r="E14" s="10">
        <f>1128554.6-1396.44</f>
        <v>1127158.1600000001</v>
      </c>
      <c r="F14" s="10">
        <f>1833247.08-1396.44</f>
        <v>1831850.6400000001</v>
      </c>
      <c r="G14" s="12">
        <f>E14-D14</f>
        <v>291305.16000000015</v>
      </c>
      <c r="H14" s="12">
        <f>F14-D14</f>
        <v>995997.64000000013</v>
      </c>
      <c r="I14" s="3">
        <v>0.21</v>
      </c>
      <c r="J14" s="3">
        <v>0.05</v>
      </c>
      <c r="K14" s="9">
        <f t="shared" si="2"/>
        <v>50716.108380000027</v>
      </c>
      <c r="L14" s="9">
        <f t="shared" si="3"/>
        <v>49799.882000000012</v>
      </c>
      <c r="M14" s="15">
        <f t="shared" si="4"/>
        <v>21251592.507440001</v>
      </c>
      <c r="N14" s="9">
        <v>0</v>
      </c>
      <c r="P14" s="12"/>
      <c r="Q14" s="9"/>
    </row>
    <row r="15" spans="1:17" x14ac:dyDescent="0.2">
      <c r="A15" s="29">
        <v>44409</v>
      </c>
      <c r="C15" s="12">
        <v>207637612</v>
      </c>
      <c r="D15" s="13">
        <v>835852.5</v>
      </c>
      <c r="E15" s="10">
        <f>1128554.6-1396.44</f>
        <v>1127158.1600000001</v>
      </c>
      <c r="F15" s="10">
        <f>1833247.08-1396.44</f>
        <v>1831850.6400000001</v>
      </c>
      <c r="G15" s="12">
        <f t="shared" si="0"/>
        <v>291305.66000000015</v>
      </c>
      <c r="H15" s="12">
        <f t="shared" si="1"/>
        <v>995998.14000000013</v>
      </c>
      <c r="I15" s="3">
        <v>0.21</v>
      </c>
      <c r="J15" s="3">
        <v>0.05</v>
      </c>
      <c r="K15" s="9">
        <f t="shared" si="2"/>
        <v>50716.208130000028</v>
      </c>
      <c r="L15" s="9">
        <f t="shared" si="3"/>
        <v>49799.907000000007</v>
      </c>
      <c r="M15" s="15">
        <f t="shared" si="4"/>
        <v>21352108.622570001</v>
      </c>
      <c r="N15" s="9">
        <v>0</v>
      </c>
      <c r="Q15" s="9"/>
    </row>
    <row r="16" spans="1:17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7" t="s">
        <v>54</v>
      </c>
    </row>
    <row r="20" spans="1:16" x14ac:dyDescent="0.2">
      <c r="C20" s="37" t="s">
        <v>28</v>
      </c>
    </row>
    <row r="21" spans="1:16" x14ac:dyDescent="0.2">
      <c r="C21" s="37" t="s">
        <v>51</v>
      </c>
    </row>
    <row r="22" spans="1:16" x14ac:dyDescent="0.2">
      <c r="C22" s="9" t="s">
        <v>29</v>
      </c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4378287</v>
      </c>
      <c r="D25" s="32">
        <v>835853</v>
      </c>
      <c r="E25" s="32">
        <f>21891.44+4168.86+10422.15</f>
        <v>36482.449999999997</v>
      </c>
      <c r="F25" s="32">
        <f>E25-D25</f>
        <v>-799370.55</v>
      </c>
      <c r="G25" s="3">
        <v>0.21</v>
      </c>
      <c r="H25" s="32">
        <f>F25*G25</f>
        <v>-167867.8155</v>
      </c>
    </row>
    <row r="26" spans="1:16" x14ac:dyDescent="0.2">
      <c r="C26" s="32">
        <v>1178248</v>
      </c>
      <c r="D26" s="32"/>
      <c r="E26" s="32">
        <f>5891.24+1213.01+3032.52</f>
        <v>10136.77</v>
      </c>
      <c r="F26" s="32">
        <f t="shared" ref="F26:F30" si="5">E26-D26</f>
        <v>10136.77</v>
      </c>
      <c r="G26" s="3">
        <v>0.21</v>
      </c>
      <c r="H26" s="32">
        <f t="shared" ref="H26:H30" si="6">F26*G26</f>
        <v>2128.7217000000001</v>
      </c>
    </row>
    <row r="27" spans="1:16" x14ac:dyDescent="0.2">
      <c r="C27" s="32">
        <v>527243</v>
      </c>
      <c r="D27" s="32"/>
      <c r="E27" s="32">
        <f>2636.22+586.73+1466.83</f>
        <v>4689.78</v>
      </c>
      <c r="F27" s="32">
        <f t="shared" si="5"/>
        <v>4689.78</v>
      </c>
      <c r="G27" s="3">
        <v>0.21</v>
      </c>
      <c r="H27" s="32">
        <f t="shared" si="6"/>
        <v>984.85379999999986</v>
      </c>
    </row>
    <row r="28" spans="1:16" x14ac:dyDescent="0.2">
      <c r="C28" s="32">
        <v>110974612</v>
      </c>
      <c r="D28" s="32"/>
      <c r="E28" s="32">
        <f>554873.06+432236.87</f>
        <v>987109.93</v>
      </c>
      <c r="F28" s="32">
        <f t="shared" si="5"/>
        <v>987109.93</v>
      </c>
      <c r="G28" s="3">
        <v>0.21</v>
      </c>
      <c r="H28" s="32">
        <f t="shared" si="6"/>
        <v>207293.08530000001</v>
      </c>
    </row>
    <row r="29" spans="1:16" x14ac:dyDescent="0.2">
      <c r="C29" s="32">
        <f>1019117.12+679411.41+1698528.54</f>
        <v>3397057.0700000003</v>
      </c>
      <c r="D29" s="32"/>
      <c r="E29" s="32">
        <f>16985.29+4087.23+10218.06</f>
        <v>31290.58</v>
      </c>
      <c r="F29" s="32">
        <f t="shared" si="5"/>
        <v>31290.58</v>
      </c>
      <c r="G29" s="3">
        <v>0.21</v>
      </c>
      <c r="H29" s="32">
        <f t="shared" si="6"/>
        <v>6571.0218000000004</v>
      </c>
    </row>
    <row r="30" spans="1:16" ht="15" x14ac:dyDescent="0.35">
      <c r="C30" s="32">
        <f>1916553.32+1277702.21+3194255.53</f>
        <v>6388511.0600000005</v>
      </c>
      <c r="D30" s="32"/>
      <c r="E30" s="27">
        <f>31942.56+7686.44+19216.11-1396.44</f>
        <v>57448.67</v>
      </c>
      <c r="F30" s="27">
        <f t="shared" si="5"/>
        <v>57448.67</v>
      </c>
      <c r="G30" s="3">
        <v>0.21</v>
      </c>
      <c r="H30" s="27">
        <f t="shared" si="6"/>
        <v>12064.2207</v>
      </c>
    </row>
    <row r="31" spans="1:16" x14ac:dyDescent="0.2">
      <c r="E31" s="9">
        <f>SUM(E25:E30)</f>
        <v>1127158.18</v>
      </c>
      <c r="F31" s="9">
        <f>SUM(F25:F30)</f>
        <v>291305.18000000005</v>
      </c>
      <c r="G31" s="28" t="s">
        <v>42</v>
      </c>
      <c r="H31" s="9">
        <f>SUM(H25:H30)</f>
        <v>61174.087800000016</v>
      </c>
    </row>
    <row r="32" spans="1:16" ht="15" x14ac:dyDescent="0.35">
      <c r="G32" s="28" t="s">
        <v>40</v>
      </c>
      <c r="H32" s="27">
        <f>-H42*0.21</f>
        <v>-10457.975219999998</v>
      </c>
    </row>
    <row r="33" spans="3:8" x14ac:dyDescent="0.2">
      <c r="H33" s="9">
        <f>H31+H32</f>
        <v>50716.112580000015</v>
      </c>
    </row>
    <row r="34" spans="3:8" x14ac:dyDescent="0.2">
      <c r="H34" s="9">
        <f>H33-K15</f>
        <v>-9.5550000012735836E-2</v>
      </c>
    </row>
    <row r="35" spans="3:8" x14ac:dyDescent="0.2">
      <c r="C35" s="9" t="s">
        <v>36</v>
      </c>
      <c r="D35" s="24" t="s">
        <v>31</v>
      </c>
      <c r="E35" s="25" t="s">
        <v>37</v>
      </c>
      <c r="F35" s="9" t="s">
        <v>38</v>
      </c>
      <c r="G35" s="3" t="s">
        <v>24</v>
      </c>
      <c r="H35" s="9" t="s">
        <v>39</v>
      </c>
    </row>
    <row r="36" spans="3:8" x14ac:dyDescent="0.2">
      <c r="C36" s="32">
        <v>8756574</v>
      </c>
      <c r="D36" s="9">
        <f>D25</f>
        <v>835853</v>
      </c>
      <c r="E36" s="9">
        <f>43782.87+8337.72+20844.29</f>
        <v>72964.88</v>
      </c>
      <c r="F36" s="9">
        <f>E36-D36</f>
        <v>-762888.12</v>
      </c>
      <c r="G36" s="3">
        <v>0.05</v>
      </c>
      <c r="H36" s="9">
        <f>F36*G36</f>
        <v>-38144.406000000003</v>
      </c>
    </row>
    <row r="37" spans="3:8" x14ac:dyDescent="0.2">
      <c r="C37" s="32">
        <v>2356496</v>
      </c>
      <c r="E37" s="9">
        <f>11782.48+2426.01+6065.03</f>
        <v>20273.52</v>
      </c>
      <c r="F37" s="9">
        <f t="shared" ref="F37:F41" si="7">E37-D37</f>
        <v>20273.52</v>
      </c>
      <c r="G37" s="3">
        <v>0.05</v>
      </c>
      <c r="H37" s="9">
        <f t="shared" ref="H37:H41" si="8">F37*G37</f>
        <v>1013.676</v>
      </c>
    </row>
    <row r="38" spans="3:8" x14ac:dyDescent="0.2">
      <c r="C38" s="32">
        <v>527243</v>
      </c>
      <c r="E38" s="9">
        <f>2636.22+586.73+1466.83</f>
        <v>4689.78</v>
      </c>
      <c r="F38" s="9">
        <f t="shared" si="7"/>
        <v>4689.78</v>
      </c>
      <c r="G38" s="3">
        <v>0.05</v>
      </c>
      <c r="H38" s="9">
        <f t="shared" si="8"/>
        <v>234.489</v>
      </c>
    </row>
    <row r="39" spans="3:8" x14ac:dyDescent="0.2">
      <c r="C39" s="32">
        <v>184957686</v>
      </c>
      <c r="E39" s="32">
        <f>924788.43+720394.78</f>
        <v>1645183.21</v>
      </c>
      <c r="F39" s="32">
        <f t="shared" si="7"/>
        <v>1645183.21</v>
      </c>
      <c r="G39" s="3">
        <v>0.05</v>
      </c>
      <c r="H39" s="32">
        <f t="shared" si="8"/>
        <v>82259.160499999998</v>
      </c>
    </row>
    <row r="40" spans="3:8" x14ac:dyDescent="0.2">
      <c r="C40" s="32">
        <f>C29</f>
        <v>3397057.0700000003</v>
      </c>
      <c r="E40" s="32">
        <f>16985.29+4087.23+10218.06</f>
        <v>31290.58</v>
      </c>
      <c r="F40" s="32">
        <f t="shared" si="7"/>
        <v>31290.58</v>
      </c>
      <c r="G40" s="33">
        <v>0.05</v>
      </c>
      <c r="H40" s="32">
        <f t="shared" si="8"/>
        <v>1564.5290000000002</v>
      </c>
    </row>
    <row r="41" spans="3:8" ht="15" x14ac:dyDescent="0.35">
      <c r="C41" s="32">
        <f>C30</f>
        <v>6388511.0600000005</v>
      </c>
      <c r="E41" s="27">
        <f>31942.56+7686.44+19216.11-1396.44</f>
        <v>57448.67</v>
      </c>
      <c r="F41" s="27">
        <f t="shared" si="7"/>
        <v>57448.67</v>
      </c>
      <c r="G41" s="33">
        <v>0.05</v>
      </c>
      <c r="H41" s="27">
        <f t="shared" si="8"/>
        <v>2872.4335000000001</v>
      </c>
    </row>
    <row r="42" spans="3:8" x14ac:dyDescent="0.2">
      <c r="E42" s="9">
        <f>SUM(E36:E41)</f>
        <v>1831850.64</v>
      </c>
      <c r="F42" s="9">
        <f>SUM(F36:F41)</f>
        <v>995997.64</v>
      </c>
      <c r="H42" s="9">
        <f>SUM(H36:H41)</f>
        <v>49799.881999999998</v>
      </c>
    </row>
    <row r="43" spans="3:8" x14ac:dyDescent="0.2">
      <c r="H43" s="9">
        <f>H42-L15</f>
        <v>-2.5000000008731149E-2</v>
      </c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7 of 8
Clements</oddHeader>
    <oddFooter>&amp;L_x000D_&amp;1#&amp;"Calibri"&amp;14&amp;K000000 Business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0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14</v>
      </c>
      <c r="N4" s="4"/>
      <c r="O4" s="4"/>
      <c r="P4" s="4"/>
    </row>
    <row r="5" spans="1:20" x14ac:dyDescent="0.2">
      <c r="A5" s="6" t="s">
        <v>16</v>
      </c>
    </row>
    <row r="6" spans="1:20" x14ac:dyDescent="0.2">
      <c r="A6" s="22" t="s">
        <v>18</v>
      </c>
    </row>
    <row r="8" spans="1:20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20" x14ac:dyDescent="0.2">
      <c r="A9" s="8" t="s">
        <v>8</v>
      </c>
      <c r="M9" s="10">
        <v>3967581</v>
      </c>
    </row>
    <row r="10" spans="1:20" x14ac:dyDescent="0.2">
      <c r="A10" s="29">
        <v>44264</v>
      </c>
      <c r="C10" s="12">
        <v>44037947</v>
      </c>
      <c r="D10" s="13">
        <v>87709</v>
      </c>
      <c r="E10" s="35">
        <f>155228.43</f>
        <v>155228.43</v>
      </c>
      <c r="F10" s="35">
        <f t="shared" ref="F10:F15" si="0">244729.84</f>
        <v>244729.84</v>
      </c>
      <c r="G10" s="14">
        <f t="shared" ref="G10:G13" si="1">E10-D10</f>
        <v>67519.429999999993</v>
      </c>
      <c r="H10" s="14">
        <f t="shared" ref="H10:H13" si="2">F10-D10</f>
        <v>157020.84</v>
      </c>
      <c r="I10" s="3">
        <v>0.21</v>
      </c>
      <c r="J10" s="3">
        <v>0.05</v>
      </c>
      <c r="K10" s="9">
        <f t="shared" ref="K10:K13" si="3">G10*I10-L10*I10</f>
        <v>12530.361479999998</v>
      </c>
      <c r="L10" s="9">
        <f t="shared" ref="L10:L13" si="4">H10*J10</f>
        <v>7851.0420000000004</v>
      </c>
      <c r="M10" s="15">
        <f t="shared" ref="M10:M15" si="5">M9+K10+L10</f>
        <v>3987962.4034799999</v>
      </c>
      <c r="N10" s="9">
        <v>0</v>
      </c>
      <c r="O10" s="30"/>
    </row>
    <row r="11" spans="1:20" x14ac:dyDescent="0.2">
      <c r="A11" s="29">
        <v>44287</v>
      </c>
      <c r="C11" s="12">
        <v>44037947</v>
      </c>
      <c r="D11" s="13">
        <v>87709</v>
      </c>
      <c r="E11" s="35">
        <f>155228.43</f>
        <v>155228.43</v>
      </c>
      <c r="F11" s="35">
        <f t="shared" si="0"/>
        <v>244729.84</v>
      </c>
      <c r="G11" s="14">
        <f t="shared" si="1"/>
        <v>67519.429999999993</v>
      </c>
      <c r="H11" s="14">
        <f t="shared" si="2"/>
        <v>157020.84</v>
      </c>
      <c r="I11" s="3">
        <v>0.21</v>
      </c>
      <c r="J11" s="3">
        <v>0.05</v>
      </c>
      <c r="K11" s="9">
        <f t="shared" si="3"/>
        <v>12530.361479999998</v>
      </c>
      <c r="L11" s="9">
        <f t="shared" si="4"/>
        <v>7851.0420000000004</v>
      </c>
      <c r="M11" s="15">
        <f t="shared" si="5"/>
        <v>4008343.8069599997</v>
      </c>
      <c r="N11" s="9">
        <v>0</v>
      </c>
      <c r="O11" s="30"/>
      <c r="Q11" s="9">
        <f>358619-M12</f>
        <v>-3670106.2104399996</v>
      </c>
      <c r="R11" s="17" t="s">
        <v>14</v>
      </c>
    </row>
    <row r="12" spans="1:20" x14ac:dyDescent="0.2">
      <c r="A12" s="29">
        <v>44317</v>
      </c>
      <c r="C12" s="12">
        <v>44037947</v>
      </c>
      <c r="D12" s="13">
        <v>87709</v>
      </c>
      <c r="E12" s="35">
        <f>155228.43</f>
        <v>155228.43</v>
      </c>
      <c r="F12" s="35">
        <f t="shared" si="0"/>
        <v>244729.84</v>
      </c>
      <c r="G12" s="14">
        <f t="shared" si="1"/>
        <v>67519.429999999993</v>
      </c>
      <c r="H12" s="14">
        <f t="shared" si="2"/>
        <v>157020.84</v>
      </c>
      <c r="I12" s="3">
        <v>0.21</v>
      </c>
      <c r="J12" s="3">
        <v>0.05</v>
      </c>
      <c r="K12" s="9">
        <f t="shared" si="3"/>
        <v>12530.361479999998</v>
      </c>
      <c r="L12" s="9">
        <f t="shared" si="4"/>
        <v>7851.0420000000004</v>
      </c>
      <c r="M12" s="15">
        <f t="shared" si="5"/>
        <v>4028725.2104399996</v>
      </c>
      <c r="N12" s="9">
        <v>0</v>
      </c>
      <c r="Q12">
        <f>+Q11/0.389</f>
        <v>-9434720.3353213351</v>
      </c>
      <c r="R12" s="9"/>
    </row>
    <row r="13" spans="1:20" x14ac:dyDescent="0.2">
      <c r="A13" s="29">
        <v>44348</v>
      </c>
      <c r="C13" s="12">
        <v>44037947</v>
      </c>
      <c r="D13" s="13">
        <v>87709</v>
      </c>
      <c r="E13" s="35">
        <f>155228.43-2.92</f>
        <v>155225.50999999998</v>
      </c>
      <c r="F13" s="35">
        <f t="shared" si="0"/>
        <v>244729.84</v>
      </c>
      <c r="G13" s="14">
        <f t="shared" si="1"/>
        <v>67516.50999999998</v>
      </c>
      <c r="H13" s="14">
        <f t="shared" si="2"/>
        <v>157020.84</v>
      </c>
      <c r="I13" s="3">
        <v>0.21</v>
      </c>
      <c r="J13" s="3">
        <v>0.05</v>
      </c>
      <c r="K13" s="9">
        <f t="shared" si="3"/>
        <v>12529.748279999996</v>
      </c>
      <c r="L13" s="9">
        <f t="shared" si="4"/>
        <v>7851.0420000000004</v>
      </c>
      <c r="M13" s="15">
        <f t="shared" si="5"/>
        <v>4049106.0007199994</v>
      </c>
      <c r="N13" s="9">
        <v>0</v>
      </c>
      <c r="Q13" s="9">
        <f>374733-M14</f>
        <v>-3692649.0004999996</v>
      </c>
    </row>
    <row r="14" spans="1:20" x14ac:dyDescent="0.2">
      <c r="A14" s="29">
        <v>44378</v>
      </c>
      <c r="C14" s="12">
        <v>44037947</v>
      </c>
      <c r="D14" s="13">
        <v>96150</v>
      </c>
      <c r="E14" s="35">
        <f>155228.43+2.98</f>
        <v>155231.41</v>
      </c>
      <c r="F14" s="35">
        <f t="shared" si="0"/>
        <v>244729.84</v>
      </c>
      <c r="G14" s="14">
        <f>E14-D14</f>
        <v>59081.41</v>
      </c>
      <c r="H14" s="14">
        <f>F14-D14</f>
        <v>148579.84</v>
      </c>
      <c r="I14" s="3">
        <v>0.21</v>
      </c>
      <c r="J14" s="3">
        <v>0.05</v>
      </c>
      <c r="K14" s="9">
        <f>G14*I14-L14*I14</f>
        <v>10847.00778</v>
      </c>
      <c r="L14" s="9">
        <f>H14*J14</f>
        <v>7428.9920000000002</v>
      </c>
      <c r="M14" s="15">
        <f t="shared" si="5"/>
        <v>4067382.0004999996</v>
      </c>
      <c r="N14" s="9">
        <v>0</v>
      </c>
      <c r="Q14">
        <f>+Q13/0.389</f>
        <v>-9492670.952442158</v>
      </c>
      <c r="R14" s="9"/>
      <c r="S14" s="9"/>
      <c r="T14" s="9"/>
    </row>
    <row r="15" spans="1:20" x14ac:dyDescent="0.2">
      <c r="A15" s="29">
        <v>44409</v>
      </c>
      <c r="C15" s="12">
        <v>44037947</v>
      </c>
      <c r="D15" s="13">
        <v>96150</v>
      </c>
      <c r="E15" s="13">
        <f>155228.43</f>
        <v>155228.43</v>
      </c>
      <c r="F15" s="13">
        <f t="shared" si="0"/>
        <v>244729.84</v>
      </c>
      <c r="G15" s="14">
        <f>E15-D15</f>
        <v>59078.429999999993</v>
      </c>
      <c r="H15" s="14">
        <f>F15-D15</f>
        <v>148579.84</v>
      </c>
      <c r="I15" s="3">
        <v>0.21</v>
      </c>
      <c r="J15" s="3">
        <v>0.05</v>
      </c>
      <c r="K15" s="9">
        <f>G15*I15-L15*I15</f>
        <v>10846.381979999996</v>
      </c>
      <c r="L15" s="9">
        <f>H15*J15</f>
        <v>7428.9920000000002</v>
      </c>
      <c r="M15" s="15">
        <f t="shared" si="5"/>
        <v>4085657.3744799998</v>
      </c>
      <c r="N15" s="9">
        <v>0</v>
      </c>
      <c r="Q15" s="9">
        <f>+M15-386700</f>
        <v>3698957.3744799998</v>
      </c>
      <c r="R15" s="19"/>
      <c r="T15" s="9"/>
    </row>
    <row r="16" spans="1:20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9508887.8521336745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7" t="s">
        <v>45</v>
      </c>
      <c r="D19" s="24"/>
      <c r="E19" s="24"/>
      <c r="F19" s="24"/>
      <c r="G19" s="25"/>
      <c r="H19" s="25"/>
    </row>
    <row r="20" spans="1:16" x14ac:dyDescent="0.2">
      <c r="C20" s="37" t="s">
        <v>28</v>
      </c>
      <c r="D20" s="24"/>
      <c r="E20" s="24"/>
      <c r="F20" s="24"/>
      <c r="G20" s="25"/>
      <c r="H20" s="25"/>
    </row>
    <row r="21" spans="1:16" x14ac:dyDescent="0.2">
      <c r="C21" s="37" t="s">
        <v>51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8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189606.505</v>
      </c>
      <c r="D25" s="32">
        <v>96150</v>
      </c>
      <c r="E25" s="32">
        <v>902.68</v>
      </c>
      <c r="F25" s="32">
        <f>E25-D25</f>
        <v>-95247.32</v>
      </c>
      <c r="G25" s="3">
        <v>0.21</v>
      </c>
      <c r="H25" s="32">
        <f>F25*G25</f>
        <v>-20001.9372</v>
      </c>
    </row>
    <row r="26" spans="1:16" ht="15" x14ac:dyDescent="0.35">
      <c r="C26" s="32">
        <v>27735645</v>
      </c>
      <c r="D26" s="32"/>
      <c r="E26" s="27">
        <v>154325.75</v>
      </c>
      <c r="F26" s="27">
        <f>E26-D26</f>
        <v>154325.75</v>
      </c>
      <c r="G26" s="3">
        <v>0.21</v>
      </c>
      <c r="H26" s="27">
        <f>F26*G26</f>
        <v>32408.407499999998</v>
      </c>
    </row>
    <row r="27" spans="1:16" x14ac:dyDescent="0.2">
      <c r="C27" s="32"/>
      <c r="D27" s="32"/>
      <c r="E27" s="32">
        <f>SUM(E25:E26)</f>
        <v>155228.43</v>
      </c>
      <c r="F27" s="32">
        <f>SUM(F25:F26)</f>
        <v>59078.429999999993</v>
      </c>
      <c r="G27" s="33" t="s">
        <v>42</v>
      </c>
      <c r="H27" s="32">
        <f>SUM(H25:H26)</f>
        <v>12406.470299999997</v>
      </c>
    </row>
    <row r="28" spans="1:16" ht="15" x14ac:dyDescent="0.35">
      <c r="C28" s="32"/>
      <c r="D28" s="32"/>
      <c r="E28" s="32"/>
      <c r="F28" s="32"/>
      <c r="G28" s="28" t="s">
        <v>40</v>
      </c>
      <c r="H28" s="27">
        <f>-H34*0.21</f>
        <v>-1560.0883199999998</v>
      </c>
    </row>
    <row r="29" spans="1:16" x14ac:dyDescent="0.2">
      <c r="H29" s="32">
        <f>H27+H28</f>
        <v>10846.381979999998</v>
      </c>
    </row>
    <row r="30" spans="1:16" x14ac:dyDescent="0.2">
      <c r="H30" s="32">
        <f>H29-K15</f>
        <v>0</v>
      </c>
    </row>
    <row r="31" spans="1:16" x14ac:dyDescent="0.2">
      <c r="C31" s="9" t="s">
        <v>36</v>
      </c>
      <c r="D31" s="24" t="s">
        <v>31</v>
      </c>
      <c r="E31" s="25" t="s">
        <v>37</v>
      </c>
      <c r="F31" s="9" t="s">
        <v>38</v>
      </c>
      <c r="G31" s="3" t="s">
        <v>24</v>
      </c>
      <c r="H31" s="9" t="s">
        <v>39</v>
      </c>
    </row>
    <row r="32" spans="1:16" x14ac:dyDescent="0.2">
      <c r="C32" s="32">
        <v>379213.01</v>
      </c>
      <c r="D32" s="32">
        <f>D25</f>
        <v>96150</v>
      </c>
      <c r="E32" s="32">
        <v>1805.37</v>
      </c>
      <c r="F32" s="32">
        <f>E32-D32</f>
        <v>-94344.63</v>
      </c>
      <c r="G32" s="3">
        <v>0.05</v>
      </c>
      <c r="H32" s="32">
        <f>F32*G32</f>
        <v>-4717.2315000000008</v>
      </c>
    </row>
    <row r="33" spans="3:8" ht="15" x14ac:dyDescent="0.35">
      <c r="C33" s="32">
        <v>43658734</v>
      </c>
      <c r="D33" s="32"/>
      <c r="E33" s="27">
        <v>242924.47</v>
      </c>
      <c r="F33" s="27">
        <f>E33-D33</f>
        <v>242924.47</v>
      </c>
      <c r="G33" s="3">
        <v>0.05</v>
      </c>
      <c r="H33" s="27">
        <f>F33*G33</f>
        <v>12146.2235</v>
      </c>
    </row>
    <row r="34" spans="3:8" x14ac:dyDescent="0.2">
      <c r="C34" s="32"/>
      <c r="D34" s="32"/>
      <c r="E34" s="32">
        <f>SUM(E32:E33)</f>
        <v>244729.84</v>
      </c>
      <c r="F34" s="32">
        <f>SUM(F32:F33)</f>
        <v>148579.84</v>
      </c>
      <c r="H34" s="32">
        <f>SUM(H32:H33)</f>
        <v>7428.9919999999993</v>
      </c>
    </row>
    <row r="35" spans="3:8" x14ac:dyDescent="0.2">
      <c r="C35" s="32"/>
      <c r="D35" s="32"/>
      <c r="E35" s="32"/>
      <c r="F35" s="32"/>
      <c r="G35" s="3"/>
      <c r="H35" s="32">
        <f>H34-L15</f>
        <v>0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8 of 8
Clements</oddHead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2023-00375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9507E1-561F-4EEC-817E-0A16DC685E0D}">
  <ds:schemaRefs>
    <ds:schemaRef ds:uri="http://purl.org/dc/dcmitype/"/>
    <ds:schemaRef ds:uri="http://schemas.microsoft.com/sharepoint/v3"/>
    <ds:schemaRef ds:uri="http://www.w3.org/XML/1998/namespace"/>
    <ds:schemaRef ds:uri="http://schemas.microsoft.com/sharepoint/v4"/>
    <ds:schemaRef ds:uri="65bfb563-8fe2-4d34-a09f-38a217d8feea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ECF3885-9C00-41B8-8F54-772E4E516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0D55CA-D9BE-48F1-A2E8-3ED48C0ED9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Project 23</vt:lpstr>
      <vt:lpstr>Project 24</vt:lpstr>
      <vt:lpstr>Project 25</vt:lpstr>
      <vt:lpstr>Project 26</vt:lpstr>
      <vt:lpstr>Project 27</vt:lpstr>
      <vt:lpstr>Project 28</vt:lpstr>
      <vt:lpstr>Project 29</vt:lpstr>
      <vt:lpstr>Project 30</vt:lpstr>
      <vt:lpstr>'Project 23'!Print_Area</vt:lpstr>
      <vt:lpstr>'Project 24'!Print_Area</vt:lpstr>
      <vt:lpstr>'Project 25'!Print_Area</vt:lpstr>
      <vt:lpstr>'Project 26'!Print_Area</vt:lpstr>
      <vt:lpstr>'Project 27'!Print_Area</vt:lpstr>
      <vt:lpstr>'Project 28'!Print_Area</vt:lpstr>
      <vt:lpstr>'Project 29'!Print_Area</vt:lpstr>
      <vt:lpstr>'Project 30'!Print_Area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N093419</dc:creator>
  <cp:lastModifiedBy>Fackler, Andrea</cp:lastModifiedBy>
  <cp:lastPrinted>2017-07-07T18:49:23Z</cp:lastPrinted>
  <dcterms:created xsi:type="dcterms:W3CDTF">2006-06-09T14:23:56Z</dcterms:created>
  <dcterms:modified xsi:type="dcterms:W3CDTF">2024-02-14T20:20:51Z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2024-01-24T20:47:49Z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2ca5da08-dab9-4247-8804-ee8c25291f7a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2024-02-14T20:20:50Z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2243b732-1a5a-4a23-a93c-d835cc97dc61</vt:lpwstr>
  </property>
  <property fmtid="{D5CDD505-2E9C-101B-9397-08002B2CF9AE}" pid="16" name="MSIP_Label_d662fcd2-3ff9-4261-9b26-9dd5808d0bb4_ContentBits">
    <vt:lpwstr>0</vt:lpwstr>
  </property>
</Properties>
</file>