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8DE1F1C4-6329-475E-A1F5-7C5AB5DA64A4}" xr6:coauthVersionLast="47" xr6:coauthVersionMax="47" xr10:uidLastSave="{00000000-0000-0000-0000-000000000000}"/>
  <bookViews>
    <workbookView xWindow="-120" yWindow="-120" windowWidth="29040" windowHeight="17025" xr2:uid="{68CD6C27-D32B-4563-A4D1-5006C2CFE5FD}"/>
  </bookViews>
  <sheets>
    <sheet name="Project 23" sheetId="1" r:id="rId1"/>
    <sheet name="Project 24" sheetId="2" r:id="rId2"/>
    <sheet name="Project 25" sheetId="3" r:id="rId3"/>
    <sheet name="Project 26" sheetId="4" r:id="rId4"/>
    <sheet name="Project 27" sheetId="5" r:id="rId5"/>
    <sheet name="Project 28" sheetId="6" r:id="rId6"/>
    <sheet name="Project 29" sheetId="7" r:id="rId7"/>
    <sheet name="Project 30" sheetId="8" r:id="rId8"/>
  </sheets>
  <definedNames>
    <definedName name="_xlnm.Print_Area" localSheetId="0">'Project 23'!$A$1:$N$33</definedName>
    <definedName name="_xlnm.Print_Area" localSheetId="1">'Project 24'!$A$1:$N$65</definedName>
    <definedName name="_xlnm.Print_Area" localSheetId="2">'Project 25'!$A$1:$N$57</definedName>
    <definedName name="_xlnm.Print_Area" localSheetId="3">'Project 26'!$A$1:$N$115</definedName>
    <definedName name="_xlnm.Print_Area" localSheetId="4">'Project 27'!$A$1:$N$63</definedName>
    <definedName name="_xlnm.Print_Area" localSheetId="5">'Project 28'!$A$1:$N$76</definedName>
    <definedName name="_xlnm.Print_Area" localSheetId="6">'Project 29'!$A$1:$N$61</definedName>
    <definedName name="_xlnm.Print_Area" localSheetId="7">'Project 30'!$A$1:$N$53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G25" i="1" s="1"/>
  <c r="F15" i="8"/>
  <c r="E15" i="8"/>
  <c r="F12" i="8"/>
  <c r="E12" i="8"/>
  <c r="G12" i="8" s="1"/>
  <c r="E22" i="5"/>
  <c r="G22" i="5" s="1"/>
  <c r="E27" i="3"/>
  <c r="G27" i="3"/>
  <c r="E25" i="3"/>
  <c r="G25" i="3" s="1"/>
  <c r="E30" i="7"/>
  <c r="E30" i="5"/>
  <c r="E27" i="5"/>
  <c r="G27" i="5" s="1"/>
  <c r="E29" i="4"/>
  <c r="F29" i="4"/>
  <c r="H29" i="4" s="1"/>
  <c r="L29" i="4" s="1"/>
  <c r="E29" i="3"/>
  <c r="G29" i="3" s="1"/>
  <c r="E28" i="3"/>
  <c r="F17" i="3"/>
  <c r="H17" i="3" s="1"/>
  <c r="L17" i="3" s="1"/>
  <c r="E17" i="3"/>
  <c r="G17" i="3" s="1"/>
  <c r="F16" i="3"/>
  <c r="H16" i="3" s="1"/>
  <c r="L16" i="3" s="1"/>
  <c r="E16" i="3"/>
  <c r="G16" i="3" s="1"/>
  <c r="E30" i="1"/>
  <c r="G30" i="1" s="1"/>
  <c r="E52" i="8"/>
  <c r="F51" i="8"/>
  <c r="H51" i="8" s="1"/>
  <c r="F50" i="8"/>
  <c r="F52" i="8" s="1"/>
  <c r="D50" i="8"/>
  <c r="F45" i="8"/>
  <c r="E45" i="8"/>
  <c r="H44" i="8"/>
  <c r="F44" i="8"/>
  <c r="F43" i="8"/>
  <c r="H43" i="8" s="1"/>
  <c r="H45" i="8" s="1"/>
  <c r="H33" i="8"/>
  <c r="L33" i="8" s="1"/>
  <c r="G33" i="8"/>
  <c r="K33" i="8" s="1"/>
  <c r="F33" i="8"/>
  <c r="E33" i="8"/>
  <c r="G32" i="8"/>
  <c r="K32" i="8" s="1"/>
  <c r="F32" i="8"/>
  <c r="H32" i="8" s="1"/>
  <c r="L32" i="8" s="1"/>
  <c r="E32" i="8"/>
  <c r="G31" i="8"/>
  <c r="F31" i="8"/>
  <c r="H31" i="8" s="1"/>
  <c r="L31" i="8" s="1"/>
  <c r="K31" i="8" s="1"/>
  <c r="G30" i="8"/>
  <c r="F30" i="8"/>
  <c r="H30" i="8" s="1"/>
  <c r="L30" i="8" s="1"/>
  <c r="H29" i="8"/>
  <c r="L29" i="8" s="1"/>
  <c r="G29" i="8"/>
  <c r="H28" i="8"/>
  <c r="L28" i="8" s="1"/>
  <c r="G28" i="8"/>
  <c r="H27" i="8"/>
  <c r="L27" i="8" s="1"/>
  <c r="E27" i="8"/>
  <c r="G27" i="8" s="1"/>
  <c r="L26" i="8"/>
  <c r="H26" i="8"/>
  <c r="G26" i="8"/>
  <c r="K26" i="8" s="1"/>
  <c r="E26" i="8"/>
  <c r="H25" i="8"/>
  <c r="L25" i="8" s="1"/>
  <c r="E25" i="8"/>
  <c r="G25" i="8" s="1"/>
  <c r="H24" i="8"/>
  <c r="L24" i="8" s="1"/>
  <c r="E24" i="8"/>
  <c r="G24" i="8" s="1"/>
  <c r="K24" i="8" s="1"/>
  <c r="L23" i="8"/>
  <c r="H23" i="8"/>
  <c r="E23" i="8"/>
  <c r="G23" i="8" s="1"/>
  <c r="K23" i="8" s="1"/>
  <c r="L22" i="8"/>
  <c r="H22" i="8"/>
  <c r="G22" i="8"/>
  <c r="K22" i="8" s="1"/>
  <c r="E22" i="8"/>
  <c r="H21" i="8"/>
  <c r="L21" i="8" s="1"/>
  <c r="E21" i="8"/>
  <c r="G21" i="8" s="1"/>
  <c r="K21" i="8" s="1"/>
  <c r="L20" i="8"/>
  <c r="H20" i="8"/>
  <c r="E20" i="8"/>
  <c r="G20" i="8" s="1"/>
  <c r="K20" i="8" s="1"/>
  <c r="H19" i="8"/>
  <c r="L19" i="8" s="1"/>
  <c r="E19" i="8"/>
  <c r="G19" i="8" s="1"/>
  <c r="H18" i="8"/>
  <c r="L18" i="8" s="1"/>
  <c r="E18" i="8"/>
  <c r="G18" i="8" s="1"/>
  <c r="H17" i="8"/>
  <c r="L17" i="8" s="1"/>
  <c r="E17" i="8"/>
  <c r="G17" i="8" s="1"/>
  <c r="F16" i="8"/>
  <c r="H16" i="8" s="1"/>
  <c r="L16" i="8" s="1"/>
  <c r="E16" i="8"/>
  <c r="G16" i="8" s="1"/>
  <c r="K16" i="8" s="1"/>
  <c r="E59" i="7"/>
  <c r="F59" i="7" s="1"/>
  <c r="H59" i="7" s="1"/>
  <c r="C59" i="7"/>
  <c r="F58" i="7"/>
  <c r="H58" i="7" s="1"/>
  <c r="E58" i="7"/>
  <c r="E57" i="7"/>
  <c r="F57" i="7" s="1"/>
  <c r="H57" i="7" s="1"/>
  <c r="E56" i="7"/>
  <c r="F56" i="7" s="1"/>
  <c r="H56" i="7" s="1"/>
  <c r="E55" i="7"/>
  <c r="F55" i="7" s="1"/>
  <c r="H55" i="7" s="1"/>
  <c r="E54" i="7"/>
  <c r="F54" i="7" s="1"/>
  <c r="D54" i="7"/>
  <c r="E48" i="7"/>
  <c r="F48" i="7" s="1"/>
  <c r="H48" i="7" s="1"/>
  <c r="C48" i="7"/>
  <c r="F47" i="7"/>
  <c r="H47" i="7" s="1"/>
  <c r="E47" i="7"/>
  <c r="C47" i="7"/>
  <c r="C58" i="7" s="1"/>
  <c r="E46" i="7"/>
  <c r="F46" i="7" s="1"/>
  <c r="H46" i="7" s="1"/>
  <c r="E45" i="7"/>
  <c r="F45" i="7" s="1"/>
  <c r="H45" i="7" s="1"/>
  <c r="E44" i="7"/>
  <c r="E49" i="7" s="1"/>
  <c r="F43" i="7"/>
  <c r="H43" i="7" s="1"/>
  <c r="E43" i="7"/>
  <c r="N33" i="7"/>
  <c r="H33" i="7"/>
  <c r="L33" i="7" s="1"/>
  <c r="F33" i="7"/>
  <c r="E33" i="7"/>
  <c r="G33" i="7" s="1"/>
  <c r="K33" i="7" s="1"/>
  <c r="N32" i="7"/>
  <c r="H32" i="7"/>
  <c r="L32" i="7" s="1"/>
  <c r="F32" i="7"/>
  <c r="E32" i="7"/>
  <c r="G32" i="7" s="1"/>
  <c r="N31" i="7"/>
  <c r="H31" i="7"/>
  <c r="L31" i="7" s="1"/>
  <c r="F31" i="7"/>
  <c r="E31" i="7"/>
  <c r="G31" i="7" s="1"/>
  <c r="K31" i="7" s="1"/>
  <c r="N30" i="7"/>
  <c r="H30" i="7"/>
  <c r="L30" i="7" s="1"/>
  <c r="F30" i="7"/>
  <c r="G30" i="7"/>
  <c r="N29" i="7"/>
  <c r="H29" i="7"/>
  <c r="L29" i="7" s="1"/>
  <c r="F29" i="7"/>
  <c r="E29" i="7"/>
  <c r="G29" i="7" s="1"/>
  <c r="K29" i="7" s="1"/>
  <c r="N28" i="7"/>
  <c r="H28" i="7"/>
  <c r="L28" i="7" s="1"/>
  <c r="F28" i="7"/>
  <c r="E28" i="7"/>
  <c r="G28" i="7" s="1"/>
  <c r="N27" i="7"/>
  <c r="F27" i="7"/>
  <c r="H27" i="7" s="1"/>
  <c r="L27" i="7" s="1"/>
  <c r="E27" i="7"/>
  <c r="G27" i="7" s="1"/>
  <c r="K27" i="7" s="1"/>
  <c r="N26" i="7"/>
  <c r="F26" i="7"/>
  <c r="H26" i="7" s="1"/>
  <c r="L26" i="7" s="1"/>
  <c r="E26" i="7"/>
  <c r="G26" i="7" s="1"/>
  <c r="K26" i="7" s="1"/>
  <c r="N25" i="7"/>
  <c r="F25" i="7"/>
  <c r="H25" i="7" s="1"/>
  <c r="L25" i="7" s="1"/>
  <c r="E25" i="7"/>
  <c r="G25" i="7" s="1"/>
  <c r="N24" i="7"/>
  <c r="H24" i="7"/>
  <c r="L24" i="7" s="1"/>
  <c r="E24" i="7"/>
  <c r="G24" i="7" s="1"/>
  <c r="N23" i="7"/>
  <c r="H23" i="7"/>
  <c r="L23" i="7" s="1"/>
  <c r="E23" i="7"/>
  <c r="G23" i="7" s="1"/>
  <c r="K23" i="7" s="1"/>
  <c r="N22" i="7"/>
  <c r="H22" i="7"/>
  <c r="L22" i="7" s="1"/>
  <c r="G22" i="7"/>
  <c r="E22" i="7"/>
  <c r="N21" i="7"/>
  <c r="H21" i="7"/>
  <c r="L21" i="7" s="1"/>
  <c r="G21" i="7"/>
  <c r="E21" i="7"/>
  <c r="N20" i="7"/>
  <c r="H20" i="7"/>
  <c r="L20" i="7" s="1"/>
  <c r="E20" i="7"/>
  <c r="G20" i="7" s="1"/>
  <c r="K20" i="7" s="1"/>
  <c r="N19" i="7"/>
  <c r="F19" i="7"/>
  <c r="H19" i="7" s="1"/>
  <c r="L19" i="7" s="1"/>
  <c r="E19" i="7"/>
  <c r="G19" i="7" s="1"/>
  <c r="K19" i="7" s="1"/>
  <c r="N18" i="7"/>
  <c r="H18" i="7"/>
  <c r="L18" i="7" s="1"/>
  <c r="E18" i="7"/>
  <c r="G18" i="7" s="1"/>
  <c r="K18" i="7" s="1"/>
  <c r="N17" i="7"/>
  <c r="L17" i="7"/>
  <c r="H17" i="7"/>
  <c r="E17" i="7"/>
  <c r="G17" i="7" s="1"/>
  <c r="K17" i="7" s="1"/>
  <c r="N16" i="7"/>
  <c r="F16" i="7"/>
  <c r="H16" i="7" s="1"/>
  <c r="L16" i="7" s="1"/>
  <c r="E16" i="7"/>
  <c r="G16" i="7" s="1"/>
  <c r="E75" i="6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7" i="6"/>
  <c r="H67" i="6" s="1"/>
  <c r="F66" i="6"/>
  <c r="H66" i="6" s="1"/>
  <c r="F65" i="6"/>
  <c r="H65" i="6" s="1"/>
  <c r="F64" i="6"/>
  <c r="H64" i="6" s="1"/>
  <c r="F63" i="6"/>
  <c r="H63" i="6" s="1"/>
  <c r="D62" i="6"/>
  <c r="F62" i="6" s="1"/>
  <c r="E57" i="6"/>
  <c r="F56" i="6"/>
  <c r="H56" i="6" s="1"/>
  <c r="H55" i="6"/>
  <c r="F55" i="6"/>
  <c r="H54" i="6"/>
  <c r="F54" i="6"/>
  <c r="F53" i="6"/>
  <c r="H53" i="6" s="1"/>
  <c r="F52" i="6"/>
  <c r="H52" i="6" s="1"/>
  <c r="H51" i="6"/>
  <c r="F51" i="6"/>
  <c r="H50" i="6"/>
  <c r="F50" i="6"/>
  <c r="F49" i="6"/>
  <c r="H49" i="6" s="1"/>
  <c r="F48" i="6"/>
  <c r="H48" i="6" s="1"/>
  <c r="H47" i="6"/>
  <c r="F47" i="6"/>
  <c r="H46" i="6"/>
  <c r="F46" i="6"/>
  <c r="F45" i="6"/>
  <c r="H45" i="6" s="1"/>
  <c r="F44" i="6"/>
  <c r="H44" i="6" s="1"/>
  <c r="H43" i="6"/>
  <c r="F43" i="6"/>
  <c r="F57" i="6" s="1"/>
  <c r="F33" i="6"/>
  <c r="H33" i="6" s="1"/>
  <c r="L33" i="6" s="1"/>
  <c r="E33" i="6"/>
  <c r="G33" i="6" s="1"/>
  <c r="K33" i="6" s="1"/>
  <c r="D33" i="6"/>
  <c r="F32" i="6"/>
  <c r="H32" i="6" s="1"/>
  <c r="L32" i="6" s="1"/>
  <c r="E32" i="6"/>
  <c r="G32" i="6" s="1"/>
  <c r="L31" i="6"/>
  <c r="H31" i="6"/>
  <c r="G31" i="6"/>
  <c r="K31" i="6" s="1"/>
  <c r="L30" i="6"/>
  <c r="K30" i="6"/>
  <c r="H30" i="6"/>
  <c r="G30" i="6"/>
  <c r="H29" i="6"/>
  <c r="L29" i="6" s="1"/>
  <c r="E29" i="6"/>
  <c r="G29" i="6" s="1"/>
  <c r="H28" i="6"/>
  <c r="L28" i="6" s="1"/>
  <c r="G28" i="6"/>
  <c r="H27" i="6"/>
  <c r="L27" i="6" s="1"/>
  <c r="G27" i="6"/>
  <c r="E27" i="6"/>
  <c r="L26" i="6"/>
  <c r="H26" i="6"/>
  <c r="E26" i="6"/>
  <c r="G26" i="6" s="1"/>
  <c r="K26" i="6" s="1"/>
  <c r="H25" i="6"/>
  <c r="L25" i="6" s="1"/>
  <c r="E25" i="6"/>
  <c r="G25" i="6" s="1"/>
  <c r="K25" i="6" s="1"/>
  <c r="L24" i="6"/>
  <c r="H24" i="6"/>
  <c r="E24" i="6"/>
  <c r="G24" i="6" s="1"/>
  <c r="K24" i="6" s="1"/>
  <c r="H23" i="6"/>
  <c r="L23" i="6" s="1"/>
  <c r="G23" i="6"/>
  <c r="E23" i="6"/>
  <c r="L22" i="6"/>
  <c r="H22" i="6"/>
  <c r="E22" i="6"/>
  <c r="G22" i="6" s="1"/>
  <c r="K22" i="6" s="1"/>
  <c r="M22" i="6" s="1"/>
  <c r="H21" i="6"/>
  <c r="L21" i="6" s="1"/>
  <c r="E21" i="6"/>
  <c r="G21" i="6" s="1"/>
  <c r="K21" i="6" s="1"/>
  <c r="L20" i="6"/>
  <c r="H20" i="6"/>
  <c r="E20" i="6"/>
  <c r="G20" i="6" s="1"/>
  <c r="K20" i="6" s="1"/>
  <c r="H19" i="6"/>
  <c r="L19" i="6" s="1"/>
  <c r="F19" i="6"/>
  <c r="E19" i="6"/>
  <c r="G19" i="6" s="1"/>
  <c r="K19" i="6" s="1"/>
  <c r="H18" i="6"/>
  <c r="L18" i="6" s="1"/>
  <c r="G18" i="6"/>
  <c r="K18" i="6" s="1"/>
  <c r="F18" i="6"/>
  <c r="E18" i="6"/>
  <c r="G17" i="6"/>
  <c r="F17" i="6"/>
  <c r="H17" i="6" s="1"/>
  <c r="L17" i="6" s="1"/>
  <c r="E17" i="6"/>
  <c r="F16" i="6"/>
  <c r="H16" i="6" s="1"/>
  <c r="L16" i="6" s="1"/>
  <c r="E16" i="6"/>
  <c r="G16" i="6" s="1"/>
  <c r="E62" i="5"/>
  <c r="F61" i="5"/>
  <c r="H61" i="5" s="1"/>
  <c r="F60" i="5"/>
  <c r="H60" i="5" s="1"/>
  <c r="F59" i="5"/>
  <c r="H59" i="5" s="1"/>
  <c r="F58" i="5"/>
  <c r="H58" i="5" s="1"/>
  <c r="F57" i="5"/>
  <c r="H57" i="5" s="1"/>
  <c r="F56" i="5"/>
  <c r="H56" i="5" s="1"/>
  <c r="D55" i="5"/>
  <c r="F55" i="5" s="1"/>
  <c r="F50" i="5"/>
  <c r="E50" i="5"/>
  <c r="F49" i="5"/>
  <c r="H49" i="5" s="1"/>
  <c r="F48" i="5"/>
  <c r="H48" i="5" s="1"/>
  <c r="H47" i="5"/>
  <c r="F47" i="5"/>
  <c r="H46" i="5"/>
  <c r="F46" i="5"/>
  <c r="F45" i="5"/>
  <c r="H45" i="5" s="1"/>
  <c r="F44" i="5"/>
  <c r="H44" i="5" s="1"/>
  <c r="H43" i="5"/>
  <c r="H50" i="5" s="1"/>
  <c r="F43" i="5"/>
  <c r="F33" i="5"/>
  <c r="H33" i="5" s="1"/>
  <c r="L33" i="5" s="1"/>
  <c r="E33" i="5"/>
  <c r="G33" i="5" s="1"/>
  <c r="K33" i="5" s="1"/>
  <c r="F32" i="5"/>
  <c r="H32" i="5" s="1"/>
  <c r="L32" i="5" s="1"/>
  <c r="E32" i="5"/>
  <c r="G32" i="5" s="1"/>
  <c r="K32" i="5" s="1"/>
  <c r="L31" i="5"/>
  <c r="H31" i="5"/>
  <c r="E31" i="5"/>
  <c r="G31" i="5" s="1"/>
  <c r="K31" i="5" s="1"/>
  <c r="H30" i="5"/>
  <c r="L30" i="5" s="1"/>
  <c r="G30" i="5"/>
  <c r="H29" i="5"/>
  <c r="L29" i="5" s="1"/>
  <c r="G29" i="5"/>
  <c r="E29" i="5"/>
  <c r="H28" i="5"/>
  <c r="L28" i="5" s="1"/>
  <c r="E28" i="5"/>
  <c r="G28" i="5" s="1"/>
  <c r="H27" i="5"/>
  <c r="L27" i="5" s="1"/>
  <c r="L26" i="5"/>
  <c r="H26" i="5"/>
  <c r="E26" i="5"/>
  <c r="G26" i="5" s="1"/>
  <c r="K26" i="5" s="1"/>
  <c r="H25" i="5"/>
  <c r="L25" i="5" s="1"/>
  <c r="E25" i="5"/>
  <c r="G25" i="5" s="1"/>
  <c r="K25" i="5" s="1"/>
  <c r="L24" i="5"/>
  <c r="H24" i="5"/>
  <c r="E24" i="5"/>
  <c r="G24" i="5" s="1"/>
  <c r="K24" i="5" s="1"/>
  <c r="H23" i="5"/>
  <c r="L23" i="5" s="1"/>
  <c r="G23" i="5"/>
  <c r="K23" i="5" s="1"/>
  <c r="E23" i="5"/>
  <c r="H22" i="5"/>
  <c r="L22" i="5" s="1"/>
  <c r="H21" i="5"/>
  <c r="L21" i="5" s="1"/>
  <c r="E21" i="5"/>
  <c r="G21" i="5" s="1"/>
  <c r="K21" i="5" s="1"/>
  <c r="L20" i="5"/>
  <c r="H20" i="5"/>
  <c r="E20" i="5"/>
  <c r="G20" i="5" s="1"/>
  <c r="K20" i="5" s="1"/>
  <c r="H19" i="5"/>
  <c r="L19" i="5" s="1"/>
  <c r="F19" i="5"/>
  <c r="E19" i="5"/>
  <c r="G19" i="5" s="1"/>
  <c r="K19" i="5" s="1"/>
  <c r="H18" i="5"/>
  <c r="L18" i="5" s="1"/>
  <c r="G18" i="5"/>
  <c r="K18" i="5" s="1"/>
  <c r="F18" i="5"/>
  <c r="E18" i="5"/>
  <c r="G17" i="5"/>
  <c r="F17" i="5"/>
  <c r="H17" i="5" s="1"/>
  <c r="L17" i="5" s="1"/>
  <c r="E17" i="5"/>
  <c r="F16" i="5"/>
  <c r="H16" i="5" s="1"/>
  <c r="L16" i="5" s="1"/>
  <c r="E16" i="5"/>
  <c r="G16" i="5" s="1"/>
  <c r="F113" i="4"/>
  <c r="H113" i="4" s="1"/>
  <c r="C113" i="4"/>
  <c r="E112" i="4"/>
  <c r="F112" i="4" s="1"/>
  <c r="H112" i="4" s="1"/>
  <c r="F111" i="4"/>
  <c r="H111" i="4" s="1"/>
  <c r="E110" i="4"/>
  <c r="E114" i="4" s="1"/>
  <c r="E109" i="4"/>
  <c r="F109" i="4" s="1"/>
  <c r="H109" i="4" s="1"/>
  <c r="F108" i="4"/>
  <c r="H108" i="4" s="1"/>
  <c r="H107" i="4"/>
  <c r="F107" i="4"/>
  <c r="H106" i="4"/>
  <c r="F106" i="4"/>
  <c r="F105" i="4"/>
  <c r="H105" i="4" s="1"/>
  <c r="F104" i="4"/>
  <c r="H104" i="4" s="1"/>
  <c r="H103" i="4"/>
  <c r="F103" i="4"/>
  <c r="H102" i="4"/>
  <c r="F102" i="4"/>
  <c r="F101" i="4"/>
  <c r="H101" i="4" s="1"/>
  <c r="H100" i="4"/>
  <c r="F100" i="4"/>
  <c r="H99" i="4"/>
  <c r="F99" i="4"/>
  <c r="H98" i="4"/>
  <c r="F98" i="4"/>
  <c r="F97" i="4"/>
  <c r="H97" i="4" s="1"/>
  <c r="H96" i="4"/>
  <c r="F96" i="4"/>
  <c r="H95" i="4"/>
  <c r="F95" i="4"/>
  <c r="H94" i="4"/>
  <c r="F94" i="4"/>
  <c r="F93" i="4"/>
  <c r="H93" i="4" s="1"/>
  <c r="H92" i="4"/>
  <c r="F92" i="4"/>
  <c r="H91" i="4"/>
  <c r="F91" i="4"/>
  <c r="H90" i="4"/>
  <c r="F90" i="4"/>
  <c r="F89" i="4"/>
  <c r="H89" i="4" s="1"/>
  <c r="H88" i="4"/>
  <c r="F88" i="4"/>
  <c r="H87" i="4"/>
  <c r="F87" i="4"/>
  <c r="H86" i="4"/>
  <c r="F86" i="4"/>
  <c r="F85" i="4"/>
  <c r="H85" i="4" s="1"/>
  <c r="H84" i="4"/>
  <c r="F84" i="4"/>
  <c r="H83" i="4"/>
  <c r="F83" i="4"/>
  <c r="D82" i="4"/>
  <c r="F82" i="4" s="1"/>
  <c r="E77" i="4"/>
  <c r="F76" i="4"/>
  <c r="H76" i="4" s="1"/>
  <c r="F75" i="4"/>
  <c r="H75" i="4" s="1"/>
  <c r="E75" i="4"/>
  <c r="C75" i="4"/>
  <c r="C112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F67" i="4"/>
  <c r="H67" i="4" s="1"/>
  <c r="F66" i="4"/>
  <c r="H66" i="4" s="1"/>
  <c r="F65" i="4"/>
  <c r="H65" i="4" s="1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L33" i="4"/>
  <c r="H33" i="4"/>
  <c r="E33" i="4"/>
  <c r="G33" i="4" s="1"/>
  <c r="K33" i="4" s="1"/>
  <c r="H32" i="4"/>
  <c r="L32" i="4" s="1"/>
  <c r="F32" i="4"/>
  <c r="E32" i="4"/>
  <c r="G32" i="4" s="1"/>
  <c r="K32" i="4" s="1"/>
  <c r="H31" i="4"/>
  <c r="L31" i="4" s="1"/>
  <c r="G31" i="4"/>
  <c r="E31" i="4"/>
  <c r="N30" i="4"/>
  <c r="G30" i="4"/>
  <c r="F30" i="4"/>
  <c r="H30" i="4" s="1"/>
  <c r="L30" i="4" s="1"/>
  <c r="E30" i="4"/>
  <c r="N29" i="4"/>
  <c r="G29" i="4"/>
  <c r="N28" i="4"/>
  <c r="G28" i="4"/>
  <c r="F28" i="4"/>
  <c r="H28" i="4" s="1"/>
  <c r="L28" i="4" s="1"/>
  <c r="E28" i="4"/>
  <c r="F27" i="4"/>
  <c r="H27" i="4" s="1"/>
  <c r="L27" i="4" s="1"/>
  <c r="E27" i="4"/>
  <c r="G27" i="4" s="1"/>
  <c r="H26" i="4"/>
  <c r="L26" i="4" s="1"/>
  <c r="E26" i="4"/>
  <c r="G26" i="4" s="1"/>
  <c r="K26" i="4" s="1"/>
  <c r="L25" i="4"/>
  <c r="H25" i="4"/>
  <c r="E25" i="4"/>
  <c r="G25" i="4" s="1"/>
  <c r="K25" i="4" s="1"/>
  <c r="H24" i="4"/>
  <c r="L24" i="4" s="1"/>
  <c r="G24" i="4"/>
  <c r="E24" i="4"/>
  <c r="H23" i="4"/>
  <c r="L23" i="4" s="1"/>
  <c r="E23" i="4"/>
  <c r="G23" i="4" s="1"/>
  <c r="H22" i="4"/>
  <c r="L22" i="4" s="1"/>
  <c r="E22" i="4"/>
  <c r="G22" i="4" s="1"/>
  <c r="K22" i="4" s="1"/>
  <c r="M22" i="4" s="1"/>
  <c r="H21" i="4"/>
  <c r="L21" i="4" s="1"/>
  <c r="G21" i="4"/>
  <c r="E21" i="4"/>
  <c r="L20" i="4"/>
  <c r="H20" i="4"/>
  <c r="E20" i="4"/>
  <c r="G20" i="4" s="1"/>
  <c r="K20" i="4" s="1"/>
  <c r="H19" i="4"/>
  <c r="L19" i="4" s="1"/>
  <c r="G19" i="4"/>
  <c r="K19" i="4" s="1"/>
  <c r="F19" i="4"/>
  <c r="E19" i="4"/>
  <c r="G18" i="4"/>
  <c r="K18" i="4" s="1"/>
  <c r="F18" i="4"/>
  <c r="H18" i="4" s="1"/>
  <c r="L18" i="4" s="1"/>
  <c r="E18" i="4"/>
  <c r="F17" i="4"/>
  <c r="H17" i="4" s="1"/>
  <c r="L17" i="4" s="1"/>
  <c r="E17" i="4"/>
  <c r="G17" i="4" s="1"/>
  <c r="K17" i="4" s="1"/>
  <c r="H16" i="4"/>
  <c r="L16" i="4" s="1"/>
  <c r="F16" i="4"/>
  <c r="E16" i="4"/>
  <c r="G16" i="4" s="1"/>
  <c r="E56" i="3"/>
  <c r="F55" i="3"/>
  <c r="H55" i="3" s="1"/>
  <c r="F54" i="3"/>
  <c r="H54" i="3" s="1"/>
  <c r="F53" i="3"/>
  <c r="H53" i="3" s="1"/>
  <c r="F52" i="3"/>
  <c r="F56" i="3" s="1"/>
  <c r="D52" i="3"/>
  <c r="E47" i="3"/>
  <c r="H46" i="3"/>
  <c r="F46" i="3"/>
  <c r="H45" i="3"/>
  <c r="F45" i="3"/>
  <c r="H44" i="3"/>
  <c r="F44" i="3"/>
  <c r="F43" i="3"/>
  <c r="F47" i="3" s="1"/>
  <c r="H33" i="3"/>
  <c r="L33" i="3" s="1"/>
  <c r="G33" i="3"/>
  <c r="K33" i="3" s="1"/>
  <c r="F33" i="3"/>
  <c r="E33" i="3"/>
  <c r="G32" i="3"/>
  <c r="F32" i="3"/>
  <c r="H32" i="3" s="1"/>
  <c r="L32" i="3" s="1"/>
  <c r="E32" i="3"/>
  <c r="H31" i="3"/>
  <c r="L31" i="3" s="1"/>
  <c r="G31" i="3"/>
  <c r="K31" i="3" s="1"/>
  <c r="E31" i="3"/>
  <c r="H30" i="3"/>
  <c r="L30" i="3" s="1"/>
  <c r="G30" i="3"/>
  <c r="K30" i="3" s="1"/>
  <c r="E30" i="3"/>
  <c r="H29" i="3"/>
  <c r="L29" i="3" s="1"/>
  <c r="H28" i="3"/>
  <c r="L28" i="3" s="1"/>
  <c r="G28" i="3"/>
  <c r="F27" i="3"/>
  <c r="H27" i="3" s="1"/>
  <c r="L27" i="3" s="1"/>
  <c r="F26" i="3"/>
  <c r="H26" i="3" s="1"/>
  <c r="L26" i="3" s="1"/>
  <c r="E26" i="3"/>
  <c r="G26" i="3" s="1"/>
  <c r="K26" i="3" s="1"/>
  <c r="H25" i="3"/>
  <c r="L25" i="3" s="1"/>
  <c r="H24" i="3"/>
  <c r="L24" i="3" s="1"/>
  <c r="E24" i="3"/>
  <c r="G24" i="3" s="1"/>
  <c r="K24" i="3" s="1"/>
  <c r="H23" i="3"/>
  <c r="L23" i="3" s="1"/>
  <c r="E23" i="3"/>
  <c r="G23" i="3" s="1"/>
  <c r="K23" i="3" s="1"/>
  <c r="L22" i="3"/>
  <c r="H22" i="3"/>
  <c r="E22" i="3"/>
  <c r="G22" i="3" s="1"/>
  <c r="K22" i="3" s="1"/>
  <c r="H21" i="3"/>
  <c r="L21" i="3" s="1"/>
  <c r="E21" i="3"/>
  <c r="G21" i="3" s="1"/>
  <c r="K21" i="3" s="1"/>
  <c r="L20" i="3"/>
  <c r="H20" i="3"/>
  <c r="E20" i="3"/>
  <c r="G20" i="3" s="1"/>
  <c r="K20" i="3" s="1"/>
  <c r="H19" i="3"/>
  <c r="L19" i="3" s="1"/>
  <c r="G19" i="3"/>
  <c r="K19" i="3" s="1"/>
  <c r="F19" i="3"/>
  <c r="E19" i="3"/>
  <c r="G18" i="3"/>
  <c r="F18" i="3"/>
  <c r="H18" i="3" s="1"/>
  <c r="L18" i="3" s="1"/>
  <c r="E18" i="3"/>
  <c r="E64" i="2"/>
  <c r="F63" i="2"/>
  <c r="H63" i="2" s="1"/>
  <c r="C63" i="2"/>
  <c r="H62" i="2"/>
  <c r="F62" i="2"/>
  <c r="C62" i="2"/>
  <c r="F61" i="2"/>
  <c r="H61" i="2" s="1"/>
  <c r="F60" i="2"/>
  <c r="H60" i="2" s="1"/>
  <c r="F59" i="2"/>
  <c r="H59" i="2" s="1"/>
  <c r="F58" i="2"/>
  <c r="H58" i="2" s="1"/>
  <c r="F57" i="2"/>
  <c r="H57" i="2" s="1"/>
  <c r="D56" i="2"/>
  <c r="F56" i="2" s="1"/>
  <c r="E51" i="2"/>
  <c r="F50" i="2"/>
  <c r="H50" i="2" s="1"/>
  <c r="H49" i="2"/>
  <c r="F49" i="2"/>
  <c r="F48" i="2"/>
  <c r="H48" i="2" s="1"/>
  <c r="F47" i="2"/>
  <c r="H47" i="2" s="1"/>
  <c r="F46" i="2"/>
  <c r="H46" i="2" s="1"/>
  <c r="H45" i="2"/>
  <c r="F45" i="2"/>
  <c r="F44" i="2"/>
  <c r="H44" i="2" s="1"/>
  <c r="F43" i="2"/>
  <c r="F51" i="2" s="1"/>
  <c r="F33" i="2"/>
  <c r="H33" i="2" s="1"/>
  <c r="L33" i="2" s="1"/>
  <c r="E33" i="2"/>
  <c r="G33" i="2" s="1"/>
  <c r="H32" i="2"/>
  <c r="L32" i="2" s="1"/>
  <c r="F32" i="2"/>
  <c r="E32" i="2"/>
  <c r="G32" i="2" s="1"/>
  <c r="K32" i="2" s="1"/>
  <c r="H31" i="2"/>
  <c r="L31" i="2" s="1"/>
  <c r="G31" i="2"/>
  <c r="K31" i="2" s="1"/>
  <c r="F31" i="2"/>
  <c r="E31" i="2"/>
  <c r="G30" i="2"/>
  <c r="K30" i="2" s="1"/>
  <c r="F30" i="2"/>
  <c r="H30" i="2" s="1"/>
  <c r="L30" i="2" s="1"/>
  <c r="E30" i="2"/>
  <c r="F29" i="2"/>
  <c r="H29" i="2" s="1"/>
  <c r="L29" i="2" s="1"/>
  <c r="E29" i="2"/>
  <c r="G29" i="2" s="1"/>
  <c r="K29" i="2" s="1"/>
  <c r="F28" i="2"/>
  <c r="H28" i="2" s="1"/>
  <c r="L28" i="2" s="1"/>
  <c r="E28" i="2"/>
  <c r="G28" i="2" s="1"/>
  <c r="K28" i="2" s="1"/>
  <c r="M28" i="2" s="1"/>
  <c r="M29" i="2" s="1"/>
  <c r="M30" i="2" s="1"/>
  <c r="M31" i="2" s="1"/>
  <c r="M32" i="2" s="1"/>
  <c r="F27" i="2"/>
  <c r="E27" i="2"/>
  <c r="G27" i="2" s="1"/>
  <c r="F26" i="2"/>
  <c r="H26" i="2" s="1"/>
  <c r="L26" i="2" s="1"/>
  <c r="E26" i="2"/>
  <c r="G26" i="2" s="1"/>
  <c r="K26" i="2" s="1"/>
  <c r="L25" i="2"/>
  <c r="H25" i="2"/>
  <c r="E25" i="2"/>
  <c r="G25" i="2" s="1"/>
  <c r="K25" i="2" s="1"/>
  <c r="H24" i="2"/>
  <c r="L24" i="2" s="1"/>
  <c r="E24" i="2"/>
  <c r="G24" i="2" s="1"/>
  <c r="H23" i="2"/>
  <c r="L23" i="2" s="1"/>
  <c r="E23" i="2"/>
  <c r="G23" i="2" s="1"/>
  <c r="L22" i="2"/>
  <c r="H22" i="2"/>
  <c r="E22" i="2"/>
  <c r="G22" i="2" s="1"/>
  <c r="K22" i="2" s="1"/>
  <c r="M22" i="2" s="1"/>
  <c r="H21" i="2"/>
  <c r="L21" i="2" s="1"/>
  <c r="K21" i="2" s="1"/>
  <c r="G21" i="2"/>
  <c r="L20" i="2"/>
  <c r="H20" i="2"/>
  <c r="E20" i="2"/>
  <c r="G20" i="2" s="1"/>
  <c r="K20" i="2" s="1"/>
  <c r="H19" i="2"/>
  <c r="L19" i="2" s="1"/>
  <c r="G19" i="2"/>
  <c r="K19" i="2" s="1"/>
  <c r="E19" i="2"/>
  <c r="F18" i="2"/>
  <c r="H18" i="2" s="1"/>
  <c r="L18" i="2" s="1"/>
  <c r="E18" i="2"/>
  <c r="G18" i="2" s="1"/>
  <c r="K18" i="2" s="1"/>
  <c r="F17" i="2"/>
  <c r="H17" i="2" s="1"/>
  <c r="L17" i="2" s="1"/>
  <c r="E17" i="2"/>
  <c r="G17" i="2" s="1"/>
  <c r="K17" i="2" s="1"/>
  <c r="H16" i="2"/>
  <c r="L16" i="2" s="1"/>
  <c r="F16" i="2"/>
  <c r="E16" i="2"/>
  <c r="G16" i="2" s="1"/>
  <c r="K16" i="2" s="1"/>
  <c r="M16" i="2" s="1"/>
  <c r="M17" i="2" s="1"/>
  <c r="M18" i="2" s="1"/>
  <c r="M19" i="2" s="1"/>
  <c r="M20" i="2" s="1"/>
  <c r="M21" i="2" s="1"/>
  <c r="G33" i="1"/>
  <c r="F33" i="1"/>
  <c r="H33" i="1" s="1"/>
  <c r="L33" i="1" s="1"/>
  <c r="E33" i="1"/>
  <c r="F32" i="1"/>
  <c r="H32" i="1" s="1"/>
  <c r="L32" i="1" s="1"/>
  <c r="E32" i="1"/>
  <c r="G32" i="1" s="1"/>
  <c r="K32" i="1" s="1"/>
  <c r="L31" i="1"/>
  <c r="H31" i="1"/>
  <c r="E31" i="1"/>
  <c r="G31" i="1" s="1"/>
  <c r="K31" i="1" s="1"/>
  <c r="L30" i="1"/>
  <c r="H30" i="1"/>
  <c r="H29" i="1"/>
  <c r="L29" i="1" s="1"/>
  <c r="K29" i="1" s="1"/>
  <c r="G29" i="1"/>
  <c r="H28" i="1"/>
  <c r="L28" i="1" s="1"/>
  <c r="G28" i="1"/>
  <c r="H27" i="1"/>
  <c r="L27" i="1" s="1"/>
  <c r="E27" i="1"/>
  <c r="G27" i="1" s="1"/>
  <c r="L26" i="1"/>
  <c r="H26" i="1"/>
  <c r="E26" i="1"/>
  <c r="G26" i="1" s="1"/>
  <c r="K26" i="1" s="1"/>
  <c r="H25" i="1"/>
  <c r="L25" i="1" s="1"/>
  <c r="H24" i="1"/>
  <c r="L24" i="1" s="1"/>
  <c r="G24" i="1"/>
  <c r="E24" i="1"/>
  <c r="H23" i="1"/>
  <c r="L23" i="1" s="1"/>
  <c r="E23" i="1"/>
  <c r="G23" i="1" s="1"/>
  <c r="K23" i="1" s="1"/>
  <c r="L22" i="1"/>
  <c r="H22" i="1"/>
  <c r="E22" i="1"/>
  <c r="G22" i="1" s="1"/>
  <c r="K22" i="1" s="1"/>
  <c r="H21" i="1"/>
  <c r="L21" i="1" s="1"/>
  <c r="E21" i="1"/>
  <c r="G21" i="1" s="1"/>
  <c r="K21" i="1" s="1"/>
  <c r="L20" i="1"/>
  <c r="H20" i="1"/>
  <c r="E20" i="1"/>
  <c r="G20" i="1" s="1"/>
  <c r="K20" i="1" s="1"/>
  <c r="H19" i="1"/>
  <c r="L19" i="1" s="1"/>
  <c r="F19" i="1"/>
  <c r="E19" i="1"/>
  <c r="G19" i="1" s="1"/>
  <c r="K19" i="1" s="1"/>
  <c r="H18" i="1"/>
  <c r="L18" i="1" s="1"/>
  <c r="G18" i="1"/>
  <c r="F18" i="1"/>
  <c r="E18" i="1"/>
  <c r="G17" i="1"/>
  <c r="K17" i="1" s="1"/>
  <c r="F17" i="1"/>
  <c r="H17" i="1" s="1"/>
  <c r="L17" i="1" s="1"/>
  <c r="E17" i="1"/>
  <c r="F16" i="1"/>
  <c r="H16" i="1" s="1"/>
  <c r="L16" i="1" s="1"/>
  <c r="E16" i="1"/>
  <c r="G16" i="1" s="1"/>
  <c r="H15" i="8"/>
  <c r="L15" i="8" s="1"/>
  <c r="G15" i="8"/>
  <c r="H14" i="8"/>
  <c r="L14" i="8" s="1"/>
  <c r="G14" i="8"/>
  <c r="F14" i="8"/>
  <c r="E14" i="8"/>
  <c r="H13" i="8"/>
  <c r="L13" i="8" s="1"/>
  <c r="G13" i="8"/>
  <c r="K13" i="8" s="1"/>
  <c r="F13" i="8"/>
  <c r="E13" i="8"/>
  <c r="H12" i="8"/>
  <c r="L12" i="8" s="1"/>
  <c r="H11" i="8"/>
  <c r="L11" i="8" s="1"/>
  <c r="F11" i="8"/>
  <c r="E11" i="8"/>
  <c r="G11" i="8" s="1"/>
  <c r="K11" i="8" s="1"/>
  <c r="H10" i="8"/>
  <c r="L10" i="8" s="1"/>
  <c r="F10" i="8"/>
  <c r="E10" i="8"/>
  <c r="G10" i="8" s="1"/>
  <c r="N15" i="7"/>
  <c r="G15" i="7"/>
  <c r="K15" i="7" s="1"/>
  <c r="F15" i="7"/>
  <c r="H15" i="7" s="1"/>
  <c r="L15" i="7" s="1"/>
  <c r="E15" i="7"/>
  <c r="N14" i="7"/>
  <c r="G14" i="7"/>
  <c r="K14" i="7" s="1"/>
  <c r="F14" i="7"/>
  <c r="H14" i="7" s="1"/>
  <c r="L14" i="7" s="1"/>
  <c r="E14" i="7"/>
  <c r="N13" i="7"/>
  <c r="G13" i="7"/>
  <c r="K13" i="7" s="1"/>
  <c r="F13" i="7"/>
  <c r="H13" i="7" s="1"/>
  <c r="L13" i="7" s="1"/>
  <c r="E13" i="7"/>
  <c r="N12" i="7"/>
  <c r="G12" i="7"/>
  <c r="K12" i="7" s="1"/>
  <c r="F12" i="7"/>
  <c r="H12" i="7" s="1"/>
  <c r="L12" i="7" s="1"/>
  <c r="E12" i="7"/>
  <c r="N11" i="7"/>
  <c r="H11" i="7"/>
  <c r="L11" i="7" s="1"/>
  <c r="F11" i="7"/>
  <c r="E11" i="7"/>
  <c r="G11" i="7" s="1"/>
  <c r="N10" i="7"/>
  <c r="F10" i="7"/>
  <c r="H10" i="7" s="1"/>
  <c r="L10" i="7" s="1"/>
  <c r="E10" i="7"/>
  <c r="G10" i="7" s="1"/>
  <c r="G15" i="6"/>
  <c r="K15" i="6" s="1"/>
  <c r="F15" i="6"/>
  <c r="H15" i="6" s="1"/>
  <c r="L15" i="6" s="1"/>
  <c r="E15" i="6"/>
  <c r="G14" i="6"/>
  <c r="K14" i="6" s="1"/>
  <c r="F14" i="6"/>
  <c r="H14" i="6" s="1"/>
  <c r="L14" i="6" s="1"/>
  <c r="E14" i="6"/>
  <c r="G13" i="6"/>
  <c r="K13" i="6" s="1"/>
  <c r="F13" i="6"/>
  <c r="H13" i="6" s="1"/>
  <c r="L13" i="6" s="1"/>
  <c r="E13" i="6"/>
  <c r="G12" i="6"/>
  <c r="F12" i="6"/>
  <c r="H12" i="6" s="1"/>
  <c r="L12" i="6" s="1"/>
  <c r="E12" i="6"/>
  <c r="H11" i="6"/>
  <c r="L11" i="6" s="1"/>
  <c r="F11" i="6"/>
  <c r="E11" i="6"/>
  <c r="G11" i="6" s="1"/>
  <c r="K11" i="6" s="1"/>
  <c r="H10" i="6"/>
  <c r="L10" i="6" s="1"/>
  <c r="F10" i="6"/>
  <c r="E10" i="6"/>
  <c r="G10" i="6" s="1"/>
  <c r="F15" i="5"/>
  <c r="H15" i="5" s="1"/>
  <c r="L15" i="5" s="1"/>
  <c r="E15" i="5"/>
  <c r="G15" i="5" s="1"/>
  <c r="F14" i="5"/>
  <c r="H14" i="5" s="1"/>
  <c r="L14" i="5" s="1"/>
  <c r="E14" i="5"/>
  <c r="G14" i="5" s="1"/>
  <c r="F13" i="5"/>
  <c r="H13" i="5" s="1"/>
  <c r="L13" i="5" s="1"/>
  <c r="E13" i="5"/>
  <c r="G13" i="5" s="1"/>
  <c r="K13" i="5" s="1"/>
  <c r="F12" i="5"/>
  <c r="H12" i="5" s="1"/>
  <c r="L12" i="5" s="1"/>
  <c r="E12" i="5"/>
  <c r="G12" i="5" s="1"/>
  <c r="G11" i="5"/>
  <c r="F11" i="5"/>
  <c r="H11" i="5" s="1"/>
  <c r="L11" i="5" s="1"/>
  <c r="E11" i="5"/>
  <c r="G10" i="5"/>
  <c r="F10" i="5"/>
  <c r="H10" i="5" s="1"/>
  <c r="L10" i="5" s="1"/>
  <c r="E10" i="5"/>
  <c r="F15" i="4"/>
  <c r="H15" i="4" s="1"/>
  <c r="L15" i="4" s="1"/>
  <c r="E15" i="4"/>
  <c r="G15" i="4" s="1"/>
  <c r="F14" i="4"/>
  <c r="H14" i="4" s="1"/>
  <c r="L14" i="4" s="1"/>
  <c r="E14" i="4"/>
  <c r="G14" i="4" s="1"/>
  <c r="F13" i="4"/>
  <c r="H13" i="4" s="1"/>
  <c r="L13" i="4" s="1"/>
  <c r="E13" i="4"/>
  <c r="G13" i="4" s="1"/>
  <c r="K13" i="4" s="1"/>
  <c r="F12" i="4"/>
  <c r="H12" i="4" s="1"/>
  <c r="L12" i="4" s="1"/>
  <c r="E12" i="4"/>
  <c r="G12" i="4" s="1"/>
  <c r="G11" i="4"/>
  <c r="F11" i="4"/>
  <c r="H11" i="4" s="1"/>
  <c r="L11" i="4" s="1"/>
  <c r="E11" i="4"/>
  <c r="G10" i="4"/>
  <c r="F10" i="4"/>
  <c r="H10" i="4" s="1"/>
  <c r="L10" i="4" s="1"/>
  <c r="E10" i="4"/>
  <c r="G15" i="3"/>
  <c r="F15" i="3"/>
  <c r="H15" i="3" s="1"/>
  <c r="L15" i="3" s="1"/>
  <c r="E15" i="3"/>
  <c r="F14" i="3"/>
  <c r="H14" i="3" s="1"/>
  <c r="L14" i="3" s="1"/>
  <c r="E14" i="3"/>
  <c r="G14" i="3" s="1"/>
  <c r="K14" i="3" s="1"/>
  <c r="F13" i="3"/>
  <c r="H13" i="3" s="1"/>
  <c r="L13" i="3" s="1"/>
  <c r="E13" i="3"/>
  <c r="G13" i="3" s="1"/>
  <c r="H12" i="3"/>
  <c r="L12" i="3" s="1"/>
  <c r="F12" i="3"/>
  <c r="E12" i="3"/>
  <c r="G12" i="3" s="1"/>
  <c r="K12" i="3" s="1"/>
  <c r="H11" i="3"/>
  <c r="L11" i="3" s="1"/>
  <c r="F11" i="3"/>
  <c r="E11" i="3"/>
  <c r="G11" i="3" s="1"/>
  <c r="K11" i="3" s="1"/>
  <c r="H10" i="3"/>
  <c r="L10" i="3" s="1"/>
  <c r="F10" i="3"/>
  <c r="E10" i="3"/>
  <c r="G10" i="3" s="1"/>
  <c r="F15" i="2"/>
  <c r="H15" i="2" s="1"/>
  <c r="L15" i="2" s="1"/>
  <c r="E15" i="2"/>
  <c r="G15" i="2" s="1"/>
  <c r="K15" i="2" s="1"/>
  <c r="F14" i="2"/>
  <c r="H14" i="2" s="1"/>
  <c r="L14" i="2" s="1"/>
  <c r="E14" i="2"/>
  <c r="G14" i="2" s="1"/>
  <c r="K14" i="2" s="1"/>
  <c r="H13" i="2"/>
  <c r="L13" i="2" s="1"/>
  <c r="F13" i="2"/>
  <c r="E13" i="2"/>
  <c r="G13" i="2" s="1"/>
  <c r="K13" i="2" s="1"/>
  <c r="G12" i="2"/>
  <c r="K12" i="2" s="1"/>
  <c r="F12" i="2"/>
  <c r="H12" i="2" s="1"/>
  <c r="L12" i="2" s="1"/>
  <c r="E12" i="2"/>
  <c r="L11" i="2"/>
  <c r="H11" i="2"/>
  <c r="G11" i="2"/>
  <c r="K11" i="2" s="1"/>
  <c r="E11" i="2"/>
  <c r="F10" i="2"/>
  <c r="H10" i="2" s="1"/>
  <c r="L10" i="2" s="1"/>
  <c r="E10" i="2"/>
  <c r="G10" i="2" s="1"/>
  <c r="K10" i="2" s="1"/>
  <c r="M10" i="2" s="1"/>
  <c r="M11" i="2" s="1"/>
  <c r="M12" i="2" s="1"/>
  <c r="M13" i="2" s="1"/>
  <c r="M14" i="2" s="1"/>
  <c r="M15" i="2" s="1"/>
  <c r="H15" i="1"/>
  <c r="L15" i="1" s="1"/>
  <c r="F15" i="1"/>
  <c r="E15" i="1"/>
  <c r="G15" i="1" s="1"/>
  <c r="K15" i="1" s="1"/>
  <c r="H14" i="1"/>
  <c r="L14" i="1" s="1"/>
  <c r="G14" i="1"/>
  <c r="F14" i="1"/>
  <c r="E14" i="1"/>
  <c r="G13" i="1"/>
  <c r="K13" i="1" s="1"/>
  <c r="F13" i="1"/>
  <c r="H13" i="1" s="1"/>
  <c r="L13" i="1" s="1"/>
  <c r="E13" i="1"/>
  <c r="F12" i="1"/>
  <c r="H12" i="1" s="1"/>
  <c r="L12" i="1" s="1"/>
  <c r="E12" i="1"/>
  <c r="G12" i="1" s="1"/>
  <c r="K12" i="1" s="1"/>
  <c r="G11" i="1"/>
  <c r="F11" i="1"/>
  <c r="H11" i="1" s="1"/>
  <c r="L11" i="1" s="1"/>
  <c r="E11" i="1"/>
  <c r="G10" i="1"/>
  <c r="K10" i="1" s="1"/>
  <c r="M10" i="1" s="1"/>
  <c r="F10" i="1"/>
  <c r="H10" i="1" s="1"/>
  <c r="L10" i="1" s="1"/>
  <c r="E10" i="1"/>
  <c r="K25" i="1" l="1"/>
  <c r="K15" i="8"/>
  <c r="K27" i="3"/>
  <c r="K25" i="3"/>
  <c r="K29" i="8"/>
  <c r="K28" i="8"/>
  <c r="K27" i="8"/>
  <c r="K28" i="6"/>
  <c r="M28" i="6" s="1"/>
  <c r="K30" i="5"/>
  <c r="K22" i="5"/>
  <c r="M22" i="5" s="1"/>
  <c r="M23" i="5" s="1"/>
  <c r="M24" i="5" s="1"/>
  <c r="M25" i="5" s="1"/>
  <c r="M26" i="5" s="1"/>
  <c r="K23" i="4"/>
  <c r="M23" i="4" s="1"/>
  <c r="K29" i="3"/>
  <c r="K28" i="3"/>
  <c r="K17" i="3"/>
  <c r="K30" i="1"/>
  <c r="K18" i="1"/>
  <c r="K30" i="8"/>
  <c r="H50" i="8"/>
  <c r="H52" i="8" s="1"/>
  <c r="K25" i="8"/>
  <c r="K19" i="8"/>
  <c r="K17" i="8"/>
  <c r="K18" i="8"/>
  <c r="F60" i="7"/>
  <c r="H54" i="7"/>
  <c r="H60" i="7" s="1"/>
  <c r="K32" i="7"/>
  <c r="K28" i="7"/>
  <c r="M28" i="7" s="1"/>
  <c r="M29" i="7" s="1"/>
  <c r="K30" i="7"/>
  <c r="F44" i="7"/>
  <c r="H44" i="7" s="1"/>
  <c r="H49" i="7" s="1"/>
  <c r="E60" i="7"/>
  <c r="K24" i="7"/>
  <c r="K22" i="7"/>
  <c r="M22" i="7" s="1"/>
  <c r="M23" i="7" s="1"/>
  <c r="M24" i="7" s="1"/>
  <c r="K25" i="7"/>
  <c r="K16" i="7"/>
  <c r="M16" i="7" s="1"/>
  <c r="M17" i="7" s="1"/>
  <c r="M18" i="7" s="1"/>
  <c r="M19" i="7" s="1"/>
  <c r="M20" i="7" s="1"/>
  <c r="M21" i="7" s="1"/>
  <c r="K21" i="7"/>
  <c r="H57" i="6"/>
  <c r="F75" i="6"/>
  <c r="H62" i="6"/>
  <c r="H75" i="6" s="1"/>
  <c r="K29" i="6"/>
  <c r="K32" i="6"/>
  <c r="K23" i="6"/>
  <c r="K27" i="6"/>
  <c r="M23" i="6"/>
  <c r="M24" i="6" s="1"/>
  <c r="M25" i="6" s="1"/>
  <c r="M26" i="6" s="1"/>
  <c r="M27" i="6" s="1"/>
  <c r="K17" i="6"/>
  <c r="K16" i="6"/>
  <c r="M16" i="6" s="1"/>
  <c r="M17" i="6" s="1"/>
  <c r="M18" i="6" s="1"/>
  <c r="M19" i="6" s="1"/>
  <c r="M20" i="6" s="1"/>
  <c r="M21" i="6" s="1"/>
  <c r="H55" i="5"/>
  <c r="H62" i="5" s="1"/>
  <c r="F62" i="5"/>
  <c r="K28" i="5"/>
  <c r="K29" i="5"/>
  <c r="K27" i="5"/>
  <c r="K17" i="5"/>
  <c r="K16" i="5"/>
  <c r="M16" i="5" s="1"/>
  <c r="M17" i="5" s="1"/>
  <c r="M18" i="5" s="1"/>
  <c r="M19" i="5" s="1"/>
  <c r="M20" i="5" s="1"/>
  <c r="M21" i="5" s="1"/>
  <c r="K31" i="4"/>
  <c r="H77" i="4"/>
  <c r="K29" i="4"/>
  <c r="K30" i="4"/>
  <c r="F114" i="4"/>
  <c r="H82" i="4"/>
  <c r="H114" i="4" s="1"/>
  <c r="K28" i="4"/>
  <c r="F77" i="4"/>
  <c r="F110" i="4"/>
  <c r="H110" i="4" s="1"/>
  <c r="K27" i="4"/>
  <c r="K24" i="4"/>
  <c r="K16" i="4"/>
  <c r="M16" i="4" s="1"/>
  <c r="M17" i="4" s="1"/>
  <c r="M18" i="4" s="1"/>
  <c r="M19" i="4" s="1"/>
  <c r="M20" i="4" s="1"/>
  <c r="M21" i="4" s="1"/>
  <c r="K21" i="4"/>
  <c r="K32" i="3"/>
  <c r="H52" i="3"/>
  <c r="H56" i="3" s="1"/>
  <c r="H43" i="3"/>
  <c r="H47" i="3" s="1"/>
  <c r="K16" i="3"/>
  <c r="M16" i="3" s="1"/>
  <c r="M17" i="3" s="1"/>
  <c r="K18" i="3"/>
  <c r="F64" i="2"/>
  <c r="H56" i="2"/>
  <c r="H64" i="2" s="1"/>
  <c r="K33" i="2"/>
  <c r="M33" i="2" s="1"/>
  <c r="H43" i="2"/>
  <c r="H51" i="2" s="1"/>
  <c r="K23" i="2"/>
  <c r="M23" i="2"/>
  <c r="M24" i="2" s="1"/>
  <c r="M25" i="2" s="1"/>
  <c r="M26" i="2" s="1"/>
  <c r="K24" i="2"/>
  <c r="H27" i="2"/>
  <c r="L27" i="2" s="1"/>
  <c r="K27" i="2" s="1"/>
  <c r="K28" i="1"/>
  <c r="K33" i="1"/>
  <c r="K27" i="1"/>
  <c r="K24" i="1"/>
  <c r="K16" i="1"/>
  <c r="M16" i="1" s="1"/>
  <c r="M17" i="1" s="1"/>
  <c r="M18" i="1" s="1"/>
  <c r="M19" i="1" s="1"/>
  <c r="M20" i="1" s="1"/>
  <c r="M21" i="1" s="1"/>
  <c r="M22" i="1" s="1"/>
  <c r="M23" i="1" s="1"/>
  <c r="K11" i="1"/>
  <c r="M11" i="1" s="1"/>
  <c r="K14" i="1"/>
  <c r="K10" i="4"/>
  <c r="M10" i="4" s="1"/>
  <c r="M11" i="4" s="1"/>
  <c r="K14" i="4"/>
  <c r="K10" i="5"/>
  <c r="M10" i="5" s="1"/>
  <c r="M11" i="5" s="1"/>
  <c r="M12" i="5" s="1"/>
  <c r="K14" i="5"/>
  <c r="K10" i="7"/>
  <c r="M10" i="7" s="1"/>
  <c r="K15" i="3"/>
  <c r="K15" i="4"/>
  <c r="K15" i="5"/>
  <c r="K10" i="6"/>
  <c r="M10" i="6" s="1"/>
  <c r="M11" i="6" s="1"/>
  <c r="K12" i="6"/>
  <c r="K10" i="3"/>
  <c r="M10" i="3" s="1"/>
  <c r="M11" i="3" s="1"/>
  <c r="M12" i="3" s="1"/>
  <c r="K11" i="4"/>
  <c r="K11" i="5"/>
  <c r="K11" i="7"/>
  <c r="K10" i="8"/>
  <c r="M10" i="8" s="1"/>
  <c r="M11" i="8" s="1"/>
  <c r="K12" i="8"/>
  <c r="K14" i="8"/>
  <c r="K13" i="3"/>
  <c r="K12" i="4"/>
  <c r="K12" i="5"/>
  <c r="M29" i="6" l="1"/>
  <c r="M30" i="6" s="1"/>
  <c r="M31" i="6" s="1"/>
  <c r="M32" i="6" s="1"/>
  <c r="M33" i="6" s="1"/>
  <c r="M27" i="5"/>
  <c r="M28" i="5" s="1"/>
  <c r="M29" i="5" s="1"/>
  <c r="M30" i="5" s="1"/>
  <c r="M31" i="5" s="1"/>
  <c r="M32" i="5" s="1"/>
  <c r="M33" i="5" s="1"/>
  <c r="M28" i="4"/>
  <c r="M29" i="4" s="1"/>
  <c r="M30" i="4" s="1"/>
  <c r="M31" i="4" s="1"/>
  <c r="M32" i="4" s="1"/>
  <c r="M33" i="4" s="1"/>
  <c r="M24" i="1"/>
  <c r="M25" i="1" s="1"/>
  <c r="M26" i="1" s="1"/>
  <c r="M27" i="1" s="1"/>
  <c r="M28" i="1" s="1"/>
  <c r="M29" i="1" s="1"/>
  <c r="M30" i="1" s="1"/>
  <c r="M31" i="1" s="1"/>
  <c r="M32" i="1" s="1"/>
  <c r="M33" i="1" s="1"/>
  <c r="H53" i="8"/>
  <c r="H46" i="8"/>
  <c r="H47" i="8" s="1"/>
  <c r="H48" i="8" s="1"/>
  <c r="H51" i="7"/>
  <c r="H52" i="7" s="1"/>
  <c r="F49" i="7"/>
  <c r="M30" i="7"/>
  <c r="M31" i="7" s="1"/>
  <c r="M32" i="7" s="1"/>
  <c r="M33" i="7" s="1"/>
  <c r="H61" i="7"/>
  <c r="H50" i="7"/>
  <c r="M25" i="7"/>
  <c r="M26" i="7" s="1"/>
  <c r="M27" i="7" s="1"/>
  <c r="H76" i="6"/>
  <c r="H58" i="6"/>
  <c r="H59" i="6"/>
  <c r="H60" i="6" s="1"/>
  <c r="H63" i="5"/>
  <c r="H51" i="5"/>
  <c r="H52" i="5" s="1"/>
  <c r="H53" i="5" s="1"/>
  <c r="H115" i="4"/>
  <c r="H78" i="4"/>
  <c r="H79" i="4"/>
  <c r="H80" i="4" s="1"/>
  <c r="M24" i="4"/>
  <c r="M25" i="4" s="1"/>
  <c r="M26" i="4" s="1"/>
  <c r="M27" i="4" s="1"/>
  <c r="H57" i="3"/>
  <c r="H48" i="3"/>
  <c r="H49" i="3" s="1"/>
  <c r="H50" i="3" s="1"/>
  <c r="M18" i="3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H65" i="2"/>
  <c r="H52" i="2"/>
  <c r="H53" i="2" s="1"/>
  <c r="H54" i="2" s="1"/>
  <c r="M27" i="2"/>
  <c r="M12" i="1"/>
  <c r="Q11" i="5"/>
  <c r="Q12" i="5" s="1"/>
  <c r="M13" i="5"/>
  <c r="M12" i="6"/>
  <c r="M12" i="4"/>
  <c r="M12" i="8"/>
  <c r="M13" i="3"/>
  <c r="M14" i="3" s="1"/>
  <c r="M15" i="3" s="1"/>
  <c r="M11" i="7"/>
  <c r="M12" i="7" s="1"/>
  <c r="Q11" i="6" l="1"/>
  <c r="Q12" i="6" s="1"/>
  <c r="M13" i="6"/>
  <c r="M14" i="6" s="1"/>
  <c r="M13" i="7"/>
  <c r="M14" i="7" s="1"/>
  <c r="M15" i="7" s="1"/>
  <c r="Q11" i="8"/>
  <c r="Q12" i="8" s="1"/>
  <c r="M13" i="8"/>
  <c r="M14" i="8" s="1"/>
  <c r="M14" i="5"/>
  <c r="Q11" i="4"/>
  <c r="Q12" i="4" s="1"/>
  <c r="M13" i="4"/>
  <c r="M14" i="4" s="1"/>
  <c r="M13" i="1"/>
  <c r="M14" i="1" s="1"/>
  <c r="M15" i="1" s="1"/>
  <c r="Q13" i="8" l="1"/>
  <c r="Q14" i="8" s="1"/>
  <c r="M15" i="8"/>
  <c r="Q13" i="4"/>
  <c r="Q14" i="4" s="1"/>
  <c r="M15" i="4"/>
  <c r="M15" i="6"/>
  <c r="Q15" i="6" s="1"/>
  <c r="Q13" i="6"/>
  <c r="Q14" i="6" s="1"/>
  <c r="Q13" i="5"/>
  <c r="Q14" i="5" s="1"/>
  <c r="M15" i="5"/>
  <c r="Q15" i="5" s="1"/>
  <c r="Q16" i="5" s="1"/>
  <c r="Q15" i="8" l="1"/>
  <c r="Q16" i="8" s="1"/>
  <c r="M16" i="8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Q15" i="4"/>
  <c r="Q16" i="4" s="1"/>
</calcChain>
</file>

<file path=xl/sharedStrings.xml><?xml version="1.0" encoding="utf-8"?>
<sst xmlns="http://schemas.openxmlformats.org/spreadsheetml/2006/main" count="286" uniqueCount="53">
  <si>
    <t>Louisville Gas and Electric Company</t>
  </si>
  <si>
    <t>Deferred Tax Calculations</t>
  </si>
  <si>
    <t>Environmental Compliance Plans, by Approved Project</t>
  </si>
  <si>
    <t>2009 - Plan</t>
  </si>
  <si>
    <t>Project 23 - Trimble County Ash Treatment Basis (BAP/GSP)</t>
  </si>
  <si>
    <t>Month</t>
  </si>
  <si>
    <t>Plant Balance</t>
  </si>
  <si>
    <t>Book Depreciation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</si>
  <si>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</si>
  <si>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</si>
  <si>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</si>
  <si>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</si>
  <si>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</si>
  <si>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</si>
  <si>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</si>
  <si>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</si>
  <si>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Accumulated Deferred Taxes</t>
  </si>
  <si>
    <t>Deferred Taxes on Retirements</t>
  </si>
  <si>
    <t>Beg Balance</t>
  </si>
  <si>
    <t>Project 24 - Trimble County CCP Storage (Landfill - Phase I)</t>
  </si>
  <si>
    <t xml:space="preserve">Due to Bonus Depreciation for tax purposes taken on certain components of Project 24, the deferred tax calculation for this project </t>
  </si>
  <si>
    <t>is shown below:</t>
  </si>
  <si>
    <t>Federal Basis</t>
  </si>
  <si>
    <t>Book Depr.</t>
  </si>
  <si>
    <t>Federal Tax Depr</t>
  </si>
  <si>
    <t>Fed. Difference</t>
  </si>
  <si>
    <t>Fed Def Tax</t>
  </si>
  <si>
    <t>Subtotal</t>
  </si>
  <si>
    <t>State Offset</t>
  </si>
  <si>
    <t>State Basis</t>
  </si>
  <si>
    <t>State Tax Depr</t>
  </si>
  <si>
    <t>St. Difference</t>
  </si>
  <si>
    <t>St Def Tax</t>
  </si>
  <si>
    <t>Project 25 -Beneficial Reuse</t>
  </si>
  <si>
    <t xml:space="preserve">Due to Bonus Depreciation for tax purposes taken on certain components of Project 25, the deferred tax calculation for this project </t>
  </si>
  <si>
    <t>2011 - Plan</t>
  </si>
  <si>
    <t>Project 26 - Mill Creek Station Air Compliance</t>
  </si>
  <si>
    <t xml:space="preserve">Due to Bonus Depreciation for tax purposes taken on certain components of Project 26, the deferred tax calculation for this project </t>
  </si>
  <si>
    <t>Project 27 - Trimble County Unit 1 Air Compliance</t>
  </si>
  <si>
    <t xml:space="preserve">Due to Bonus Depreciation for tax purposes taken on certain components of Project 27, the deferred tax calculation for this project </t>
  </si>
  <si>
    <t>2016 - Plan</t>
  </si>
  <si>
    <t>Project 28 - Supplemental Mecury Control</t>
  </si>
  <si>
    <t xml:space="preserve"> </t>
  </si>
  <si>
    <t xml:space="preserve">Due to Bonus Depreciation for tax purposes taken on certain components of Project 28, the deferred tax calculation for this project </t>
  </si>
  <si>
    <t>Project 29 - Mill Creek New Process Water Systems</t>
  </si>
  <si>
    <t xml:space="preserve">Due to Bonus Depreciation for tax purposes taken on certain components of Project 29, the deferred tax calculation for this project </t>
  </si>
  <si>
    <t>Project 30 - Trimble County New Process Water Systems</t>
  </si>
  <si>
    <t xml:space="preserve">Due to Bonus Depreciation for tax purposes taken on certain components of Project 30, the deferred tax calculation for this project </t>
  </si>
  <si>
    <t>The federal deferred tax column includes an amount for amortization of excess deferred tax amounts.</t>
  </si>
  <si>
    <t>is computed separately for Federal and State purposes.  Specifically, for Federal taxes, certain assets received 50% bonus</t>
  </si>
  <si>
    <t>depreciation, which reduces the Federal tax basis to 50% of the plant balance.  A sample calculation of deferred taxes for Feb 2021</t>
  </si>
  <si>
    <t>Excess fed deferred tax amortization</t>
  </si>
  <si>
    <t>Excess deferred tax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</si>
</sst>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%"/>
  </numFmts>
  <fonts count="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3" fillId="0" borderId="0" xfId="0" quotePrefix="1" applyFont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0" borderId="0" xfId="0" applyNumberFormat="1"/>
    <xf numFmtId="165" fontId="3" fillId="0" borderId="0" xfId="1" applyNumberFormat="1"/>
    <xf numFmtId="164" fontId="3" fillId="0" borderId="0" xfId="2" applyNumberFormat="1" applyAlignment="1">
      <alignment horizontal="left"/>
    </xf>
    <xf numFmtId="41" fontId="3" fillId="0" borderId="0" xfId="0" applyNumberFormat="1" applyFont="1"/>
    <xf numFmtId="38" fontId="3" fillId="0" borderId="0" xfId="0" applyNumberFormat="1" applyFont="1"/>
    <xf numFmtId="165" fontId="3" fillId="0" borderId="0" xfId="1" applyNumberFormat="1" applyFont="1"/>
    <xf numFmtId="166" fontId="0" fillId="0" borderId="0" xfId="0" applyNumberFormat="1"/>
    <xf numFmtId="41" fontId="0" fillId="0" borderId="0" xfId="0" applyNumberFormat="1"/>
    <xf numFmtId="43" fontId="0" fillId="0" borderId="0" xfId="1" applyFont="1"/>
    <xf numFmtId="165" fontId="0" fillId="0" borderId="0" xfId="0" applyNumberFormat="1"/>
    <xf numFmtId="164" fontId="3" fillId="0" borderId="0" xfId="0" applyNumberFormat="1" applyFont="1" applyAlignment="1">
      <alignment horizontal="left"/>
    </xf>
    <xf numFmtId="164" fontId="2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0" fontId="3" fillId="0" borderId="0" xfId="0" applyFont="1"/>
    <xf numFmtId="41" fontId="3" fillId="0" borderId="0" xfId="0" quotePrefix="1" applyNumberFormat="1" applyFont="1" applyAlignment="1">
      <alignment horizontal="left"/>
    </xf>
    <xf numFmtId="41" fontId="4" fillId="0" borderId="0" xfId="0" applyNumberFormat="1" applyFont="1"/>
    <xf numFmtId="165" fontId="3" fillId="0" borderId="0" xfId="3" applyNumberFormat="1" applyFont="1" applyFill="1"/>
    <xf numFmtId="43" fontId="3" fillId="0" borderId="0" xfId="3" applyFont="1" applyFill="1"/>
    <xf numFmtId="165" fontId="3" fillId="0" borderId="0" xfId="3" quotePrefix="1" applyNumberFormat="1" applyFont="1" applyFill="1" applyAlignment="1">
      <alignment horizontal="left"/>
    </xf>
    <xf numFmtId="38" fontId="0" fillId="0" borderId="0" xfId="0" applyNumberFormat="1"/>
    <xf numFmtId="166" fontId="3" fillId="0" borderId="0" xfId="0" applyNumberFormat="1" applyFont="1"/>
    <xf numFmtId="41" fontId="3" fillId="0" borderId="1" xfId="0" applyNumberFormat="1" applyFont="1" applyBorder="1"/>
    <xf numFmtId="0" fontId="1" fillId="0" borderId="0" xfId="0" applyFont="1" applyAlignment="1">
      <alignment horizontal="center"/>
    </xf>
  </cellXfs>
  <cellStyles count="4">
    <cellStyle name="Comma" xfId="1" builtinId="3"/>
    <cellStyle name="Comma 2 2" xfId="3" xr:uid="{162C9C8D-9541-41BE-931E-72C441E67684}"/>
    <cellStyle name="Normal" xfId="0" builtinId="0"/>
    <cellStyle name="Normal 2" xfId="2" xr:uid="{8E92A972-53D0-41BE-BE2A-54D6BFDCC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1EB1-A229-4870-9C13-4FFA3FC1ED86}">
  <sheetPr>
    <pageSetUpPr fitToPage="1"/>
  </sheetPr>
  <dimension ref="A1:S33"/>
  <sheetViews>
    <sheetView tabSelected="1"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9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9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</v>
      </c>
    </row>
    <row r="6" spans="1:19" x14ac:dyDescent="0.2">
      <c r="A6" s="5" t="s">
        <v>4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1044282</v>
      </c>
    </row>
    <row r="10" spans="1:19" x14ac:dyDescent="0.2">
      <c r="A10" s="11">
        <v>43533</v>
      </c>
      <c r="C10" s="12">
        <v>9599354</v>
      </c>
      <c r="D10" s="13">
        <v>10336</v>
      </c>
      <c r="E10" s="14">
        <f t="shared" ref="E10:F12" si="0">35697.03</f>
        <v>35697.03</v>
      </c>
      <c r="F10" s="14">
        <f t="shared" si="0"/>
        <v>35697.03</v>
      </c>
      <c r="G10" s="12">
        <f t="shared" ref="G10:G33" si="1">E10-D10</f>
        <v>25361.03</v>
      </c>
      <c r="H10" s="12">
        <f t="shared" ref="H10:H33" si="2">F10-D10</f>
        <v>25361.03</v>
      </c>
      <c r="I10" s="15">
        <v>0.21</v>
      </c>
      <c r="J10" s="15">
        <v>0.05</v>
      </c>
      <c r="K10" s="16">
        <f t="shared" ref="K10:K33" si="3">G10*I10-L10*I10</f>
        <v>5059.5254849999992</v>
      </c>
      <c r="L10" s="16">
        <f t="shared" ref="L10:L33" si="4">H10*J10</f>
        <v>1268.0515</v>
      </c>
      <c r="M10" s="16">
        <f t="shared" ref="M10:M33" si="5">M9+K10+L10</f>
        <v>1050609.5769850002</v>
      </c>
      <c r="N10" s="16">
        <v>0</v>
      </c>
      <c r="O10" s="17"/>
      <c r="Q10" s="18"/>
    </row>
    <row r="11" spans="1:19" x14ac:dyDescent="0.2">
      <c r="A11" s="11">
        <v>43556</v>
      </c>
      <c r="C11" s="12">
        <v>9599354</v>
      </c>
      <c r="D11" s="13">
        <v>10336</v>
      </c>
      <c r="E11" s="14">
        <f t="shared" si="0"/>
        <v>35697.03</v>
      </c>
      <c r="F11" s="14">
        <f t="shared" si="0"/>
        <v>35697.03</v>
      </c>
      <c r="G11" s="12">
        <f t="shared" si="1"/>
        <v>25361.03</v>
      </c>
      <c r="H11" s="12">
        <f t="shared" si="2"/>
        <v>25361.03</v>
      </c>
      <c r="I11" s="15">
        <v>0.21</v>
      </c>
      <c r="J11" s="15">
        <v>0.05</v>
      </c>
      <c r="K11" s="16">
        <f t="shared" si="3"/>
        <v>5059.5254849999992</v>
      </c>
      <c r="L11" s="16">
        <f t="shared" si="4"/>
        <v>1268.0515</v>
      </c>
      <c r="M11" s="16">
        <f t="shared" si="5"/>
        <v>1056937.1539700003</v>
      </c>
      <c r="N11" s="16">
        <v>0</v>
      </c>
      <c r="O11" s="17"/>
      <c r="Q11" s="16"/>
      <c r="S11" s="16"/>
    </row>
    <row r="12" spans="1:19" x14ac:dyDescent="0.2">
      <c r="A12" s="11">
        <v>43586</v>
      </c>
      <c r="C12" s="12">
        <v>9599354</v>
      </c>
      <c r="D12" s="13">
        <v>16570</v>
      </c>
      <c r="E12" s="14">
        <f>35697.03+3.1</f>
        <v>35700.129999999997</v>
      </c>
      <c r="F12" s="14">
        <f t="shared" si="0"/>
        <v>35697.03</v>
      </c>
      <c r="G12" s="12">
        <f t="shared" si="1"/>
        <v>19130.129999999997</v>
      </c>
      <c r="H12" s="12">
        <f t="shared" si="2"/>
        <v>19127.03</v>
      </c>
      <c r="I12" s="15">
        <v>0.21</v>
      </c>
      <c r="J12" s="15">
        <v>0.05</v>
      </c>
      <c r="K12" s="16">
        <f t="shared" si="3"/>
        <v>3816.4934849999995</v>
      </c>
      <c r="L12" s="16">
        <f t="shared" si="4"/>
        <v>956.35149999999999</v>
      </c>
      <c r="M12" s="16">
        <f t="shared" si="5"/>
        <v>1061709.9989550004</v>
      </c>
      <c r="N12" s="16">
        <v>0</v>
      </c>
      <c r="Q12" s="16"/>
    </row>
    <row r="13" spans="1:19" x14ac:dyDescent="0.2">
      <c r="A13" s="11">
        <v>43617</v>
      </c>
      <c r="C13" s="12">
        <v>9599354</v>
      </c>
      <c r="D13" s="13">
        <v>16570</v>
      </c>
      <c r="E13" s="14">
        <f t="shared" ref="E13:F15" si="6">35697.03</f>
        <v>35697.03</v>
      </c>
      <c r="F13" s="14">
        <f t="shared" si="6"/>
        <v>35697.03</v>
      </c>
      <c r="G13" s="12">
        <f t="shared" si="1"/>
        <v>19127.03</v>
      </c>
      <c r="H13" s="12">
        <f t="shared" si="2"/>
        <v>19127.03</v>
      </c>
      <c r="I13" s="15">
        <v>0.21</v>
      </c>
      <c r="J13" s="15">
        <v>0.05</v>
      </c>
      <c r="K13" s="16">
        <f t="shared" si="3"/>
        <v>3815.8424849999997</v>
      </c>
      <c r="L13" s="16">
        <f t="shared" si="4"/>
        <v>956.35149999999999</v>
      </c>
      <c r="M13" s="16">
        <f t="shared" si="5"/>
        <v>1066482.1929400004</v>
      </c>
      <c r="N13" s="16">
        <v>0</v>
      </c>
      <c r="Q13" s="12"/>
    </row>
    <row r="14" spans="1:19" x14ac:dyDescent="0.2">
      <c r="A14" s="11">
        <v>43647</v>
      </c>
      <c r="C14" s="12">
        <v>9599354</v>
      </c>
      <c r="D14" s="13">
        <v>16570</v>
      </c>
      <c r="E14" s="14">
        <f t="shared" si="6"/>
        <v>35697.03</v>
      </c>
      <c r="F14" s="14">
        <f t="shared" si="6"/>
        <v>35697.03</v>
      </c>
      <c r="G14" s="12">
        <f t="shared" si="1"/>
        <v>19127.03</v>
      </c>
      <c r="H14" s="12">
        <f t="shared" si="2"/>
        <v>19127.03</v>
      </c>
      <c r="I14" s="15">
        <v>0.21</v>
      </c>
      <c r="J14" s="15">
        <v>0.05</v>
      </c>
      <c r="K14" s="16">
        <f t="shared" si="3"/>
        <v>3815.8424849999997</v>
      </c>
      <c r="L14" s="16">
        <f t="shared" si="4"/>
        <v>956.35149999999999</v>
      </c>
      <c r="M14" s="16">
        <f t="shared" si="5"/>
        <v>1071254.3869250005</v>
      </c>
      <c r="N14" s="16">
        <v>0</v>
      </c>
      <c r="P14" s="12"/>
      <c r="Q14" s="16"/>
    </row>
    <row r="15" spans="1:19" x14ac:dyDescent="0.2">
      <c r="A15" s="11">
        <v>43678</v>
      </c>
      <c r="C15" s="12">
        <v>9599354</v>
      </c>
      <c r="D15" s="13">
        <v>16570</v>
      </c>
      <c r="E15" s="14">
        <f>35697.03-2</f>
        <v>35695.03</v>
      </c>
      <c r="F15" s="14">
        <f t="shared" si="6"/>
        <v>35697.03</v>
      </c>
      <c r="G15" s="12">
        <f t="shared" si="1"/>
        <v>19125.03</v>
      </c>
      <c r="H15" s="12">
        <f t="shared" si="2"/>
        <v>19127.03</v>
      </c>
      <c r="I15" s="15">
        <v>0.21</v>
      </c>
      <c r="J15" s="15">
        <v>0.05</v>
      </c>
      <c r="K15" s="16">
        <f t="shared" si="3"/>
        <v>3815.4224849999996</v>
      </c>
      <c r="L15" s="16">
        <f t="shared" si="4"/>
        <v>956.35149999999999</v>
      </c>
      <c r="M15" s="16">
        <f t="shared" si="5"/>
        <v>1076026.1609100006</v>
      </c>
      <c r="N15" s="16">
        <v>0</v>
      </c>
      <c r="Q15" s="16"/>
    </row>
    <row r="16" spans="1:19" x14ac:dyDescent="0.2">
      <c r="A16" s="11">
        <v>43717</v>
      </c>
      <c r="C16" s="12">
        <v>9599354</v>
      </c>
      <c r="D16" s="13">
        <v>16570</v>
      </c>
      <c r="E16" s="14">
        <f>35697.03+2</f>
        <v>35699.03</v>
      </c>
      <c r="F16" s="14">
        <f>35697.03</f>
        <v>35697.03</v>
      </c>
      <c r="G16" s="12">
        <f t="shared" si="1"/>
        <v>19129.03</v>
      </c>
      <c r="H16" s="12">
        <f t="shared" si="2"/>
        <v>19127.03</v>
      </c>
      <c r="I16" s="15">
        <v>0.21</v>
      </c>
      <c r="J16" s="15">
        <v>0.05</v>
      </c>
      <c r="K16" s="16">
        <f t="shared" si="3"/>
        <v>3816.2624849999997</v>
      </c>
      <c r="L16" s="16">
        <f t="shared" si="4"/>
        <v>956.35149999999999</v>
      </c>
      <c r="M16" s="16">
        <f t="shared" si="5"/>
        <v>1080798.7748950007</v>
      </c>
      <c r="N16" s="16">
        <v>0</v>
      </c>
      <c r="O16" s="16"/>
      <c r="P16" s="16"/>
    </row>
    <row r="17" spans="1:16" x14ac:dyDescent="0.2">
      <c r="A17" s="11">
        <v>43739</v>
      </c>
      <c r="C17" s="12">
        <v>9599354</v>
      </c>
      <c r="D17" s="13">
        <v>16570</v>
      </c>
      <c r="E17" s="14">
        <f>35697.03+2</f>
        <v>35699.03</v>
      </c>
      <c r="F17" s="14">
        <f>35697.03</f>
        <v>35697.03</v>
      </c>
      <c r="G17" s="12">
        <f t="shared" si="1"/>
        <v>19129.03</v>
      </c>
      <c r="H17" s="12">
        <f t="shared" si="2"/>
        <v>19127.03</v>
      </c>
      <c r="I17" s="15">
        <v>0.21</v>
      </c>
      <c r="J17" s="15">
        <v>0.05</v>
      </c>
      <c r="K17" s="16">
        <f t="shared" si="3"/>
        <v>3816.2624849999997</v>
      </c>
      <c r="L17" s="16">
        <f t="shared" si="4"/>
        <v>956.35149999999999</v>
      </c>
      <c r="M17" s="16">
        <f t="shared" si="5"/>
        <v>1085571.3888800009</v>
      </c>
      <c r="N17" s="16">
        <v>0</v>
      </c>
      <c r="O17" s="16"/>
      <c r="P17" s="16"/>
    </row>
    <row r="18" spans="1:16" x14ac:dyDescent="0.2">
      <c r="A18" s="11">
        <v>43770</v>
      </c>
      <c r="C18" s="12">
        <v>9599354</v>
      </c>
      <c r="D18" s="13">
        <v>16570.490000000002</v>
      </c>
      <c r="E18" s="14">
        <f>35697.03</f>
        <v>35697.03</v>
      </c>
      <c r="F18" s="14">
        <f>35697.03</f>
        <v>35697.03</v>
      </c>
      <c r="G18" s="12">
        <f t="shared" si="1"/>
        <v>19126.539999999997</v>
      </c>
      <c r="H18" s="12">
        <f t="shared" si="2"/>
        <v>19126.539999999997</v>
      </c>
      <c r="I18" s="15">
        <v>0.21</v>
      </c>
      <c r="J18" s="15">
        <v>0.05</v>
      </c>
      <c r="K18" s="16">
        <f t="shared" si="3"/>
        <v>3815.7447299999994</v>
      </c>
      <c r="L18" s="16">
        <f t="shared" si="4"/>
        <v>956.32699999999988</v>
      </c>
      <c r="M18" s="16">
        <f t="shared" si="5"/>
        <v>1090343.4606100009</v>
      </c>
      <c r="N18" s="16">
        <v>0</v>
      </c>
      <c r="O18" s="16"/>
      <c r="P18" s="16"/>
    </row>
    <row r="19" spans="1:16" x14ac:dyDescent="0.2">
      <c r="A19" s="11">
        <v>43800</v>
      </c>
      <c r="C19" s="12">
        <v>9599354</v>
      </c>
      <c r="D19" s="13">
        <v>16570</v>
      </c>
      <c r="E19" s="14">
        <f>35697.03</f>
        <v>35697.03</v>
      </c>
      <c r="F19" s="14">
        <f>35697.03</f>
        <v>35697.03</v>
      </c>
      <c r="G19" s="12">
        <f t="shared" si="1"/>
        <v>19127.03</v>
      </c>
      <c r="H19" s="12">
        <f t="shared" si="2"/>
        <v>19127.03</v>
      </c>
      <c r="I19" s="15">
        <v>0.21</v>
      </c>
      <c r="J19" s="15">
        <v>0.05</v>
      </c>
      <c r="K19" s="16">
        <f t="shared" si="3"/>
        <v>3815.8424849999997</v>
      </c>
      <c r="L19" s="16">
        <f t="shared" si="4"/>
        <v>956.35149999999999</v>
      </c>
      <c r="M19" s="16">
        <f t="shared" si="5"/>
        <v>1095115.6545950009</v>
      </c>
      <c r="N19" s="16">
        <v>0</v>
      </c>
    </row>
    <row r="20" spans="1:16" x14ac:dyDescent="0.2">
      <c r="A20" s="11">
        <v>43831</v>
      </c>
      <c r="C20" s="12">
        <v>9599354</v>
      </c>
      <c r="D20" s="13">
        <v>16570</v>
      </c>
      <c r="E20" s="14">
        <f>35687.38</f>
        <v>35687.379999999997</v>
      </c>
      <c r="F20" s="14">
        <v>35687.379999999997</v>
      </c>
      <c r="G20" s="12">
        <f t="shared" si="1"/>
        <v>19117.379999999997</v>
      </c>
      <c r="H20" s="12">
        <f t="shared" si="2"/>
        <v>19117.379999999997</v>
      </c>
      <c r="I20" s="15">
        <v>0.21</v>
      </c>
      <c r="J20" s="15">
        <v>0.05</v>
      </c>
      <c r="K20" s="16">
        <f t="shared" si="3"/>
        <v>3813.9173099999994</v>
      </c>
      <c r="L20" s="16">
        <f t="shared" si="4"/>
        <v>955.86899999999991</v>
      </c>
      <c r="M20" s="16">
        <f t="shared" si="5"/>
        <v>1099885.4409050008</v>
      </c>
      <c r="N20" s="16">
        <v>0</v>
      </c>
    </row>
    <row r="21" spans="1:16" x14ac:dyDescent="0.2">
      <c r="A21" s="11">
        <v>43862</v>
      </c>
      <c r="C21" s="12">
        <v>9599354</v>
      </c>
      <c r="D21" s="13">
        <v>16570</v>
      </c>
      <c r="E21" s="14">
        <f>35687.38</f>
        <v>35687.379999999997</v>
      </c>
      <c r="F21" s="14">
        <v>35687.379999999997</v>
      </c>
      <c r="G21" s="12">
        <f t="shared" si="1"/>
        <v>19117.379999999997</v>
      </c>
      <c r="H21" s="12">
        <f t="shared" si="2"/>
        <v>19117.379999999997</v>
      </c>
      <c r="I21" s="15">
        <v>0.21</v>
      </c>
      <c r="J21" s="15">
        <v>0.05</v>
      </c>
      <c r="K21" s="16">
        <f t="shared" si="3"/>
        <v>3813.9173099999994</v>
      </c>
      <c r="L21" s="16">
        <f t="shared" si="4"/>
        <v>955.86899999999991</v>
      </c>
      <c r="M21" s="16">
        <f t="shared" si="5"/>
        <v>1104655.2272150007</v>
      </c>
      <c r="N21" s="16">
        <v>0</v>
      </c>
    </row>
    <row r="22" spans="1:16" x14ac:dyDescent="0.2">
      <c r="A22" s="11">
        <v>43899</v>
      </c>
      <c r="C22" s="12">
        <v>9599354</v>
      </c>
      <c r="D22" s="13">
        <v>16570</v>
      </c>
      <c r="E22" s="10">
        <f>35687.38</f>
        <v>35687.379999999997</v>
      </c>
      <c r="F22" s="10">
        <v>35687.379999999997</v>
      </c>
      <c r="G22" s="12">
        <f t="shared" si="1"/>
        <v>19117.379999999997</v>
      </c>
      <c r="H22" s="12">
        <f t="shared" si="2"/>
        <v>19117.379999999997</v>
      </c>
      <c r="I22" s="15">
        <v>0.21</v>
      </c>
      <c r="J22" s="15">
        <v>0.05</v>
      </c>
      <c r="K22" s="16">
        <f t="shared" si="3"/>
        <v>3813.9173099999994</v>
      </c>
      <c r="L22" s="16">
        <f t="shared" si="4"/>
        <v>955.86899999999991</v>
      </c>
      <c r="M22" s="16">
        <f t="shared" si="5"/>
        <v>1109425.0135250005</v>
      </c>
      <c r="N22" s="16">
        <v>0</v>
      </c>
    </row>
    <row r="23" spans="1:16" x14ac:dyDescent="0.2">
      <c r="A23" s="11">
        <v>43922</v>
      </c>
      <c r="C23" s="12">
        <v>9599354</v>
      </c>
      <c r="D23" s="13">
        <v>16570</v>
      </c>
      <c r="E23" s="10">
        <f>35687.38</f>
        <v>35687.379999999997</v>
      </c>
      <c r="F23" s="10">
        <v>35687.379999999997</v>
      </c>
      <c r="G23" s="12">
        <f t="shared" si="1"/>
        <v>19117.379999999997</v>
      </c>
      <c r="H23" s="12">
        <f t="shared" si="2"/>
        <v>19117.379999999997</v>
      </c>
      <c r="I23" s="15">
        <v>0.21</v>
      </c>
      <c r="J23" s="15">
        <v>0.05</v>
      </c>
      <c r="K23" s="16">
        <f t="shared" si="3"/>
        <v>3813.9173099999994</v>
      </c>
      <c r="L23" s="16">
        <f t="shared" si="4"/>
        <v>955.86899999999991</v>
      </c>
      <c r="M23" s="16">
        <f t="shared" si="5"/>
        <v>1114194.7998350004</v>
      </c>
      <c r="N23" s="16">
        <v>0</v>
      </c>
    </row>
    <row r="24" spans="1:16" x14ac:dyDescent="0.2">
      <c r="A24" s="11">
        <v>43952</v>
      </c>
      <c r="C24" s="12">
        <v>9599354</v>
      </c>
      <c r="D24" s="13">
        <v>16570</v>
      </c>
      <c r="E24" s="10">
        <f>35687.38+2</f>
        <v>35689.379999999997</v>
      </c>
      <c r="F24" s="10">
        <v>35687.379999999997</v>
      </c>
      <c r="G24" s="12">
        <f t="shared" si="1"/>
        <v>19119.379999999997</v>
      </c>
      <c r="H24" s="12">
        <f t="shared" si="2"/>
        <v>19117.379999999997</v>
      </c>
      <c r="I24" s="15">
        <v>0.21</v>
      </c>
      <c r="J24" s="15">
        <v>0.05</v>
      </c>
      <c r="K24" s="16">
        <f t="shared" si="3"/>
        <v>3814.3373099999994</v>
      </c>
      <c r="L24" s="16">
        <f t="shared" si="4"/>
        <v>955.86899999999991</v>
      </c>
      <c r="M24" s="16">
        <f t="shared" si="5"/>
        <v>1118965.0061450005</v>
      </c>
      <c r="N24" s="16">
        <v>0</v>
      </c>
    </row>
    <row r="25" spans="1:16" x14ac:dyDescent="0.2">
      <c r="A25" s="11">
        <v>43983</v>
      </c>
      <c r="C25" s="12">
        <v>9599354</v>
      </c>
      <c r="D25" s="13">
        <v>16570</v>
      </c>
      <c r="E25" s="10">
        <f>-5372090.44</f>
        <v>-5372090.4400000004</v>
      </c>
      <c r="F25" s="10">
        <v>-5372090.4400000004</v>
      </c>
      <c r="G25" s="12">
        <f t="shared" si="1"/>
        <v>-5388660.4400000004</v>
      </c>
      <c r="H25" s="12">
        <f t="shared" si="2"/>
        <v>-5388660.4400000004</v>
      </c>
      <c r="I25" s="15">
        <v>0.21</v>
      </c>
      <c r="J25" s="15">
        <v>0.05</v>
      </c>
      <c r="K25" s="16">
        <f t="shared" si="3"/>
        <v>-1075037.7577800001</v>
      </c>
      <c r="L25" s="16">
        <f t="shared" si="4"/>
        <v>-269433.02200000006</v>
      </c>
      <c r="M25" s="16">
        <f t="shared" si="5"/>
        <v>-225505.7736349997</v>
      </c>
      <c r="N25" s="16">
        <v>0</v>
      </c>
    </row>
    <row r="26" spans="1:16" x14ac:dyDescent="0.2">
      <c r="A26" s="11">
        <v>44013</v>
      </c>
      <c r="C26" s="12">
        <v>9599354</v>
      </c>
      <c r="D26" s="13">
        <v>16570</v>
      </c>
      <c r="E26" s="10">
        <f>35687.38</f>
        <v>35687.379999999997</v>
      </c>
      <c r="F26" s="10">
        <v>35687.379999999997</v>
      </c>
      <c r="G26" s="12">
        <f t="shared" si="1"/>
        <v>19117.379999999997</v>
      </c>
      <c r="H26" s="12">
        <f t="shared" si="2"/>
        <v>19117.379999999997</v>
      </c>
      <c r="I26" s="15">
        <v>0.21</v>
      </c>
      <c r="J26" s="15">
        <v>0.05</v>
      </c>
      <c r="K26" s="16">
        <f t="shared" si="3"/>
        <v>3813.9173099999994</v>
      </c>
      <c r="L26" s="16">
        <f t="shared" si="4"/>
        <v>955.86899999999991</v>
      </c>
      <c r="M26" s="16">
        <f t="shared" si="5"/>
        <v>-220735.9873249997</v>
      </c>
      <c r="N26" s="16">
        <v>0</v>
      </c>
    </row>
    <row r="27" spans="1:16" x14ac:dyDescent="0.2">
      <c r="A27" s="11">
        <v>44044</v>
      </c>
      <c r="C27" s="12">
        <v>9599354</v>
      </c>
      <c r="D27" s="13">
        <v>16570</v>
      </c>
      <c r="E27" s="10">
        <f>35687.38</f>
        <v>35687.379999999997</v>
      </c>
      <c r="F27" s="10">
        <v>35687.379999999997</v>
      </c>
      <c r="G27" s="12">
        <f t="shared" si="1"/>
        <v>19117.379999999997</v>
      </c>
      <c r="H27" s="12">
        <f t="shared" si="2"/>
        <v>19117.379999999997</v>
      </c>
      <c r="I27" s="15">
        <v>0.21</v>
      </c>
      <c r="J27" s="15">
        <v>0.05</v>
      </c>
      <c r="K27" s="16">
        <f t="shared" si="3"/>
        <v>3813.9173099999994</v>
      </c>
      <c r="L27" s="16">
        <f t="shared" si="4"/>
        <v>955.86899999999991</v>
      </c>
      <c r="M27" s="16">
        <f t="shared" si="5"/>
        <v>-215966.20101499971</v>
      </c>
      <c r="N27" s="16">
        <v>0</v>
      </c>
    </row>
    <row r="28" spans="1:16" x14ac:dyDescent="0.2">
      <c r="A28" s="11">
        <v>44083</v>
      </c>
      <c r="C28" s="12">
        <v>9599354</v>
      </c>
      <c r="D28" s="13">
        <v>16570</v>
      </c>
      <c r="E28" s="10">
        <v>35687.379999999997</v>
      </c>
      <c r="F28" s="10">
        <v>35687.379999999997</v>
      </c>
      <c r="G28" s="12">
        <f t="shared" si="1"/>
        <v>19117.379999999997</v>
      </c>
      <c r="H28" s="12">
        <f t="shared" si="2"/>
        <v>19117.379999999997</v>
      </c>
      <c r="I28" s="15">
        <v>0.21</v>
      </c>
      <c r="J28" s="15">
        <v>0.05</v>
      </c>
      <c r="K28" s="16">
        <f t="shared" si="3"/>
        <v>3813.9173099999994</v>
      </c>
      <c r="L28" s="16">
        <f t="shared" si="4"/>
        <v>955.86899999999991</v>
      </c>
      <c r="M28" s="16">
        <f t="shared" si="5"/>
        <v>-211196.41470499971</v>
      </c>
      <c r="N28" s="16">
        <v>0</v>
      </c>
    </row>
    <row r="29" spans="1:16" x14ac:dyDescent="0.2">
      <c r="A29" s="11">
        <v>44105</v>
      </c>
      <c r="C29" s="12">
        <v>9599354</v>
      </c>
      <c r="D29" s="13">
        <v>16569.5</v>
      </c>
      <c r="E29" s="10">
        <v>35687.49</v>
      </c>
      <c r="F29" s="10">
        <v>35687.49</v>
      </c>
      <c r="G29" s="12">
        <f t="shared" si="1"/>
        <v>19117.989999999998</v>
      </c>
      <c r="H29" s="12">
        <f t="shared" si="2"/>
        <v>19117.989999999998</v>
      </c>
      <c r="I29" s="15">
        <v>0.21</v>
      </c>
      <c r="J29" s="15">
        <v>0.05</v>
      </c>
      <c r="K29" s="16">
        <f t="shared" si="3"/>
        <v>3814.0390049999996</v>
      </c>
      <c r="L29" s="16">
        <f t="shared" si="4"/>
        <v>955.89949999999999</v>
      </c>
      <c r="M29" s="16">
        <f t="shared" si="5"/>
        <v>-206426.47619999971</v>
      </c>
      <c r="N29" s="16">
        <v>0</v>
      </c>
    </row>
    <row r="30" spans="1:16" x14ac:dyDescent="0.2">
      <c r="A30" s="11">
        <v>44136</v>
      </c>
      <c r="C30" s="12">
        <v>9599354</v>
      </c>
      <c r="D30" s="13">
        <v>16569.5</v>
      </c>
      <c r="E30" s="10">
        <f>35688</f>
        <v>35688</v>
      </c>
      <c r="F30" s="10">
        <v>35688</v>
      </c>
      <c r="G30" s="12">
        <f t="shared" si="1"/>
        <v>19118.5</v>
      </c>
      <c r="H30" s="12">
        <f t="shared" si="2"/>
        <v>19118.5</v>
      </c>
      <c r="I30" s="15">
        <v>0.21</v>
      </c>
      <c r="J30" s="15">
        <v>0.05</v>
      </c>
      <c r="K30" s="16">
        <f t="shared" si="3"/>
        <v>3814.1407499999996</v>
      </c>
      <c r="L30" s="16">
        <f t="shared" si="4"/>
        <v>955.92500000000007</v>
      </c>
      <c r="M30" s="16">
        <f t="shared" si="5"/>
        <v>-201656.41044999973</v>
      </c>
      <c r="N30" s="16">
        <v>0</v>
      </c>
    </row>
    <row r="31" spans="1:16" x14ac:dyDescent="0.2">
      <c r="A31" s="11">
        <v>44166</v>
      </c>
      <c r="C31" s="12">
        <v>9599354</v>
      </c>
      <c r="D31" s="13">
        <v>16569.5</v>
      </c>
      <c r="E31" s="10">
        <f>35687.7</f>
        <v>35687.699999999997</v>
      </c>
      <c r="F31" s="10">
        <v>35687.699999999997</v>
      </c>
      <c r="G31" s="12">
        <f t="shared" si="1"/>
        <v>19118.199999999997</v>
      </c>
      <c r="H31" s="12">
        <f t="shared" si="2"/>
        <v>19118.199999999997</v>
      </c>
      <c r="I31" s="15">
        <v>0.21</v>
      </c>
      <c r="J31" s="15">
        <v>0.05</v>
      </c>
      <c r="K31" s="16">
        <f t="shared" si="3"/>
        <v>3814.080899999999</v>
      </c>
      <c r="L31" s="16">
        <f t="shared" si="4"/>
        <v>955.90999999999985</v>
      </c>
      <c r="M31" s="16">
        <f t="shared" si="5"/>
        <v>-196886.41954999973</v>
      </c>
      <c r="N31" s="16">
        <v>0</v>
      </c>
    </row>
    <row r="32" spans="1:16" x14ac:dyDescent="0.2">
      <c r="A32" s="11">
        <v>44197</v>
      </c>
      <c r="C32" s="12">
        <v>9599354</v>
      </c>
      <c r="D32" s="13">
        <v>16570</v>
      </c>
      <c r="E32" s="10">
        <f>35693.86</f>
        <v>35693.86</v>
      </c>
      <c r="F32" s="10">
        <f>35693.85</f>
        <v>35693.85</v>
      </c>
      <c r="G32" s="12">
        <f t="shared" si="1"/>
        <v>19123.86</v>
      </c>
      <c r="H32" s="12">
        <f t="shared" si="2"/>
        <v>19123.849999999999</v>
      </c>
      <c r="I32" s="15">
        <v>0.21</v>
      </c>
      <c r="J32" s="15">
        <v>0.05</v>
      </c>
      <c r="K32" s="16">
        <f t="shared" si="3"/>
        <v>3815.2101750000002</v>
      </c>
      <c r="L32" s="16">
        <f t="shared" si="4"/>
        <v>956.1925</v>
      </c>
      <c r="M32" s="16">
        <f t="shared" si="5"/>
        <v>-192115.01687499974</v>
      </c>
      <c r="N32" s="16">
        <v>0</v>
      </c>
    </row>
    <row r="33" spans="1:14" x14ac:dyDescent="0.2">
      <c r="A33" s="11">
        <v>44228</v>
      </c>
      <c r="C33" s="12">
        <v>9599354</v>
      </c>
      <c r="D33" s="13">
        <v>16570</v>
      </c>
      <c r="E33" s="10">
        <f>35693.86</f>
        <v>35693.86</v>
      </c>
      <c r="F33" s="10">
        <f>35693.85</f>
        <v>35693.85</v>
      </c>
      <c r="G33" s="12">
        <f t="shared" si="1"/>
        <v>19123.86</v>
      </c>
      <c r="H33" s="12">
        <f t="shared" si="2"/>
        <v>19123.849999999999</v>
      </c>
      <c r="I33" s="15">
        <v>0.21</v>
      </c>
      <c r="J33" s="15">
        <v>0.05</v>
      </c>
      <c r="K33" s="16">
        <f t="shared" si="3"/>
        <v>3815.2101750000002</v>
      </c>
      <c r="L33" s="16">
        <f t="shared" si="4"/>
        <v>956.1925</v>
      </c>
      <c r="M33" s="16">
        <f t="shared" si="5"/>
        <v>-187343.61419999972</v>
      </c>
      <c r="N33" s="16">
        <v>0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1 of 8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6C06-B8F2-4CF4-993A-F10CAE36DD85}">
  <sheetPr>
    <pageSetUpPr fitToPage="1"/>
  </sheetPr>
  <dimension ref="A1:R65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8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8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8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2">
      <c r="A5" s="20" t="s">
        <v>3</v>
      </c>
    </row>
    <row r="6" spans="1:18" x14ac:dyDescent="0.2">
      <c r="A6" s="21" t="s">
        <v>19</v>
      </c>
    </row>
    <row r="8" spans="1:18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8" x14ac:dyDescent="0.2">
      <c r="A9" s="9" t="s">
        <v>18</v>
      </c>
      <c r="M9" s="10">
        <v>2266095</v>
      </c>
    </row>
    <row r="10" spans="1:18" x14ac:dyDescent="0.2">
      <c r="A10" s="11">
        <v>43533</v>
      </c>
      <c r="C10" s="12">
        <v>13662883</v>
      </c>
      <c r="D10" s="13">
        <v>28766</v>
      </c>
      <c r="E10" s="13">
        <f>33570.58-202.51</f>
        <v>33368.07</v>
      </c>
      <c r="F10" s="13">
        <f>65539.82</f>
        <v>65539.820000000007</v>
      </c>
      <c r="G10" s="14">
        <f t="shared" ref="G10:G33" si="0">E10-D10</f>
        <v>4602.07</v>
      </c>
      <c r="H10" s="14">
        <f t="shared" ref="H10:H33" si="1">F10-D10</f>
        <v>36773.820000000007</v>
      </c>
      <c r="I10" s="15">
        <v>0.21</v>
      </c>
      <c r="J10" s="15">
        <v>0.05</v>
      </c>
      <c r="K10" s="16">
        <f t="shared" ref="K10:K31" si="2">G10*I10-L10*I10</f>
        <v>580.30958999999984</v>
      </c>
      <c r="L10" s="16">
        <f t="shared" ref="L10:L33" si="3">H10*J10</f>
        <v>1838.6910000000005</v>
      </c>
      <c r="M10" s="16">
        <f t="shared" ref="M10:M33" si="4">M9+K10+L10</f>
        <v>2268514.0005900003</v>
      </c>
      <c r="N10" s="16">
        <v>296464</v>
      </c>
      <c r="O10" s="17"/>
      <c r="R10" s="18"/>
    </row>
    <row r="11" spans="1:18" x14ac:dyDescent="0.2">
      <c r="A11" s="11">
        <v>43556</v>
      </c>
      <c r="C11" s="12">
        <v>79812108</v>
      </c>
      <c r="D11" s="13">
        <v>104287</v>
      </c>
      <c r="E11" s="13">
        <f>3138709.23-79753.41</f>
        <v>3058955.82</v>
      </c>
      <c r="F11" s="13">
        <v>341161.6</v>
      </c>
      <c r="G11" s="14">
        <f t="shared" si="0"/>
        <v>2954668.82</v>
      </c>
      <c r="H11" s="14">
        <f t="shared" si="1"/>
        <v>236874.59999999998</v>
      </c>
      <c r="I11" s="15">
        <v>0.21</v>
      </c>
      <c r="J11" s="15">
        <v>0.05</v>
      </c>
      <c r="K11" s="16">
        <f t="shared" si="2"/>
        <v>617993.26889999991</v>
      </c>
      <c r="L11" s="16">
        <f t="shared" si="3"/>
        <v>11843.73</v>
      </c>
      <c r="M11" s="16">
        <f t="shared" si="4"/>
        <v>2898350.9994900003</v>
      </c>
      <c r="N11" s="16">
        <v>296464</v>
      </c>
      <c r="O11" s="17"/>
      <c r="Q11" s="16"/>
      <c r="R11" s="18"/>
    </row>
    <row r="12" spans="1:18" x14ac:dyDescent="0.2">
      <c r="A12" s="11">
        <v>43586</v>
      </c>
      <c r="C12" s="12">
        <v>79812108</v>
      </c>
      <c r="D12" s="13">
        <v>160551</v>
      </c>
      <c r="E12" s="13">
        <f>3138709.23+9969.78</f>
        <v>3148679.01</v>
      </c>
      <c r="F12" s="13">
        <f t="shared" ref="F12:F18" si="5">341161.6</f>
        <v>341161.6</v>
      </c>
      <c r="G12" s="14">
        <f t="shared" si="0"/>
        <v>2988128.01</v>
      </c>
      <c r="H12" s="14">
        <f t="shared" si="1"/>
        <v>180610.59999999998</v>
      </c>
      <c r="I12" s="15">
        <v>0.21</v>
      </c>
      <c r="J12" s="15">
        <v>0.05</v>
      </c>
      <c r="K12" s="16">
        <f t="shared" si="2"/>
        <v>625610.47079999989</v>
      </c>
      <c r="L12" s="16">
        <f t="shared" si="3"/>
        <v>9030.5299999999988</v>
      </c>
      <c r="M12" s="16">
        <f t="shared" si="4"/>
        <v>3532992.0002899999</v>
      </c>
      <c r="N12" s="16">
        <v>296464</v>
      </c>
      <c r="R12" s="18"/>
    </row>
    <row r="13" spans="1:18" x14ac:dyDescent="0.2">
      <c r="A13" s="11">
        <v>43617</v>
      </c>
      <c r="C13" s="12">
        <v>79812108</v>
      </c>
      <c r="D13" s="13">
        <v>160551</v>
      </c>
      <c r="E13" s="13">
        <f>3138709.23+9969.77</f>
        <v>3148679</v>
      </c>
      <c r="F13" s="13">
        <f t="shared" si="5"/>
        <v>341161.6</v>
      </c>
      <c r="G13" s="14">
        <f t="shared" si="0"/>
        <v>2988128</v>
      </c>
      <c r="H13" s="14">
        <f t="shared" si="1"/>
        <v>180610.59999999998</v>
      </c>
      <c r="I13" s="15">
        <v>0.21</v>
      </c>
      <c r="J13" s="15">
        <v>0.05</v>
      </c>
      <c r="K13" s="16">
        <f t="shared" si="2"/>
        <v>625610.46869999997</v>
      </c>
      <c r="L13" s="16">
        <f t="shared" si="3"/>
        <v>9030.5299999999988</v>
      </c>
      <c r="M13" s="16">
        <f t="shared" si="4"/>
        <v>4167632.9989899998</v>
      </c>
      <c r="N13" s="16">
        <v>296464</v>
      </c>
      <c r="Q13" s="22"/>
      <c r="R13" s="18"/>
    </row>
    <row r="14" spans="1:18" x14ac:dyDescent="0.2">
      <c r="A14" s="11">
        <v>43647</v>
      </c>
      <c r="C14" s="12">
        <v>79812108</v>
      </c>
      <c r="D14" s="13">
        <v>160551</v>
      </c>
      <c r="E14" s="13">
        <f>3138709.23+9969.78</f>
        <v>3148679.01</v>
      </c>
      <c r="F14" s="13">
        <f t="shared" si="5"/>
        <v>341161.6</v>
      </c>
      <c r="G14" s="14">
        <f t="shared" si="0"/>
        <v>2988128.01</v>
      </c>
      <c r="H14" s="14">
        <f t="shared" si="1"/>
        <v>180610.59999999998</v>
      </c>
      <c r="I14" s="15">
        <v>0.21</v>
      </c>
      <c r="J14" s="15">
        <v>0.05</v>
      </c>
      <c r="K14" s="16">
        <f t="shared" si="2"/>
        <v>625610.47079999989</v>
      </c>
      <c r="L14" s="16">
        <f t="shared" si="3"/>
        <v>9030.5299999999988</v>
      </c>
      <c r="M14" s="16">
        <f t="shared" si="4"/>
        <v>4802273.9997899998</v>
      </c>
      <c r="N14" s="16">
        <v>296464</v>
      </c>
      <c r="Q14" s="12"/>
      <c r="R14" s="18"/>
    </row>
    <row r="15" spans="1:18" x14ac:dyDescent="0.2">
      <c r="A15" s="11">
        <v>43678</v>
      </c>
      <c r="C15" s="12">
        <v>79812108</v>
      </c>
      <c r="D15" s="13">
        <v>160551</v>
      </c>
      <c r="E15" s="13">
        <f>3138709.23+9969.78</f>
        <v>3148679.01</v>
      </c>
      <c r="F15" s="13">
        <f t="shared" si="5"/>
        <v>341161.6</v>
      </c>
      <c r="G15" s="14">
        <f t="shared" si="0"/>
        <v>2988128.01</v>
      </c>
      <c r="H15" s="14">
        <f t="shared" si="1"/>
        <v>180610.59999999998</v>
      </c>
      <c r="I15" s="15">
        <v>0.21</v>
      </c>
      <c r="J15" s="15">
        <v>0.05</v>
      </c>
      <c r="K15" s="16">
        <f t="shared" si="2"/>
        <v>625610.47079999989</v>
      </c>
      <c r="L15" s="16">
        <f t="shared" si="3"/>
        <v>9030.5299999999988</v>
      </c>
      <c r="M15" s="16">
        <f t="shared" si="4"/>
        <v>5436915.0005900003</v>
      </c>
      <c r="N15" s="16">
        <v>296464</v>
      </c>
      <c r="R15" s="18"/>
    </row>
    <row r="16" spans="1:18" x14ac:dyDescent="0.2">
      <c r="A16" s="11">
        <v>43717</v>
      </c>
      <c r="C16" s="12">
        <v>79812108</v>
      </c>
      <c r="D16" s="13">
        <v>160551</v>
      </c>
      <c r="E16" s="13">
        <f>3138709.23+9969.78</f>
        <v>3148679.01</v>
      </c>
      <c r="F16" s="13">
        <f t="shared" si="5"/>
        <v>341161.6</v>
      </c>
      <c r="G16" s="14">
        <f t="shared" si="0"/>
        <v>2988128.01</v>
      </c>
      <c r="H16" s="14">
        <f t="shared" si="1"/>
        <v>180610.59999999998</v>
      </c>
      <c r="I16" s="15">
        <v>0.21</v>
      </c>
      <c r="J16" s="15">
        <v>0.05</v>
      </c>
      <c r="K16" s="16">
        <f t="shared" si="2"/>
        <v>625610.47079999989</v>
      </c>
      <c r="L16" s="16">
        <f t="shared" si="3"/>
        <v>9030.5299999999988</v>
      </c>
      <c r="M16" s="16">
        <f t="shared" si="4"/>
        <v>6071556.0013900008</v>
      </c>
      <c r="N16" s="16">
        <v>296464.3</v>
      </c>
      <c r="O16" s="16"/>
      <c r="P16" s="16"/>
    </row>
    <row r="17" spans="1:16" x14ac:dyDescent="0.2">
      <c r="A17" s="11">
        <v>43739</v>
      </c>
      <c r="C17" s="12">
        <v>79812108</v>
      </c>
      <c r="D17" s="13">
        <v>160551</v>
      </c>
      <c r="E17" s="13">
        <f>3138709.23+9969.78</f>
        <v>3148679.01</v>
      </c>
      <c r="F17" s="13">
        <f t="shared" si="5"/>
        <v>341161.6</v>
      </c>
      <c r="G17" s="14">
        <f t="shared" si="0"/>
        <v>2988128.01</v>
      </c>
      <c r="H17" s="14">
        <f t="shared" si="1"/>
        <v>180610.59999999998</v>
      </c>
      <c r="I17" s="15">
        <v>0.21</v>
      </c>
      <c r="J17" s="15">
        <v>0.05</v>
      </c>
      <c r="K17" s="16">
        <f t="shared" si="2"/>
        <v>625610.47079999989</v>
      </c>
      <c r="L17" s="16">
        <f t="shared" si="3"/>
        <v>9030.5299999999988</v>
      </c>
      <c r="M17" s="16">
        <f t="shared" si="4"/>
        <v>6706197.0021900013</v>
      </c>
      <c r="N17" s="16">
        <v>296464.3</v>
      </c>
      <c r="O17" s="16"/>
      <c r="P17" s="16"/>
    </row>
    <row r="18" spans="1:16" x14ac:dyDescent="0.2">
      <c r="A18" s="11">
        <v>43770</v>
      </c>
      <c r="C18" s="12">
        <v>79812108</v>
      </c>
      <c r="D18" s="13">
        <v>160551</v>
      </c>
      <c r="E18" s="13">
        <f>3138709.23+9969.78</f>
        <v>3148679.01</v>
      </c>
      <c r="F18" s="13">
        <f t="shared" si="5"/>
        <v>341161.6</v>
      </c>
      <c r="G18" s="14">
        <f t="shared" si="0"/>
        <v>2988128.01</v>
      </c>
      <c r="H18" s="14">
        <f t="shared" si="1"/>
        <v>180610.59999999998</v>
      </c>
      <c r="I18" s="15">
        <v>0.21</v>
      </c>
      <c r="J18" s="15">
        <v>0.05</v>
      </c>
      <c r="K18" s="16">
        <f t="shared" si="2"/>
        <v>625610.47079999989</v>
      </c>
      <c r="L18" s="16">
        <f t="shared" si="3"/>
        <v>9030.5299999999988</v>
      </c>
      <c r="M18" s="16">
        <f t="shared" si="4"/>
        <v>7340838.0029900018</v>
      </c>
      <c r="N18" s="16">
        <v>296464.3</v>
      </c>
      <c r="O18" s="16"/>
      <c r="P18" s="16"/>
    </row>
    <row r="19" spans="1:16" x14ac:dyDescent="0.2">
      <c r="A19" s="11">
        <v>43800</v>
      </c>
      <c r="C19" s="12">
        <v>80038656</v>
      </c>
      <c r="D19" s="13">
        <v>160776</v>
      </c>
      <c r="E19" s="13">
        <f>3147204.79+9972.12</f>
        <v>3157176.91</v>
      </c>
      <c r="F19" s="13">
        <v>349657.16</v>
      </c>
      <c r="G19" s="14">
        <f t="shared" si="0"/>
        <v>2996400.91</v>
      </c>
      <c r="H19" s="14">
        <f t="shared" si="1"/>
        <v>188881.15999999997</v>
      </c>
      <c r="I19" s="15">
        <v>0.21</v>
      </c>
      <c r="J19" s="15">
        <v>0.05</v>
      </c>
      <c r="K19" s="16">
        <f t="shared" si="2"/>
        <v>627260.9389200001</v>
      </c>
      <c r="L19" s="16">
        <f t="shared" si="3"/>
        <v>9444.0579999999991</v>
      </c>
      <c r="M19" s="16">
        <f t="shared" si="4"/>
        <v>7977542.9999100026</v>
      </c>
      <c r="N19" s="16">
        <v>296464.3</v>
      </c>
    </row>
    <row r="20" spans="1:16" x14ac:dyDescent="0.2">
      <c r="A20" s="11">
        <v>43831</v>
      </c>
      <c r="C20" s="12">
        <v>108274372</v>
      </c>
      <c r="D20" s="13">
        <v>189120</v>
      </c>
      <c r="E20" s="13">
        <f>1024352.6-30625.95</f>
        <v>993726.65</v>
      </c>
      <c r="F20" s="13">
        <v>548173.27</v>
      </c>
      <c r="G20" s="14">
        <f t="shared" si="0"/>
        <v>804606.65</v>
      </c>
      <c r="H20" s="14">
        <f t="shared" si="1"/>
        <v>359053.27</v>
      </c>
      <c r="I20" s="15">
        <v>0.21</v>
      </c>
      <c r="J20" s="15">
        <v>0.05</v>
      </c>
      <c r="K20" s="16">
        <f t="shared" si="2"/>
        <v>165197.337165</v>
      </c>
      <c r="L20" s="16">
        <f t="shared" si="3"/>
        <v>17952.663500000002</v>
      </c>
      <c r="M20" s="16">
        <f t="shared" si="4"/>
        <v>8160693.0005750023</v>
      </c>
      <c r="N20" s="16">
        <v>296464.3</v>
      </c>
    </row>
    <row r="21" spans="1:16" x14ac:dyDescent="0.2">
      <c r="A21" s="11">
        <v>43862</v>
      </c>
      <c r="C21" s="12">
        <v>108274372</v>
      </c>
      <c r="D21" s="13">
        <v>217238</v>
      </c>
      <c r="E21" s="13">
        <v>1027138.32</v>
      </c>
      <c r="F21" s="13">
        <v>548173</v>
      </c>
      <c r="G21" s="14">
        <f t="shared" si="0"/>
        <v>809900.32</v>
      </c>
      <c r="H21" s="14">
        <f t="shared" si="1"/>
        <v>330935</v>
      </c>
      <c r="I21" s="15">
        <v>0.21</v>
      </c>
      <c r="J21" s="15">
        <v>0.05</v>
      </c>
      <c r="K21" s="16">
        <f t="shared" si="2"/>
        <v>166604.24969999999</v>
      </c>
      <c r="L21" s="16">
        <f t="shared" si="3"/>
        <v>16546.75</v>
      </c>
      <c r="M21" s="16">
        <f t="shared" si="4"/>
        <v>8343844.0002750019</v>
      </c>
      <c r="N21" s="16">
        <v>296464.3</v>
      </c>
    </row>
    <row r="22" spans="1:16" x14ac:dyDescent="0.2">
      <c r="A22" s="11">
        <v>43899</v>
      </c>
      <c r="C22" s="12">
        <v>108274372</v>
      </c>
      <c r="D22" s="13">
        <v>217238</v>
      </c>
      <c r="E22" s="13">
        <f>1024352.6+2785.72</f>
        <v>1027138.32</v>
      </c>
      <c r="F22" s="13">
        <v>548173</v>
      </c>
      <c r="G22" s="14">
        <f t="shared" si="0"/>
        <v>809900.32</v>
      </c>
      <c r="H22" s="14">
        <f t="shared" si="1"/>
        <v>330935</v>
      </c>
      <c r="I22" s="15">
        <v>0.21</v>
      </c>
      <c r="J22" s="15">
        <v>0.05</v>
      </c>
      <c r="K22" s="16">
        <f t="shared" si="2"/>
        <v>166604.24969999999</v>
      </c>
      <c r="L22" s="16">
        <f t="shared" si="3"/>
        <v>16546.75</v>
      </c>
      <c r="M22" s="16">
        <f t="shared" si="4"/>
        <v>8526994.9999750014</v>
      </c>
      <c r="N22" s="16">
        <v>296464.3</v>
      </c>
    </row>
    <row r="23" spans="1:16" x14ac:dyDescent="0.2">
      <c r="A23" s="11">
        <v>43922</v>
      </c>
      <c r="C23" s="12">
        <v>108275889</v>
      </c>
      <c r="D23" s="13">
        <v>217239</v>
      </c>
      <c r="E23" s="13">
        <f>1024358.92+2779.35</f>
        <v>1027138.27</v>
      </c>
      <c r="F23" s="13">
        <v>548179.6</v>
      </c>
      <c r="G23" s="14">
        <f t="shared" si="0"/>
        <v>809899.27</v>
      </c>
      <c r="H23" s="14">
        <f t="shared" si="1"/>
        <v>330940.59999999998</v>
      </c>
      <c r="I23" s="15">
        <v>0.21</v>
      </c>
      <c r="J23" s="15">
        <v>0.05</v>
      </c>
      <c r="K23" s="16">
        <f t="shared" si="2"/>
        <v>166603.97039999999</v>
      </c>
      <c r="L23" s="16">
        <f t="shared" si="3"/>
        <v>16547.03</v>
      </c>
      <c r="M23" s="16">
        <f t="shared" si="4"/>
        <v>8710146.0003750008</v>
      </c>
      <c r="N23" s="16">
        <v>296464.3</v>
      </c>
    </row>
    <row r="24" spans="1:16" x14ac:dyDescent="0.2">
      <c r="A24" s="11">
        <v>43952</v>
      </c>
      <c r="C24" s="12">
        <v>108295997</v>
      </c>
      <c r="D24" s="13">
        <v>217241</v>
      </c>
      <c r="E24" s="13">
        <f>1024358.92+2786.49</f>
        <v>1027145.41</v>
      </c>
      <c r="F24" s="13">
        <v>548179.6</v>
      </c>
      <c r="G24" s="14">
        <f t="shared" si="0"/>
        <v>809904.41</v>
      </c>
      <c r="H24" s="14">
        <f t="shared" si="1"/>
        <v>330938.59999999998</v>
      </c>
      <c r="I24" s="15">
        <v>0.21</v>
      </c>
      <c r="J24" s="15">
        <v>0.05</v>
      </c>
      <c r="K24" s="16">
        <f t="shared" si="2"/>
        <v>166605.07080000002</v>
      </c>
      <c r="L24" s="16">
        <f t="shared" si="3"/>
        <v>16546.93</v>
      </c>
      <c r="M24" s="16">
        <f t="shared" si="4"/>
        <v>8893298.0011750013</v>
      </c>
      <c r="N24" s="16">
        <v>296464.3</v>
      </c>
    </row>
    <row r="25" spans="1:16" x14ac:dyDescent="0.2">
      <c r="A25" s="11">
        <v>43983</v>
      </c>
      <c r="C25" s="12">
        <v>108295997</v>
      </c>
      <c r="D25" s="13">
        <v>217241</v>
      </c>
      <c r="E25" s="13">
        <f>1024358.92+2786.49-4</f>
        <v>1027141.41</v>
      </c>
      <c r="F25" s="13">
        <v>548179.6</v>
      </c>
      <c r="G25" s="14">
        <f t="shared" si="0"/>
        <v>809900.41</v>
      </c>
      <c r="H25" s="14">
        <f t="shared" si="1"/>
        <v>330938.59999999998</v>
      </c>
      <c r="I25" s="15">
        <v>0.21</v>
      </c>
      <c r="J25" s="15">
        <v>0.05</v>
      </c>
      <c r="K25" s="16">
        <f t="shared" si="2"/>
        <v>166604.23080000002</v>
      </c>
      <c r="L25" s="16">
        <f t="shared" si="3"/>
        <v>16546.93</v>
      </c>
      <c r="M25" s="16">
        <f t="shared" si="4"/>
        <v>9076449.1619750001</v>
      </c>
      <c r="N25" s="16">
        <v>296464.3</v>
      </c>
    </row>
    <row r="26" spans="1:16" x14ac:dyDescent="0.2">
      <c r="A26" s="11">
        <v>44013</v>
      </c>
      <c r="C26" s="12">
        <v>108295997</v>
      </c>
      <c r="D26" s="13">
        <v>217241</v>
      </c>
      <c r="E26" s="13">
        <f>1024358.92+2786.49-2</f>
        <v>1027143.41</v>
      </c>
      <c r="F26" s="13">
        <f>548179.6</f>
        <v>548179.6</v>
      </c>
      <c r="G26" s="14">
        <f t="shared" si="0"/>
        <v>809902.41</v>
      </c>
      <c r="H26" s="14">
        <f t="shared" si="1"/>
        <v>330938.59999999998</v>
      </c>
      <c r="I26" s="15">
        <v>0.21</v>
      </c>
      <c r="J26" s="15">
        <v>0.05</v>
      </c>
      <c r="K26" s="16">
        <f t="shared" si="2"/>
        <v>166604.6508</v>
      </c>
      <c r="L26" s="16">
        <f t="shared" si="3"/>
        <v>16546.93</v>
      </c>
      <c r="M26" s="16">
        <f t="shared" si="4"/>
        <v>9259600.7427750006</v>
      </c>
      <c r="N26" s="16">
        <v>296464.3</v>
      </c>
    </row>
    <row r="27" spans="1:16" x14ac:dyDescent="0.2">
      <c r="A27" s="11">
        <v>44044</v>
      </c>
      <c r="C27" s="12">
        <v>108295997</v>
      </c>
      <c r="D27" s="13">
        <v>217241</v>
      </c>
      <c r="E27" s="13">
        <f>1024358.92+2786.49-2</f>
        <v>1027143.41</v>
      </c>
      <c r="F27" s="13">
        <f>548179.6</f>
        <v>548179.6</v>
      </c>
      <c r="G27" s="14">
        <f t="shared" si="0"/>
        <v>809902.41</v>
      </c>
      <c r="H27" s="14">
        <f t="shared" si="1"/>
        <v>330938.59999999998</v>
      </c>
      <c r="I27" s="15">
        <v>0.21</v>
      </c>
      <c r="J27" s="15">
        <v>0.05</v>
      </c>
      <c r="K27" s="16">
        <f t="shared" si="2"/>
        <v>166604.6508</v>
      </c>
      <c r="L27" s="16">
        <f t="shared" si="3"/>
        <v>16546.93</v>
      </c>
      <c r="M27" s="16">
        <f t="shared" si="4"/>
        <v>9442752.3235750012</v>
      </c>
      <c r="N27" s="16">
        <v>296464.3</v>
      </c>
    </row>
    <row r="28" spans="1:16" x14ac:dyDescent="0.2">
      <c r="A28" s="11">
        <v>44083</v>
      </c>
      <c r="C28" s="12">
        <v>110849018</v>
      </c>
      <c r="D28" s="13">
        <v>220453</v>
      </c>
      <c r="E28" s="13">
        <f>1048293.49-64.6</f>
        <v>1048228.89</v>
      </c>
      <c r="F28" s="13">
        <f>572114.16-64.6</f>
        <v>572049.56000000006</v>
      </c>
      <c r="G28" s="14">
        <f t="shared" si="0"/>
        <v>827775.89</v>
      </c>
      <c r="H28" s="14">
        <f t="shared" si="1"/>
        <v>351596.56000000006</v>
      </c>
      <c r="I28" s="15">
        <v>0.21</v>
      </c>
      <c r="J28" s="15">
        <v>0.05</v>
      </c>
      <c r="K28" s="16">
        <f t="shared" si="2"/>
        <v>170141.17301999999</v>
      </c>
      <c r="L28" s="16">
        <f t="shared" si="3"/>
        <v>17579.828000000005</v>
      </c>
      <c r="M28" s="16">
        <f t="shared" si="4"/>
        <v>9630473.3245950006</v>
      </c>
      <c r="N28" s="16">
        <v>296464.3</v>
      </c>
    </row>
    <row r="29" spans="1:16" x14ac:dyDescent="0.2">
      <c r="A29" s="11">
        <v>44105</v>
      </c>
      <c r="C29" s="12">
        <v>110849018</v>
      </c>
      <c r="D29" s="13">
        <v>223666</v>
      </c>
      <c r="E29" s="13">
        <f>1048293.49+3144.38</f>
        <v>1051437.8699999999</v>
      </c>
      <c r="F29" s="13">
        <f>572114.16+3144.38</f>
        <v>575258.54</v>
      </c>
      <c r="G29" s="14">
        <f t="shared" si="0"/>
        <v>827771.86999999988</v>
      </c>
      <c r="H29" s="14">
        <f t="shared" si="1"/>
        <v>351592.54000000004</v>
      </c>
      <c r="I29" s="15">
        <v>0.21</v>
      </c>
      <c r="J29" s="15">
        <v>0.05</v>
      </c>
      <c r="K29" s="16">
        <f t="shared" si="2"/>
        <v>170140.37102999998</v>
      </c>
      <c r="L29" s="16">
        <f t="shared" si="3"/>
        <v>17579.627000000004</v>
      </c>
      <c r="M29" s="16">
        <f t="shared" si="4"/>
        <v>9818193.322625</v>
      </c>
      <c r="N29" s="16">
        <v>296464.3</v>
      </c>
    </row>
    <row r="30" spans="1:16" x14ac:dyDescent="0.2">
      <c r="A30" s="11">
        <v>44136</v>
      </c>
      <c r="C30" s="12">
        <v>110849018</v>
      </c>
      <c r="D30" s="13">
        <v>223666</v>
      </c>
      <c r="E30" s="13">
        <f>1048293.49+3148.4</f>
        <v>1051441.8899999999</v>
      </c>
      <c r="F30" s="13">
        <f>572114.16+3148.4</f>
        <v>575262.56000000006</v>
      </c>
      <c r="G30" s="14">
        <f t="shared" si="0"/>
        <v>827775.8899999999</v>
      </c>
      <c r="H30" s="14">
        <f t="shared" si="1"/>
        <v>351596.56000000006</v>
      </c>
      <c r="I30" s="15">
        <v>0.21</v>
      </c>
      <c r="J30" s="15">
        <v>0.05</v>
      </c>
      <c r="K30" s="16">
        <f t="shared" si="2"/>
        <v>170141.17301999996</v>
      </c>
      <c r="L30" s="16">
        <f t="shared" si="3"/>
        <v>17579.828000000005</v>
      </c>
      <c r="M30" s="16">
        <f t="shared" si="4"/>
        <v>10005914.323644999</v>
      </c>
      <c r="N30" s="16">
        <v>296464.3</v>
      </c>
    </row>
    <row r="31" spans="1:16" x14ac:dyDescent="0.2">
      <c r="A31" s="11">
        <v>44166</v>
      </c>
      <c r="C31" s="12">
        <v>110849018</v>
      </c>
      <c r="D31" s="13">
        <v>223666</v>
      </c>
      <c r="E31" s="13">
        <f>1048293.49+3144.39</f>
        <v>1051437.8799999999</v>
      </c>
      <c r="F31" s="13">
        <f>572114.16+3144.39</f>
        <v>575258.55000000005</v>
      </c>
      <c r="G31" s="14">
        <f t="shared" si="0"/>
        <v>827771.87999999989</v>
      </c>
      <c r="H31" s="14">
        <f t="shared" si="1"/>
        <v>351592.55000000005</v>
      </c>
      <c r="I31" s="15">
        <v>0.21</v>
      </c>
      <c r="J31" s="15">
        <v>0.05</v>
      </c>
      <c r="K31" s="16">
        <f t="shared" si="2"/>
        <v>170140.37302499995</v>
      </c>
      <c r="L31" s="16">
        <f t="shared" si="3"/>
        <v>17579.627500000002</v>
      </c>
      <c r="M31" s="16">
        <f t="shared" si="4"/>
        <v>10193634.324169999</v>
      </c>
      <c r="N31" s="16">
        <v>296464.3</v>
      </c>
    </row>
    <row r="32" spans="1:16" x14ac:dyDescent="0.2">
      <c r="A32" s="11">
        <v>44197</v>
      </c>
      <c r="C32" s="12">
        <v>110849018</v>
      </c>
      <c r="D32" s="13">
        <v>223666</v>
      </c>
      <c r="E32" s="13">
        <f>385995.72</f>
        <v>385995.72</v>
      </c>
      <c r="F32" s="13">
        <f>610631.76</f>
        <v>610631.76</v>
      </c>
      <c r="G32" s="14">
        <f t="shared" si="0"/>
        <v>162329.71999999997</v>
      </c>
      <c r="H32" s="14">
        <f t="shared" si="1"/>
        <v>386965.76000000001</v>
      </c>
      <c r="I32" s="15">
        <v>0.21</v>
      </c>
      <c r="J32" s="15">
        <v>0.05</v>
      </c>
      <c r="K32" s="16">
        <f>G32*I32-L32*I32-150.58</f>
        <v>29875.520719999986</v>
      </c>
      <c r="L32" s="16">
        <f t="shared" si="3"/>
        <v>19348.288</v>
      </c>
      <c r="M32" s="16">
        <f t="shared" si="4"/>
        <v>10242858.132889999</v>
      </c>
      <c r="N32" s="16">
        <v>296464.3</v>
      </c>
    </row>
    <row r="33" spans="1:14" x14ac:dyDescent="0.2">
      <c r="A33" s="11">
        <v>44228</v>
      </c>
      <c r="C33" s="12">
        <v>110849018</v>
      </c>
      <c r="D33" s="13">
        <v>223666</v>
      </c>
      <c r="E33" s="13">
        <f>385995.72</f>
        <v>385995.72</v>
      </c>
      <c r="F33" s="13">
        <f>610631.76</f>
        <v>610631.76</v>
      </c>
      <c r="G33" s="14">
        <f t="shared" si="0"/>
        <v>162329.71999999997</v>
      </c>
      <c r="H33" s="14">
        <f t="shared" si="1"/>
        <v>386965.76000000001</v>
      </c>
      <c r="I33" s="15">
        <v>0.21</v>
      </c>
      <c r="J33" s="15">
        <v>0.05</v>
      </c>
      <c r="K33" s="16">
        <f>G33*I33-L33*I33-150.58</f>
        <v>29875.520719999986</v>
      </c>
      <c r="L33" s="16">
        <f t="shared" si="3"/>
        <v>19348.288</v>
      </c>
      <c r="M33" s="16">
        <f t="shared" si="4"/>
        <v>10292081.941609999</v>
      </c>
      <c r="N33" s="16">
        <v>296464.3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2" t="s">
        <v>48</v>
      </c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20</v>
      </c>
      <c r="D37" s="25"/>
      <c r="E37" s="25"/>
      <c r="F37" s="25"/>
      <c r="G37" s="26"/>
      <c r="H37" s="26"/>
    </row>
    <row r="38" spans="1:14" x14ac:dyDescent="0.2">
      <c r="C38" s="23" t="s">
        <v>49</v>
      </c>
      <c r="D38" s="25"/>
      <c r="E38" s="25"/>
      <c r="F38" s="25"/>
      <c r="G38" s="26"/>
      <c r="H38" s="2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2033858.4350000001</v>
      </c>
      <c r="D43" s="12">
        <v>223666</v>
      </c>
      <c r="E43" s="12">
        <v>8284.58</v>
      </c>
      <c r="F43" s="12">
        <f>E43-D43</f>
        <v>-215381.42</v>
      </c>
      <c r="G43" s="15">
        <v>0.21</v>
      </c>
      <c r="H43" s="12">
        <f>F43*G43</f>
        <v>-45230.0982</v>
      </c>
    </row>
    <row r="44" spans="1:14" x14ac:dyDescent="0.2">
      <c r="C44" s="12">
        <v>4041284</v>
      </c>
      <c r="D44" s="12"/>
      <c r="E44" s="12">
        <v>19239.88</v>
      </c>
      <c r="F44" s="12">
        <f t="shared" ref="F44:F50" si="6">E44-D44</f>
        <v>19239.88</v>
      </c>
      <c r="G44" s="15">
        <v>0.21</v>
      </c>
      <c r="H44" s="12">
        <f t="shared" ref="H44:H50" si="7">F44*G44</f>
        <v>4040.3748000000001</v>
      </c>
    </row>
    <row r="45" spans="1:14" x14ac:dyDescent="0.2">
      <c r="C45" s="12">
        <v>199697</v>
      </c>
      <c r="D45" s="12"/>
      <c r="E45" s="12">
        <v>1027.94</v>
      </c>
      <c r="F45" s="12">
        <f t="shared" si="6"/>
        <v>1027.94</v>
      </c>
      <c r="G45" s="15">
        <v>0.21</v>
      </c>
      <c r="H45" s="12">
        <f t="shared" si="7"/>
        <v>215.8674</v>
      </c>
    </row>
    <row r="46" spans="1:14" x14ac:dyDescent="0.2">
      <c r="C46" s="12">
        <v>39689535</v>
      </c>
      <c r="D46" s="12"/>
      <c r="E46" s="12">
        <v>220839.19</v>
      </c>
      <c r="F46" s="12">
        <f t="shared" si="6"/>
        <v>220839.19</v>
      </c>
      <c r="G46" s="15">
        <v>0.21</v>
      </c>
      <c r="H46" s="12">
        <f t="shared" si="7"/>
        <v>46376.229899999998</v>
      </c>
    </row>
    <row r="47" spans="1:14" x14ac:dyDescent="0.2">
      <c r="C47" s="12">
        <v>226548</v>
      </c>
      <c r="D47" s="12"/>
      <c r="E47" s="12">
        <v>1260.55</v>
      </c>
      <c r="F47" s="12">
        <f t="shared" si="6"/>
        <v>1260.55</v>
      </c>
      <c r="G47" s="15">
        <v>0.21</v>
      </c>
      <c r="H47" s="12">
        <f t="shared" si="7"/>
        <v>264.71549999999996</v>
      </c>
    </row>
    <row r="48" spans="1:14" x14ac:dyDescent="0.2">
      <c r="C48" s="12">
        <v>19943355</v>
      </c>
      <c r="D48" s="12"/>
      <c r="E48" s="12">
        <v>119975.9</v>
      </c>
      <c r="F48" s="12">
        <f t="shared" si="6"/>
        <v>119975.9</v>
      </c>
      <c r="G48" s="15">
        <v>0.21</v>
      </c>
      <c r="H48" s="12">
        <f t="shared" si="7"/>
        <v>25194.938999999998</v>
      </c>
      <c r="I48" s="22"/>
    </row>
    <row r="49" spans="3:9" x14ac:dyDescent="0.2">
      <c r="C49" s="12">
        <v>1516.95</v>
      </c>
      <c r="D49" s="12"/>
      <c r="E49" s="12">
        <v>9.1300000000000008</v>
      </c>
      <c r="F49" s="12">
        <f t="shared" si="6"/>
        <v>9.1300000000000008</v>
      </c>
      <c r="G49" s="15">
        <v>0.21</v>
      </c>
      <c r="H49" s="12">
        <f t="shared" si="7"/>
        <v>1.9173</v>
      </c>
    </row>
    <row r="50" spans="3:9" ht="15" x14ac:dyDescent="0.35">
      <c r="C50" s="12">
        <v>2553020.2999999998</v>
      </c>
      <c r="D50" s="12"/>
      <c r="E50" s="24">
        <v>15358.54</v>
      </c>
      <c r="F50" s="24">
        <f t="shared" si="6"/>
        <v>15358.54</v>
      </c>
      <c r="G50" s="15">
        <v>0.21</v>
      </c>
      <c r="H50" s="24">
        <f t="shared" si="7"/>
        <v>3225.2934</v>
      </c>
    </row>
    <row r="51" spans="3:9" x14ac:dyDescent="0.2">
      <c r="C51" s="12"/>
      <c r="D51" s="12"/>
      <c r="E51" s="12">
        <f>SUM(E43:E50)</f>
        <v>385995.70999999996</v>
      </c>
      <c r="F51" s="12">
        <f>SUM(F43:F50)</f>
        <v>162329.71</v>
      </c>
      <c r="G51" s="29" t="s">
        <v>27</v>
      </c>
      <c r="H51" s="12">
        <f>SUM(H43:H50)</f>
        <v>34089.239099999999</v>
      </c>
    </row>
    <row r="52" spans="3:9" ht="15" x14ac:dyDescent="0.35">
      <c r="E52" s="16"/>
      <c r="F52" s="16"/>
      <c r="G52" s="22" t="s">
        <v>28</v>
      </c>
      <c r="H52" s="24">
        <f>-H64*0.21</f>
        <v>-4063.1405849999996</v>
      </c>
    </row>
    <row r="53" spans="3:9" x14ac:dyDescent="0.2">
      <c r="H53" s="12">
        <f>H51+H52</f>
        <v>30026.098514999998</v>
      </c>
    </row>
    <row r="54" spans="3:9" x14ac:dyDescent="0.2">
      <c r="H54" s="12">
        <f>H53-K33</f>
        <v>150.57779500001197</v>
      </c>
      <c r="I54" s="22" t="s">
        <v>51</v>
      </c>
    </row>
    <row r="55" spans="3:9" x14ac:dyDescent="0.2">
      <c r="C55" s="16" t="s">
        <v>29</v>
      </c>
      <c r="D55" s="25" t="s">
        <v>23</v>
      </c>
      <c r="E55" s="26" t="s">
        <v>30</v>
      </c>
      <c r="F55" s="16" t="s">
        <v>31</v>
      </c>
      <c r="G55" s="15" t="s">
        <v>13</v>
      </c>
      <c r="H55" s="16" t="s">
        <v>32</v>
      </c>
    </row>
    <row r="56" spans="3:9" x14ac:dyDescent="0.2">
      <c r="C56" s="12">
        <v>4067716.87</v>
      </c>
      <c r="D56" s="12">
        <f>D43</f>
        <v>223666</v>
      </c>
      <c r="E56" s="12">
        <v>16569.169999999998</v>
      </c>
      <c r="F56" s="12">
        <f>E56-D56</f>
        <v>-207096.83000000002</v>
      </c>
      <c r="G56" s="15">
        <v>0.05</v>
      </c>
      <c r="H56" s="12">
        <f>F56*G56</f>
        <v>-10354.841500000002</v>
      </c>
    </row>
    <row r="57" spans="3:9" x14ac:dyDescent="0.2">
      <c r="C57" s="12">
        <v>8082569</v>
      </c>
      <c r="D57" s="12"/>
      <c r="E57" s="12">
        <v>38479.760000000002</v>
      </c>
      <c r="F57" s="12">
        <f t="shared" ref="F57:F63" si="8">E57-D57</f>
        <v>38479.760000000002</v>
      </c>
      <c r="G57" s="15">
        <v>0.05</v>
      </c>
      <c r="H57" s="12">
        <f t="shared" ref="H57:H63" si="9">F57*G57</f>
        <v>1923.9880000000003</v>
      </c>
    </row>
    <row r="58" spans="3:9" x14ac:dyDescent="0.2">
      <c r="C58" s="12">
        <v>199697</v>
      </c>
      <c r="D58" s="12"/>
      <c r="E58" s="12">
        <v>1027.94</v>
      </c>
      <c r="F58" s="12">
        <f t="shared" si="8"/>
        <v>1027.94</v>
      </c>
      <c r="G58" s="15">
        <v>0.05</v>
      </c>
      <c r="H58" s="12">
        <f t="shared" si="9"/>
        <v>51.397000000000006</v>
      </c>
    </row>
    <row r="59" spans="3:9" x14ac:dyDescent="0.2">
      <c r="C59" s="12">
        <v>66149226</v>
      </c>
      <c r="D59" s="12"/>
      <c r="E59" s="12">
        <v>368065.32</v>
      </c>
      <c r="F59" s="12">
        <f t="shared" si="8"/>
        <v>368065.32</v>
      </c>
      <c r="G59" s="15">
        <v>0.05</v>
      </c>
      <c r="H59" s="12">
        <f t="shared" si="9"/>
        <v>18403.266</v>
      </c>
    </row>
    <row r="60" spans="3:9" x14ac:dyDescent="0.2">
      <c r="C60" s="12">
        <v>226548</v>
      </c>
      <c r="D60" s="12"/>
      <c r="E60" s="12">
        <v>1260.55</v>
      </c>
      <c r="F60" s="12">
        <f t="shared" si="8"/>
        <v>1260.55</v>
      </c>
      <c r="G60" s="15">
        <v>0.05</v>
      </c>
      <c r="H60" s="12">
        <f t="shared" si="9"/>
        <v>63.027500000000003</v>
      </c>
    </row>
    <row r="61" spans="3:9" x14ac:dyDescent="0.2">
      <c r="C61" s="12">
        <v>28235715</v>
      </c>
      <c r="E61" s="12">
        <v>169861.36</v>
      </c>
      <c r="F61" s="12">
        <f t="shared" si="8"/>
        <v>169861.36</v>
      </c>
      <c r="G61" s="15">
        <v>0.05</v>
      </c>
      <c r="H61" s="12">
        <f t="shared" si="9"/>
        <v>8493.0679999999993</v>
      </c>
    </row>
    <row r="62" spans="3:9" x14ac:dyDescent="0.2">
      <c r="C62" s="12">
        <f>C49</f>
        <v>1516.95</v>
      </c>
      <c r="E62" s="12">
        <v>9.1300000000000008</v>
      </c>
      <c r="F62" s="12">
        <f t="shared" si="8"/>
        <v>9.1300000000000008</v>
      </c>
      <c r="G62" s="15">
        <v>0.05</v>
      </c>
      <c r="H62" s="12">
        <f t="shared" si="9"/>
        <v>0.45650000000000007</v>
      </c>
    </row>
    <row r="63" spans="3:9" ht="15" x14ac:dyDescent="0.35">
      <c r="C63" s="12">
        <f>C50</f>
        <v>2553020.2999999998</v>
      </c>
      <c r="E63" s="24">
        <v>15358.54</v>
      </c>
      <c r="F63" s="24">
        <f t="shared" si="8"/>
        <v>15358.54</v>
      </c>
      <c r="G63" s="15">
        <v>0.05</v>
      </c>
      <c r="H63" s="24">
        <f t="shared" si="9"/>
        <v>767.92700000000013</v>
      </c>
    </row>
    <row r="64" spans="3:9" x14ac:dyDescent="0.2">
      <c r="E64" s="16">
        <f>SUM(E56:E63)</f>
        <v>610631.77</v>
      </c>
      <c r="F64" s="16">
        <f>SUM(F56:F63)</f>
        <v>386965.76999999996</v>
      </c>
      <c r="H64" s="16">
        <f>SUM(H56:H63)</f>
        <v>19348.288499999999</v>
      </c>
    </row>
    <row r="65" spans="8:8" x14ac:dyDescent="0.2">
      <c r="H65" s="16">
        <f>H64-L33</f>
        <v>4.99999998282874E-4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8
Clements</oddHead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254E-8CBD-4C5C-A862-DDC6AE768DE4}">
  <sheetPr>
    <pageSetUpPr fitToPage="1"/>
  </sheetPr>
  <dimension ref="A1:R57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8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8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8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x14ac:dyDescent="0.2">
      <c r="A5" s="4" t="s">
        <v>3</v>
      </c>
    </row>
    <row r="6" spans="1:18" x14ac:dyDescent="0.2">
      <c r="A6" s="5" t="s">
        <v>33</v>
      </c>
    </row>
    <row r="8" spans="1:18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8" x14ac:dyDescent="0.2">
      <c r="A9" s="9" t="s">
        <v>18</v>
      </c>
      <c r="M9" s="10">
        <v>1452116</v>
      </c>
    </row>
    <row r="10" spans="1:18" x14ac:dyDescent="0.2">
      <c r="A10" s="11">
        <v>43533</v>
      </c>
      <c r="C10" s="12">
        <v>7413755</v>
      </c>
      <c r="D10" s="13">
        <v>14253</v>
      </c>
      <c r="E10" s="13">
        <f t="shared" ref="E10:E15" si="0">16494.65</f>
        <v>16494.650000000001</v>
      </c>
      <c r="F10" s="13">
        <f t="shared" ref="F10:F15" si="1">32989.3</f>
        <v>32989.300000000003</v>
      </c>
      <c r="G10" s="14">
        <f t="shared" ref="G10:G33" si="2">E10-D10</f>
        <v>2241.6500000000015</v>
      </c>
      <c r="H10" s="14">
        <f t="shared" ref="H10:H33" si="3">F10-D10</f>
        <v>18736.300000000003</v>
      </c>
      <c r="I10" s="15">
        <v>0.21</v>
      </c>
      <c r="J10" s="15">
        <v>0.05</v>
      </c>
      <c r="K10" s="16">
        <f t="shared" ref="K10:K26" si="4">G10*I10-L10*I10</f>
        <v>274.01535000000024</v>
      </c>
      <c r="L10" s="16">
        <f t="shared" ref="L10:L33" si="5">H10*J10</f>
        <v>936.81500000000017</v>
      </c>
      <c r="M10" s="16">
        <f t="shared" ref="M10:M33" si="6">M9+K10+L10</f>
        <v>1453326.8303499999</v>
      </c>
      <c r="N10" s="16">
        <v>0</v>
      </c>
      <c r="O10" s="17"/>
      <c r="Q10" s="16"/>
      <c r="R10" s="18"/>
    </row>
    <row r="11" spans="1:18" x14ac:dyDescent="0.2">
      <c r="A11" s="11">
        <v>43556</v>
      </c>
      <c r="C11" s="12">
        <v>7413755</v>
      </c>
      <c r="D11" s="13">
        <v>14253</v>
      </c>
      <c r="E11" s="13">
        <f t="shared" si="0"/>
        <v>16494.650000000001</v>
      </c>
      <c r="F11" s="13">
        <f t="shared" si="1"/>
        <v>32989.300000000003</v>
      </c>
      <c r="G11" s="14">
        <f t="shared" si="2"/>
        <v>2241.6500000000015</v>
      </c>
      <c r="H11" s="14">
        <f t="shared" si="3"/>
        <v>18736.300000000003</v>
      </c>
      <c r="I11" s="15">
        <v>0.21</v>
      </c>
      <c r="J11" s="15">
        <v>0.05</v>
      </c>
      <c r="K11" s="16">
        <f t="shared" si="4"/>
        <v>274.01535000000024</v>
      </c>
      <c r="L11" s="16">
        <f t="shared" si="5"/>
        <v>936.81500000000017</v>
      </c>
      <c r="M11" s="16">
        <f t="shared" si="6"/>
        <v>1454537.6606999999</v>
      </c>
      <c r="N11" s="16">
        <v>0</v>
      </c>
      <c r="O11" s="17"/>
      <c r="Q11" s="16"/>
      <c r="R11" s="18"/>
    </row>
    <row r="12" spans="1:18" x14ac:dyDescent="0.2">
      <c r="A12" s="11">
        <v>43586</v>
      </c>
      <c r="C12" s="12">
        <v>7413755</v>
      </c>
      <c r="D12" s="13">
        <v>19482</v>
      </c>
      <c r="E12" s="13">
        <f t="shared" si="0"/>
        <v>16494.650000000001</v>
      </c>
      <c r="F12" s="13">
        <f t="shared" si="1"/>
        <v>32989.300000000003</v>
      </c>
      <c r="G12" s="14">
        <f t="shared" si="2"/>
        <v>-2987.3499999999985</v>
      </c>
      <c r="H12" s="14">
        <f t="shared" si="3"/>
        <v>13507.300000000003</v>
      </c>
      <c r="I12" s="15">
        <v>0.21</v>
      </c>
      <c r="J12" s="15">
        <v>0.05</v>
      </c>
      <c r="K12" s="16">
        <f t="shared" si="4"/>
        <v>-769.17014999999981</v>
      </c>
      <c r="L12" s="16">
        <f t="shared" si="5"/>
        <v>675.36500000000024</v>
      </c>
      <c r="M12" s="16">
        <f t="shared" si="6"/>
        <v>1454443.85555</v>
      </c>
      <c r="N12" s="16">
        <v>0</v>
      </c>
      <c r="R12" s="18"/>
    </row>
    <row r="13" spans="1:18" x14ac:dyDescent="0.2">
      <c r="A13" s="11">
        <v>43617</v>
      </c>
      <c r="C13" s="12">
        <v>7413755</v>
      </c>
      <c r="D13" s="13">
        <v>19482</v>
      </c>
      <c r="E13" s="13">
        <f t="shared" si="0"/>
        <v>16494.650000000001</v>
      </c>
      <c r="F13" s="13">
        <f t="shared" si="1"/>
        <v>32989.300000000003</v>
      </c>
      <c r="G13" s="14">
        <f t="shared" si="2"/>
        <v>-2987.3499999999985</v>
      </c>
      <c r="H13" s="14">
        <f t="shared" si="3"/>
        <v>13507.300000000003</v>
      </c>
      <c r="I13" s="15">
        <v>0.21</v>
      </c>
      <c r="J13" s="15">
        <v>0.05</v>
      </c>
      <c r="K13" s="16">
        <f t="shared" si="4"/>
        <v>-769.17014999999981</v>
      </c>
      <c r="L13" s="16">
        <f t="shared" si="5"/>
        <v>675.36500000000024</v>
      </c>
      <c r="M13" s="16">
        <f t="shared" si="6"/>
        <v>1454350.0504000001</v>
      </c>
      <c r="N13" s="16">
        <v>0</v>
      </c>
      <c r="R13" s="18"/>
    </row>
    <row r="14" spans="1:18" x14ac:dyDescent="0.2">
      <c r="A14" s="11">
        <v>43647</v>
      </c>
      <c r="C14" s="12">
        <v>7413755</v>
      </c>
      <c r="D14" s="13">
        <v>19482</v>
      </c>
      <c r="E14" s="13">
        <f t="shared" si="0"/>
        <v>16494.650000000001</v>
      </c>
      <c r="F14" s="13">
        <f t="shared" si="1"/>
        <v>32989.300000000003</v>
      </c>
      <c r="G14" s="14">
        <f t="shared" si="2"/>
        <v>-2987.3499999999985</v>
      </c>
      <c r="H14" s="14">
        <f t="shared" si="3"/>
        <v>13507.300000000003</v>
      </c>
      <c r="I14" s="15">
        <v>0.21</v>
      </c>
      <c r="J14" s="15">
        <v>0.05</v>
      </c>
      <c r="K14" s="16">
        <f t="shared" si="4"/>
        <v>-769.17014999999981</v>
      </c>
      <c r="L14" s="16">
        <f t="shared" si="5"/>
        <v>675.36500000000024</v>
      </c>
      <c r="M14" s="16">
        <f t="shared" si="6"/>
        <v>1454256.2452500002</v>
      </c>
      <c r="N14" s="16">
        <v>0</v>
      </c>
      <c r="R14" s="18"/>
    </row>
    <row r="15" spans="1:18" x14ac:dyDescent="0.2">
      <c r="A15" s="11">
        <v>43678</v>
      </c>
      <c r="C15" s="12">
        <v>7413755</v>
      </c>
      <c r="D15" s="13">
        <v>19482</v>
      </c>
      <c r="E15" s="13">
        <f t="shared" si="0"/>
        <v>16494.650000000001</v>
      </c>
      <c r="F15" s="13">
        <f t="shared" si="1"/>
        <v>32989.300000000003</v>
      </c>
      <c r="G15" s="14">
        <f t="shared" si="2"/>
        <v>-2987.3499999999985</v>
      </c>
      <c r="H15" s="14">
        <f t="shared" si="3"/>
        <v>13507.300000000003</v>
      </c>
      <c r="I15" s="15">
        <v>0.21</v>
      </c>
      <c r="J15" s="15">
        <v>0.05</v>
      </c>
      <c r="K15" s="16">
        <f t="shared" si="4"/>
        <v>-769.17014999999981</v>
      </c>
      <c r="L15" s="16">
        <f t="shared" si="5"/>
        <v>675.36500000000024</v>
      </c>
      <c r="M15" s="16">
        <f t="shared" si="6"/>
        <v>1454162.4401000002</v>
      </c>
      <c r="N15" s="16">
        <v>0</v>
      </c>
      <c r="R15" s="18"/>
    </row>
    <row r="16" spans="1:18" x14ac:dyDescent="0.2">
      <c r="A16" s="11">
        <v>43717</v>
      </c>
      <c r="C16" s="12">
        <v>7413755</v>
      </c>
      <c r="D16" s="13">
        <v>19482.490000000002</v>
      </c>
      <c r="E16" s="13">
        <f>16494.5</f>
        <v>16494.5</v>
      </c>
      <c r="F16" s="13">
        <f>32988.5</f>
        <v>32988.5</v>
      </c>
      <c r="G16" s="14">
        <f t="shared" si="2"/>
        <v>-2987.9900000000016</v>
      </c>
      <c r="H16" s="14">
        <f t="shared" si="3"/>
        <v>13506.009999999998</v>
      </c>
      <c r="I16" s="15">
        <v>0.21</v>
      </c>
      <c r="J16" s="15">
        <v>0.05</v>
      </c>
      <c r="K16" s="16">
        <f t="shared" si="4"/>
        <v>-769.29100500000027</v>
      </c>
      <c r="L16" s="16">
        <f t="shared" si="5"/>
        <v>675.30049999999994</v>
      </c>
      <c r="M16" s="16">
        <f t="shared" si="6"/>
        <v>1454068.4495950001</v>
      </c>
      <c r="N16" s="16">
        <v>0</v>
      </c>
      <c r="O16" s="16"/>
      <c r="P16" s="16"/>
    </row>
    <row r="17" spans="1:16" x14ac:dyDescent="0.2">
      <c r="A17" s="11">
        <v>43739</v>
      </c>
      <c r="C17" s="12">
        <v>7413755</v>
      </c>
      <c r="D17" s="13">
        <v>19482.490000000002</v>
      </c>
      <c r="E17" s="13">
        <f>16494.5</f>
        <v>16494.5</v>
      </c>
      <c r="F17" s="13">
        <f>32988.5</f>
        <v>32988.5</v>
      </c>
      <c r="G17" s="14">
        <f t="shared" si="2"/>
        <v>-2987.9900000000016</v>
      </c>
      <c r="H17" s="14">
        <f t="shared" si="3"/>
        <v>13506.009999999998</v>
      </c>
      <c r="I17" s="15">
        <v>0.21</v>
      </c>
      <c r="J17" s="15">
        <v>0.05</v>
      </c>
      <c r="K17" s="16">
        <f t="shared" si="4"/>
        <v>-769.29100500000027</v>
      </c>
      <c r="L17" s="16">
        <f t="shared" si="5"/>
        <v>675.30049999999994</v>
      </c>
      <c r="M17" s="16">
        <f t="shared" si="6"/>
        <v>1453974.45909</v>
      </c>
      <c r="N17" s="16">
        <v>0</v>
      </c>
      <c r="O17" s="16"/>
      <c r="P17" s="16"/>
    </row>
    <row r="18" spans="1:16" x14ac:dyDescent="0.2">
      <c r="A18" s="11">
        <v>43770</v>
      </c>
      <c r="C18" s="12">
        <v>7413755</v>
      </c>
      <c r="D18" s="13">
        <v>19482</v>
      </c>
      <c r="E18" s="13">
        <f>16494.65-2</f>
        <v>16492.650000000001</v>
      </c>
      <c r="F18" s="13">
        <f>32989.3</f>
        <v>32989.300000000003</v>
      </c>
      <c r="G18" s="14">
        <f t="shared" si="2"/>
        <v>-2989.3499999999985</v>
      </c>
      <c r="H18" s="14">
        <f t="shared" si="3"/>
        <v>13507.300000000003</v>
      </c>
      <c r="I18" s="15">
        <v>0.21</v>
      </c>
      <c r="J18" s="15">
        <v>0.05</v>
      </c>
      <c r="K18" s="16">
        <f t="shared" si="4"/>
        <v>-769.59014999999977</v>
      </c>
      <c r="L18" s="16">
        <f t="shared" si="5"/>
        <v>675.36500000000024</v>
      </c>
      <c r="M18" s="16">
        <f t="shared" si="6"/>
        <v>1453880.2339399999</v>
      </c>
      <c r="N18" s="16">
        <v>0</v>
      </c>
      <c r="O18" s="16"/>
      <c r="P18" s="16"/>
    </row>
    <row r="19" spans="1:16" x14ac:dyDescent="0.2">
      <c r="A19" s="11">
        <v>43800</v>
      </c>
      <c r="C19" s="12">
        <v>7413755</v>
      </c>
      <c r="D19" s="13">
        <v>19482</v>
      </c>
      <c r="E19" s="13">
        <f>16494.65-2</f>
        <v>16492.650000000001</v>
      </c>
      <c r="F19" s="13">
        <f>32989.3</f>
        <v>32989.300000000003</v>
      </c>
      <c r="G19" s="14">
        <f t="shared" si="2"/>
        <v>-2989.3499999999985</v>
      </c>
      <c r="H19" s="14">
        <f t="shared" si="3"/>
        <v>13507.300000000003</v>
      </c>
      <c r="I19" s="15">
        <v>0.21</v>
      </c>
      <c r="J19" s="15">
        <v>0.05</v>
      </c>
      <c r="K19" s="16">
        <f t="shared" si="4"/>
        <v>-769.59014999999977</v>
      </c>
      <c r="L19" s="16">
        <f t="shared" si="5"/>
        <v>675.36500000000024</v>
      </c>
      <c r="M19" s="16">
        <f t="shared" si="6"/>
        <v>1453786.0087899999</v>
      </c>
      <c r="N19" s="16">
        <v>0</v>
      </c>
    </row>
    <row r="20" spans="1:16" x14ac:dyDescent="0.2">
      <c r="A20" s="11">
        <v>43831</v>
      </c>
      <c r="C20" s="12">
        <v>7413755</v>
      </c>
      <c r="D20" s="13">
        <v>19482</v>
      </c>
      <c r="E20" s="13">
        <f>15797.71</f>
        <v>15797.71</v>
      </c>
      <c r="F20" s="13">
        <v>31595.43</v>
      </c>
      <c r="G20" s="14">
        <f t="shared" si="2"/>
        <v>-3684.2900000000009</v>
      </c>
      <c r="H20" s="14">
        <f t="shared" si="3"/>
        <v>12113.43</v>
      </c>
      <c r="I20" s="15">
        <v>0.21</v>
      </c>
      <c r="J20" s="15">
        <v>0.05</v>
      </c>
      <c r="K20" s="16">
        <f t="shared" si="4"/>
        <v>-900.89191500000015</v>
      </c>
      <c r="L20" s="16">
        <f t="shared" si="5"/>
        <v>605.67150000000004</v>
      </c>
      <c r="M20" s="16">
        <f t="shared" si="6"/>
        <v>1453490.7883749998</v>
      </c>
      <c r="N20" s="16">
        <v>0</v>
      </c>
    </row>
    <row r="21" spans="1:16" x14ac:dyDescent="0.2">
      <c r="A21" s="11">
        <v>43862</v>
      </c>
      <c r="C21" s="12">
        <v>7413755</v>
      </c>
      <c r="D21" s="13">
        <v>19482</v>
      </c>
      <c r="E21" s="13">
        <f>15797.71+2</f>
        <v>15799.71</v>
      </c>
      <c r="F21" s="13">
        <v>31595.43</v>
      </c>
      <c r="G21" s="14">
        <f t="shared" si="2"/>
        <v>-3682.2900000000009</v>
      </c>
      <c r="H21" s="14">
        <f t="shared" si="3"/>
        <v>12113.43</v>
      </c>
      <c r="I21" s="15">
        <v>0.21</v>
      </c>
      <c r="J21" s="15">
        <v>0.05</v>
      </c>
      <c r="K21" s="16">
        <f t="shared" si="4"/>
        <v>-900.47191500000019</v>
      </c>
      <c r="L21" s="16">
        <f t="shared" si="5"/>
        <v>605.67150000000004</v>
      </c>
      <c r="M21" s="16">
        <f t="shared" si="6"/>
        <v>1453195.9879599998</v>
      </c>
      <c r="N21" s="16">
        <v>0</v>
      </c>
    </row>
    <row r="22" spans="1:16" x14ac:dyDescent="0.2">
      <c r="A22" s="11">
        <v>43899</v>
      </c>
      <c r="C22" s="12">
        <v>7413755</v>
      </c>
      <c r="D22" s="13">
        <v>19482</v>
      </c>
      <c r="E22" s="13">
        <f>15797.71-2</f>
        <v>15795.71</v>
      </c>
      <c r="F22" s="13">
        <v>31595.43</v>
      </c>
      <c r="G22" s="14">
        <f t="shared" si="2"/>
        <v>-3686.2900000000009</v>
      </c>
      <c r="H22" s="14">
        <f t="shared" si="3"/>
        <v>12113.43</v>
      </c>
      <c r="I22" s="15">
        <v>0.21</v>
      </c>
      <c r="J22" s="15">
        <v>0.05</v>
      </c>
      <c r="K22" s="16">
        <f t="shared" si="4"/>
        <v>-901.31191500000011</v>
      </c>
      <c r="L22" s="16">
        <f t="shared" si="5"/>
        <v>605.67150000000004</v>
      </c>
      <c r="M22" s="16">
        <f t="shared" si="6"/>
        <v>1452900.3475449998</v>
      </c>
      <c r="N22" s="16">
        <v>0</v>
      </c>
    </row>
    <row r="23" spans="1:16" x14ac:dyDescent="0.2">
      <c r="A23" s="11">
        <v>43922</v>
      </c>
      <c r="C23" s="12">
        <v>7413755</v>
      </c>
      <c r="D23" s="13">
        <v>19482</v>
      </c>
      <c r="E23" s="13">
        <f>15797.71-2</f>
        <v>15795.71</v>
      </c>
      <c r="F23" s="13">
        <v>31595.43</v>
      </c>
      <c r="G23" s="14">
        <f t="shared" si="2"/>
        <v>-3686.2900000000009</v>
      </c>
      <c r="H23" s="14">
        <f t="shared" si="3"/>
        <v>12113.43</v>
      </c>
      <c r="I23" s="15">
        <v>0.21</v>
      </c>
      <c r="J23" s="15">
        <v>0.05</v>
      </c>
      <c r="K23" s="16">
        <f t="shared" si="4"/>
        <v>-901.31191500000011</v>
      </c>
      <c r="L23" s="16">
        <f t="shared" si="5"/>
        <v>605.67150000000004</v>
      </c>
      <c r="M23" s="16">
        <f t="shared" si="6"/>
        <v>1452604.7071299998</v>
      </c>
      <c r="N23" s="16">
        <v>0</v>
      </c>
    </row>
    <row r="24" spans="1:16" x14ac:dyDescent="0.2">
      <c r="A24" s="11">
        <v>43952</v>
      </c>
      <c r="C24" s="12">
        <v>7413755</v>
      </c>
      <c r="D24" s="13">
        <v>19482</v>
      </c>
      <c r="E24" s="13">
        <f>15797.71+2</f>
        <v>15799.71</v>
      </c>
      <c r="F24" s="13">
        <v>31595.43</v>
      </c>
      <c r="G24" s="14">
        <f t="shared" si="2"/>
        <v>-3682.2900000000009</v>
      </c>
      <c r="H24" s="14">
        <f t="shared" si="3"/>
        <v>12113.43</v>
      </c>
      <c r="I24" s="15">
        <v>0.21</v>
      </c>
      <c r="J24" s="15">
        <v>0.05</v>
      </c>
      <c r="K24" s="16">
        <f t="shared" si="4"/>
        <v>-900.47191500000019</v>
      </c>
      <c r="L24" s="16">
        <f t="shared" si="5"/>
        <v>605.67150000000004</v>
      </c>
      <c r="M24" s="16">
        <f t="shared" si="6"/>
        <v>1452309.9067149998</v>
      </c>
      <c r="N24" s="16">
        <v>0</v>
      </c>
    </row>
    <row r="25" spans="1:16" x14ac:dyDescent="0.2">
      <c r="A25" s="11">
        <v>43983</v>
      </c>
      <c r="C25" s="12">
        <v>7413755</v>
      </c>
      <c r="D25" s="13">
        <v>19482.490000000002</v>
      </c>
      <c r="E25" s="13">
        <f>15797.5</f>
        <v>15797.5</v>
      </c>
      <c r="F25" s="13">
        <v>31594.5</v>
      </c>
      <c r="G25" s="14">
        <f t="shared" si="2"/>
        <v>-3684.9900000000016</v>
      </c>
      <c r="H25" s="14">
        <f t="shared" si="3"/>
        <v>12112.009999999998</v>
      </c>
      <c r="I25" s="15">
        <v>0.21</v>
      </c>
      <c r="J25" s="15">
        <v>0.05</v>
      </c>
      <c r="K25" s="16">
        <f t="shared" si="4"/>
        <v>-901.02400500000033</v>
      </c>
      <c r="L25" s="16">
        <f t="shared" si="5"/>
        <v>605.6004999999999</v>
      </c>
      <c r="M25" s="16">
        <f t="shared" si="6"/>
        <v>1452014.4832099997</v>
      </c>
      <c r="N25" s="16">
        <v>0</v>
      </c>
    </row>
    <row r="26" spans="1:16" x14ac:dyDescent="0.2">
      <c r="A26" s="11">
        <v>44013</v>
      </c>
      <c r="C26" s="12">
        <v>7413755</v>
      </c>
      <c r="D26" s="13">
        <v>19482</v>
      </c>
      <c r="E26" s="13">
        <f t="shared" ref="E26:E31" si="7">15797.71</f>
        <v>15797.71</v>
      </c>
      <c r="F26" s="13">
        <f>31595.43</f>
        <v>31595.43</v>
      </c>
      <c r="G26" s="14">
        <f t="shared" si="2"/>
        <v>-3684.2900000000009</v>
      </c>
      <c r="H26" s="14">
        <f t="shared" si="3"/>
        <v>12113.43</v>
      </c>
      <c r="I26" s="15">
        <v>0.21</v>
      </c>
      <c r="J26" s="15">
        <v>0.05</v>
      </c>
      <c r="K26" s="16">
        <f t="shared" si="4"/>
        <v>-900.89191500000015</v>
      </c>
      <c r="L26" s="16">
        <f t="shared" si="5"/>
        <v>605.67150000000004</v>
      </c>
      <c r="M26" s="16">
        <f t="shared" si="6"/>
        <v>1451719.2627949996</v>
      </c>
      <c r="N26" s="16">
        <v>0</v>
      </c>
    </row>
    <row r="27" spans="1:16" x14ac:dyDescent="0.2">
      <c r="A27" s="11">
        <v>44044</v>
      </c>
      <c r="C27" s="12">
        <v>7413755</v>
      </c>
      <c r="D27" s="13">
        <v>19481.5</v>
      </c>
      <c r="E27" s="13">
        <f>15798.49</f>
        <v>15798.49</v>
      </c>
      <c r="F27" s="13">
        <f>31595.43</f>
        <v>31595.43</v>
      </c>
      <c r="G27" s="14">
        <f t="shared" si="2"/>
        <v>-3683.01</v>
      </c>
      <c r="H27" s="14">
        <f t="shared" si="3"/>
        <v>12113.93</v>
      </c>
      <c r="I27" s="15">
        <v>0.21</v>
      </c>
      <c r="J27" s="15">
        <v>0.05</v>
      </c>
      <c r="K27" s="16">
        <f>(G27*I27-L27*I27)-682.72-682.72-274.3</f>
        <v>-2540.3683650000003</v>
      </c>
      <c r="L27" s="16">
        <f t="shared" si="5"/>
        <v>605.69650000000001</v>
      </c>
      <c r="M27" s="16">
        <f t="shared" si="6"/>
        <v>1449784.5909299997</v>
      </c>
      <c r="N27" s="16">
        <v>0</v>
      </c>
    </row>
    <row r="28" spans="1:16" x14ac:dyDescent="0.2">
      <c r="A28" s="11">
        <v>44083</v>
      </c>
      <c r="C28" s="12">
        <v>7413755</v>
      </c>
      <c r="D28" s="13">
        <v>19481.5</v>
      </c>
      <c r="E28" s="13">
        <f>15798.49</f>
        <v>15798.49</v>
      </c>
      <c r="F28" s="13">
        <v>31595.49</v>
      </c>
      <c r="G28" s="14">
        <f t="shared" si="2"/>
        <v>-3683.01</v>
      </c>
      <c r="H28" s="14">
        <f t="shared" si="3"/>
        <v>12113.990000000002</v>
      </c>
      <c r="I28" s="15">
        <v>0.21</v>
      </c>
      <c r="J28" s="15">
        <v>0.05</v>
      </c>
      <c r="K28" s="16">
        <f>G28*I28-L28*I28-682.5-682.5-274</f>
        <v>-2539.628995</v>
      </c>
      <c r="L28" s="16">
        <f t="shared" si="5"/>
        <v>605.69950000000006</v>
      </c>
      <c r="M28" s="16">
        <f t="shared" si="6"/>
        <v>1447850.6614349999</v>
      </c>
      <c r="N28" s="16">
        <v>0</v>
      </c>
    </row>
    <row r="29" spans="1:16" x14ac:dyDescent="0.2">
      <c r="A29" s="11">
        <v>44105</v>
      </c>
      <c r="C29" s="12">
        <v>7413755</v>
      </c>
      <c r="D29" s="13">
        <v>19481.5</v>
      </c>
      <c r="E29" s="13">
        <f>15798.49</f>
        <v>15798.49</v>
      </c>
      <c r="F29" s="13">
        <v>31595.49</v>
      </c>
      <c r="G29" s="14">
        <f t="shared" si="2"/>
        <v>-3683.01</v>
      </c>
      <c r="H29" s="14">
        <f t="shared" si="3"/>
        <v>12113.990000000002</v>
      </c>
      <c r="I29" s="15">
        <v>0.21</v>
      </c>
      <c r="J29" s="15">
        <v>0.05</v>
      </c>
      <c r="K29" s="16">
        <f>G29*I29-L29*I29-682.5-682.5-274</f>
        <v>-2539.628995</v>
      </c>
      <c r="L29" s="16">
        <f t="shared" si="5"/>
        <v>605.69950000000006</v>
      </c>
      <c r="M29" s="16">
        <f t="shared" si="6"/>
        <v>1445916.7319400001</v>
      </c>
      <c r="N29" s="16">
        <v>0</v>
      </c>
    </row>
    <row r="30" spans="1:16" x14ac:dyDescent="0.2">
      <c r="A30" s="11">
        <v>44136</v>
      </c>
      <c r="C30" s="12">
        <v>7413755</v>
      </c>
      <c r="D30" s="13">
        <v>19482</v>
      </c>
      <c r="E30" s="13">
        <f t="shared" si="7"/>
        <v>15797.71</v>
      </c>
      <c r="F30" s="13">
        <v>31595.43</v>
      </c>
      <c r="G30" s="14">
        <f t="shared" si="2"/>
        <v>-3684.2900000000009</v>
      </c>
      <c r="H30" s="14">
        <f t="shared" si="3"/>
        <v>12113.43</v>
      </c>
      <c r="I30" s="15">
        <v>0.21</v>
      </c>
      <c r="J30" s="15">
        <v>0.05</v>
      </c>
      <c r="K30" s="16">
        <f>G30*I30-L30*I30-682-682-274.8</f>
        <v>-2539.6919150000003</v>
      </c>
      <c r="L30" s="16">
        <f t="shared" si="5"/>
        <v>605.67150000000004</v>
      </c>
      <c r="M30" s="16">
        <f t="shared" si="6"/>
        <v>1443982.7115249999</v>
      </c>
      <c r="N30" s="16">
        <v>0</v>
      </c>
    </row>
    <row r="31" spans="1:16" x14ac:dyDescent="0.2">
      <c r="A31" s="11">
        <v>44166</v>
      </c>
      <c r="C31" s="12">
        <v>7413755</v>
      </c>
      <c r="D31" s="13">
        <v>19482</v>
      </c>
      <c r="E31" s="13">
        <f t="shared" si="7"/>
        <v>15797.71</v>
      </c>
      <c r="F31" s="13">
        <v>31595.43</v>
      </c>
      <c r="G31" s="14">
        <f t="shared" si="2"/>
        <v>-3684.2900000000009</v>
      </c>
      <c r="H31" s="14">
        <f t="shared" si="3"/>
        <v>12113.43</v>
      </c>
      <c r="I31" s="15">
        <v>0.21</v>
      </c>
      <c r="J31" s="15">
        <v>0.05</v>
      </c>
      <c r="K31" s="16">
        <f>G31*I31-L31*I31-682-682-273.8</f>
        <v>-2538.6919150000003</v>
      </c>
      <c r="L31" s="16">
        <f t="shared" si="5"/>
        <v>605.67150000000004</v>
      </c>
      <c r="M31" s="16">
        <f t="shared" si="6"/>
        <v>1442049.6911099998</v>
      </c>
      <c r="N31" s="16">
        <v>0</v>
      </c>
    </row>
    <row r="32" spans="1:16" x14ac:dyDescent="0.2">
      <c r="A32" s="11">
        <v>44197</v>
      </c>
      <c r="C32" s="12">
        <v>7413755</v>
      </c>
      <c r="D32" s="13">
        <v>19482</v>
      </c>
      <c r="E32" s="13">
        <f>15256.58</f>
        <v>15256.58</v>
      </c>
      <c r="F32" s="13">
        <f>30513.16</f>
        <v>30513.16</v>
      </c>
      <c r="G32" s="14">
        <f t="shared" si="2"/>
        <v>-4225.42</v>
      </c>
      <c r="H32" s="14">
        <f t="shared" si="3"/>
        <v>11031.16</v>
      </c>
      <c r="I32" s="15">
        <v>0.21</v>
      </c>
      <c r="J32" s="15">
        <v>0.05</v>
      </c>
      <c r="K32" s="16">
        <f>G32*I32-L32*I32-683.23</f>
        <v>-1686.3953799999999</v>
      </c>
      <c r="L32" s="16">
        <f t="shared" si="5"/>
        <v>551.55799999999999</v>
      </c>
      <c r="M32" s="16">
        <f t="shared" si="6"/>
        <v>1440914.8537299999</v>
      </c>
      <c r="N32" s="16">
        <v>0</v>
      </c>
    </row>
    <row r="33" spans="1:14" x14ac:dyDescent="0.2">
      <c r="A33" s="11">
        <v>44228</v>
      </c>
      <c r="C33" s="12">
        <v>7413755</v>
      </c>
      <c r="D33" s="13">
        <v>19482</v>
      </c>
      <c r="E33" s="13">
        <f>15256.58</f>
        <v>15256.58</v>
      </c>
      <c r="F33" s="13">
        <f>30513.16</f>
        <v>30513.16</v>
      </c>
      <c r="G33" s="14">
        <f t="shared" si="2"/>
        <v>-4225.42</v>
      </c>
      <c r="H33" s="14">
        <f t="shared" si="3"/>
        <v>11031.16</v>
      </c>
      <c r="I33" s="15">
        <v>0.21</v>
      </c>
      <c r="J33" s="15">
        <v>0.05</v>
      </c>
      <c r="K33" s="16">
        <f>G33*I33-L33*I33-683.23</f>
        <v>-1686.3953799999999</v>
      </c>
      <c r="L33" s="16">
        <f t="shared" si="5"/>
        <v>551.55799999999999</v>
      </c>
      <c r="M33" s="16">
        <f t="shared" si="6"/>
        <v>1439780.0163499999</v>
      </c>
      <c r="N33" s="16">
        <v>0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6" t="s">
        <v>48</v>
      </c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34</v>
      </c>
      <c r="D37" s="25"/>
      <c r="E37" s="25"/>
      <c r="F37" s="25"/>
      <c r="G37" s="26"/>
      <c r="H37" s="26"/>
    </row>
    <row r="38" spans="1:14" x14ac:dyDescent="0.2">
      <c r="C38" s="23" t="s">
        <v>49</v>
      </c>
      <c r="D38" s="25"/>
      <c r="E38" s="25"/>
      <c r="F38" s="25"/>
      <c r="G38" s="26"/>
      <c r="H38" s="2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2318136</v>
      </c>
      <c r="D43" s="12">
        <v>19482</v>
      </c>
      <c r="E43" s="12">
        <v>8617.67</v>
      </c>
      <c r="F43" s="12">
        <f>E43-D43</f>
        <v>-10864.33</v>
      </c>
      <c r="G43" s="15">
        <v>0.21</v>
      </c>
      <c r="H43" s="12">
        <f>F43*G43</f>
        <v>-2281.5092999999997</v>
      </c>
    </row>
    <row r="44" spans="1:14" x14ac:dyDescent="0.2">
      <c r="C44" s="12">
        <v>-39771</v>
      </c>
      <c r="D44" s="12"/>
      <c r="E44" s="12">
        <v>-162</v>
      </c>
      <c r="F44" s="12">
        <f t="shared" ref="F44:F46" si="8">E44-D44</f>
        <v>-162</v>
      </c>
      <c r="G44" s="15">
        <v>0.21</v>
      </c>
      <c r="H44" s="12">
        <f t="shared" ref="H44:H46" si="9">F44*G44</f>
        <v>-34.019999999999996</v>
      </c>
    </row>
    <row r="45" spans="1:14" x14ac:dyDescent="0.2">
      <c r="C45" s="12">
        <v>1088793</v>
      </c>
      <c r="D45" s="12"/>
      <c r="E45" s="12">
        <v>5183.5600000000004</v>
      </c>
      <c r="F45" s="12">
        <f t="shared" si="8"/>
        <v>5183.5600000000004</v>
      </c>
      <c r="G45" s="15">
        <v>0.21</v>
      </c>
      <c r="H45" s="12">
        <f t="shared" si="9"/>
        <v>1088.5476000000001</v>
      </c>
    </row>
    <row r="46" spans="1:14" ht="15" x14ac:dyDescent="0.35">
      <c r="C46" s="12">
        <v>339720</v>
      </c>
      <c r="D46" s="12"/>
      <c r="E46" s="24">
        <v>1617.35</v>
      </c>
      <c r="F46" s="24">
        <f t="shared" si="8"/>
        <v>1617.35</v>
      </c>
      <c r="G46" s="15">
        <v>0.21</v>
      </c>
      <c r="H46" s="24">
        <f t="shared" si="9"/>
        <v>339.64349999999996</v>
      </c>
    </row>
    <row r="47" spans="1:14" x14ac:dyDescent="0.2">
      <c r="C47" s="12"/>
      <c r="D47" s="12"/>
      <c r="E47" s="12">
        <f>SUM(E43:E46)</f>
        <v>15256.58</v>
      </c>
      <c r="F47" s="12">
        <f>SUM(F43:F46)</f>
        <v>-4225.42</v>
      </c>
      <c r="G47" s="29" t="s">
        <v>27</v>
      </c>
      <c r="H47" s="12">
        <f>SUM(H43:H46)</f>
        <v>-887.33819999999969</v>
      </c>
    </row>
    <row r="48" spans="1:14" x14ac:dyDescent="0.2">
      <c r="E48" s="16"/>
      <c r="F48" s="16"/>
      <c r="G48" s="22" t="s">
        <v>28</v>
      </c>
      <c r="H48" s="12">
        <f>-H56*0.21</f>
        <v>-115.82718000000001</v>
      </c>
    </row>
    <row r="49" spans="3:9" x14ac:dyDescent="0.2">
      <c r="H49" s="16">
        <f>H47+H48</f>
        <v>-1003.1653799999997</v>
      </c>
    </row>
    <row r="50" spans="3:9" x14ac:dyDescent="0.2">
      <c r="H50" s="16">
        <f>H49-K33</f>
        <v>683.23000000000025</v>
      </c>
      <c r="I50" s="22" t="s">
        <v>52</v>
      </c>
    </row>
    <row r="51" spans="3:9" x14ac:dyDescent="0.2">
      <c r="C51" s="16" t="s">
        <v>29</v>
      </c>
      <c r="D51" s="25" t="s">
        <v>23</v>
      </c>
      <c r="E51" s="26" t="s">
        <v>30</v>
      </c>
      <c r="F51" s="16" t="s">
        <v>31</v>
      </c>
      <c r="G51" s="15" t="s">
        <v>13</v>
      </c>
      <c r="H51" s="16" t="s">
        <v>32</v>
      </c>
    </row>
    <row r="52" spans="3:9" x14ac:dyDescent="0.2">
      <c r="C52" s="12">
        <v>4636272</v>
      </c>
      <c r="D52" s="12">
        <f>D43</f>
        <v>19482</v>
      </c>
      <c r="E52" s="12">
        <v>17235.34</v>
      </c>
      <c r="F52" s="12">
        <f>E52-D52</f>
        <v>-2246.66</v>
      </c>
      <c r="G52" s="15">
        <v>0.05</v>
      </c>
      <c r="H52" s="12">
        <f>F52*G52</f>
        <v>-112.333</v>
      </c>
    </row>
    <row r="53" spans="3:9" x14ac:dyDescent="0.2">
      <c r="C53" s="12">
        <v>-79542</v>
      </c>
      <c r="D53" s="12"/>
      <c r="E53" s="12">
        <v>-324</v>
      </c>
      <c r="F53" s="12">
        <f t="shared" ref="F53:F55" si="10">E53-D53</f>
        <v>-324</v>
      </c>
      <c r="G53" s="15">
        <v>0.05</v>
      </c>
      <c r="H53" s="12">
        <f t="shared" ref="H53:H55" si="11">F53*G53</f>
        <v>-16.2</v>
      </c>
    </row>
    <row r="54" spans="3:9" x14ac:dyDescent="0.2">
      <c r="C54" s="12">
        <v>2177586</v>
      </c>
      <c r="D54" s="12"/>
      <c r="E54" s="12">
        <v>10367.120000000001</v>
      </c>
      <c r="F54" s="12">
        <f t="shared" si="10"/>
        <v>10367.120000000001</v>
      </c>
      <c r="G54" s="15">
        <v>0.05</v>
      </c>
      <c r="H54" s="12">
        <f t="shared" si="11"/>
        <v>518.35600000000011</v>
      </c>
    </row>
    <row r="55" spans="3:9" ht="15" x14ac:dyDescent="0.35">
      <c r="C55" s="12">
        <v>679439</v>
      </c>
      <c r="D55" s="12"/>
      <c r="E55" s="24">
        <v>3234.7</v>
      </c>
      <c r="F55" s="24">
        <f t="shared" si="10"/>
        <v>3234.7</v>
      </c>
      <c r="G55" s="15">
        <v>0.05</v>
      </c>
      <c r="H55" s="24">
        <f t="shared" si="11"/>
        <v>161.73500000000001</v>
      </c>
    </row>
    <row r="56" spans="3:9" x14ac:dyDescent="0.2">
      <c r="E56" s="16">
        <f>SUM(E52:E55)</f>
        <v>30513.16</v>
      </c>
      <c r="F56" s="16">
        <f>SUM(F52:F55)</f>
        <v>11031.16</v>
      </c>
      <c r="H56" s="16">
        <f>SUM(H52:H55)</f>
        <v>551.55800000000011</v>
      </c>
    </row>
    <row r="57" spans="3:9" x14ac:dyDescent="0.2">
      <c r="H57" s="16">
        <f>H56-L33</f>
        <v>0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3 of 8
Clements</oddHead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5FD2-CF73-451F-AB9D-DB7013D2D3A9}">
  <sheetPr>
    <pageSetUpPr fitToPage="1"/>
  </sheetPr>
  <dimension ref="A1:S115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4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9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9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35</v>
      </c>
    </row>
    <row r="6" spans="1:19" x14ac:dyDescent="0.2">
      <c r="A6" s="5" t="s">
        <v>36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237859398</v>
      </c>
    </row>
    <row r="10" spans="1:19" x14ac:dyDescent="0.2">
      <c r="A10" s="11">
        <v>43533</v>
      </c>
      <c r="C10" s="12">
        <v>1036143609</v>
      </c>
      <c r="D10" s="13">
        <v>2131331</v>
      </c>
      <c r="E10" s="13">
        <f>5824521.61+2228.64</f>
        <v>5826750.25</v>
      </c>
      <c r="F10" s="13">
        <f t="shared" ref="F10:F15" si="0">10415329.94</f>
        <v>10415329.939999999</v>
      </c>
      <c r="G10" s="14">
        <f t="shared" ref="G10:G33" si="1">E10-D10</f>
        <v>3695419.25</v>
      </c>
      <c r="H10" s="14">
        <f t="shared" ref="H10:H33" si="2">F10-D10</f>
        <v>8283998.9399999995</v>
      </c>
      <c r="I10" s="15">
        <v>0.21</v>
      </c>
      <c r="J10" s="15">
        <v>0.05</v>
      </c>
      <c r="K10" s="16">
        <f t="shared" ref="K10:K26" si="3">G10*I10-L10*I10</f>
        <v>689056.05362999998</v>
      </c>
      <c r="L10" s="16">
        <f t="shared" ref="L10:L33" si="4">H10*J10</f>
        <v>414199.94699999999</v>
      </c>
      <c r="M10" s="16">
        <f t="shared" ref="M10:M33" si="5">M9+K10+L10</f>
        <v>238962654.00062999</v>
      </c>
      <c r="N10" s="16">
        <v>5181.0600000000004</v>
      </c>
      <c r="O10" s="17"/>
      <c r="S10" s="18"/>
    </row>
    <row r="11" spans="1:19" x14ac:dyDescent="0.2">
      <c r="A11" s="11">
        <v>43556</v>
      </c>
      <c r="C11" s="12">
        <v>1036143609</v>
      </c>
      <c r="D11" s="13">
        <v>2131335</v>
      </c>
      <c r="E11" s="13">
        <f>5824521.61+2228.64</f>
        <v>5826750.25</v>
      </c>
      <c r="F11" s="13">
        <f t="shared" si="0"/>
        <v>10415329.939999999</v>
      </c>
      <c r="G11" s="14">
        <f t="shared" si="1"/>
        <v>3695415.25</v>
      </c>
      <c r="H11" s="14">
        <f t="shared" si="2"/>
        <v>8283994.9399999995</v>
      </c>
      <c r="I11" s="15">
        <v>0.21</v>
      </c>
      <c r="J11" s="15">
        <v>0.05</v>
      </c>
      <c r="K11" s="16">
        <f t="shared" si="3"/>
        <v>689055.25563000003</v>
      </c>
      <c r="L11" s="16">
        <f t="shared" si="4"/>
        <v>414199.74699999997</v>
      </c>
      <c r="M11" s="16">
        <f t="shared" si="5"/>
        <v>240065909.00325999</v>
      </c>
      <c r="N11" s="16">
        <v>7575.73</v>
      </c>
      <c r="O11" s="17"/>
      <c r="Q11" s="16">
        <f>358619-M12</f>
        <v>-240247915.99908999</v>
      </c>
      <c r="S11" s="18"/>
    </row>
    <row r="12" spans="1:19" x14ac:dyDescent="0.2">
      <c r="A12" s="11">
        <v>43586</v>
      </c>
      <c r="C12" s="12">
        <v>1036143609</v>
      </c>
      <c r="D12" s="13">
        <v>4386364</v>
      </c>
      <c r="E12" s="13">
        <f>5824521.61+2232.11</f>
        <v>5826753.7200000007</v>
      </c>
      <c r="F12" s="13">
        <f t="shared" si="0"/>
        <v>10415329.939999999</v>
      </c>
      <c r="G12" s="14">
        <f t="shared" si="1"/>
        <v>1440389.7200000007</v>
      </c>
      <c r="H12" s="14">
        <f t="shared" si="2"/>
        <v>6028965.9399999995</v>
      </c>
      <c r="I12" s="15">
        <v>0.21</v>
      </c>
      <c r="J12" s="15">
        <v>0.05</v>
      </c>
      <c r="K12" s="16">
        <f t="shared" si="3"/>
        <v>239177.69883000015</v>
      </c>
      <c r="L12" s="16">
        <f t="shared" si="4"/>
        <v>301448.29699999996</v>
      </c>
      <c r="M12" s="16">
        <f t="shared" si="5"/>
        <v>240606534.99908999</v>
      </c>
      <c r="N12" s="16">
        <v>7549.56</v>
      </c>
      <c r="Q12">
        <f>+Q11/0.389</f>
        <v>-617603897.16989708</v>
      </c>
      <c r="R12" s="16"/>
      <c r="S12" s="18"/>
    </row>
    <row r="13" spans="1:19" x14ac:dyDescent="0.2">
      <c r="A13" s="11">
        <v>43617</v>
      </c>
      <c r="C13" s="12">
        <v>1036143609</v>
      </c>
      <c r="D13" s="13">
        <v>4386364</v>
      </c>
      <c r="E13" s="13">
        <f>5824521.61+2227.37</f>
        <v>5826748.9800000004</v>
      </c>
      <c r="F13" s="13">
        <f t="shared" si="0"/>
        <v>10415329.939999999</v>
      </c>
      <c r="G13" s="14">
        <f t="shared" si="1"/>
        <v>1440384.9800000004</v>
      </c>
      <c r="H13" s="14">
        <f t="shared" si="2"/>
        <v>6028965.9399999995</v>
      </c>
      <c r="I13" s="15">
        <v>0.21</v>
      </c>
      <c r="J13" s="15">
        <v>0.05</v>
      </c>
      <c r="K13" s="16">
        <f t="shared" si="3"/>
        <v>239176.70343000008</v>
      </c>
      <c r="L13" s="16">
        <f t="shared" si="4"/>
        <v>301448.29699999996</v>
      </c>
      <c r="M13" s="16">
        <f t="shared" si="5"/>
        <v>241147159.99951997</v>
      </c>
      <c r="N13" s="16">
        <v>7469.83</v>
      </c>
      <c r="Q13" s="16">
        <f>374733-M14</f>
        <v>-241313052.83994997</v>
      </c>
      <c r="S13" s="18"/>
    </row>
    <row r="14" spans="1:19" x14ac:dyDescent="0.2">
      <c r="A14" s="11">
        <v>43647</v>
      </c>
      <c r="C14" s="12">
        <v>1036143609</v>
      </c>
      <c r="D14" s="13">
        <v>4386364</v>
      </c>
      <c r="E14" s="13">
        <f>5824521.61+2227.37+4</f>
        <v>5826752.9800000004</v>
      </c>
      <c r="F14" s="13">
        <f t="shared" si="0"/>
        <v>10415329.939999999</v>
      </c>
      <c r="G14" s="14">
        <f t="shared" si="1"/>
        <v>1440388.9800000004</v>
      </c>
      <c r="H14" s="14">
        <f t="shared" si="2"/>
        <v>6028965.9399999995</v>
      </c>
      <c r="I14" s="15">
        <v>0.21</v>
      </c>
      <c r="J14" s="15">
        <v>0.05</v>
      </c>
      <c r="K14" s="16">
        <f t="shared" si="3"/>
        <v>239177.54343000011</v>
      </c>
      <c r="L14" s="16">
        <f t="shared" si="4"/>
        <v>301448.29699999996</v>
      </c>
      <c r="M14" s="16">
        <f t="shared" si="5"/>
        <v>241687785.83994997</v>
      </c>
      <c r="N14" s="16">
        <v>7416.88</v>
      </c>
      <c r="Q14">
        <f>+Q13/0.389</f>
        <v>-620342038.14897156</v>
      </c>
      <c r="R14" s="16"/>
      <c r="S14" s="18"/>
    </row>
    <row r="15" spans="1:19" x14ac:dyDescent="0.2">
      <c r="A15" s="11">
        <v>43678</v>
      </c>
      <c r="C15" s="12">
        <v>1036143609</v>
      </c>
      <c r="D15" s="13">
        <v>4386364</v>
      </c>
      <c r="E15" s="13">
        <f>5824521.61+2232.89</f>
        <v>5826754.5</v>
      </c>
      <c r="F15" s="13">
        <f t="shared" si="0"/>
        <v>10415329.939999999</v>
      </c>
      <c r="G15" s="14">
        <f t="shared" si="1"/>
        <v>1440390.5</v>
      </c>
      <c r="H15" s="14">
        <f t="shared" si="2"/>
        <v>6028965.9399999995</v>
      </c>
      <c r="I15" s="15">
        <v>0.21</v>
      </c>
      <c r="J15" s="15">
        <v>0.05</v>
      </c>
      <c r="K15" s="16">
        <f t="shared" si="3"/>
        <v>239177.86263000002</v>
      </c>
      <c r="L15" s="16">
        <f t="shared" si="4"/>
        <v>301448.29699999996</v>
      </c>
      <c r="M15" s="16">
        <f t="shared" si="5"/>
        <v>242228411.99957997</v>
      </c>
      <c r="N15" s="16">
        <v>7363.92</v>
      </c>
      <c r="Q15" s="16">
        <f>+M15-386700</f>
        <v>241841711.99957997</v>
      </c>
      <c r="R15" s="28"/>
      <c r="S15" s="18"/>
    </row>
    <row r="16" spans="1:19" x14ac:dyDescent="0.2">
      <c r="A16" s="11">
        <v>43717</v>
      </c>
      <c r="C16" s="12">
        <v>1036143609</v>
      </c>
      <c r="D16" s="13">
        <v>4386364</v>
      </c>
      <c r="E16" s="13">
        <f>5824521.61+2227.37</f>
        <v>5826748.9800000004</v>
      </c>
      <c r="F16" s="13">
        <f>10415329.94</f>
        <v>10415329.939999999</v>
      </c>
      <c r="G16" s="14">
        <f t="shared" si="1"/>
        <v>1440384.9800000004</v>
      </c>
      <c r="H16" s="14">
        <f t="shared" si="2"/>
        <v>6028965.9399999995</v>
      </c>
      <c r="I16" s="15">
        <v>0.21</v>
      </c>
      <c r="J16" s="15">
        <v>0.05</v>
      </c>
      <c r="K16" s="16">
        <f t="shared" si="3"/>
        <v>239176.70343000008</v>
      </c>
      <c r="L16" s="16">
        <f t="shared" si="4"/>
        <v>301448.29699999996</v>
      </c>
      <c r="M16" s="16">
        <f t="shared" si="5"/>
        <v>242769037.00000995</v>
      </c>
      <c r="N16" s="16">
        <v>7310.97</v>
      </c>
      <c r="O16" s="16"/>
      <c r="P16" s="16"/>
      <c r="Q16">
        <f>+Q15/0.389</f>
        <v>621701059.12488425</v>
      </c>
    </row>
    <row r="17" spans="1:16" x14ac:dyDescent="0.2">
      <c r="A17" s="11">
        <v>43739</v>
      </c>
      <c r="C17" s="12">
        <v>1036143609</v>
      </c>
      <c r="D17" s="13">
        <v>4386364</v>
      </c>
      <c r="E17" s="13">
        <f>5824521.61+2227.37+4</f>
        <v>5826752.9800000004</v>
      </c>
      <c r="F17" s="13">
        <f>10415329.94</f>
        <v>10415329.939999999</v>
      </c>
      <c r="G17" s="14">
        <f t="shared" si="1"/>
        <v>1440388.9800000004</v>
      </c>
      <c r="H17" s="14">
        <f t="shared" si="2"/>
        <v>6028965.9399999995</v>
      </c>
      <c r="I17" s="15">
        <v>0.21</v>
      </c>
      <c r="J17" s="15">
        <v>0.05</v>
      </c>
      <c r="K17" s="16">
        <f t="shared" si="3"/>
        <v>239177.54343000011</v>
      </c>
      <c r="L17" s="16">
        <f t="shared" si="4"/>
        <v>301448.29699999996</v>
      </c>
      <c r="M17" s="16">
        <f t="shared" si="5"/>
        <v>243309662.84043995</v>
      </c>
      <c r="N17" s="16">
        <v>7258.02</v>
      </c>
      <c r="O17" s="16"/>
      <c r="P17" s="16"/>
    </row>
    <row r="18" spans="1:16" x14ac:dyDescent="0.2">
      <c r="A18" s="11">
        <v>43770</v>
      </c>
      <c r="C18" s="12">
        <v>1036143609</v>
      </c>
      <c r="D18" s="13">
        <v>4386364</v>
      </c>
      <c r="E18" s="13">
        <f>5824521.61+2227.37+4</f>
        <v>5826752.9800000004</v>
      </c>
      <c r="F18" s="13">
        <f>10415329.94</f>
        <v>10415329.939999999</v>
      </c>
      <c r="G18" s="14">
        <f t="shared" si="1"/>
        <v>1440388.9800000004</v>
      </c>
      <c r="H18" s="14">
        <f t="shared" si="2"/>
        <v>6028965.9399999995</v>
      </c>
      <c r="I18" s="15">
        <v>0.21</v>
      </c>
      <c r="J18" s="15">
        <v>0.05</v>
      </c>
      <c r="K18" s="16">
        <f t="shared" si="3"/>
        <v>239177.54343000011</v>
      </c>
      <c r="L18" s="16">
        <f t="shared" si="4"/>
        <v>301448.29699999996</v>
      </c>
      <c r="M18" s="16">
        <f t="shared" si="5"/>
        <v>243850288.68086994</v>
      </c>
      <c r="N18" s="16">
        <v>7205.06</v>
      </c>
      <c r="O18" s="16"/>
      <c r="P18" s="16"/>
    </row>
    <row r="19" spans="1:16" x14ac:dyDescent="0.2">
      <c r="A19" s="11">
        <v>43800</v>
      </c>
      <c r="C19" s="12">
        <v>1036143609</v>
      </c>
      <c r="D19" s="13">
        <v>4386364</v>
      </c>
      <c r="E19" s="13">
        <f>5824521.61+2227.37+2</f>
        <v>5826750.9800000004</v>
      </c>
      <c r="F19" s="13">
        <f>10415329.94</f>
        <v>10415329.939999999</v>
      </c>
      <c r="G19" s="14">
        <f t="shared" si="1"/>
        <v>1440386.9800000004</v>
      </c>
      <c r="H19" s="14">
        <f t="shared" si="2"/>
        <v>6028965.9399999995</v>
      </c>
      <c r="I19" s="15">
        <v>0.21</v>
      </c>
      <c r="J19" s="15">
        <v>0.05</v>
      </c>
      <c r="K19" s="16">
        <f t="shared" si="3"/>
        <v>239177.12343000012</v>
      </c>
      <c r="L19" s="16">
        <f t="shared" si="4"/>
        <v>301448.29699999996</v>
      </c>
      <c r="M19" s="16">
        <f t="shared" si="5"/>
        <v>244390914.10129994</v>
      </c>
      <c r="N19" s="16">
        <v>7152.11</v>
      </c>
    </row>
    <row r="20" spans="1:16" x14ac:dyDescent="0.2">
      <c r="A20" s="11">
        <v>43831</v>
      </c>
      <c r="C20" s="12">
        <v>1036143609</v>
      </c>
      <c r="D20" s="13">
        <v>4386364</v>
      </c>
      <c r="E20" s="13">
        <f>3971297.87-4</f>
        <v>3971293.87</v>
      </c>
      <c r="F20" s="13">
        <v>7830960.0199999996</v>
      </c>
      <c r="G20" s="14">
        <f t="shared" si="1"/>
        <v>-415070.12999999989</v>
      </c>
      <c r="H20" s="14">
        <f t="shared" si="2"/>
        <v>3444596.0199999996</v>
      </c>
      <c r="I20" s="15">
        <v>0.21</v>
      </c>
      <c r="J20" s="15">
        <v>0.05</v>
      </c>
      <c r="K20" s="16">
        <f t="shared" si="3"/>
        <v>-123332.98550999997</v>
      </c>
      <c r="L20" s="16">
        <f t="shared" si="4"/>
        <v>172229.80099999998</v>
      </c>
      <c r="M20" s="16">
        <f t="shared" si="5"/>
        <v>244439810.91678995</v>
      </c>
      <c r="N20" s="16">
        <v>9058.74</v>
      </c>
    </row>
    <row r="21" spans="1:16" x14ac:dyDescent="0.2">
      <c r="A21" s="11">
        <v>43862</v>
      </c>
      <c r="C21" s="12">
        <v>1036143609</v>
      </c>
      <c r="D21" s="13">
        <v>4386364</v>
      </c>
      <c r="E21" s="13">
        <f>3971297.87-6</f>
        <v>3971291.87</v>
      </c>
      <c r="F21" s="13">
        <v>7830960.0199999996</v>
      </c>
      <c r="G21" s="14">
        <f t="shared" si="1"/>
        <v>-415072.12999999989</v>
      </c>
      <c r="H21" s="14">
        <f t="shared" si="2"/>
        <v>3444596.0199999996</v>
      </c>
      <c r="I21" s="15">
        <v>0.21</v>
      </c>
      <c r="J21" s="15">
        <v>0.05</v>
      </c>
      <c r="K21" s="16">
        <f t="shared" si="3"/>
        <v>-123333.40550999995</v>
      </c>
      <c r="L21" s="16">
        <f t="shared" si="4"/>
        <v>172229.80099999998</v>
      </c>
      <c r="M21" s="16">
        <f t="shared" si="5"/>
        <v>244488707.31227994</v>
      </c>
      <c r="N21" s="16">
        <v>86961.07</v>
      </c>
    </row>
    <row r="22" spans="1:16" x14ac:dyDescent="0.2">
      <c r="A22" s="11">
        <v>43899</v>
      </c>
      <c r="C22" s="12">
        <v>1036143609</v>
      </c>
      <c r="D22" s="13">
        <v>4386364</v>
      </c>
      <c r="E22" s="13">
        <f>3971291.87+2</f>
        <v>3971293.87</v>
      </c>
      <c r="F22" s="13">
        <v>7830960.0199999996</v>
      </c>
      <c r="G22" s="14">
        <f t="shared" si="1"/>
        <v>-415070.12999999989</v>
      </c>
      <c r="H22" s="14">
        <f t="shared" si="2"/>
        <v>3444596.0199999996</v>
      </c>
      <c r="I22" s="15">
        <v>0.21</v>
      </c>
      <c r="J22" s="15">
        <v>0.05</v>
      </c>
      <c r="K22" s="16">
        <f t="shared" si="3"/>
        <v>-123332.98550999997</v>
      </c>
      <c r="L22" s="16">
        <f t="shared" si="4"/>
        <v>172229.80099999998</v>
      </c>
      <c r="M22" s="16">
        <f t="shared" si="5"/>
        <v>244537604.12776995</v>
      </c>
      <c r="N22" s="16">
        <v>86560.5</v>
      </c>
    </row>
    <row r="23" spans="1:16" x14ac:dyDescent="0.2">
      <c r="A23" s="11">
        <v>43922</v>
      </c>
      <c r="C23" s="12">
        <v>1036143609</v>
      </c>
      <c r="D23" s="13">
        <v>4386364.49</v>
      </c>
      <c r="E23" s="13">
        <f>3971291.87</f>
        <v>3971291.87</v>
      </c>
      <c r="F23" s="13">
        <v>7830960.0199999996</v>
      </c>
      <c r="G23" s="14">
        <f t="shared" si="1"/>
        <v>-415072.62000000011</v>
      </c>
      <c r="H23" s="14">
        <f t="shared" si="2"/>
        <v>3444595.5299999993</v>
      </c>
      <c r="I23" s="15">
        <v>0.21</v>
      </c>
      <c r="J23" s="15">
        <v>0.05</v>
      </c>
      <c r="K23" s="16">
        <f t="shared" si="3"/>
        <v>-123333.50326500002</v>
      </c>
      <c r="L23" s="16">
        <f t="shared" si="4"/>
        <v>172229.77649999998</v>
      </c>
      <c r="M23" s="16">
        <f t="shared" si="5"/>
        <v>244586500.40100494</v>
      </c>
      <c r="N23" s="16">
        <v>86159.93</v>
      </c>
    </row>
    <row r="24" spans="1:16" x14ac:dyDescent="0.2">
      <c r="A24" s="11">
        <v>43952</v>
      </c>
      <c r="C24" s="12">
        <v>1036143609</v>
      </c>
      <c r="D24" s="13">
        <v>4386364</v>
      </c>
      <c r="E24" s="13">
        <f>3971291.87</f>
        <v>3971291.87</v>
      </c>
      <c r="F24" s="13">
        <v>7830960.0199999996</v>
      </c>
      <c r="G24" s="14">
        <f t="shared" si="1"/>
        <v>-415072.12999999989</v>
      </c>
      <c r="H24" s="14">
        <f t="shared" si="2"/>
        <v>3444596.0199999996</v>
      </c>
      <c r="I24" s="15">
        <v>0.21</v>
      </c>
      <c r="J24" s="15">
        <v>0.05</v>
      </c>
      <c r="K24" s="16">
        <f t="shared" si="3"/>
        <v>-123333.40550999995</v>
      </c>
      <c r="L24" s="16">
        <f t="shared" si="4"/>
        <v>172229.80099999998</v>
      </c>
      <c r="M24" s="16">
        <f t="shared" si="5"/>
        <v>244635396.79649493</v>
      </c>
      <c r="N24" s="16">
        <v>85759.35</v>
      </c>
    </row>
    <row r="25" spans="1:16" x14ac:dyDescent="0.2">
      <c r="A25" s="11">
        <v>43983</v>
      </c>
      <c r="C25" s="12">
        <v>1036143609</v>
      </c>
      <c r="D25" s="13">
        <v>4386364</v>
      </c>
      <c r="E25" s="13">
        <f>3971291.87</f>
        <v>3971291.87</v>
      </c>
      <c r="F25" s="13">
        <v>7830960.0199999996</v>
      </c>
      <c r="G25" s="14">
        <f t="shared" si="1"/>
        <v>-415072.12999999989</v>
      </c>
      <c r="H25" s="14">
        <f t="shared" si="2"/>
        <v>3444596.0199999996</v>
      </c>
      <c r="I25" s="15">
        <v>0.21</v>
      </c>
      <c r="J25" s="15">
        <v>0.05</v>
      </c>
      <c r="K25" s="16">
        <f t="shared" si="3"/>
        <v>-123333.40550999995</v>
      </c>
      <c r="L25" s="16">
        <f t="shared" si="4"/>
        <v>172229.80099999998</v>
      </c>
      <c r="M25" s="16">
        <f t="shared" si="5"/>
        <v>244684293.19198492</v>
      </c>
      <c r="N25" s="16">
        <v>85358.78</v>
      </c>
    </row>
    <row r="26" spans="1:16" x14ac:dyDescent="0.2">
      <c r="A26" s="11">
        <v>44013</v>
      </c>
      <c r="C26" s="12">
        <v>1036143609</v>
      </c>
      <c r="D26" s="13">
        <v>4386363.5</v>
      </c>
      <c r="E26" s="13">
        <f>3971291.87</f>
        <v>3971291.87</v>
      </c>
      <c r="F26" s="13">
        <v>7830960.0199999996</v>
      </c>
      <c r="G26" s="14">
        <f t="shared" si="1"/>
        <v>-415071.62999999989</v>
      </c>
      <c r="H26" s="14">
        <f t="shared" si="2"/>
        <v>3444596.5199999996</v>
      </c>
      <c r="I26" s="15">
        <v>0.21</v>
      </c>
      <c r="J26" s="15">
        <v>0.05</v>
      </c>
      <c r="K26" s="16">
        <f t="shared" si="3"/>
        <v>-123333.30575999997</v>
      </c>
      <c r="L26" s="16">
        <f t="shared" si="4"/>
        <v>172229.826</v>
      </c>
      <c r="M26" s="16">
        <f t="shared" si="5"/>
        <v>244733189.71222493</v>
      </c>
      <c r="N26" s="16">
        <v>84958.21</v>
      </c>
    </row>
    <row r="27" spans="1:16" x14ac:dyDescent="0.2">
      <c r="A27" s="11">
        <v>44044</v>
      </c>
      <c r="C27" s="12">
        <v>1037147753</v>
      </c>
      <c r="D27" s="13">
        <v>4388987</v>
      </c>
      <c r="E27" s="13">
        <f>3978822.95</f>
        <v>3978822.95</v>
      </c>
      <c r="F27" s="13">
        <f>7838491.1</f>
        <v>7838491.0999999996</v>
      </c>
      <c r="G27" s="14">
        <f t="shared" si="1"/>
        <v>-410164.04999999981</v>
      </c>
      <c r="H27" s="14">
        <f t="shared" si="2"/>
        <v>3449504.0999999996</v>
      </c>
      <c r="I27" s="15">
        <v>0.21</v>
      </c>
      <c r="J27" s="15">
        <v>0.05</v>
      </c>
      <c r="K27" s="16">
        <f>G27*I27-L27*I27-47793.69-47793.69-19641</f>
        <v>-237582.62354999996</v>
      </c>
      <c r="L27" s="16">
        <f t="shared" si="4"/>
        <v>172475.20499999999</v>
      </c>
      <c r="M27" s="16">
        <f t="shared" si="5"/>
        <v>244668082.29367495</v>
      </c>
      <c r="N27" s="16">
        <v>84557.64</v>
      </c>
    </row>
    <row r="28" spans="1:16" x14ac:dyDescent="0.2">
      <c r="A28" s="11">
        <v>44083</v>
      </c>
      <c r="C28" s="12">
        <v>1037147753</v>
      </c>
      <c r="D28" s="13">
        <v>4391610</v>
      </c>
      <c r="E28" s="13">
        <f>3978822.95</f>
        <v>3978822.95</v>
      </c>
      <c r="F28" s="13">
        <f>7838491.1</f>
        <v>7838491.0999999996</v>
      </c>
      <c r="G28" s="14">
        <f t="shared" si="1"/>
        <v>-412787.04999999981</v>
      </c>
      <c r="H28" s="14">
        <f t="shared" si="2"/>
        <v>3446881.0999999996</v>
      </c>
      <c r="I28" s="15">
        <v>0.21</v>
      </c>
      <c r="J28" s="15">
        <v>0.05</v>
      </c>
      <c r="K28" s="16">
        <f>G28*I28-L28*I28-47793.69-47793.69-18986</f>
        <v>-237450.91204999996</v>
      </c>
      <c r="L28" s="16">
        <f t="shared" si="4"/>
        <v>172344.05499999999</v>
      </c>
      <c r="M28" s="16">
        <f t="shared" si="5"/>
        <v>244602975.43662494</v>
      </c>
      <c r="N28" s="16">
        <f>84157.06</f>
        <v>84157.06</v>
      </c>
    </row>
    <row r="29" spans="1:16" x14ac:dyDescent="0.2">
      <c r="A29" s="11">
        <v>44105</v>
      </c>
      <c r="C29" s="12">
        <v>1037147753</v>
      </c>
      <c r="D29" s="13">
        <v>4391610.49</v>
      </c>
      <c r="E29" s="13">
        <f>3978821.5</f>
        <v>3978821.5</v>
      </c>
      <c r="F29" s="13">
        <f>7838489.5</f>
        <v>7838489.5</v>
      </c>
      <c r="G29" s="14">
        <f t="shared" si="1"/>
        <v>-412788.99000000022</v>
      </c>
      <c r="H29" s="14">
        <f t="shared" si="2"/>
        <v>3446879.01</v>
      </c>
      <c r="I29" s="15">
        <v>0.21</v>
      </c>
      <c r="J29" s="15">
        <v>0.05</v>
      </c>
      <c r="K29" s="16">
        <f>G29*I29-L29*I29-47793.69-47793.69-18986.7</f>
        <v>-237451.99750500006</v>
      </c>
      <c r="L29" s="16">
        <f t="shared" si="4"/>
        <v>172343.95050000001</v>
      </c>
      <c r="M29" s="16">
        <f t="shared" si="5"/>
        <v>244537867.38961995</v>
      </c>
      <c r="N29" s="16">
        <f>83756.49</f>
        <v>83756.490000000005</v>
      </c>
    </row>
    <row r="30" spans="1:16" x14ac:dyDescent="0.2">
      <c r="A30" s="11">
        <v>44136</v>
      </c>
      <c r="C30" s="12">
        <v>1037147753</v>
      </c>
      <c r="D30" s="13">
        <v>4391610</v>
      </c>
      <c r="E30" s="13">
        <f>3978822.95</f>
        <v>3978822.95</v>
      </c>
      <c r="F30" s="13">
        <f>7838491.1</f>
        <v>7838491.0999999996</v>
      </c>
      <c r="G30" s="14">
        <f t="shared" si="1"/>
        <v>-412787.04999999981</v>
      </c>
      <c r="H30" s="14">
        <f t="shared" si="2"/>
        <v>3446881.0999999996</v>
      </c>
      <c r="I30" s="15">
        <v>0.21</v>
      </c>
      <c r="J30" s="15">
        <v>0.05</v>
      </c>
      <c r="K30" s="16">
        <f>G30*I30-L30*I30-47793.69-47793.69-18986.7</f>
        <v>-237451.61204999997</v>
      </c>
      <c r="L30" s="16">
        <f t="shared" si="4"/>
        <v>172344.05499999999</v>
      </c>
      <c r="M30" s="16">
        <f t="shared" si="5"/>
        <v>244472759.83256996</v>
      </c>
      <c r="N30" s="16">
        <f>136864.18</f>
        <v>136864.18</v>
      </c>
    </row>
    <row r="31" spans="1:16" x14ac:dyDescent="0.2">
      <c r="A31" s="11">
        <v>44166</v>
      </c>
      <c r="C31" s="12">
        <v>1038655484</v>
      </c>
      <c r="D31" s="13">
        <v>4393878</v>
      </c>
      <c r="E31" s="13">
        <f>4035362.87</f>
        <v>4035362.87</v>
      </c>
      <c r="F31" s="13">
        <v>7895031.0300000003</v>
      </c>
      <c r="G31" s="14">
        <f t="shared" si="1"/>
        <v>-358515.12999999989</v>
      </c>
      <c r="H31" s="14">
        <f t="shared" si="2"/>
        <v>3501153.0300000003</v>
      </c>
      <c r="I31" s="15">
        <v>0.21</v>
      </c>
      <c r="J31" s="15">
        <v>0.05</v>
      </c>
      <c r="K31" s="16">
        <f>G31*I31-L31*I31-47793.69-47793.69-18986.7</f>
        <v>-226624.364115</v>
      </c>
      <c r="L31" s="16">
        <f t="shared" si="4"/>
        <v>175057.65150000004</v>
      </c>
      <c r="M31" s="16">
        <f t="shared" si="5"/>
        <v>244421193.11995494</v>
      </c>
      <c r="N31" s="16">
        <v>136045.56</v>
      </c>
    </row>
    <row r="32" spans="1:16" x14ac:dyDescent="0.2">
      <c r="A32" s="11">
        <v>44197</v>
      </c>
      <c r="C32" s="12">
        <v>1038655484</v>
      </c>
      <c r="D32" s="13">
        <v>4396146</v>
      </c>
      <c r="E32" s="13">
        <f>3146629.31</f>
        <v>3146629.31</v>
      </c>
      <c r="F32" s="13">
        <f>6202303.12</f>
        <v>6202303.1200000001</v>
      </c>
      <c r="G32" s="14">
        <f t="shared" si="1"/>
        <v>-1249516.69</v>
      </c>
      <c r="H32" s="14">
        <f t="shared" si="2"/>
        <v>1806157.12</v>
      </c>
      <c r="I32" s="15">
        <v>0.21</v>
      </c>
      <c r="J32" s="15">
        <v>0.05</v>
      </c>
      <c r="K32" s="16">
        <f>G32*I32-L32*I32-216719.67</f>
        <v>-498082.82466000004</v>
      </c>
      <c r="L32" s="16">
        <f t="shared" si="4"/>
        <v>90307.856000000014</v>
      </c>
      <c r="M32" s="16">
        <f t="shared" si="5"/>
        <v>244013418.15129495</v>
      </c>
      <c r="N32" s="16">
        <v>142947</v>
      </c>
    </row>
    <row r="33" spans="1:14" x14ac:dyDescent="0.2">
      <c r="A33" s="11">
        <v>44228</v>
      </c>
      <c r="C33" s="12">
        <v>1038657007</v>
      </c>
      <c r="D33" s="13">
        <v>4396148</v>
      </c>
      <c r="E33" s="13">
        <f>3146634.5</f>
        <v>3146634.5</v>
      </c>
      <c r="F33" s="13">
        <v>6202308.3099999996</v>
      </c>
      <c r="G33" s="14">
        <f t="shared" si="1"/>
        <v>-1249513.5</v>
      </c>
      <c r="H33" s="14">
        <f t="shared" si="2"/>
        <v>1806160.3099999996</v>
      </c>
      <c r="I33" s="15">
        <v>0.21</v>
      </c>
      <c r="J33" s="15">
        <v>0.05</v>
      </c>
      <c r="K33" s="16">
        <f>G33*I33-L33*I33-216720.4</f>
        <v>-498082.91825499991</v>
      </c>
      <c r="L33" s="16">
        <f t="shared" si="4"/>
        <v>90308.01549999998</v>
      </c>
      <c r="M33" s="16">
        <f t="shared" si="5"/>
        <v>243605643.24853995</v>
      </c>
      <c r="N33" s="16">
        <v>212906.63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6" t="s">
        <v>48</v>
      </c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37</v>
      </c>
      <c r="D37" s="25"/>
      <c r="E37" s="25"/>
      <c r="F37" s="25"/>
      <c r="G37" s="26"/>
      <c r="H37" s="26"/>
    </row>
    <row r="38" spans="1:14" x14ac:dyDescent="0.2">
      <c r="C38" s="23" t="s">
        <v>49</v>
      </c>
      <c r="D38" s="25"/>
      <c r="E38" s="25"/>
      <c r="F38" s="25"/>
      <c r="G38" s="26"/>
      <c r="H38" s="2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360851</v>
      </c>
      <c r="D43" s="12">
        <v>4396148</v>
      </c>
      <c r="E43" s="12">
        <v>0</v>
      </c>
      <c r="F43" s="12">
        <f>E43-D43</f>
        <v>-4396148</v>
      </c>
      <c r="G43" s="15">
        <v>0.21</v>
      </c>
      <c r="H43" s="12">
        <f>F43*G43</f>
        <v>-923191.08</v>
      </c>
    </row>
    <row r="44" spans="1:14" x14ac:dyDescent="0.2">
      <c r="C44" s="12">
        <v>982514</v>
      </c>
      <c r="D44" s="12"/>
      <c r="E44" s="12">
        <v>3652.5</v>
      </c>
      <c r="F44" s="12">
        <f>E44</f>
        <v>3652.5</v>
      </c>
      <c r="G44" s="15">
        <v>0.21</v>
      </c>
      <c r="H44" s="12">
        <f t="shared" ref="H44:H76" si="6">F44*G44</f>
        <v>767.02499999999998</v>
      </c>
    </row>
    <row r="45" spans="1:14" x14ac:dyDescent="0.2">
      <c r="C45" s="12">
        <v>9377.5</v>
      </c>
      <c r="D45" s="12"/>
      <c r="E45" s="12">
        <v>0</v>
      </c>
      <c r="F45" s="12">
        <f t="shared" ref="F45:F76" si="7">E45</f>
        <v>0</v>
      </c>
      <c r="G45" s="15">
        <v>0.21</v>
      </c>
      <c r="H45" s="12">
        <f t="shared" si="6"/>
        <v>0</v>
      </c>
    </row>
    <row r="46" spans="1:14" x14ac:dyDescent="0.2">
      <c r="C46" s="12">
        <v>2975815</v>
      </c>
      <c r="D46" s="12"/>
      <c r="E46" s="12">
        <v>11065.07</v>
      </c>
      <c r="F46" s="12">
        <f t="shared" si="7"/>
        <v>11065.07</v>
      </c>
      <c r="G46" s="15">
        <v>0.21</v>
      </c>
      <c r="H46" s="12">
        <f t="shared" si="6"/>
        <v>2323.6646999999998</v>
      </c>
    </row>
    <row r="47" spans="1:14" x14ac:dyDescent="0.2">
      <c r="C47" s="12">
        <v>-5631.44</v>
      </c>
      <c r="D47" s="12"/>
      <c r="E47" s="12">
        <v>-21.4</v>
      </c>
      <c r="F47" s="12">
        <f t="shared" si="7"/>
        <v>-21.4</v>
      </c>
      <c r="G47" s="15">
        <v>0.21</v>
      </c>
      <c r="H47" s="12">
        <f t="shared" si="6"/>
        <v>-4.4939999999999998</v>
      </c>
    </row>
    <row r="48" spans="1:14" x14ac:dyDescent="0.2">
      <c r="C48" s="12">
        <v>64989652.743999988</v>
      </c>
      <c r="D48" s="12"/>
      <c r="E48" s="12">
        <v>244902.67</v>
      </c>
      <c r="F48" s="12">
        <f t="shared" si="7"/>
        <v>244902.67</v>
      </c>
      <c r="G48" s="15">
        <v>0.21</v>
      </c>
      <c r="H48" s="12">
        <f t="shared" si="6"/>
        <v>51429.560700000002</v>
      </c>
    </row>
    <row r="49" spans="3:8" x14ac:dyDescent="0.2">
      <c r="C49" s="12">
        <v>97484479.115999967</v>
      </c>
      <c r="D49" s="12"/>
      <c r="E49" s="12">
        <v>1063818.72</v>
      </c>
      <c r="F49" s="12">
        <f t="shared" si="7"/>
        <v>1063818.72</v>
      </c>
      <c r="G49" s="15">
        <v>0.21</v>
      </c>
      <c r="H49" s="12">
        <f t="shared" si="6"/>
        <v>223401.93119999999</v>
      </c>
    </row>
    <row r="50" spans="3:8" x14ac:dyDescent="0.2">
      <c r="C50" s="12">
        <v>3354199.04</v>
      </c>
      <c r="D50" s="12"/>
      <c r="E50" s="12">
        <v>12639.74</v>
      </c>
      <c r="F50" s="12">
        <f t="shared" si="7"/>
        <v>12639.74</v>
      </c>
      <c r="G50" s="15">
        <v>0.21</v>
      </c>
      <c r="H50" s="12">
        <f t="shared" si="6"/>
        <v>2654.3453999999997</v>
      </c>
    </row>
    <row r="51" spans="3:8" x14ac:dyDescent="0.2">
      <c r="C51" s="12">
        <v>2749178.17</v>
      </c>
      <c r="D51" s="12"/>
      <c r="E51" s="12">
        <v>11198.32</v>
      </c>
      <c r="F51" s="12">
        <f t="shared" si="7"/>
        <v>11198.32</v>
      </c>
      <c r="G51" s="15">
        <v>0.21</v>
      </c>
      <c r="H51" s="12">
        <f t="shared" si="6"/>
        <v>2351.6471999999999</v>
      </c>
    </row>
    <row r="52" spans="3:8" x14ac:dyDescent="0.2">
      <c r="C52" s="12">
        <v>4123767.2549999999</v>
      </c>
      <c r="D52" s="12"/>
      <c r="E52" s="12">
        <v>49092.467321428565</v>
      </c>
      <c r="F52" s="12">
        <f t="shared" si="7"/>
        <v>49092.467321428565</v>
      </c>
      <c r="G52" s="15">
        <v>0.21</v>
      </c>
      <c r="H52" s="12">
        <f t="shared" si="6"/>
        <v>10309.418137499999</v>
      </c>
    </row>
    <row r="53" spans="3:8" x14ac:dyDescent="0.2">
      <c r="C53" s="12">
        <v>73250212.46800001</v>
      </c>
      <c r="D53" s="12"/>
      <c r="E53" s="12">
        <v>298372.53000000003</v>
      </c>
      <c r="F53" s="12">
        <f t="shared" si="7"/>
        <v>298372.53000000003</v>
      </c>
      <c r="G53" s="15">
        <v>0.21</v>
      </c>
      <c r="H53" s="12">
        <f t="shared" si="6"/>
        <v>62658.231300000007</v>
      </c>
    </row>
    <row r="54" spans="3:8" x14ac:dyDescent="0.2">
      <c r="C54" s="12">
        <v>109875318.70200001</v>
      </c>
      <c r="D54" s="12"/>
      <c r="E54" s="12"/>
      <c r="F54" s="12">
        <f t="shared" si="7"/>
        <v>0</v>
      </c>
      <c r="G54" s="15">
        <v>0.21</v>
      </c>
      <c r="H54" s="12">
        <f t="shared" si="6"/>
        <v>0</v>
      </c>
    </row>
    <row r="55" spans="3:8" x14ac:dyDescent="0.2">
      <c r="C55" s="12">
        <v>787778.5340000001</v>
      </c>
      <c r="D55" s="12"/>
      <c r="E55" s="12">
        <v>3208.88</v>
      </c>
      <c r="F55" s="12">
        <f t="shared" si="7"/>
        <v>3208.88</v>
      </c>
      <c r="G55" s="15">
        <v>0.21</v>
      </c>
      <c r="H55" s="12">
        <f t="shared" si="6"/>
        <v>673.86479999999995</v>
      </c>
    </row>
    <row r="56" spans="3:8" x14ac:dyDescent="0.2">
      <c r="C56" s="12">
        <v>1181667.801</v>
      </c>
      <c r="D56" s="12"/>
      <c r="E56" s="12">
        <v>14067.47</v>
      </c>
      <c r="F56" s="12">
        <f t="shared" si="7"/>
        <v>14067.47</v>
      </c>
      <c r="G56" s="15">
        <v>0.21</v>
      </c>
      <c r="H56" s="12">
        <f t="shared" si="6"/>
        <v>2954.1686999999997</v>
      </c>
    </row>
    <row r="57" spans="3:8" x14ac:dyDescent="0.2">
      <c r="C57" s="12">
        <v>2965892.7320000008</v>
      </c>
      <c r="D57" s="12"/>
      <c r="E57" s="12">
        <v>12081.07</v>
      </c>
      <c r="F57" s="12">
        <f t="shared" si="7"/>
        <v>12081.07</v>
      </c>
      <c r="G57" s="15">
        <v>0.21</v>
      </c>
      <c r="H57" s="12">
        <f t="shared" si="6"/>
        <v>2537.0246999999999</v>
      </c>
    </row>
    <row r="58" spans="3:8" x14ac:dyDescent="0.2">
      <c r="C58" s="12">
        <v>4448839.0980000012</v>
      </c>
      <c r="D58" s="12"/>
      <c r="E58" s="12"/>
      <c r="F58" s="12">
        <f t="shared" si="7"/>
        <v>0</v>
      </c>
      <c r="G58" s="15">
        <v>0.21</v>
      </c>
      <c r="H58" s="12">
        <f t="shared" si="6"/>
        <v>0</v>
      </c>
    </row>
    <row r="59" spans="3:8" x14ac:dyDescent="0.2">
      <c r="C59" s="12">
        <v>61477.070000000007</v>
      </c>
      <c r="D59" s="12"/>
      <c r="E59" s="12">
        <v>250.42</v>
      </c>
      <c r="F59" s="12">
        <f t="shared" si="7"/>
        <v>250.42</v>
      </c>
      <c r="G59" s="15">
        <v>0.21</v>
      </c>
      <c r="H59" s="12">
        <f t="shared" si="6"/>
        <v>52.588199999999993</v>
      </c>
    </row>
    <row r="60" spans="3:8" x14ac:dyDescent="0.2">
      <c r="C60" s="12">
        <v>48864.22</v>
      </c>
      <c r="D60" s="12"/>
      <c r="E60" s="12">
        <v>215.21</v>
      </c>
      <c r="F60" s="12">
        <f t="shared" si="7"/>
        <v>215.21</v>
      </c>
      <c r="G60" s="15">
        <v>0.21</v>
      </c>
      <c r="H60" s="12">
        <f t="shared" si="6"/>
        <v>45.194099999999999</v>
      </c>
    </row>
    <row r="61" spans="3:8" x14ac:dyDescent="0.2">
      <c r="C61" s="12">
        <v>59018708.316</v>
      </c>
      <c r="D61" s="12"/>
      <c r="E61" s="12">
        <v>259928.23</v>
      </c>
      <c r="F61" s="12">
        <f t="shared" si="7"/>
        <v>259928.23</v>
      </c>
      <c r="G61" s="15">
        <v>0.21</v>
      </c>
      <c r="H61" s="12">
        <f t="shared" si="6"/>
        <v>54584.9283</v>
      </c>
    </row>
    <row r="62" spans="3:8" x14ac:dyDescent="0.2">
      <c r="C62" s="12">
        <v>88528062.473999992</v>
      </c>
      <c r="D62" s="12"/>
      <c r="E62" s="12">
        <v>1053905.51</v>
      </c>
      <c r="F62" s="12">
        <f t="shared" si="7"/>
        <v>1053905.51</v>
      </c>
      <c r="G62" s="15">
        <v>0.21</v>
      </c>
      <c r="H62" s="12">
        <f t="shared" si="6"/>
        <v>221320.15709999998</v>
      </c>
    </row>
    <row r="63" spans="3:8" x14ac:dyDescent="0.2">
      <c r="C63" s="12">
        <v>2761999.0980000007</v>
      </c>
      <c r="D63" s="12"/>
      <c r="E63" s="12">
        <v>12164.3</v>
      </c>
      <c r="F63" s="12">
        <f t="shared" si="7"/>
        <v>12164.3</v>
      </c>
      <c r="G63" s="15">
        <v>0.21</v>
      </c>
      <c r="H63" s="12">
        <f t="shared" si="6"/>
        <v>2554.5029999999997</v>
      </c>
    </row>
    <row r="64" spans="3:8" x14ac:dyDescent="0.2">
      <c r="C64" s="12">
        <v>1834207.4429999997</v>
      </c>
      <c r="D64" s="12"/>
      <c r="E64" s="12">
        <v>17832.57</v>
      </c>
      <c r="F64" s="12">
        <f t="shared" si="7"/>
        <v>17832.57</v>
      </c>
      <c r="G64" s="15">
        <v>0.21</v>
      </c>
      <c r="H64" s="12">
        <f t="shared" si="6"/>
        <v>3744.8397</v>
      </c>
    </row>
    <row r="65" spans="3:9" x14ac:dyDescent="0.2">
      <c r="C65" s="12">
        <v>2308791.2039999999</v>
      </c>
      <c r="D65" s="12"/>
      <c r="E65" s="12">
        <v>27485.61</v>
      </c>
      <c r="F65" s="12">
        <f t="shared" si="7"/>
        <v>27485.61</v>
      </c>
      <c r="G65" s="15">
        <v>0.21</v>
      </c>
      <c r="H65" s="12">
        <f t="shared" si="6"/>
        <v>5771.9781000000003</v>
      </c>
    </row>
    <row r="66" spans="3:9" x14ac:dyDescent="0.2">
      <c r="C66" s="12">
        <v>28925</v>
      </c>
      <c r="D66" s="12"/>
      <c r="E66" s="12">
        <v>137.71</v>
      </c>
      <c r="F66" s="12">
        <f t="shared" si="7"/>
        <v>137.71</v>
      </c>
      <c r="G66" s="15">
        <v>0.21</v>
      </c>
      <c r="H66" s="12">
        <f t="shared" si="6"/>
        <v>28.9191</v>
      </c>
    </row>
    <row r="67" spans="3:9" x14ac:dyDescent="0.2">
      <c r="C67" s="12">
        <v>1678783</v>
      </c>
      <c r="D67" s="12"/>
      <c r="E67" s="12">
        <v>7992.41</v>
      </c>
      <c r="F67" s="12">
        <f t="shared" si="7"/>
        <v>7992.41</v>
      </c>
      <c r="G67" s="15">
        <v>0.21</v>
      </c>
      <c r="H67" s="12">
        <f t="shared" si="6"/>
        <v>1678.4060999999999</v>
      </c>
    </row>
    <row r="68" spans="3:9" x14ac:dyDescent="0.2">
      <c r="C68" s="12">
        <v>5224318</v>
      </c>
      <c r="D68" s="12"/>
      <c r="E68" s="12"/>
      <c r="F68" s="12">
        <f t="shared" si="7"/>
        <v>0</v>
      </c>
      <c r="G68" s="15">
        <v>0.21</v>
      </c>
      <c r="H68" s="12">
        <f t="shared" si="6"/>
        <v>0</v>
      </c>
    </row>
    <row r="69" spans="3:9" x14ac:dyDescent="0.2">
      <c r="C69" s="12">
        <v>2238219</v>
      </c>
      <c r="D69" s="12"/>
      <c r="E69" s="12">
        <v>11521.23</v>
      </c>
      <c r="F69" s="12">
        <f t="shared" si="7"/>
        <v>11521.23</v>
      </c>
      <c r="G69" s="15">
        <v>0.21</v>
      </c>
      <c r="H69" s="12">
        <f t="shared" si="6"/>
        <v>2419.4582999999998</v>
      </c>
    </row>
    <row r="70" spans="3:9" x14ac:dyDescent="0.2">
      <c r="C70" s="12">
        <v>2433435</v>
      </c>
      <c r="D70" s="12"/>
      <c r="E70" s="12">
        <v>28969.46</v>
      </c>
      <c r="F70" s="12">
        <f t="shared" si="7"/>
        <v>28969.46</v>
      </c>
      <c r="G70" s="15">
        <v>0.21</v>
      </c>
      <c r="H70" s="12">
        <f t="shared" si="6"/>
        <v>6083.5865999999996</v>
      </c>
    </row>
    <row r="71" spans="3:9" x14ac:dyDescent="0.2">
      <c r="C71" s="12">
        <v>923894</v>
      </c>
      <c r="D71" s="12"/>
      <c r="E71" s="12">
        <v>15398.23</v>
      </c>
      <c r="F71" s="12">
        <f t="shared" si="7"/>
        <v>15398.23</v>
      </c>
      <c r="G71" s="29">
        <v>0.21</v>
      </c>
      <c r="H71" s="12">
        <f t="shared" si="6"/>
        <v>3233.6282999999999</v>
      </c>
    </row>
    <row r="72" spans="3:9" x14ac:dyDescent="0.2">
      <c r="C72" s="12">
        <v>2547757</v>
      </c>
      <c r="D72" s="12"/>
      <c r="E72" s="12">
        <v>23444.09</v>
      </c>
      <c r="F72" s="12">
        <f t="shared" si="7"/>
        <v>23444.09</v>
      </c>
      <c r="G72" s="29">
        <v>0.21</v>
      </c>
      <c r="H72" s="12">
        <f t="shared" si="6"/>
        <v>4923.2588999999998</v>
      </c>
    </row>
    <row r="73" spans="3:9" x14ac:dyDescent="0.2">
      <c r="C73" s="12">
        <v>-5508918</v>
      </c>
      <c r="D73" s="12"/>
      <c r="E73" s="12">
        <v>-51834.14</v>
      </c>
      <c r="F73" s="12">
        <f t="shared" si="7"/>
        <v>-51834.14</v>
      </c>
      <c r="G73" s="29">
        <v>0.21</v>
      </c>
      <c r="H73" s="12">
        <f t="shared" si="6"/>
        <v>-10885.169399999999</v>
      </c>
    </row>
    <row r="74" spans="3:9" x14ac:dyDescent="0.2">
      <c r="C74" s="12">
        <v>5285</v>
      </c>
      <c r="D74" s="12"/>
      <c r="E74" s="12">
        <v>29.41</v>
      </c>
      <c r="F74" s="12">
        <f t="shared" si="7"/>
        <v>29.41</v>
      </c>
      <c r="G74" s="29">
        <v>0.21</v>
      </c>
      <c r="H74" s="12">
        <f t="shared" si="6"/>
        <v>6.1760999999999999</v>
      </c>
    </row>
    <row r="75" spans="3:9" x14ac:dyDescent="0.2">
      <c r="C75" s="12">
        <f>1004143.76+1507731.31</f>
        <v>2511875.0700000003</v>
      </c>
      <c r="D75" s="12"/>
      <c r="E75" s="12">
        <f>6040.76+9070.26</f>
        <v>15111.02</v>
      </c>
      <c r="F75" s="12">
        <f t="shared" si="7"/>
        <v>15111.02</v>
      </c>
      <c r="G75" s="29">
        <v>0.21</v>
      </c>
      <c r="H75" s="12">
        <f t="shared" si="6"/>
        <v>3173.3141999999998</v>
      </c>
    </row>
    <row r="76" spans="3:9" ht="15" x14ac:dyDescent="0.35">
      <c r="C76" s="12">
        <v>1523.16</v>
      </c>
      <c r="D76" s="12"/>
      <c r="E76" s="24">
        <v>4.76</v>
      </c>
      <c r="F76" s="24">
        <f t="shared" si="7"/>
        <v>4.76</v>
      </c>
      <c r="G76" s="29">
        <v>0.21</v>
      </c>
      <c r="H76" s="24">
        <f t="shared" si="6"/>
        <v>0.99959999999999993</v>
      </c>
    </row>
    <row r="77" spans="3:9" x14ac:dyDescent="0.2">
      <c r="E77" s="12">
        <f>SUM(E43:E76)</f>
        <v>3146634.0673214276</v>
      </c>
      <c r="F77" s="12">
        <f>SUM(F43:F76)</f>
        <v>-1249513.9326785721</v>
      </c>
      <c r="G77" s="22" t="s">
        <v>27</v>
      </c>
      <c r="H77" s="12">
        <f>SUM(H43:H76)</f>
        <v>-262397.92586250004</v>
      </c>
    </row>
    <row r="78" spans="3:9" ht="15" x14ac:dyDescent="0.35">
      <c r="E78" s="16"/>
      <c r="F78" s="16"/>
      <c r="G78" s="22" t="s">
        <v>28</v>
      </c>
      <c r="H78" s="24">
        <f>-H114*0.21</f>
        <v>-18964.678844999999</v>
      </c>
    </row>
    <row r="79" spans="3:9" x14ac:dyDescent="0.2">
      <c r="H79" s="16">
        <f>H77+H78</f>
        <v>-281362.60470750002</v>
      </c>
    </row>
    <row r="80" spans="3:9" x14ac:dyDescent="0.2">
      <c r="H80" s="16">
        <f>H79-K33</f>
        <v>216720.31354749989</v>
      </c>
      <c r="I80" s="22" t="s">
        <v>52</v>
      </c>
    </row>
    <row r="81" spans="3:8" x14ac:dyDescent="0.2">
      <c r="C81" s="16" t="s">
        <v>29</v>
      </c>
      <c r="D81" s="25" t="s">
        <v>23</v>
      </c>
      <c r="E81" s="26" t="s">
        <v>30</v>
      </c>
      <c r="F81" s="16" t="s">
        <v>31</v>
      </c>
      <c r="G81" s="15" t="s">
        <v>13</v>
      </c>
      <c r="H81" s="16" t="s">
        <v>32</v>
      </c>
    </row>
    <row r="82" spans="3:8" x14ac:dyDescent="0.2">
      <c r="C82" s="12">
        <v>360851</v>
      </c>
      <c r="D82" s="12">
        <f>D43</f>
        <v>4396148</v>
      </c>
      <c r="E82" s="12">
        <v>0</v>
      </c>
      <c r="F82" s="12">
        <f>E82-D82</f>
        <v>-4396148</v>
      </c>
      <c r="G82" s="15">
        <v>0.05</v>
      </c>
      <c r="H82" s="12">
        <f>F82*G82</f>
        <v>-219807.40000000002</v>
      </c>
    </row>
    <row r="83" spans="3:8" x14ac:dyDescent="0.2">
      <c r="C83" s="12">
        <v>1965028</v>
      </c>
      <c r="D83" s="12"/>
      <c r="E83" s="12">
        <v>7304.99</v>
      </c>
      <c r="F83" s="12">
        <f>E83</f>
        <v>7304.99</v>
      </c>
      <c r="G83" s="15">
        <v>0.05</v>
      </c>
      <c r="H83" s="12">
        <f t="shared" ref="H83:H113" si="8">F83*G83</f>
        <v>365.24950000000001</v>
      </c>
    </row>
    <row r="84" spans="3:8" x14ac:dyDescent="0.2">
      <c r="C84" s="12">
        <v>18755</v>
      </c>
      <c r="D84" s="12"/>
      <c r="E84" s="12"/>
      <c r="F84" s="12">
        <f t="shared" ref="F84:F113" si="9">E84</f>
        <v>0</v>
      </c>
      <c r="G84" s="15">
        <v>0.05</v>
      </c>
      <c r="H84" s="12">
        <f t="shared" si="8"/>
        <v>0</v>
      </c>
    </row>
    <row r="85" spans="3:8" x14ac:dyDescent="0.2">
      <c r="C85" s="12">
        <v>3107470</v>
      </c>
      <c r="D85" s="12"/>
      <c r="E85" s="12">
        <v>11554.61</v>
      </c>
      <c r="F85" s="12">
        <f t="shared" si="9"/>
        <v>11554.61</v>
      </c>
      <c r="G85" s="15">
        <v>0.05</v>
      </c>
      <c r="H85" s="12">
        <f t="shared" si="8"/>
        <v>577.73050000000001</v>
      </c>
    </row>
    <row r="86" spans="3:8" x14ac:dyDescent="0.2">
      <c r="C86" s="12">
        <v>-5725</v>
      </c>
      <c r="D86" s="12"/>
      <c r="E86" s="12">
        <v>-21.57</v>
      </c>
      <c r="F86" s="12">
        <f t="shared" si="9"/>
        <v>-21.57</v>
      </c>
      <c r="G86" s="15">
        <v>0.05</v>
      </c>
      <c r="H86" s="12">
        <f t="shared" si="8"/>
        <v>-1.0785</v>
      </c>
    </row>
    <row r="87" spans="3:8" x14ac:dyDescent="0.2">
      <c r="C87" s="12">
        <v>127918333.47199999</v>
      </c>
      <c r="D87" s="12"/>
      <c r="E87" s="12">
        <v>482038.92</v>
      </c>
      <c r="F87" s="12">
        <f t="shared" si="9"/>
        <v>482038.92</v>
      </c>
      <c r="G87" s="15">
        <v>0.05</v>
      </c>
      <c r="H87" s="12">
        <f t="shared" si="8"/>
        <v>24101.946</v>
      </c>
    </row>
    <row r="88" spans="3:8" x14ac:dyDescent="0.2">
      <c r="C88" s="12">
        <v>191877500.20799997</v>
      </c>
      <c r="D88" s="12"/>
      <c r="E88" s="12">
        <v>2093901.29</v>
      </c>
      <c r="F88" s="12">
        <f t="shared" si="9"/>
        <v>2093901.29</v>
      </c>
      <c r="G88" s="15">
        <v>0.05</v>
      </c>
      <c r="H88" s="12">
        <f t="shared" si="8"/>
        <v>104695.06450000001</v>
      </c>
    </row>
    <row r="89" spans="3:8" x14ac:dyDescent="0.2">
      <c r="C89" s="12">
        <v>3354199.04</v>
      </c>
      <c r="D89" s="12"/>
      <c r="E89" s="12">
        <v>12639.74</v>
      </c>
      <c r="F89" s="12">
        <f t="shared" si="9"/>
        <v>12639.74</v>
      </c>
      <c r="G89" s="15">
        <v>0.05</v>
      </c>
      <c r="H89" s="12">
        <f t="shared" si="8"/>
        <v>631.98700000000008</v>
      </c>
    </row>
    <row r="90" spans="3:8" x14ac:dyDescent="0.2">
      <c r="C90" s="12">
        <v>5411173.5480000004</v>
      </c>
      <c r="D90" s="12"/>
      <c r="E90" s="12">
        <v>22041.51</v>
      </c>
      <c r="F90" s="12">
        <f t="shared" si="9"/>
        <v>22041.51</v>
      </c>
      <c r="G90" s="15">
        <v>0.05</v>
      </c>
      <c r="H90" s="12">
        <f t="shared" si="8"/>
        <v>1102.0754999999999</v>
      </c>
    </row>
    <row r="91" spans="3:8" x14ac:dyDescent="0.2">
      <c r="C91" s="12">
        <v>8116760.3219999988</v>
      </c>
      <c r="D91" s="12"/>
      <c r="E91" s="12">
        <v>96628.1</v>
      </c>
      <c r="F91" s="12">
        <f t="shared" si="9"/>
        <v>96628.1</v>
      </c>
      <c r="G91" s="15">
        <v>0.05</v>
      </c>
      <c r="H91" s="12">
        <f t="shared" si="8"/>
        <v>4831.4050000000007</v>
      </c>
    </row>
    <row r="92" spans="3:8" x14ac:dyDescent="0.2">
      <c r="C92" s="12">
        <v>143218226.94000003</v>
      </c>
      <c r="D92" s="12"/>
      <c r="E92" s="12">
        <v>583375.57999999996</v>
      </c>
      <c r="F92" s="12">
        <f t="shared" si="9"/>
        <v>583375.57999999996</v>
      </c>
      <c r="G92" s="15">
        <v>0.05</v>
      </c>
      <c r="H92" s="12">
        <f t="shared" si="8"/>
        <v>29168.778999999999</v>
      </c>
    </row>
    <row r="93" spans="3:8" x14ac:dyDescent="0.2">
      <c r="C93" s="12">
        <v>214827340.41</v>
      </c>
      <c r="D93" s="12"/>
      <c r="E93" s="12"/>
      <c r="F93" s="12">
        <f t="shared" si="9"/>
        <v>0</v>
      </c>
      <c r="G93" s="15">
        <v>0.05</v>
      </c>
      <c r="H93" s="12">
        <f t="shared" si="8"/>
        <v>0</v>
      </c>
    </row>
    <row r="94" spans="3:8" x14ac:dyDescent="0.2">
      <c r="C94" s="12">
        <v>1550574.7880000002</v>
      </c>
      <c r="D94" s="12"/>
      <c r="E94" s="12">
        <v>6316.01</v>
      </c>
      <c r="F94" s="12">
        <f t="shared" si="9"/>
        <v>6316.01</v>
      </c>
      <c r="G94" s="15">
        <v>0.05</v>
      </c>
      <c r="H94" s="12">
        <f t="shared" si="8"/>
        <v>315.80050000000006</v>
      </c>
    </row>
    <row r="95" spans="3:8" x14ac:dyDescent="0.2">
      <c r="C95" s="12">
        <v>2325862.182</v>
      </c>
      <c r="D95" s="12"/>
      <c r="E95" s="12">
        <v>27688.84</v>
      </c>
      <c r="F95" s="12">
        <f t="shared" si="9"/>
        <v>27688.84</v>
      </c>
      <c r="G95" s="15">
        <v>0.05</v>
      </c>
      <c r="H95" s="12">
        <f t="shared" si="8"/>
        <v>1384.442</v>
      </c>
    </row>
    <row r="96" spans="3:8" x14ac:dyDescent="0.2">
      <c r="C96" s="12">
        <v>5798889.6400000006</v>
      </c>
      <c r="D96" s="12"/>
      <c r="E96" s="12">
        <v>23620.81</v>
      </c>
      <c r="F96" s="12">
        <f t="shared" si="9"/>
        <v>23620.81</v>
      </c>
      <c r="G96" s="15">
        <v>0.05</v>
      </c>
      <c r="H96" s="12">
        <f t="shared" si="8"/>
        <v>1181.0405000000001</v>
      </c>
    </row>
    <row r="97" spans="3:8" x14ac:dyDescent="0.2">
      <c r="C97" s="12">
        <v>8698334.459999999</v>
      </c>
      <c r="D97" s="12"/>
      <c r="E97" s="12"/>
      <c r="F97" s="12">
        <f t="shared" si="9"/>
        <v>0</v>
      </c>
      <c r="G97" s="15">
        <v>0.05</v>
      </c>
      <c r="H97" s="12">
        <f t="shared" si="8"/>
        <v>0</v>
      </c>
    </row>
    <row r="98" spans="3:8" x14ac:dyDescent="0.2">
      <c r="C98" s="12">
        <v>61477.070000000007</v>
      </c>
      <c r="D98" s="12"/>
      <c r="E98" s="12">
        <v>250.42</v>
      </c>
      <c r="F98" s="12">
        <f t="shared" si="9"/>
        <v>250.42</v>
      </c>
      <c r="G98" s="15">
        <v>0.05</v>
      </c>
      <c r="H98" s="12">
        <f t="shared" si="8"/>
        <v>12.521000000000001</v>
      </c>
    </row>
    <row r="99" spans="3:8" x14ac:dyDescent="0.2">
      <c r="C99" s="12">
        <v>97728.44</v>
      </c>
      <c r="D99" s="12"/>
      <c r="E99" s="12">
        <v>430.41</v>
      </c>
      <c r="F99" s="12">
        <f t="shared" si="9"/>
        <v>430.41</v>
      </c>
      <c r="G99" s="15">
        <v>0.05</v>
      </c>
      <c r="H99" s="12">
        <f t="shared" si="8"/>
        <v>21.520500000000002</v>
      </c>
    </row>
    <row r="100" spans="3:8" x14ac:dyDescent="0.2">
      <c r="C100" s="12">
        <v>113639335.91600001</v>
      </c>
      <c r="D100" s="12"/>
      <c r="E100" s="12">
        <v>500486.58</v>
      </c>
      <c r="F100" s="12">
        <f t="shared" si="9"/>
        <v>500486.58</v>
      </c>
      <c r="G100" s="15">
        <v>0.05</v>
      </c>
      <c r="H100" s="12">
        <f t="shared" si="8"/>
        <v>25024.329000000002</v>
      </c>
    </row>
    <row r="101" spans="3:8" x14ac:dyDescent="0.2">
      <c r="C101" s="12">
        <v>170459003.87400001</v>
      </c>
      <c r="D101" s="12"/>
      <c r="E101" s="12">
        <v>2029273.86</v>
      </c>
      <c r="F101" s="12">
        <f t="shared" si="9"/>
        <v>2029273.86</v>
      </c>
      <c r="G101" s="15">
        <v>0.05</v>
      </c>
      <c r="H101" s="12">
        <f t="shared" si="8"/>
        <v>101463.69300000001</v>
      </c>
    </row>
    <row r="102" spans="3:8" x14ac:dyDescent="0.2">
      <c r="C102" s="12">
        <v>5354505.7920000004</v>
      </c>
      <c r="D102" s="12"/>
      <c r="E102" s="12">
        <v>23582.14</v>
      </c>
      <c r="F102" s="12">
        <f t="shared" si="9"/>
        <v>23582.14</v>
      </c>
      <c r="G102" s="15">
        <v>0.05</v>
      </c>
      <c r="H102" s="12">
        <f t="shared" si="8"/>
        <v>1179.107</v>
      </c>
    </row>
    <row r="103" spans="3:8" x14ac:dyDescent="0.2">
      <c r="C103" s="12">
        <v>3586227.6599999997</v>
      </c>
      <c r="D103" s="12"/>
      <c r="E103" s="12">
        <v>34866.1</v>
      </c>
      <c r="F103" s="12">
        <f t="shared" si="9"/>
        <v>34866.1</v>
      </c>
      <c r="G103" s="15">
        <v>0.05</v>
      </c>
      <c r="H103" s="12">
        <f t="shared" si="8"/>
        <v>1743.3050000000001</v>
      </c>
    </row>
    <row r="104" spans="3:8" x14ac:dyDescent="0.2">
      <c r="C104" s="12">
        <v>4445531.0279999999</v>
      </c>
      <c r="D104" s="12"/>
      <c r="E104" s="12">
        <v>52922.99</v>
      </c>
      <c r="F104" s="12">
        <f t="shared" si="9"/>
        <v>52922.99</v>
      </c>
      <c r="G104" s="15">
        <v>0.05</v>
      </c>
      <c r="H104" s="12">
        <f t="shared" si="8"/>
        <v>2646.1495</v>
      </c>
    </row>
    <row r="105" spans="3:8" x14ac:dyDescent="0.2">
      <c r="C105" s="12">
        <v>3386491</v>
      </c>
      <c r="D105" s="12"/>
      <c r="E105" s="12">
        <v>16122.52</v>
      </c>
      <c r="F105" s="12">
        <f t="shared" si="9"/>
        <v>16122.52</v>
      </c>
      <c r="G105" s="29">
        <v>0.05</v>
      </c>
      <c r="H105" s="12">
        <f t="shared" si="8"/>
        <v>806.12600000000009</v>
      </c>
    </row>
    <row r="106" spans="3:8" x14ac:dyDescent="0.2">
      <c r="C106" s="12">
        <v>4327946</v>
      </c>
      <c r="D106" s="12"/>
      <c r="E106" s="12">
        <v>22278.1</v>
      </c>
      <c r="F106" s="12">
        <f t="shared" si="9"/>
        <v>22278.1</v>
      </c>
      <c r="G106" s="29">
        <v>0.05</v>
      </c>
      <c r="H106" s="12">
        <f t="shared" si="8"/>
        <v>1113.905</v>
      </c>
    </row>
    <row r="107" spans="3:8" x14ac:dyDescent="0.2">
      <c r="C107" s="12">
        <v>4685530</v>
      </c>
      <c r="D107" s="12"/>
      <c r="E107" s="12">
        <v>55780.12</v>
      </c>
      <c r="F107" s="12">
        <f t="shared" si="9"/>
        <v>55780.12</v>
      </c>
      <c r="G107" s="29">
        <v>0.05</v>
      </c>
      <c r="H107" s="12">
        <f t="shared" si="8"/>
        <v>2789.0060000000003</v>
      </c>
    </row>
    <row r="108" spans="3:8" x14ac:dyDescent="0.2">
      <c r="C108" s="12">
        <v>1806390</v>
      </c>
      <c r="D108" s="12"/>
      <c r="E108" s="12">
        <v>30106.49</v>
      </c>
      <c r="F108" s="12">
        <f t="shared" si="9"/>
        <v>30106.49</v>
      </c>
      <c r="G108" s="29">
        <v>0.05</v>
      </c>
      <c r="H108" s="12">
        <f t="shared" si="8"/>
        <v>1505.3245000000002</v>
      </c>
    </row>
    <row r="109" spans="3:8" x14ac:dyDescent="0.2">
      <c r="C109" s="12">
        <v>5014718</v>
      </c>
      <c r="D109" s="12"/>
      <c r="E109" s="12">
        <f>10325.3+35819.42</f>
        <v>46144.72</v>
      </c>
      <c r="F109" s="12">
        <f t="shared" si="9"/>
        <v>46144.72</v>
      </c>
      <c r="G109" s="29">
        <v>0.05</v>
      </c>
      <c r="H109" s="12">
        <f t="shared" si="8"/>
        <v>2307.2360000000003</v>
      </c>
    </row>
    <row r="110" spans="3:8" x14ac:dyDescent="0.2">
      <c r="C110" s="12">
        <v>729864</v>
      </c>
      <c r="D110" s="12"/>
      <c r="E110" s="12">
        <f>1624.43+2734.11+3470.88</f>
        <v>7829.42</v>
      </c>
      <c r="F110" s="12">
        <f t="shared" si="9"/>
        <v>7829.42</v>
      </c>
      <c r="G110" s="29">
        <v>0.05</v>
      </c>
      <c r="H110" s="12">
        <f t="shared" si="8"/>
        <v>391.471</v>
      </c>
    </row>
    <row r="111" spans="3:8" x14ac:dyDescent="0.2">
      <c r="C111" s="12">
        <v>5285</v>
      </c>
      <c r="D111" s="12"/>
      <c r="E111" s="12">
        <v>29.41</v>
      </c>
      <c r="F111" s="12">
        <f t="shared" si="9"/>
        <v>29.41</v>
      </c>
      <c r="G111" s="29">
        <v>0.05</v>
      </c>
      <c r="H111" s="12">
        <f t="shared" si="8"/>
        <v>1.4705000000000001</v>
      </c>
    </row>
    <row r="112" spans="3:8" x14ac:dyDescent="0.2">
      <c r="C112" s="12">
        <f>C75</f>
        <v>2511875.0700000003</v>
      </c>
      <c r="D112" s="12"/>
      <c r="E112" s="12">
        <f>6040.76+9070.26</f>
        <v>15111.02</v>
      </c>
      <c r="F112" s="12">
        <f t="shared" si="9"/>
        <v>15111.02</v>
      </c>
      <c r="G112" s="29">
        <v>0.05</v>
      </c>
      <c r="H112" s="12">
        <f t="shared" si="8"/>
        <v>755.55100000000004</v>
      </c>
    </row>
    <row r="113" spans="3:8" ht="15" x14ac:dyDescent="0.35">
      <c r="C113" s="12">
        <f>C76</f>
        <v>1523.16</v>
      </c>
      <c r="D113" s="12"/>
      <c r="E113" s="24">
        <v>4.76</v>
      </c>
      <c r="F113" s="24">
        <f t="shared" si="9"/>
        <v>4.76</v>
      </c>
      <c r="G113" s="29">
        <v>0.05</v>
      </c>
      <c r="H113" s="24">
        <f t="shared" si="8"/>
        <v>0.23799999999999999</v>
      </c>
    </row>
    <row r="114" spans="3:8" x14ac:dyDescent="0.2">
      <c r="E114" s="16">
        <f>SUM(E82:E113)</f>
        <v>6202307.8899999987</v>
      </c>
      <c r="F114" s="16">
        <f>SUM(F82:F113)</f>
        <v>1806159.8900000008</v>
      </c>
      <c r="H114" s="16">
        <f>SUM(H82:H113)</f>
        <v>90307.994500000001</v>
      </c>
    </row>
    <row r="115" spans="3:8" x14ac:dyDescent="0.2">
      <c r="E115" s="16"/>
      <c r="F115" s="16"/>
      <c r="H115" s="16">
        <f>H114-L33</f>
        <v>-2.0999999978812411E-2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44" orientation="portrait" r:id="rId1"/>
  <headerFooter alignWithMargins="0">
    <oddHeader>&amp;R&amp;"Times New Roman,Bold"&amp;12Attachment to Response to Question No. 3
Page 4 of 8
Clements</oddHeader>
    <oddFooter>&amp;L_x000D_&amp;1#&amp;"Calibri"&amp;14&amp;K000000 Business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35CE-66BD-4ABA-9DFA-937B34BC478E}">
  <sheetPr>
    <pageSetUpPr fitToPage="1"/>
  </sheetPr>
  <dimension ref="A1:S63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9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9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35</v>
      </c>
    </row>
    <row r="6" spans="1:19" x14ac:dyDescent="0.2">
      <c r="A6" s="5" t="s">
        <v>38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21974560</v>
      </c>
    </row>
    <row r="10" spans="1:19" x14ac:dyDescent="0.2">
      <c r="A10" s="11">
        <v>43533</v>
      </c>
      <c r="C10" s="12">
        <v>100993470</v>
      </c>
      <c r="D10" s="13">
        <v>230399</v>
      </c>
      <c r="E10" s="13">
        <f>457026.21+22.76</f>
        <v>457048.97000000003</v>
      </c>
      <c r="F10" s="13">
        <f t="shared" ref="F10:F15" si="0">913551.06</f>
        <v>913551.06</v>
      </c>
      <c r="G10" s="14">
        <f t="shared" ref="G10:G33" si="1">E10-D10</f>
        <v>226649.97000000003</v>
      </c>
      <c r="H10" s="14">
        <f t="shared" ref="H10:H33" si="2">F10-D10</f>
        <v>683152.06</v>
      </c>
      <c r="I10" s="15">
        <v>0.21</v>
      </c>
      <c r="J10" s="15">
        <v>0.05</v>
      </c>
      <c r="K10" s="16">
        <f t="shared" ref="K10:K33" si="3">G10*I10-L10*I10</f>
        <v>40423.397070000006</v>
      </c>
      <c r="L10" s="16">
        <f t="shared" ref="L10:L33" si="4">H10*J10</f>
        <v>34157.603000000003</v>
      </c>
      <c r="M10" s="16">
        <f t="shared" ref="M10:M33" si="5">M9+K10+L10</f>
        <v>22049141.000070002</v>
      </c>
      <c r="N10" s="16">
        <v>0</v>
      </c>
      <c r="O10" s="17"/>
      <c r="S10" s="18"/>
    </row>
    <row r="11" spans="1:19" x14ac:dyDescent="0.2">
      <c r="A11" s="11">
        <v>43556</v>
      </c>
      <c r="C11" s="12">
        <v>100993470</v>
      </c>
      <c r="D11" s="13">
        <v>230399</v>
      </c>
      <c r="E11" s="13">
        <f>457026.21+22.76-4</f>
        <v>457044.97000000003</v>
      </c>
      <c r="F11" s="13">
        <f t="shared" si="0"/>
        <v>913551.06</v>
      </c>
      <c r="G11" s="14">
        <f t="shared" si="1"/>
        <v>226645.97000000003</v>
      </c>
      <c r="H11" s="14">
        <f t="shared" si="2"/>
        <v>683152.06</v>
      </c>
      <c r="I11" s="15">
        <v>0.21</v>
      </c>
      <c r="J11" s="15">
        <v>0.05</v>
      </c>
      <c r="K11" s="16">
        <f t="shared" si="3"/>
        <v>40422.557070000003</v>
      </c>
      <c r="L11" s="16">
        <f t="shared" si="4"/>
        <v>34157.603000000003</v>
      </c>
      <c r="M11" s="16">
        <f t="shared" si="5"/>
        <v>22123721.16014</v>
      </c>
      <c r="N11" s="16">
        <v>0</v>
      </c>
      <c r="O11" s="17"/>
      <c r="Q11" s="16">
        <f>358619-M12</f>
        <v>-21836210.001010001</v>
      </c>
      <c r="R11" s="22"/>
      <c r="S11" s="18"/>
    </row>
    <row r="12" spans="1:19" x14ac:dyDescent="0.2">
      <c r="A12" s="11">
        <v>43586</v>
      </c>
      <c r="C12" s="12">
        <v>100993470</v>
      </c>
      <c r="D12" s="13">
        <v>244315</v>
      </c>
      <c r="E12" s="13">
        <f>457026.21+17.44</f>
        <v>457043.65</v>
      </c>
      <c r="F12" s="13">
        <f t="shared" si="0"/>
        <v>913551.06</v>
      </c>
      <c r="G12" s="14">
        <f t="shared" si="1"/>
        <v>212728.65000000002</v>
      </c>
      <c r="H12" s="14">
        <f t="shared" si="2"/>
        <v>669236.06000000006</v>
      </c>
      <c r="I12" s="15">
        <v>0.21</v>
      </c>
      <c r="J12" s="15">
        <v>0.05</v>
      </c>
      <c r="K12" s="16">
        <f t="shared" si="3"/>
        <v>37646.03787</v>
      </c>
      <c r="L12" s="16">
        <f t="shared" si="4"/>
        <v>33461.803000000007</v>
      </c>
      <c r="M12" s="16">
        <f t="shared" si="5"/>
        <v>22194829.001010001</v>
      </c>
      <c r="N12" s="16">
        <v>0</v>
      </c>
      <c r="Q12">
        <f>+Q11/0.389</f>
        <v>-56134215.940899745</v>
      </c>
      <c r="R12" s="16"/>
      <c r="S12" s="18"/>
    </row>
    <row r="13" spans="1:19" x14ac:dyDescent="0.2">
      <c r="A13" s="11">
        <v>43617</v>
      </c>
      <c r="C13" s="12">
        <v>100993470</v>
      </c>
      <c r="D13" s="13">
        <v>244315</v>
      </c>
      <c r="E13" s="13">
        <f>457026.21+18.19</f>
        <v>457044.4</v>
      </c>
      <c r="F13" s="13">
        <f t="shared" si="0"/>
        <v>913551.06</v>
      </c>
      <c r="G13" s="14">
        <f t="shared" si="1"/>
        <v>212729.40000000002</v>
      </c>
      <c r="H13" s="14">
        <f t="shared" si="2"/>
        <v>669236.06000000006</v>
      </c>
      <c r="I13" s="15">
        <v>0.21</v>
      </c>
      <c r="J13" s="15">
        <v>0.05</v>
      </c>
      <c r="K13" s="16">
        <f t="shared" si="3"/>
        <v>37646.195370000001</v>
      </c>
      <c r="L13" s="16">
        <f t="shared" si="4"/>
        <v>33461.803000000007</v>
      </c>
      <c r="M13" s="16">
        <f t="shared" si="5"/>
        <v>22265936.99938</v>
      </c>
      <c r="N13" s="16">
        <v>0</v>
      </c>
      <c r="Q13" s="16">
        <f>374733-M14</f>
        <v>-21962311.997749999</v>
      </c>
      <c r="S13" s="18"/>
    </row>
    <row r="14" spans="1:19" x14ac:dyDescent="0.2">
      <c r="A14" s="11">
        <v>43647</v>
      </c>
      <c r="C14" s="12">
        <v>100993470</v>
      </c>
      <c r="D14" s="13">
        <v>244315</v>
      </c>
      <c r="E14" s="13">
        <f>457026.21+18.19</f>
        <v>457044.4</v>
      </c>
      <c r="F14" s="13">
        <f t="shared" si="0"/>
        <v>913551.06</v>
      </c>
      <c r="G14" s="14">
        <f t="shared" si="1"/>
        <v>212729.40000000002</v>
      </c>
      <c r="H14" s="14">
        <f t="shared" si="2"/>
        <v>669236.06000000006</v>
      </c>
      <c r="I14" s="15">
        <v>0.21</v>
      </c>
      <c r="J14" s="15">
        <v>0.05</v>
      </c>
      <c r="K14" s="16">
        <f t="shared" si="3"/>
        <v>37646.195370000001</v>
      </c>
      <c r="L14" s="16">
        <f t="shared" si="4"/>
        <v>33461.803000000007</v>
      </c>
      <c r="M14" s="16">
        <f t="shared" si="5"/>
        <v>22337044.997749999</v>
      </c>
      <c r="N14" s="16">
        <v>0</v>
      </c>
      <c r="Q14">
        <f>+Q13/0.389</f>
        <v>-56458385.598329045</v>
      </c>
      <c r="R14" s="16"/>
      <c r="S14" s="18"/>
    </row>
    <row r="15" spans="1:19" x14ac:dyDescent="0.2">
      <c r="A15" s="11">
        <v>43678</v>
      </c>
      <c r="C15" s="12">
        <v>100993470</v>
      </c>
      <c r="D15" s="13">
        <v>244315</v>
      </c>
      <c r="E15" s="13">
        <f>457026.21+18.19</f>
        <v>457044.4</v>
      </c>
      <c r="F15" s="13">
        <f t="shared" si="0"/>
        <v>913551.06</v>
      </c>
      <c r="G15" s="14">
        <f t="shared" si="1"/>
        <v>212729.40000000002</v>
      </c>
      <c r="H15" s="14">
        <f t="shared" si="2"/>
        <v>669236.06000000006</v>
      </c>
      <c r="I15" s="15">
        <v>0.21</v>
      </c>
      <c r="J15" s="15">
        <v>0.05</v>
      </c>
      <c r="K15" s="16">
        <f t="shared" si="3"/>
        <v>37646.195370000001</v>
      </c>
      <c r="L15" s="16">
        <f t="shared" si="4"/>
        <v>33461.803000000007</v>
      </c>
      <c r="M15" s="16">
        <f t="shared" si="5"/>
        <v>22408152.996119998</v>
      </c>
      <c r="N15" s="16">
        <v>0</v>
      </c>
      <c r="Q15" s="16">
        <f>+M15-386700</f>
        <v>22021452.996119998</v>
      </c>
      <c r="R15" s="28"/>
      <c r="S15" s="18"/>
    </row>
    <row r="16" spans="1:19" x14ac:dyDescent="0.2">
      <c r="A16" s="11">
        <v>43717</v>
      </c>
      <c r="C16" s="12">
        <v>100993470</v>
      </c>
      <c r="D16" s="13">
        <v>244315</v>
      </c>
      <c r="E16" s="13">
        <f>457026.21+16</f>
        <v>457042.21</v>
      </c>
      <c r="F16" s="13">
        <f>913551.06</f>
        <v>913551.06</v>
      </c>
      <c r="G16" s="14">
        <f t="shared" si="1"/>
        <v>212727.21000000002</v>
      </c>
      <c r="H16" s="14">
        <f t="shared" si="2"/>
        <v>669236.06000000006</v>
      </c>
      <c r="I16" s="15">
        <v>0.21</v>
      </c>
      <c r="J16" s="15">
        <v>0.05</v>
      </c>
      <c r="K16" s="16">
        <f t="shared" si="3"/>
        <v>37645.73547</v>
      </c>
      <c r="L16" s="16">
        <f t="shared" si="4"/>
        <v>33461.803000000007</v>
      </c>
      <c r="M16" s="16">
        <f t="shared" si="5"/>
        <v>22479260.534589998</v>
      </c>
      <c r="N16" s="16">
        <v>0</v>
      </c>
      <c r="O16" s="16"/>
      <c r="P16" s="16"/>
      <c r="Q16">
        <f>+Q15/0.389</f>
        <v>56610419.01316195</v>
      </c>
    </row>
    <row r="17" spans="1:16" x14ac:dyDescent="0.2">
      <c r="A17" s="11">
        <v>43739</v>
      </c>
      <c r="C17" s="12">
        <v>100993470</v>
      </c>
      <c r="D17" s="13">
        <v>244315</v>
      </c>
      <c r="E17" s="13">
        <f>457026.21+20</f>
        <v>457046.21</v>
      </c>
      <c r="F17" s="13">
        <f>913551.06</f>
        <v>913551.06</v>
      </c>
      <c r="G17" s="14">
        <f t="shared" si="1"/>
        <v>212731.21000000002</v>
      </c>
      <c r="H17" s="14">
        <f t="shared" si="2"/>
        <v>669236.06000000006</v>
      </c>
      <c r="I17" s="15">
        <v>0.21</v>
      </c>
      <c r="J17" s="15">
        <v>0.05</v>
      </c>
      <c r="K17" s="16">
        <f t="shared" si="3"/>
        <v>37646.575469999996</v>
      </c>
      <c r="L17" s="16">
        <f t="shared" si="4"/>
        <v>33461.803000000007</v>
      </c>
      <c r="M17" s="16">
        <f t="shared" si="5"/>
        <v>22550368.913059998</v>
      </c>
      <c r="N17" s="16">
        <v>0</v>
      </c>
      <c r="O17" s="16"/>
      <c r="P17" s="16"/>
    </row>
    <row r="18" spans="1:16" x14ac:dyDescent="0.2">
      <c r="A18" s="11">
        <v>43770</v>
      </c>
      <c r="C18" s="12">
        <v>100993470</v>
      </c>
      <c r="D18" s="13">
        <v>244315</v>
      </c>
      <c r="E18" s="13">
        <f>457026.21+20</f>
        <v>457046.21</v>
      </c>
      <c r="F18" s="13">
        <f>913551.06</f>
        <v>913551.06</v>
      </c>
      <c r="G18" s="14">
        <f t="shared" si="1"/>
        <v>212731.21000000002</v>
      </c>
      <c r="H18" s="14">
        <f t="shared" si="2"/>
        <v>669236.06000000006</v>
      </c>
      <c r="I18" s="15">
        <v>0.21</v>
      </c>
      <c r="J18" s="15">
        <v>0.05</v>
      </c>
      <c r="K18" s="16">
        <f t="shared" si="3"/>
        <v>37646.575469999996</v>
      </c>
      <c r="L18" s="16">
        <f t="shared" si="4"/>
        <v>33461.803000000007</v>
      </c>
      <c r="M18" s="16">
        <f t="shared" si="5"/>
        <v>22621477.291529998</v>
      </c>
      <c r="N18" s="16">
        <v>0</v>
      </c>
      <c r="O18" s="16"/>
      <c r="P18" s="16"/>
    </row>
    <row r="19" spans="1:16" x14ac:dyDescent="0.2">
      <c r="A19" s="11">
        <v>43800</v>
      </c>
      <c r="C19" s="12">
        <v>100993470</v>
      </c>
      <c r="D19" s="13">
        <v>244315</v>
      </c>
      <c r="E19" s="13">
        <f>457026.21+20-4</f>
        <v>457042.21</v>
      </c>
      <c r="F19" s="13">
        <f>913551.06</f>
        <v>913551.06</v>
      </c>
      <c r="G19" s="14">
        <f t="shared" si="1"/>
        <v>212727.21000000002</v>
      </c>
      <c r="H19" s="14">
        <f t="shared" si="2"/>
        <v>669236.06000000006</v>
      </c>
      <c r="I19" s="15">
        <v>0.21</v>
      </c>
      <c r="J19" s="15">
        <v>0.05</v>
      </c>
      <c r="K19" s="16">
        <f t="shared" si="3"/>
        <v>37645.73547</v>
      </c>
      <c r="L19" s="16">
        <f t="shared" si="4"/>
        <v>33461.803000000007</v>
      </c>
      <c r="M19" s="16">
        <f t="shared" si="5"/>
        <v>22692584.829999998</v>
      </c>
      <c r="N19" s="16">
        <v>0</v>
      </c>
    </row>
    <row r="20" spans="1:16" x14ac:dyDescent="0.2">
      <c r="A20" s="11">
        <v>43831</v>
      </c>
      <c r="C20" s="12">
        <v>100993470</v>
      </c>
      <c r="D20" s="13">
        <v>244315</v>
      </c>
      <c r="E20" s="13">
        <f>450190.07+4</f>
        <v>450194.07</v>
      </c>
      <c r="F20" s="13">
        <v>899495.42</v>
      </c>
      <c r="G20" s="14">
        <f t="shared" si="1"/>
        <v>205879.07</v>
      </c>
      <c r="H20" s="14">
        <f t="shared" si="2"/>
        <v>655180.42000000004</v>
      </c>
      <c r="I20" s="15">
        <v>0.21</v>
      </c>
      <c r="J20" s="15">
        <v>0.05</v>
      </c>
      <c r="K20" s="16">
        <f t="shared" si="3"/>
        <v>36355.210289999995</v>
      </c>
      <c r="L20" s="16">
        <f t="shared" si="4"/>
        <v>32759.021000000004</v>
      </c>
      <c r="M20" s="16">
        <f t="shared" si="5"/>
        <v>22761699.06129</v>
      </c>
      <c r="N20" s="16">
        <v>0</v>
      </c>
    </row>
    <row r="21" spans="1:16" x14ac:dyDescent="0.2">
      <c r="A21" s="11">
        <v>43862</v>
      </c>
      <c r="C21" s="12">
        <v>100993470</v>
      </c>
      <c r="D21" s="13">
        <v>244315</v>
      </c>
      <c r="E21" s="13">
        <f>450190.07</f>
        <v>450190.07</v>
      </c>
      <c r="F21" s="13">
        <v>899495.42</v>
      </c>
      <c r="G21" s="14">
        <f t="shared" si="1"/>
        <v>205875.07</v>
      </c>
      <c r="H21" s="14">
        <f t="shared" si="2"/>
        <v>655180.42000000004</v>
      </c>
      <c r="I21" s="15">
        <v>0.21</v>
      </c>
      <c r="J21" s="15">
        <v>0.05</v>
      </c>
      <c r="K21" s="16">
        <f t="shared" si="3"/>
        <v>36354.370289999999</v>
      </c>
      <c r="L21" s="16">
        <f t="shared" si="4"/>
        <v>32759.021000000004</v>
      </c>
      <c r="M21" s="16">
        <f t="shared" si="5"/>
        <v>22830812.452580001</v>
      </c>
      <c r="N21" s="16">
        <v>0</v>
      </c>
    </row>
    <row r="22" spans="1:16" x14ac:dyDescent="0.2">
      <c r="A22" s="11">
        <v>43899</v>
      </c>
      <c r="C22" s="12">
        <v>100993470</v>
      </c>
      <c r="D22" s="13">
        <v>244315.49</v>
      </c>
      <c r="E22" s="13">
        <f>450189.2</f>
        <v>450189.2</v>
      </c>
      <c r="F22" s="13">
        <v>899494.2</v>
      </c>
      <c r="G22" s="14">
        <f t="shared" si="1"/>
        <v>205873.71000000002</v>
      </c>
      <c r="H22" s="14">
        <f t="shared" si="2"/>
        <v>655178.71</v>
      </c>
      <c r="I22" s="15">
        <v>0.21</v>
      </c>
      <c r="J22" s="15">
        <v>0.05</v>
      </c>
      <c r="K22" s="16">
        <f t="shared" si="3"/>
        <v>36354.102645000006</v>
      </c>
      <c r="L22" s="16">
        <f t="shared" si="4"/>
        <v>32758.9355</v>
      </c>
      <c r="M22" s="16">
        <f t="shared" si="5"/>
        <v>22899925.490724999</v>
      </c>
      <c r="N22" s="16">
        <v>0</v>
      </c>
    </row>
    <row r="23" spans="1:16" x14ac:dyDescent="0.2">
      <c r="A23" s="11">
        <v>43922</v>
      </c>
      <c r="C23" s="12">
        <v>100993470</v>
      </c>
      <c r="D23" s="13">
        <v>244315</v>
      </c>
      <c r="E23" s="13">
        <f t="shared" ref="E23:E31" si="6">450190.07</f>
        <v>450190.07</v>
      </c>
      <c r="F23" s="13">
        <v>899495.42</v>
      </c>
      <c r="G23" s="14">
        <f t="shared" si="1"/>
        <v>205875.07</v>
      </c>
      <c r="H23" s="14">
        <f t="shared" si="2"/>
        <v>655180.42000000004</v>
      </c>
      <c r="I23" s="15">
        <v>0.21</v>
      </c>
      <c r="J23" s="15">
        <v>0.05</v>
      </c>
      <c r="K23" s="16">
        <f t="shared" si="3"/>
        <v>36354.370289999999</v>
      </c>
      <c r="L23" s="16">
        <f t="shared" si="4"/>
        <v>32759.021000000004</v>
      </c>
      <c r="M23" s="16">
        <f t="shared" si="5"/>
        <v>22969038.882015001</v>
      </c>
      <c r="N23" s="16">
        <v>0</v>
      </c>
    </row>
    <row r="24" spans="1:16" x14ac:dyDescent="0.2">
      <c r="A24" s="11">
        <v>43952</v>
      </c>
      <c r="C24" s="12">
        <v>100993470</v>
      </c>
      <c r="D24" s="13">
        <v>244315</v>
      </c>
      <c r="E24" s="13">
        <f t="shared" si="6"/>
        <v>450190.07</v>
      </c>
      <c r="F24" s="13">
        <v>899495.42</v>
      </c>
      <c r="G24" s="14">
        <f t="shared" si="1"/>
        <v>205875.07</v>
      </c>
      <c r="H24" s="14">
        <f t="shared" si="2"/>
        <v>655180.42000000004</v>
      </c>
      <c r="I24" s="15">
        <v>0.21</v>
      </c>
      <c r="J24" s="15">
        <v>0.05</v>
      </c>
      <c r="K24" s="16">
        <f t="shared" si="3"/>
        <v>36354.370289999999</v>
      </c>
      <c r="L24" s="16">
        <f t="shared" si="4"/>
        <v>32759.021000000004</v>
      </c>
      <c r="M24" s="16">
        <f t="shared" si="5"/>
        <v>23038152.273305003</v>
      </c>
      <c r="N24" s="16">
        <v>0</v>
      </c>
    </row>
    <row r="25" spans="1:16" x14ac:dyDescent="0.2">
      <c r="A25" s="11">
        <v>43983</v>
      </c>
      <c r="C25" s="12">
        <v>100993470</v>
      </c>
      <c r="D25" s="13">
        <v>244315</v>
      </c>
      <c r="E25" s="13">
        <f t="shared" si="6"/>
        <v>450190.07</v>
      </c>
      <c r="F25" s="13">
        <v>899495.42</v>
      </c>
      <c r="G25" s="14">
        <f t="shared" si="1"/>
        <v>205875.07</v>
      </c>
      <c r="H25" s="14">
        <f t="shared" si="2"/>
        <v>655180.42000000004</v>
      </c>
      <c r="I25" s="15">
        <v>0.21</v>
      </c>
      <c r="J25" s="15">
        <v>0.05</v>
      </c>
      <c r="K25" s="16">
        <f t="shared" si="3"/>
        <v>36354.370289999999</v>
      </c>
      <c r="L25" s="16">
        <f t="shared" si="4"/>
        <v>32759.021000000004</v>
      </c>
      <c r="M25" s="16">
        <f t="shared" si="5"/>
        <v>23107265.664595004</v>
      </c>
      <c r="N25" s="16">
        <v>0</v>
      </c>
    </row>
    <row r="26" spans="1:16" x14ac:dyDescent="0.2">
      <c r="A26" s="11">
        <v>44013</v>
      </c>
      <c r="C26" s="12">
        <v>100993470</v>
      </c>
      <c r="D26" s="13">
        <v>244315</v>
      </c>
      <c r="E26" s="13">
        <f t="shared" si="6"/>
        <v>450190.07</v>
      </c>
      <c r="F26" s="13">
        <v>899495.42</v>
      </c>
      <c r="G26" s="14">
        <f t="shared" si="1"/>
        <v>205875.07</v>
      </c>
      <c r="H26" s="14">
        <f t="shared" si="2"/>
        <v>655180.42000000004</v>
      </c>
      <c r="I26" s="15">
        <v>0.21</v>
      </c>
      <c r="J26" s="15">
        <v>0.05</v>
      </c>
      <c r="K26" s="16">
        <f t="shared" si="3"/>
        <v>36354.370289999999</v>
      </c>
      <c r="L26" s="16">
        <f t="shared" si="4"/>
        <v>32759.021000000004</v>
      </c>
      <c r="M26" s="16">
        <f t="shared" si="5"/>
        <v>23176379.055885006</v>
      </c>
      <c r="N26" s="16">
        <v>0</v>
      </c>
    </row>
    <row r="27" spans="1:16" x14ac:dyDescent="0.2">
      <c r="A27" s="11">
        <v>44044</v>
      </c>
      <c r="C27" s="12">
        <v>100993470</v>
      </c>
      <c r="D27" s="13">
        <v>244315.49</v>
      </c>
      <c r="E27" s="13">
        <f>450189.5</f>
        <v>450189.5</v>
      </c>
      <c r="F27" s="13">
        <v>899495.42</v>
      </c>
      <c r="G27" s="14">
        <f t="shared" si="1"/>
        <v>205874.01</v>
      </c>
      <c r="H27" s="14">
        <f t="shared" si="2"/>
        <v>655179.93000000005</v>
      </c>
      <c r="I27" s="15">
        <v>0.21</v>
      </c>
      <c r="J27" s="15">
        <v>0.05</v>
      </c>
      <c r="K27" s="16">
        <f t="shared" si="3"/>
        <v>36354.152835000001</v>
      </c>
      <c r="L27" s="16">
        <f t="shared" si="4"/>
        <v>32758.996500000005</v>
      </c>
      <c r="M27" s="16">
        <f t="shared" si="5"/>
        <v>23245492.205220006</v>
      </c>
      <c r="N27" s="16">
        <v>0</v>
      </c>
    </row>
    <row r="28" spans="1:16" x14ac:dyDescent="0.2">
      <c r="A28" s="11">
        <v>44083</v>
      </c>
      <c r="C28" s="12">
        <v>100993470</v>
      </c>
      <c r="D28" s="13">
        <v>244314.5</v>
      </c>
      <c r="E28" s="13">
        <f t="shared" si="6"/>
        <v>450190.07</v>
      </c>
      <c r="F28" s="13">
        <v>899495.42</v>
      </c>
      <c r="G28" s="14">
        <f t="shared" si="1"/>
        <v>205875.57</v>
      </c>
      <c r="H28" s="14">
        <f t="shared" si="2"/>
        <v>655180.92000000004</v>
      </c>
      <c r="I28" s="15">
        <v>0.21</v>
      </c>
      <c r="J28" s="15">
        <v>0.05</v>
      </c>
      <c r="K28" s="16">
        <f t="shared" si="3"/>
        <v>36354.47004</v>
      </c>
      <c r="L28" s="16">
        <f t="shared" si="4"/>
        <v>32759.046000000002</v>
      </c>
      <c r="M28" s="16">
        <f t="shared" si="5"/>
        <v>23314605.721260007</v>
      </c>
      <c r="N28" s="16">
        <v>0</v>
      </c>
    </row>
    <row r="29" spans="1:16" x14ac:dyDescent="0.2">
      <c r="A29" s="11">
        <v>44105</v>
      </c>
      <c r="C29" s="12">
        <v>100993470</v>
      </c>
      <c r="D29" s="13">
        <v>244315</v>
      </c>
      <c r="E29" s="13">
        <f t="shared" si="6"/>
        <v>450190.07</v>
      </c>
      <c r="F29" s="13">
        <v>899495.42</v>
      </c>
      <c r="G29" s="14">
        <f t="shared" si="1"/>
        <v>205875.07</v>
      </c>
      <c r="H29" s="14">
        <f t="shared" si="2"/>
        <v>655180.42000000004</v>
      </c>
      <c r="I29" s="15">
        <v>0.21</v>
      </c>
      <c r="J29" s="15">
        <v>0.05</v>
      </c>
      <c r="K29" s="16">
        <f t="shared" si="3"/>
        <v>36354.370289999999</v>
      </c>
      <c r="L29" s="16">
        <f t="shared" si="4"/>
        <v>32759.021000000004</v>
      </c>
      <c r="M29" s="16">
        <f t="shared" si="5"/>
        <v>23383719.112550009</v>
      </c>
      <c r="N29" s="16">
        <v>0</v>
      </c>
    </row>
    <row r="30" spans="1:16" x14ac:dyDescent="0.2">
      <c r="A30" s="11">
        <v>44136</v>
      </c>
      <c r="C30" s="12">
        <v>100993470</v>
      </c>
      <c r="D30" s="13">
        <v>244315.49</v>
      </c>
      <c r="E30" s="13">
        <f>450189.5</f>
        <v>450189.5</v>
      </c>
      <c r="F30" s="13">
        <v>899495.42</v>
      </c>
      <c r="G30" s="14">
        <f t="shared" si="1"/>
        <v>205874.01</v>
      </c>
      <c r="H30" s="14">
        <f t="shared" si="2"/>
        <v>655179.93000000005</v>
      </c>
      <c r="I30" s="15">
        <v>0.21</v>
      </c>
      <c r="J30" s="15">
        <v>0.05</v>
      </c>
      <c r="K30" s="16">
        <f t="shared" si="3"/>
        <v>36354.152835000001</v>
      </c>
      <c r="L30" s="16">
        <f t="shared" si="4"/>
        <v>32758.996500000005</v>
      </c>
      <c r="M30" s="16">
        <f t="shared" si="5"/>
        <v>23452832.26188501</v>
      </c>
      <c r="N30" s="16">
        <v>0</v>
      </c>
    </row>
    <row r="31" spans="1:16" x14ac:dyDescent="0.2">
      <c r="A31" s="11">
        <v>44166</v>
      </c>
      <c r="C31" s="12">
        <v>100993470</v>
      </c>
      <c r="D31" s="13">
        <v>244315</v>
      </c>
      <c r="E31" s="13">
        <f t="shared" si="6"/>
        <v>450190.07</v>
      </c>
      <c r="F31" s="13">
        <v>899495.42</v>
      </c>
      <c r="G31" s="14">
        <f t="shared" si="1"/>
        <v>205875.07</v>
      </c>
      <c r="H31" s="14">
        <f t="shared" si="2"/>
        <v>655180.42000000004</v>
      </c>
      <c r="I31" s="15">
        <v>0.21</v>
      </c>
      <c r="J31" s="15">
        <v>0.05</v>
      </c>
      <c r="K31" s="16">
        <f t="shared" si="3"/>
        <v>36354.370289999999</v>
      </c>
      <c r="L31" s="16">
        <f t="shared" si="4"/>
        <v>32759.021000000004</v>
      </c>
      <c r="M31" s="16">
        <f t="shared" si="5"/>
        <v>23521945.653175011</v>
      </c>
      <c r="N31" s="16">
        <v>0</v>
      </c>
    </row>
    <row r="32" spans="1:16" x14ac:dyDescent="0.2">
      <c r="A32" s="11">
        <v>44197</v>
      </c>
      <c r="C32" s="12">
        <v>100993470</v>
      </c>
      <c r="D32" s="13">
        <v>244315.49</v>
      </c>
      <c r="E32" s="13">
        <f>443428.19</f>
        <v>443428.19</v>
      </c>
      <c r="F32" s="13">
        <f>886038.09</f>
        <v>886038.09</v>
      </c>
      <c r="G32" s="14">
        <f t="shared" si="1"/>
        <v>199112.7</v>
      </c>
      <c r="H32" s="14">
        <f t="shared" si="2"/>
        <v>641722.6</v>
      </c>
      <c r="I32" s="15">
        <v>0.21</v>
      </c>
      <c r="J32" s="15">
        <v>0.05</v>
      </c>
      <c r="K32" s="16">
        <f t="shared" si="3"/>
        <v>35075.579700000002</v>
      </c>
      <c r="L32" s="16">
        <f t="shared" si="4"/>
        <v>32086.13</v>
      </c>
      <c r="M32" s="16">
        <f t="shared" si="5"/>
        <v>23589107.362875011</v>
      </c>
      <c r="N32" s="16">
        <v>0</v>
      </c>
    </row>
    <row r="33" spans="1:14" x14ac:dyDescent="0.2">
      <c r="A33" s="11">
        <v>44228</v>
      </c>
      <c r="C33" s="12">
        <v>100993470</v>
      </c>
      <c r="D33" s="13">
        <v>244315</v>
      </c>
      <c r="E33" s="13">
        <f>443428.19</f>
        <v>443428.19</v>
      </c>
      <c r="F33" s="13">
        <f>886038.09</f>
        <v>886038.09</v>
      </c>
      <c r="G33" s="14">
        <f t="shared" si="1"/>
        <v>199113.19</v>
      </c>
      <c r="H33" s="14">
        <f t="shared" si="2"/>
        <v>641723.09</v>
      </c>
      <c r="I33" s="15">
        <v>0.21</v>
      </c>
      <c r="J33" s="15">
        <v>0.05</v>
      </c>
      <c r="K33" s="16">
        <f t="shared" si="3"/>
        <v>35075.677454999997</v>
      </c>
      <c r="L33" s="16">
        <f t="shared" si="4"/>
        <v>32086.154500000001</v>
      </c>
      <c r="M33" s="16">
        <f t="shared" si="5"/>
        <v>23656269.194830012</v>
      </c>
      <c r="N33" s="16">
        <v>0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2"/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39</v>
      </c>
      <c r="D37" s="25"/>
      <c r="E37" s="25"/>
      <c r="F37" s="25"/>
      <c r="G37" s="26"/>
      <c r="H37" s="26"/>
    </row>
    <row r="38" spans="1:14" x14ac:dyDescent="0.2">
      <c r="C38" s="23" t="s">
        <v>49</v>
      </c>
      <c r="D38" s="25"/>
      <c r="E38" s="25"/>
      <c r="F38" s="25"/>
      <c r="G38" s="26"/>
      <c r="H38" s="2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19447093.452</v>
      </c>
      <c r="D43" s="12">
        <v>244315</v>
      </c>
      <c r="E43" s="12">
        <v>79214.490000000005</v>
      </c>
      <c r="F43" s="12">
        <f>E43-D43</f>
        <v>-165100.51</v>
      </c>
      <c r="G43" s="15">
        <v>0.21</v>
      </c>
      <c r="H43" s="12">
        <f>F43*G43</f>
        <v>-34671.107100000001</v>
      </c>
    </row>
    <row r="44" spans="1:14" x14ac:dyDescent="0.2">
      <c r="C44" s="12">
        <v>29170640.177999996</v>
      </c>
      <c r="D44" s="12"/>
      <c r="E44" s="12">
        <v>347269.53</v>
      </c>
      <c r="F44" s="12">
        <f>E44</f>
        <v>347269.53</v>
      </c>
      <c r="G44" s="15">
        <v>0.21</v>
      </c>
      <c r="H44" s="12">
        <f t="shared" ref="H44:H49" si="7">F44*G44</f>
        <v>72926.601300000009</v>
      </c>
    </row>
    <row r="45" spans="1:14" x14ac:dyDescent="0.2">
      <c r="C45" s="12">
        <v>584700.50199999998</v>
      </c>
      <c r="D45" s="12"/>
      <c r="E45" s="12">
        <v>2575.12</v>
      </c>
      <c r="F45" s="12">
        <f t="shared" ref="F45:F49" si="8">E45</f>
        <v>2575.12</v>
      </c>
      <c r="G45" s="15">
        <v>0.21</v>
      </c>
      <c r="H45" s="12">
        <f t="shared" si="7"/>
        <v>540.77519999999993</v>
      </c>
    </row>
    <row r="46" spans="1:14" x14ac:dyDescent="0.2">
      <c r="C46" s="12">
        <v>877050.75299999991</v>
      </c>
      <c r="D46" s="12"/>
      <c r="E46" s="12">
        <v>10441.08</v>
      </c>
      <c r="F46" s="12">
        <f t="shared" si="8"/>
        <v>10441.08</v>
      </c>
      <c r="G46" s="29">
        <v>0.21</v>
      </c>
      <c r="H46" s="12">
        <f t="shared" si="7"/>
        <v>2192.6268</v>
      </c>
    </row>
    <row r="47" spans="1:14" x14ac:dyDescent="0.2">
      <c r="C47" s="12">
        <v>137487</v>
      </c>
      <c r="D47" s="12"/>
      <c r="E47" s="12">
        <v>654.54999999999995</v>
      </c>
      <c r="F47" s="12">
        <f t="shared" si="8"/>
        <v>654.54999999999995</v>
      </c>
      <c r="G47" s="29">
        <v>0.21</v>
      </c>
      <c r="H47" s="12">
        <f t="shared" si="7"/>
        <v>137.45549999999997</v>
      </c>
    </row>
    <row r="48" spans="1:14" x14ac:dyDescent="0.2">
      <c r="C48" s="12">
        <v>206231</v>
      </c>
      <c r="D48" s="12"/>
      <c r="E48" s="12">
        <v>2455.13</v>
      </c>
      <c r="F48" s="12">
        <f t="shared" si="8"/>
        <v>2455.13</v>
      </c>
      <c r="G48" s="29">
        <v>0.21</v>
      </c>
      <c r="H48" s="12">
        <f t="shared" si="7"/>
        <v>515.57730000000004</v>
      </c>
    </row>
    <row r="49" spans="3:8" ht="15" x14ac:dyDescent="0.35">
      <c r="C49" s="12">
        <v>147065</v>
      </c>
      <c r="D49" s="12"/>
      <c r="E49" s="24">
        <v>818.3</v>
      </c>
      <c r="F49" s="24">
        <f t="shared" si="8"/>
        <v>818.3</v>
      </c>
      <c r="G49" s="29">
        <v>0.21</v>
      </c>
      <c r="H49" s="24">
        <f t="shared" si="7"/>
        <v>171.84299999999999</v>
      </c>
    </row>
    <row r="50" spans="3:8" x14ac:dyDescent="0.2">
      <c r="C50" s="12"/>
      <c r="D50" s="12"/>
      <c r="E50" s="12">
        <f>SUM(E43:E49)</f>
        <v>443428.2</v>
      </c>
      <c r="F50" s="12">
        <f>SUM(F43:F49)</f>
        <v>199113.19999999998</v>
      </c>
      <c r="G50" s="22" t="s">
        <v>27</v>
      </c>
      <c r="H50" s="12">
        <f>SUM(H43:H49)</f>
        <v>41813.771999999997</v>
      </c>
    </row>
    <row r="51" spans="3:8" ht="15" x14ac:dyDescent="0.35">
      <c r="E51" s="16"/>
      <c r="F51" s="16"/>
      <c r="G51" s="22" t="s">
        <v>28</v>
      </c>
      <c r="H51" s="24">
        <f>-H62*0.21</f>
        <v>-6738.0925500000012</v>
      </c>
    </row>
    <row r="52" spans="3:8" x14ac:dyDescent="0.2">
      <c r="H52" s="16">
        <f>H50+H51</f>
        <v>35075.679449999996</v>
      </c>
    </row>
    <row r="53" spans="3:8" x14ac:dyDescent="0.2">
      <c r="H53" s="16">
        <f>H52-K33</f>
        <v>1.9949999987147748E-3</v>
      </c>
    </row>
    <row r="54" spans="3:8" x14ac:dyDescent="0.2">
      <c r="C54" s="16" t="s">
        <v>29</v>
      </c>
      <c r="D54" s="25" t="s">
        <v>23</v>
      </c>
      <c r="E54" s="26" t="s">
        <v>30</v>
      </c>
      <c r="F54" s="16" t="s">
        <v>31</v>
      </c>
      <c r="G54" s="15" t="s">
        <v>13</v>
      </c>
      <c r="H54" s="16" t="s">
        <v>32</v>
      </c>
    </row>
    <row r="55" spans="3:8" x14ac:dyDescent="0.2">
      <c r="C55" s="12">
        <v>38894186.903999999</v>
      </c>
      <c r="D55" s="12">
        <f>D43</f>
        <v>244315</v>
      </c>
      <c r="E55" s="12">
        <v>158428.99</v>
      </c>
      <c r="F55" s="12">
        <f>E55-D55</f>
        <v>-85886.010000000009</v>
      </c>
      <c r="G55" s="15">
        <v>0.05</v>
      </c>
      <c r="H55" s="12">
        <f>F55*G55</f>
        <v>-4294.3005000000003</v>
      </c>
    </row>
    <row r="56" spans="3:8" x14ac:dyDescent="0.2">
      <c r="C56" s="12">
        <v>58341280.355999991</v>
      </c>
      <c r="D56" s="12"/>
      <c r="E56" s="12">
        <v>694539.05</v>
      </c>
      <c r="F56" s="12">
        <f>E56</f>
        <v>694539.05</v>
      </c>
      <c r="G56" s="15">
        <v>0.05</v>
      </c>
      <c r="H56" s="12">
        <f t="shared" ref="H56:H61" si="9">F56*G56</f>
        <v>34726.952500000007</v>
      </c>
    </row>
    <row r="57" spans="3:8" x14ac:dyDescent="0.2">
      <c r="C57" s="12">
        <v>1169401.004</v>
      </c>
      <c r="D57" s="12"/>
      <c r="E57" s="12">
        <v>5150.24</v>
      </c>
      <c r="F57" s="12">
        <f t="shared" ref="F57:F61" si="10">E57</f>
        <v>5150.24</v>
      </c>
      <c r="G57" s="15">
        <v>0.05</v>
      </c>
      <c r="H57" s="12">
        <f t="shared" si="9"/>
        <v>257.512</v>
      </c>
    </row>
    <row r="58" spans="3:8" x14ac:dyDescent="0.2">
      <c r="C58" s="12">
        <v>1754101.5059999998</v>
      </c>
      <c r="D58" s="12"/>
      <c r="E58" s="12">
        <v>20882.16</v>
      </c>
      <c r="F58" s="12">
        <f t="shared" si="10"/>
        <v>20882.16</v>
      </c>
      <c r="G58" s="15">
        <v>0.05</v>
      </c>
      <c r="H58" s="12">
        <f t="shared" si="9"/>
        <v>1044.1079999999999</v>
      </c>
    </row>
    <row r="59" spans="3:8" x14ac:dyDescent="0.2">
      <c r="C59" s="12">
        <v>274974</v>
      </c>
      <c r="D59" s="12"/>
      <c r="E59" s="12">
        <v>1309.1099999999999</v>
      </c>
      <c r="F59" s="12">
        <f t="shared" si="10"/>
        <v>1309.1099999999999</v>
      </c>
      <c r="G59" s="15">
        <v>0.05</v>
      </c>
      <c r="H59" s="12">
        <f t="shared" si="9"/>
        <v>65.455500000000001</v>
      </c>
    </row>
    <row r="60" spans="3:8" x14ac:dyDescent="0.2">
      <c r="C60" s="12">
        <v>412461</v>
      </c>
      <c r="D60" s="12"/>
      <c r="E60" s="12">
        <v>4910.25</v>
      </c>
      <c r="F60" s="12">
        <f t="shared" si="10"/>
        <v>4910.25</v>
      </c>
      <c r="G60" s="29">
        <v>0.05</v>
      </c>
      <c r="H60" s="12">
        <f t="shared" si="9"/>
        <v>245.51250000000002</v>
      </c>
    </row>
    <row r="61" spans="3:8" ht="15" x14ac:dyDescent="0.35">
      <c r="C61" s="12">
        <v>147065</v>
      </c>
      <c r="D61" s="12"/>
      <c r="E61" s="24">
        <v>818.3</v>
      </c>
      <c r="F61" s="24">
        <f t="shared" si="10"/>
        <v>818.3</v>
      </c>
      <c r="G61" s="29">
        <v>0.05</v>
      </c>
      <c r="H61" s="24">
        <f t="shared" si="9"/>
        <v>40.914999999999999</v>
      </c>
    </row>
    <row r="62" spans="3:8" x14ac:dyDescent="0.2">
      <c r="E62" s="16">
        <f>SUM(E55:E61)</f>
        <v>886038.10000000009</v>
      </c>
      <c r="F62" s="16">
        <f>SUM(F55:F61)</f>
        <v>641723.10000000009</v>
      </c>
      <c r="H62" s="12">
        <f>SUM(H55:H61)</f>
        <v>32086.155000000006</v>
      </c>
    </row>
    <row r="63" spans="3:8" x14ac:dyDescent="0.2">
      <c r="E63" s="16"/>
      <c r="F63" s="16"/>
      <c r="H63" s="16">
        <f>H62-L33</f>
        <v>5.0000000555883162E-4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8
Clements</oddHeader>
    <oddFooter>&amp;L_x000D_&amp;1#&amp;"Calibri"&amp;14&amp;K000000 Business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613D-7C57-4655-BE5E-40CADECABFFD}">
  <sheetPr>
    <pageSetUpPr fitToPage="1"/>
  </sheetPr>
  <dimension ref="A1:S76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9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9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9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4" t="s">
        <v>40</v>
      </c>
    </row>
    <row r="6" spans="1:19" x14ac:dyDescent="0.2">
      <c r="A6" s="5" t="s">
        <v>41</v>
      </c>
    </row>
    <row r="8" spans="1:19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9" x14ac:dyDescent="0.2">
      <c r="A9" s="9" t="s">
        <v>18</v>
      </c>
      <c r="M9" s="10">
        <v>858581</v>
      </c>
      <c r="O9" s="16" t="s">
        <v>42</v>
      </c>
    </row>
    <row r="10" spans="1:19" x14ac:dyDescent="0.2">
      <c r="A10" s="11">
        <v>43533</v>
      </c>
      <c r="C10" s="12">
        <v>4512896</v>
      </c>
      <c r="D10" s="13">
        <v>6779</v>
      </c>
      <c r="E10" s="13">
        <f>24213.64-4.56</f>
        <v>24209.079999999998</v>
      </c>
      <c r="F10" s="13">
        <f t="shared" ref="F10:F15" si="0">47327.95</f>
        <v>47327.95</v>
      </c>
      <c r="G10" s="14">
        <f t="shared" ref="G10:G33" si="1">E10-D10</f>
        <v>17430.079999999998</v>
      </c>
      <c r="H10" s="14">
        <f t="shared" ref="H10:H33" si="2">F10-D10</f>
        <v>40548.949999999997</v>
      </c>
      <c r="I10" s="15">
        <v>0.21</v>
      </c>
      <c r="J10" s="15">
        <v>0.05</v>
      </c>
      <c r="K10" s="16">
        <f t="shared" ref="K10:K33" si="3">G10*I10-L10*I10</f>
        <v>3234.5528249999998</v>
      </c>
      <c r="L10" s="16">
        <f t="shared" ref="L10:L33" si="4">H10*J10</f>
        <v>2027.4475</v>
      </c>
      <c r="M10" s="16">
        <f t="shared" ref="M10:M33" si="5">M9+K10+L10</f>
        <v>863843.00032500003</v>
      </c>
      <c r="N10" s="16">
        <v>0</v>
      </c>
      <c r="O10" s="17"/>
    </row>
    <row r="11" spans="1:19" x14ac:dyDescent="0.2">
      <c r="A11" s="11">
        <v>43556</v>
      </c>
      <c r="C11" s="12">
        <v>4512896</v>
      </c>
      <c r="D11" s="13">
        <v>6784</v>
      </c>
      <c r="E11" s="13">
        <f>24213.64-4.56</f>
        <v>24209.079999999998</v>
      </c>
      <c r="F11" s="13">
        <f t="shared" si="0"/>
        <v>47327.95</v>
      </c>
      <c r="G11" s="14">
        <f t="shared" si="1"/>
        <v>17425.079999999998</v>
      </c>
      <c r="H11" s="14">
        <f t="shared" si="2"/>
        <v>40543.949999999997</v>
      </c>
      <c r="I11" s="15">
        <v>0.21</v>
      </c>
      <c r="J11" s="15">
        <v>0.05</v>
      </c>
      <c r="K11" s="16">
        <f t="shared" si="3"/>
        <v>3233.5553249999994</v>
      </c>
      <c r="L11" s="16">
        <f t="shared" si="4"/>
        <v>2027.1975</v>
      </c>
      <c r="M11" s="16">
        <f t="shared" si="5"/>
        <v>869103.75315</v>
      </c>
      <c r="N11" s="16">
        <v>0</v>
      </c>
      <c r="O11" s="17"/>
      <c r="Q11" s="16">
        <f>358619-M12</f>
        <v>-512365.99897499999</v>
      </c>
      <c r="R11" s="22"/>
      <c r="S11" s="16"/>
    </row>
    <row r="12" spans="1:19" x14ac:dyDescent="0.2">
      <c r="A12" s="11">
        <v>43586</v>
      </c>
      <c r="C12" s="12">
        <v>4512896</v>
      </c>
      <c r="D12" s="13">
        <v>20334</v>
      </c>
      <c r="E12" s="13">
        <f>24213.64+1.24</f>
        <v>24214.880000000001</v>
      </c>
      <c r="F12" s="13">
        <f t="shared" si="0"/>
        <v>47327.95</v>
      </c>
      <c r="G12" s="14">
        <f t="shared" si="1"/>
        <v>3880.880000000001</v>
      </c>
      <c r="H12" s="14">
        <f t="shared" si="2"/>
        <v>26993.949999999997</v>
      </c>
      <c r="I12" s="15">
        <v>0.21</v>
      </c>
      <c r="J12" s="15">
        <v>0.05</v>
      </c>
      <c r="K12" s="16">
        <f t="shared" si="3"/>
        <v>531.5483250000002</v>
      </c>
      <c r="L12" s="16">
        <f t="shared" si="4"/>
        <v>1349.6975</v>
      </c>
      <c r="M12" s="16">
        <f t="shared" si="5"/>
        <v>870984.99897499999</v>
      </c>
      <c r="N12" s="16">
        <v>0</v>
      </c>
      <c r="Q12">
        <f>+Q11/0.389</f>
        <v>-1317136.244151671</v>
      </c>
      <c r="R12" s="16"/>
      <c r="S12" s="16"/>
    </row>
    <row r="13" spans="1:19" x14ac:dyDescent="0.2">
      <c r="A13" s="11">
        <v>43617</v>
      </c>
      <c r="C13" s="12">
        <v>4512896</v>
      </c>
      <c r="D13" s="13">
        <v>20334</v>
      </c>
      <c r="E13" s="13">
        <f t="shared" ref="E13:E19" si="6">24213.64</f>
        <v>24213.64</v>
      </c>
      <c r="F13" s="13">
        <f t="shared" si="0"/>
        <v>47327.95</v>
      </c>
      <c r="G13" s="14">
        <f t="shared" si="1"/>
        <v>3879.6399999999994</v>
      </c>
      <c r="H13" s="14">
        <f t="shared" si="2"/>
        <v>26993.949999999997</v>
      </c>
      <c r="I13" s="15">
        <v>0.21</v>
      </c>
      <c r="J13" s="15">
        <v>0.05</v>
      </c>
      <c r="K13" s="16">
        <f t="shared" si="3"/>
        <v>531.28792499999986</v>
      </c>
      <c r="L13" s="16">
        <f t="shared" si="4"/>
        <v>1349.6975</v>
      </c>
      <c r="M13" s="16">
        <f t="shared" si="5"/>
        <v>872865.98439999996</v>
      </c>
      <c r="N13" s="16">
        <v>0</v>
      </c>
      <c r="Q13" s="16">
        <f>374733-M14</f>
        <v>-500013.96982499992</v>
      </c>
      <c r="S13" s="16"/>
    </row>
    <row r="14" spans="1:19" x14ac:dyDescent="0.2">
      <c r="A14" s="11">
        <v>43647</v>
      </c>
      <c r="C14" s="12">
        <v>4512896</v>
      </c>
      <c r="D14" s="13">
        <v>20334</v>
      </c>
      <c r="E14" s="13">
        <f t="shared" si="6"/>
        <v>24213.64</v>
      </c>
      <c r="F14" s="13">
        <f t="shared" si="0"/>
        <v>47327.95</v>
      </c>
      <c r="G14" s="14">
        <f t="shared" si="1"/>
        <v>3879.6399999999994</v>
      </c>
      <c r="H14" s="14">
        <f t="shared" si="2"/>
        <v>26993.949999999997</v>
      </c>
      <c r="I14" s="15">
        <v>0.21</v>
      </c>
      <c r="J14" s="15">
        <v>0.05</v>
      </c>
      <c r="K14" s="16">
        <f t="shared" si="3"/>
        <v>531.28792499999986</v>
      </c>
      <c r="L14" s="16">
        <f t="shared" si="4"/>
        <v>1349.6975</v>
      </c>
      <c r="M14" s="16">
        <f t="shared" si="5"/>
        <v>874746.96982499992</v>
      </c>
      <c r="N14" s="16">
        <v>0</v>
      </c>
      <c r="Q14">
        <f>+Q13/0.389</f>
        <v>-1285382.9558483288</v>
      </c>
      <c r="R14" s="16"/>
      <c r="S14" s="16"/>
    </row>
    <row r="15" spans="1:19" x14ac:dyDescent="0.2">
      <c r="A15" s="11">
        <v>43678</v>
      </c>
      <c r="C15" s="12">
        <v>4512896</v>
      </c>
      <c r="D15" s="13">
        <v>20334</v>
      </c>
      <c r="E15" s="13">
        <f t="shared" si="6"/>
        <v>24213.64</v>
      </c>
      <c r="F15" s="13">
        <f t="shared" si="0"/>
        <v>47327.95</v>
      </c>
      <c r="G15" s="14">
        <f t="shared" si="1"/>
        <v>3879.6399999999994</v>
      </c>
      <c r="H15" s="14">
        <f t="shared" si="2"/>
        <v>26993.949999999997</v>
      </c>
      <c r="I15" s="15">
        <v>0.21</v>
      </c>
      <c r="J15" s="15">
        <v>0.05</v>
      </c>
      <c r="K15" s="16">
        <f t="shared" si="3"/>
        <v>531.28792499999986</v>
      </c>
      <c r="L15" s="16">
        <f t="shared" si="4"/>
        <v>1349.6975</v>
      </c>
      <c r="M15" s="16">
        <f t="shared" si="5"/>
        <v>876627.95524999988</v>
      </c>
      <c r="N15" s="16">
        <v>0</v>
      </c>
      <c r="Q15" s="16">
        <f>+M15-386700</f>
        <v>489927.95524999988</v>
      </c>
      <c r="R15" s="28"/>
      <c r="S15" s="16"/>
    </row>
    <row r="16" spans="1:19" x14ac:dyDescent="0.2">
      <c r="A16" s="11">
        <v>43717</v>
      </c>
      <c r="C16" s="12">
        <v>4512896</v>
      </c>
      <c r="D16" s="13">
        <v>20334</v>
      </c>
      <c r="E16" s="13">
        <f t="shared" si="6"/>
        <v>24213.64</v>
      </c>
      <c r="F16" s="13">
        <f>47327.95</f>
        <v>47327.95</v>
      </c>
      <c r="G16" s="14">
        <f t="shared" si="1"/>
        <v>3879.6399999999994</v>
      </c>
      <c r="H16" s="14">
        <f t="shared" si="2"/>
        <v>26993.949999999997</v>
      </c>
      <c r="I16" s="15">
        <v>0.21</v>
      </c>
      <c r="J16" s="15">
        <v>0.05</v>
      </c>
      <c r="K16" s="16">
        <f t="shared" si="3"/>
        <v>531.28792499999986</v>
      </c>
      <c r="L16" s="16">
        <f t="shared" si="4"/>
        <v>1349.6975</v>
      </c>
      <c r="M16" s="16">
        <f t="shared" si="5"/>
        <v>878508.94067499985</v>
      </c>
      <c r="N16" s="16">
        <v>0</v>
      </c>
      <c r="O16" s="16"/>
      <c r="P16" s="16"/>
    </row>
    <row r="17" spans="1:16" x14ac:dyDescent="0.2">
      <c r="A17" s="11">
        <v>43739</v>
      </c>
      <c r="C17" s="12">
        <v>4512896</v>
      </c>
      <c r="D17" s="13">
        <v>20334</v>
      </c>
      <c r="E17" s="13">
        <f t="shared" si="6"/>
        <v>24213.64</v>
      </c>
      <c r="F17" s="13">
        <f>47327.95</f>
        <v>47327.95</v>
      </c>
      <c r="G17" s="14">
        <f t="shared" si="1"/>
        <v>3879.6399999999994</v>
      </c>
      <c r="H17" s="14">
        <f t="shared" si="2"/>
        <v>26993.949999999997</v>
      </c>
      <c r="I17" s="15">
        <v>0.21</v>
      </c>
      <c r="J17" s="15">
        <v>0.05</v>
      </c>
      <c r="K17" s="16">
        <f t="shared" si="3"/>
        <v>531.28792499999986</v>
      </c>
      <c r="L17" s="16">
        <f t="shared" si="4"/>
        <v>1349.6975</v>
      </c>
      <c r="M17" s="16">
        <f t="shared" si="5"/>
        <v>880389.92609999981</v>
      </c>
      <c r="N17" s="16">
        <v>0</v>
      </c>
      <c r="O17" s="16"/>
      <c r="P17" s="16"/>
    </row>
    <row r="18" spans="1:16" x14ac:dyDescent="0.2">
      <c r="A18" s="11">
        <v>43770</v>
      </c>
      <c r="C18" s="12">
        <v>4512896</v>
      </c>
      <c r="D18" s="13">
        <v>20334</v>
      </c>
      <c r="E18" s="13">
        <f t="shared" si="6"/>
        <v>24213.64</v>
      </c>
      <c r="F18" s="13">
        <f>47327.95</f>
        <v>47327.95</v>
      </c>
      <c r="G18" s="14">
        <f t="shared" si="1"/>
        <v>3879.6399999999994</v>
      </c>
      <c r="H18" s="14">
        <f t="shared" si="2"/>
        <v>26993.949999999997</v>
      </c>
      <c r="I18" s="15">
        <v>0.21</v>
      </c>
      <c r="J18" s="15">
        <v>0.05</v>
      </c>
      <c r="K18" s="16">
        <f t="shared" si="3"/>
        <v>531.28792499999986</v>
      </c>
      <c r="L18" s="16">
        <f t="shared" si="4"/>
        <v>1349.6975</v>
      </c>
      <c r="M18" s="16">
        <f t="shared" si="5"/>
        <v>882270.91152499977</v>
      </c>
      <c r="N18" s="16">
        <v>0</v>
      </c>
      <c r="O18" s="16"/>
      <c r="P18" s="16"/>
    </row>
    <row r="19" spans="1:16" x14ac:dyDescent="0.2">
      <c r="A19" s="11">
        <v>43800</v>
      </c>
      <c r="C19" s="12">
        <v>4512896</v>
      </c>
      <c r="D19" s="13">
        <v>20334</v>
      </c>
      <c r="E19" s="13">
        <f t="shared" si="6"/>
        <v>24213.64</v>
      </c>
      <c r="F19" s="13">
        <f>47327.95</f>
        <v>47327.95</v>
      </c>
      <c r="G19" s="14">
        <f t="shared" si="1"/>
        <v>3879.6399999999994</v>
      </c>
      <c r="H19" s="14">
        <f t="shared" si="2"/>
        <v>26993.949999999997</v>
      </c>
      <c r="I19" s="15">
        <v>0.21</v>
      </c>
      <c r="J19" s="15">
        <v>0.05</v>
      </c>
      <c r="K19" s="16">
        <f t="shared" si="3"/>
        <v>531.28792499999986</v>
      </c>
      <c r="L19" s="16">
        <f t="shared" si="4"/>
        <v>1349.6975</v>
      </c>
      <c r="M19" s="16">
        <f t="shared" si="5"/>
        <v>884151.89694999973</v>
      </c>
      <c r="N19" s="16">
        <v>0</v>
      </c>
      <c r="O19" s="16"/>
      <c r="P19" s="16"/>
    </row>
    <row r="20" spans="1:16" x14ac:dyDescent="0.2">
      <c r="A20" s="11">
        <v>43831</v>
      </c>
      <c r="C20" s="12">
        <v>4512896</v>
      </c>
      <c r="D20" s="13">
        <v>20334</v>
      </c>
      <c r="E20" s="13">
        <f>23784.47</f>
        <v>23784.47</v>
      </c>
      <c r="F20" s="13">
        <v>46581.52</v>
      </c>
      <c r="G20" s="14">
        <f t="shared" si="1"/>
        <v>3450.4700000000012</v>
      </c>
      <c r="H20" s="14">
        <f t="shared" si="2"/>
        <v>26247.519999999997</v>
      </c>
      <c r="I20" s="15">
        <v>0.21</v>
      </c>
      <c r="J20" s="15">
        <v>0.05</v>
      </c>
      <c r="K20" s="16">
        <f t="shared" si="3"/>
        <v>448.99974000000026</v>
      </c>
      <c r="L20" s="16">
        <f t="shared" si="4"/>
        <v>1312.376</v>
      </c>
      <c r="M20" s="16">
        <f t="shared" si="5"/>
        <v>885913.27268999978</v>
      </c>
      <c r="N20" s="16">
        <v>0</v>
      </c>
      <c r="O20" s="16"/>
      <c r="P20" s="16"/>
    </row>
    <row r="21" spans="1:16" x14ac:dyDescent="0.2">
      <c r="A21" s="11">
        <v>43862</v>
      </c>
      <c r="C21" s="12">
        <v>4512896</v>
      </c>
      <c r="D21" s="13">
        <v>20334</v>
      </c>
      <c r="E21" s="13">
        <f>23784.47-2</f>
        <v>23782.47</v>
      </c>
      <c r="F21" s="13">
        <v>46581.52</v>
      </c>
      <c r="G21" s="14">
        <f t="shared" si="1"/>
        <v>3448.4700000000012</v>
      </c>
      <c r="H21" s="14">
        <f t="shared" si="2"/>
        <v>26247.519999999997</v>
      </c>
      <c r="I21" s="15">
        <v>0.21</v>
      </c>
      <c r="J21" s="15">
        <v>0.05</v>
      </c>
      <c r="K21" s="16">
        <f t="shared" si="3"/>
        <v>448.57974000000019</v>
      </c>
      <c r="L21" s="16">
        <f t="shared" si="4"/>
        <v>1312.376</v>
      </c>
      <c r="M21" s="16">
        <f t="shared" si="5"/>
        <v>887674.22842999978</v>
      </c>
      <c r="N21" s="16">
        <v>0</v>
      </c>
    </row>
    <row r="22" spans="1:16" x14ac:dyDescent="0.2">
      <c r="A22" s="11">
        <v>43899</v>
      </c>
      <c r="C22" s="12">
        <v>4512896</v>
      </c>
      <c r="D22" s="13">
        <v>20334</v>
      </c>
      <c r="E22" s="13">
        <f>23784.47+2</f>
        <v>23786.47</v>
      </c>
      <c r="F22" s="13">
        <v>46581.52</v>
      </c>
      <c r="G22" s="14">
        <f t="shared" si="1"/>
        <v>3452.4700000000012</v>
      </c>
      <c r="H22" s="14">
        <f t="shared" si="2"/>
        <v>26247.519999999997</v>
      </c>
      <c r="I22" s="15">
        <v>0.21</v>
      </c>
      <c r="J22" s="15">
        <v>0.05</v>
      </c>
      <c r="K22" s="16">
        <f t="shared" si="3"/>
        <v>449.41974000000022</v>
      </c>
      <c r="L22" s="16">
        <f t="shared" si="4"/>
        <v>1312.376</v>
      </c>
      <c r="M22" s="16">
        <f t="shared" si="5"/>
        <v>889436.02416999987</v>
      </c>
      <c r="N22" s="16">
        <v>0</v>
      </c>
    </row>
    <row r="23" spans="1:16" x14ac:dyDescent="0.2">
      <c r="A23" s="11">
        <v>43922</v>
      </c>
      <c r="C23" s="12">
        <v>4512896</v>
      </c>
      <c r="D23" s="13">
        <v>20334</v>
      </c>
      <c r="E23" s="13">
        <f>23784.47</f>
        <v>23784.47</v>
      </c>
      <c r="F23" s="13">
        <v>46581.52</v>
      </c>
      <c r="G23" s="14">
        <f t="shared" si="1"/>
        <v>3450.4700000000012</v>
      </c>
      <c r="H23" s="14">
        <f t="shared" si="2"/>
        <v>26247.519999999997</v>
      </c>
      <c r="I23" s="15">
        <v>0.21</v>
      </c>
      <c r="J23" s="15">
        <v>0.05</v>
      </c>
      <c r="K23" s="16">
        <f t="shared" si="3"/>
        <v>448.99974000000026</v>
      </c>
      <c r="L23" s="16">
        <f t="shared" si="4"/>
        <v>1312.376</v>
      </c>
      <c r="M23" s="16">
        <f t="shared" si="5"/>
        <v>891197.39990999992</v>
      </c>
      <c r="N23" s="16">
        <v>0</v>
      </c>
    </row>
    <row r="24" spans="1:16" x14ac:dyDescent="0.2">
      <c r="A24" s="11">
        <v>43952</v>
      </c>
      <c r="C24" s="12">
        <v>4512896</v>
      </c>
      <c r="D24" s="13">
        <v>20334</v>
      </c>
      <c r="E24" s="13">
        <f>23784.47-2</f>
        <v>23782.47</v>
      </c>
      <c r="F24" s="13">
        <v>46581.52</v>
      </c>
      <c r="G24" s="14">
        <f t="shared" si="1"/>
        <v>3448.4700000000012</v>
      </c>
      <c r="H24" s="14">
        <f t="shared" si="2"/>
        <v>26247.519999999997</v>
      </c>
      <c r="I24" s="15">
        <v>0.21</v>
      </c>
      <c r="J24" s="15">
        <v>0.05</v>
      </c>
      <c r="K24" s="16">
        <f t="shared" si="3"/>
        <v>448.57974000000019</v>
      </c>
      <c r="L24" s="16">
        <f t="shared" si="4"/>
        <v>1312.376</v>
      </c>
      <c r="M24" s="16">
        <f t="shared" si="5"/>
        <v>892958.35564999992</v>
      </c>
      <c r="N24" s="16">
        <v>0</v>
      </c>
    </row>
    <row r="25" spans="1:16" x14ac:dyDescent="0.2">
      <c r="A25" s="11">
        <v>43983</v>
      </c>
      <c r="C25" s="12">
        <v>4512896</v>
      </c>
      <c r="D25" s="13">
        <v>20334</v>
      </c>
      <c r="E25" s="13">
        <f>23784.47-2</f>
        <v>23782.47</v>
      </c>
      <c r="F25" s="13">
        <v>46581.52</v>
      </c>
      <c r="G25" s="14">
        <f t="shared" si="1"/>
        <v>3448.4700000000012</v>
      </c>
      <c r="H25" s="14">
        <f t="shared" si="2"/>
        <v>26247.519999999997</v>
      </c>
      <c r="I25" s="15">
        <v>0.21</v>
      </c>
      <c r="J25" s="15">
        <v>0.05</v>
      </c>
      <c r="K25" s="16">
        <f t="shared" si="3"/>
        <v>448.57974000000019</v>
      </c>
      <c r="L25" s="16">
        <f t="shared" si="4"/>
        <v>1312.376</v>
      </c>
      <c r="M25" s="16">
        <f t="shared" si="5"/>
        <v>894719.31138999993</v>
      </c>
      <c r="N25" s="16">
        <v>0</v>
      </c>
    </row>
    <row r="26" spans="1:16" x14ac:dyDescent="0.2">
      <c r="A26" s="11">
        <v>44013</v>
      </c>
      <c r="C26" s="12">
        <v>4512896</v>
      </c>
      <c r="D26" s="13">
        <v>20334</v>
      </c>
      <c r="E26" s="13">
        <f>23784.47+2</f>
        <v>23786.47</v>
      </c>
      <c r="F26" s="13">
        <v>46581.52</v>
      </c>
      <c r="G26" s="14">
        <f t="shared" si="1"/>
        <v>3452.4700000000012</v>
      </c>
      <c r="H26" s="14">
        <f t="shared" si="2"/>
        <v>26247.519999999997</v>
      </c>
      <c r="I26" s="15">
        <v>0.21</v>
      </c>
      <c r="J26" s="15">
        <v>0.05</v>
      </c>
      <c r="K26" s="16">
        <f t="shared" si="3"/>
        <v>449.41974000000022</v>
      </c>
      <c r="L26" s="16">
        <f t="shared" si="4"/>
        <v>1312.376</v>
      </c>
      <c r="M26" s="16">
        <f t="shared" si="5"/>
        <v>896481.10713000002</v>
      </c>
      <c r="N26" s="16">
        <v>0</v>
      </c>
    </row>
    <row r="27" spans="1:16" x14ac:dyDescent="0.2">
      <c r="A27" s="11">
        <v>44044</v>
      </c>
      <c r="C27" s="12">
        <v>4512896</v>
      </c>
      <c r="D27" s="13">
        <v>20334</v>
      </c>
      <c r="E27" s="13">
        <f>23784.47</f>
        <v>23784.47</v>
      </c>
      <c r="F27" s="13">
        <v>46581.52</v>
      </c>
      <c r="G27" s="14">
        <f t="shared" si="1"/>
        <v>3450.4700000000012</v>
      </c>
      <c r="H27" s="14">
        <f t="shared" si="2"/>
        <v>26247.519999999997</v>
      </c>
      <c r="I27" s="15">
        <v>0.21</v>
      </c>
      <c r="J27" s="15">
        <v>0.05</v>
      </c>
      <c r="K27" s="16">
        <f t="shared" si="3"/>
        <v>448.99974000000026</v>
      </c>
      <c r="L27" s="16">
        <f t="shared" si="4"/>
        <v>1312.376</v>
      </c>
      <c r="M27" s="16">
        <f t="shared" si="5"/>
        <v>898242.48287000007</v>
      </c>
      <c r="N27" s="16">
        <v>0</v>
      </c>
    </row>
    <row r="28" spans="1:16" x14ac:dyDescent="0.2">
      <c r="A28" s="11">
        <v>44083</v>
      </c>
      <c r="C28" s="12">
        <v>4512896</v>
      </c>
      <c r="D28" s="13">
        <v>20334.490000000002</v>
      </c>
      <c r="E28" s="13">
        <v>23783</v>
      </c>
      <c r="F28" s="13">
        <v>46581</v>
      </c>
      <c r="G28" s="14">
        <f t="shared" si="1"/>
        <v>3448.5099999999984</v>
      </c>
      <c r="H28" s="14">
        <f t="shared" si="2"/>
        <v>26246.51</v>
      </c>
      <c r="I28" s="15">
        <v>0.21</v>
      </c>
      <c r="J28" s="15">
        <v>0.05</v>
      </c>
      <c r="K28" s="16">
        <f t="shared" si="3"/>
        <v>448.59874499999967</v>
      </c>
      <c r="L28" s="16">
        <f t="shared" si="4"/>
        <v>1312.3254999999999</v>
      </c>
      <c r="M28" s="16">
        <f t="shared" si="5"/>
        <v>900003.40711500007</v>
      </c>
      <c r="N28" s="16">
        <v>0</v>
      </c>
    </row>
    <row r="29" spans="1:16" x14ac:dyDescent="0.2">
      <c r="A29" s="11">
        <v>44105</v>
      </c>
      <c r="C29" s="12">
        <v>4512896</v>
      </c>
      <c r="D29" s="13">
        <v>20334.490000000002</v>
      </c>
      <c r="E29" s="13">
        <f>23783.5</f>
        <v>23783.5</v>
      </c>
      <c r="F29" s="13">
        <v>46581.5</v>
      </c>
      <c r="G29" s="14">
        <f t="shared" si="1"/>
        <v>3449.0099999999984</v>
      </c>
      <c r="H29" s="14">
        <f t="shared" si="2"/>
        <v>26247.01</v>
      </c>
      <c r="I29" s="15">
        <v>0.21</v>
      </c>
      <c r="J29" s="15">
        <v>0.05</v>
      </c>
      <c r="K29" s="16">
        <f t="shared" si="3"/>
        <v>448.6984949999997</v>
      </c>
      <c r="L29" s="16">
        <f t="shared" si="4"/>
        <v>1312.3505</v>
      </c>
      <c r="M29" s="16">
        <f t="shared" si="5"/>
        <v>901764.45611000003</v>
      </c>
      <c r="N29" s="16">
        <v>0</v>
      </c>
    </row>
    <row r="30" spans="1:16" x14ac:dyDescent="0.2">
      <c r="A30" s="11">
        <v>44136</v>
      </c>
      <c r="C30" s="12">
        <v>4512896</v>
      </c>
      <c r="D30" s="13">
        <v>20334</v>
      </c>
      <c r="E30" s="13">
        <v>23784.47</v>
      </c>
      <c r="F30" s="13">
        <v>46581.52</v>
      </c>
      <c r="G30" s="14">
        <f t="shared" si="1"/>
        <v>3450.4700000000012</v>
      </c>
      <c r="H30" s="14">
        <f t="shared" si="2"/>
        <v>26247.519999999997</v>
      </c>
      <c r="I30" s="15">
        <v>0.21</v>
      </c>
      <c r="J30" s="15">
        <v>0.05</v>
      </c>
      <c r="K30" s="16">
        <f t="shared" si="3"/>
        <v>448.99974000000026</v>
      </c>
      <c r="L30" s="16">
        <f t="shared" si="4"/>
        <v>1312.376</v>
      </c>
      <c r="M30" s="16">
        <f t="shared" si="5"/>
        <v>903525.83185000008</v>
      </c>
      <c r="N30" s="16">
        <v>0</v>
      </c>
    </row>
    <row r="31" spans="1:16" x14ac:dyDescent="0.2">
      <c r="A31" s="11">
        <v>44166</v>
      </c>
      <c r="C31" s="12">
        <v>4512896</v>
      </c>
      <c r="D31" s="13">
        <v>20334</v>
      </c>
      <c r="E31" s="13">
        <v>23784.47</v>
      </c>
      <c r="F31" s="13">
        <v>46581.52</v>
      </c>
      <c r="G31" s="14">
        <f t="shared" si="1"/>
        <v>3450.4700000000012</v>
      </c>
      <c r="H31" s="14">
        <f t="shared" si="2"/>
        <v>26247.519999999997</v>
      </c>
      <c r="I31" s="15">
        <v>0.21</v>
      </c>
      <c r="J31" s="15">
        <v>0.05</v>
      </c>
      <c r="K31" s="16">
        <f t="shared" si="3"/>
        <v>448.99974000000026</v>
      </c>
      <c r="L31" s="16">
        <f t="shared" si="4"/>
        <v>1312.376</v>
      </c>
      <c r="M31" s="16">
        <f t="shared" si="5"/>
        <v>905287.20759000012</v>
      </c>
      <c r="N31" s="16">
        <v>0</v>
      </c>
    </row>
    <row r="32" spans="1:16" x14ac:dyDescent="0.2">
      <c r="A32" s="11">
        <v>44197</v>
      </c>
      <c r="C32" s="12">
        <v>4512896</v>
      </c>
      <c r="D32" s="13">
        <v>20334</v>
      </c>
      <c r="E32" s="13">
        <f>23430.45</f>
        <v>23430.45</v>
      </c>
      <c r="F32" s="13">
        <f>45891.21</f>
        <v>45891.21</v>
      </c>
      <c r="G32" s="14">
        <f t="shared" si="1"/>
        <v>3096.4500000000007</v>
      </c>
      <c r="H32" s="14">
        <f t="shared" si="2"/>
        <v>25557.21</v>
      </c>
      <c r="I32" s="15">
        <v>0.21</v>
      </c>
      <c r="J32" s="15">
        <v>0.05</v>
      </c>
      <c r="K32" s="16">
        <f t="shared" si="3"/>
        <v>381.90379500000012</v>
      </c>
      <c r="L32" s="16">
        <f t="shared" si="4"/>
        <v>1277.8605</v>
      </c>
      <c r="M32" s="16">
        <f t="shared" si="5"/>
        <v>906946.97188500012</v>
      </c>
      <c r="N32" s="16">
        <v>0</v>
      </c>
    </row>
    <row r="33" spans="1:14" x14ac:dyDescent="0.2">
      <c r="A33" s="11">
        <v>44228</v>
      </c>
      <c r="C33" s="12">
        <v>4512896</v>
      </c>
      <c r="D33" s="13">
        <f>20334.4</f>
        <v>20334.400000000001</v>
      </c>
      <c r="E33" s="13">
        <f>23429.7</f>
        <v>23429.7</v>
      </c>
      <c r="F33" s="13">
        <f>45891</f>
        <v>45891</v>
      </c>
      <c r="G33" s="14">
        <f t="shared" si="1"/>
        <v>3095.2999999999993</v>
      </c>
      <c r="H33" s="14">
        <f t="shared" si="2"/>
        <v>25556.6</v>
      </c>
      <c r="I33" s="15">
        <v>0.21</v>
      </c>
      <c r="J33" s="15">
        <v>0.05</v>
      </c>
      <c r="K33" s="16">
        <f t="shared" si="3"/>
        <v>381.66869999999983</v>
      </c>
      <c r="L33" s="16">
        <f t="shared" si="4"/>
        <v>1277.83</v>
      </c>
      <c r="M33" s="16">
        <f t="shared" si="5"/>
        <v>908606.47058500012</v>
      </c>
      <c r="N33" s="16">
        <v>0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5"/>
      <c r="J34" s="15"/>
      <c r="K34" s="16"/>
      <c r="L34" s="16"/>
      <c r="M34" s="16"/>
      <c r="N34" s="16"/>
    </row>
    <row r="35" spans="1:14" x14ac:dyDescent="0.2">
      <c r="A35" s="19"/>
      <c r="C35" s="12"/>
      <c r="D35" s="13"/>
      <c r="E35" s="13"/>
      <c r="F35" s="13"/>
      <c r="G35" s="14"/>
      <c r="H35" s="14"/>
      <c r="I35" s="15"/>
      <c r="J35" s="15"/>
      <c r="K35" s="16"/>
      <c r="L35" s="16"/>
      <c r="M35" s="16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5"/>
      <c r="J36" s="15"/>
      <c r="K36" s="16"/>
      <c r="L36" s="16"/>
      <c r="M36" s="16"/>
      <c r="N36" s="16"/>
    </row>
    <row r="37" spans="1:14" x14ac:dyDescent="0.2">
      <c r="A37" s="19"/>
      <c r="C37" s="23" t="s">
        <v>43</v>
      </c>
      <c r="D37" s="25"/>
      <c r="E37" s="25"/>
      <c r="F37" s="25"/>
      <c r="G37" s="26"/>
      <c r="H37" s="26"/>
      <c r="L37" s="16"/>
      <c r="M37" s="16"/>
      <c r="N37" s="16"/>
    </row>
    <row r="38" spans="1:14" x14ac:dyDescent="0.2">
      <c r="A38" s="19"/>
      <c r="C38" s="23" t="s">
        <v>49</v>
      </c>
      <c r="D38" s="25"/>
      <c r="E38" s="25"/>
      <c r="F38" s="25"/>
      <c r="G38" s="26"/>
      <c r="H38" s="26"/>
      <c r="L38" s="15"/>
      <c r="M38" s="15"/>
      <c r="N38" s="1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234559.42400000003</v>
      </c>
      <c r="D43" s="12">
        <v>20334</v>
      </c>
      <c r="E43" s="12">
        <v>1033.04</v>
      </c>
      <c r="F43" s="12">
        <f>E43-D43</f>
        <v>-19300.96</v>
      </c>
      <c r="G43" s="15">
        <v>0.21</v>
      </c>
      <c r="H43" s="12">
        <f>F43*G43</f>
        <v>-4053.2015999999999</v>
      </c>
    </row>
    <row r="44" spans="1:14" x14ac:dyDescent="0.2">
      <c r="C44" s="12">
        <v>351839.136</v>
      </c>
      <c r="D44" s="12"/>
      <c r="E44" s="12">
        <v>4188.5600000000004</v>
      </c>
      <c r="F44" s="12">
        <f>E44</f>
        <v>4188.5600000000004</v>
      </c>
      <c r="G44" s="29">
        <v>0.21</v>
      </c>
      <c r="H44" s="12">
        <f>F44*G44</f>
        <v>879.59760000000006</v>
      </c>
    </row>
    <row r="45" spans="1:14" x14ac:dyDescent="0.2">
      <c r="C45" s="12">
        <v>2765</v>
      </c>
      <c r="D45" s="12"/>
      <c r="E45" s="12">
        <v>13.16</v>
      </c>
      <c r="F45" s="12">
        <f t="shared" ref="F45:F56" si="7">E45</f>
        <v>13.16</v>
      </c>
      <c r="G45" s="29">
        <v>0.21</v>
      </c>
      <c r="H45" s="12">
        <f t="shared" ref="H45:H52" si="8">F45*G45</f>
        <v>2.7635999999999998</v>
      </c>
    </row>
    <row r="46" spans="1:14" x14ac:dyDescent="0.2">
      <c r="C46" s="12">
        <v>4147</v>
      </c>
      <c r="D46" s="12"/>
      <c r="E46" s="12">
        <v>49.37</v>
      </c>
      <c r="F46" s="12">
        <f t="shared" si="7"/>
        <v>49.37</v>
      </c>
      <c r="G46" s="29">
        <v>0.21</v>
      </c>
      <c r="H46" s="12">
        <f t="shared" si="8"/>
        <v>10.367699999999999</v>
      </c>
    </row>
    <row r="47" spans="1:14" x14ac:dyDescent="0.2">
      <c r="C47" s="12">
        <v>363607</v>
      </c>
      <c r="D47" s="12"/>
      <c r="E47" s="12">
        <v>1731.07</v>
      </c>
      <c r="F47" s="12">
        <f t="shared" si="7"/>
        <v>1731.07</v>
      </c>
      <c r="G47" s="29">
        <v>0.21</v>
      </c>
      <c r="H47" s="12">
        <f t="shared" si="8"/>
        <v>363.5247</v>
      </c>
    </row>
    <row r="48" spans="1:14" x14ac:dyDescent="0.2">
      <c r="C48" s="12">
        <v>545411</v>
      </c>
      <c r="D48" s="12"/>
      <c r="E48" s="12">
        <v>9090.18</v>
      </c>
      <c r="F48" s="12">
        <f t="shared" si="7"/>
        <v>9090.18</v>
      </c>
      <c r="G48" s="29">
        <v>0.21</v>
      </c>
      <c r="H48" s="12">
        <f t="shared" si="8"/>
        <v>1908.9377999999999</v>
      </c>
    </row>
    <row r="49" spans="3:8" x14ac:dyDescent="0.2">
      <c r="C49" s="12">
        <v>195243</v>
      </c>
      <c r="D49" s="12"/>
      <c r="E49" s="12">
        <v>929.52</v>
      </c>
      <c r="F49" s="12">
        <f t="shared" si="7"/>
        <v>929.52</v>
      </c>
      <c r="G49" s="29">
        <v>0.21</v>
      </c>
      <c r="H49" s="12">
        <f t="shared" si="8"/>
        <v>195.19919999999999</v>
      </c>
    </row>
    <row r="50" spans="3:8" x14ac:dyDescent="0.2">
      <c r="C50" s="12">
        <v>292865</v>
      </c>
      <c r="D50" s="12"/>
      <c r="E50" s="12">
        <v>3486.49</v>
      </c>
      <c r="F50" s="12">
        <f t="shared" si="7"/>
        <v>3486.49</v>
      </c>
      <c r="G50" s="29">
        <v>0.21</v>
      </c>
      <c r="H50" s="12">
        <f t="shared" si="8"/>
        <v>732.16289999999992</v>
      </c>
    </row>
    <row r="51" spans="3:8" x14ac:dyDescent="0.2">
      <c r="C51" s="12"/>
      <c r="D51" s="12"/>
      <c r="E51" s="12">
        <v>0</v>
      </c>
      <c r="F51" s="12">
        <f t="shared" si="7"/>
        <v>0</v>
      </c>
      <c r="G51" s="29">
        <v>0.21</v>
      </c>
      <c r="H51" s="12">
        <f t="shared" si="8"/>
        <v>0</v>
      </c>
    </row>
    <row r="52" spans="3:8" x14ac:dyDescent="0.2">
      <c r="C52" s="12">
        <v>126132</v>
      </c>
      <c r="D52" s="12"/>
      <c r="E52" s="12">
        <v>649.26</v>
      </c>
      <c r="F52" s="12">
        <f t="shared" si="7"/>
        <v>649.26</v>
      </c>
      <c r="G52" s="29">
        <v>0.21</v>
      </c>
      <c r="H52" s="12">
        <f t="shared" si="8"/>
        <v>136.34459999999999</v>
      </c>
    </row>
    <row r="53" spans="3:8" x14ac:dyDescent="0.2">
      <c r="C53" s="12">
        <v>189198</v>
      </c>
      <c r="D53" s="12"/>
      <c r="E53" s="12">
        <v>2252.36</v>
      </c>
      <c r="F53" s="12">
        <f t="shared" si="7"/>
        <v>2252.36</v>
      </c>
      <c r="G53" s="29">
        <v>0.21</v>
      </c>
      <c r="H53" s="12">
        <f>F53*G53</f>
        <v>472.99560000000002</v>
      </c>
    </row>
    <row r="54" spans="3:8" x14ac:dyDescent="0.2">
      <c r="C54" s="12">
        <v>6472</v>
      </c>
      <c r="D54" s="12"/>
      <c r="E54" s="12">
        <v>7.43</v>
      </c>
      <c r="F54" s="12">
        <f t="shared" si="7"/>
        <v>7.43</v>
      </c>
      <c r="G54" s="29">
        <v>0.21</v>
      </c>
      <c r="H54" s="12">
        <f t="shared" ref="H54:H55" si="9">F54*G54</f>
        <v>1.5602999999999998</v>
      </c>
    </row>
    <row r="55" spans="3:8" x14ac:dyDescent="0.2">
      <c r="C55" s="12">
        <v>-4163</v>
      </c>
      <c r="D55" s="12"/>
      <c r="E55" s="12">
        <v>-39</v>
      </c>
      <c r="F55" s="12">
        <f t="shared" si="7"/>
        <v>-39</v>
      </c>
      <c r="G55" s="29">
        <v>0.21</v>
      </c>
      <c r="H55" s="12">
        <f t="shared" si="9"/>
        <v>-8.19</v>
      </c>
    </row>
    <row r="56" spans="3:8" ht="15" x14ac:dyDescent="0.35">
      <c r="C56" s="12">
        <v>4163</v>
      </c>
      <c r="D56" s="12"/>
      <c r="E56" s="24">
        <v>39</v>
      </c>
      <c r="F56" s="24">
        <f t="shared" si="7"/>
        <v>39</v>
      </c>
      <c r="G56" s="29">
        <v>0.21</v>
      </c>
      <c r="H56" s="24">
        <f>F56*G56</f>
        <v>8.19</v>
      </c>
    </row>
    <row r="57" spans="3:8" x14ac:dyDescent="0.2">
      <c r="C57" s="12"/>
      <c r="D57" s="12"/>
      <c r="E57" s="12">
        <f>SUM(E43:E56)</f>
        <v>23430.44</v>
      </c>
      <c r="F57" s="12">
        <f>SUM(F43:F56)</f>
        <v>3096.4400000000028</v>
      </c>
      <c r="G57" s="22" t="s">
        <v>27</v>
      </c>
      <c r="H57" s="12">
        <f>SUM(H43:H56)</f>
        <v>650.25239999999997</v>
      </c>
    </row>
    <row r="58" spans="3:8" x14ac:dyDescent="0.2">
      <c r="E58" s="16"/>
      <c r="F58" s="16"/>
      <c r="G58" s="22" t="s">
        <v>28</v>
      </c>
      <c r="H58" s="30">
        <f>-H75*0.21</f>
        <v>-268.35070500000006</v>
      </c>
    </row>
    <row r="59" spans="3:8" x14ac:dyDescent="0.2">
      <c r="H59" s="16">
        <f>H57+H58</f>
        <v>381.9016949999999</v>
      </c>
    </row>
    <row r="60" spans="3:8" x14ac:dyDescent="0.2">
      <c r="H60" s="16">
        <f>H59-K33</f>
        <v>0.23299500000007356</v>
      </c>
    </row>
    <row r="61" spans="3:8" x14ac:dyDescent="0.2">
      <c r="C61" s="16" t="s">
        <v>29</v>
      </c>
      <c r="D61" s="25" t="s">
        <v>23</v>
      </c>
      <c r="E61" s="26" t="s">
        <v>30</v>
      </c>
      <c r="F61" s="16" t="s">
        <v>31</v>
      </c>
      <c r="G61" s="15" t="s">
        <v>13</v>
      </c>
      <c r="H61" s="16" t="s">
        <v>32</v>
      </c>
    </row>
    <row r="62" spans="3:8" x14ac:dyDescent="0.2">
      <c r="C62" s="12">
        <v>469118.84800000006</v>
      </c>
      <c r="D62" s="12">
        <f>D43</f>
        <v>20334</v>
      </c>
      <c r="E62" s="12">
        <v>2066.08</v>
      </c>
      <c r="F62" s="12">
        <f>E62-D62</f>
        <v>-18267.919999999998</v>
      </c>
      <c r="G62" s="15">
        <v>0.05</v>
      </c>
      <c r="H62" s="12">
        <f>F62*G62</f>
        <v>-913.39599999999996</v>
      </c>
    </row>
    <row r="63" spans="3:8" x14ac:dyDescent="0.2">
      <c r="C63" s="12">
        <v>703678.272</v>
      </c>
      <c r="D63" s="12"/>
      <c r="E63" s="12">
        <v>8377.1200000000008</v>
      </c>
      <c r="F63" s="12">
        <f>E63</f>
        <v>8377.1200000000008</v>
      </c>
      <c r="G63" s="15">
        <v>0.05</v>
      </c>
      <c r="H63" s="12">
        <f>F63*G63</f>
        <v>418.85600000000005</v>
      </c>
    </row>
    <row r="64" spans="3:8" x14ac:dyDescent="0.2">
      <c r="C64" s="12">
        <v>5529</v>
      </c>
      <c r="D64" s="12"/>
      <c r="E64" s="12">
        <v>26.32</v>
      </c>
      <c r="F64" s="12">
        <f t="shared" ref="F64:F74" si="10">E64</f>
        <v>26.32</v>
      </c>
      <c r="G64" s="15">
        <v>0.05</v>
      </c>
      <c r="H64" s="12">
        <f t="shared" ref="H64:H70" si="11">F64*G64</f>
        <v>1.3160000000000001</v>
      </c>
    </row>
    <row r="65" spans="3:8" x14ac:dyDescent="0.2">
      <c r="C65" s="12">
        <v>8294</v>
      </c>
      <c r="D65" s="12"/>
      <c r="E65" s="12">
        <v>98.73</v>
      </c>
      <c r="F65" s="12">
        <f t="shared" si="10"/>
        <v>98.73</v>
      </c>
      <c r="G65" s="15">
        <v>0.05</v>
      </c>
      <c r="H65" s="12">
        <f t="shared" si="11"/>
        <v>4.9365000000000006</v>
      </c>
    </row>
    <row r="66" spans="3:8" x14ac:dyDescent="0.2">
      <c r="C66" s="12">
        <v>727215</v>
      </c>
      <c r="D66" s="12"/>
      <c r="E66" s="12">
        <v>3462.15</v>
      </c>
      <c r="F66" s="12">
        <f t="shared" si="10"/>
        <v>3462.15</v>
      </c>
      <c r="G66" s="15">
        <v>0.05</v>
      </c>
      <c r="H66" s="12">
        <f t="shared" si="11"/>
        <v>173.10750000000002</v>
      </c>
    </row>
    <row r="67" spans="3:8" x14ac:dyDescent="0.2">
      <c r="C67" s="12">
        <v>1090822</v>
      </c>
      <c r="D67" s="12"/>
      <c r="E67" s="12">
        <v>18180.36</v>
      </c>
      <c r="F67" s="12">
        <f t="shared" si="10"/>
        <v>18180.36</v>
      </c>
      <c r="G67" s="15">
        <v>0.05</v>
      </c>
      <c r="H67" s="12">
        <f t="shared" si="11"/>
        <v>909.01800000000003</v>
      </c>
    </row>
    <row r="68" spans="3:8" x14ac:dyDescent="0.2">
      <c r="C68" s="12">
        <v>390487</v>
      </c>
      <c r="D68" s="12"/>
      <c r="E68" s="12">
        <v>1859.04</v>
      </c>
      <c r="F68" s="12">
        <f t="shared" si="10"/>
        <v>1859.04</v>
      </c>
      <c r="G68" s="15">
        <v>0.05</v>
      </c>
      <c r="H68" s="12">
        <f t="shared" si="11"/>
        <v>92.951999999999998</v>
      </c>
    </row>
    <row r="69" spans="3:8" x14ac:dyDescent="0.2">
      <c r="C69" s="12">
        <v>585730</v>
      </c>
      <c r="D69" s="12"/>
      <c r="E69" s="12">
        <v>6972.98</v>
      </c>
      <c r="F69" s="12">
        <f t="shared" si="10"/>
        <v>6972.98</v>
      </c>
      <c r="G69" s="15">
        <v>0.05</v>
      </c>
      <c r="H69" s="12">
        <f t="shared" si="11"/>
        <v>348.649</v>
      </c>
    </row>
    <row r="70" spans="3:8" x14ac:dyDescent="0.2">
      <c r="C70" s="12">
        <v>210220</v>
      </c>
      <c r="D70" s="12"/>
      <c r="E70" s="12">
        <v>1082.1099999999999</v>
      </c>
      <c r="F70" s="12">
        <f t="shared" si="10"/>
        <v>1082.1099999999999</v>
      </c>
      <c r="G70" s="15">
        <v>0.05</v>
      </c>
      <c r="H70" s="12">
        <f t="shared" si="11"/>
        <v>54.105499999999999</v>
      </c>
    </row>
    <row r="71" spans="3:8" x14ac:dyDescent="0.2">
      <c r="C71" s="12">
        <v>315330</v>
      </c>
      <c r="D71" s="12"/>
      <c r="E71" s="12">
        <v>3753.93</v>
      </c>
      <c r="F71" s="12">
        <f t="shared" si="10"/>
        <v>3753.93</v>
      </c>
      <c r="G71" s="29">
        <v>0.05</v>
      </c>
      <c r="H71" s="12">
        <f>F71*G71</f>
        <v>187.69650000000001</v>
      </c>
    </row>
    <row r="72" spans="3:8" x14ac:dyDescent="0.2">
      <c r="C72" s="12">
        <v>6472</v>
      </c>
      <c r="D72" s="12"/>
      <c r="E72" s="12">
        <v>13.33</v>
      </c>
      <c r="F72" s="12">
        <f t="shared" si="10"/>
        <v>13.33</v>
      </c>
      <c r="G72" s="29">
        <v>0.05</v>
      </c>
      <c r="H72" s="12">
        <f t="shared" ref="H72:H73" si="12">F72*G72</f>
        <v>0.66650000000000009</v>
      </c>
    </row>
    <row r="73" spans="3:8" x14ac:dyDescent="0.2">
      <c r="C73" s="12">
        <v>-6939</v>
      </c>
      <c r="D73" s="12"/>
      <c r="E73" s="12">
        <v>-65.95</v>
      </c>
      <c r="F73" s="12">
        <f t="shared" si="10"/>
        <v>-65.95</v>
      </c>
      <c r="G73" s="29">
        <v>0.05</v>
      </c>
      <c r="H73" s="12">
        <f t="shared" si="12"/>
        <v>-3.2975000000000003</v>
      </c>
    </row>
    <row r="74" spans="3:8" ht="15" x14ac:dyDescent="0.35">
      <c r="C74" s="12">
        <v>6939</v>
      </c>
      <c r="D74" s="12"/>
      <c r="E74" s="24">
        <v>65.010000000000005</v>
      </c>
      <c r="F74" s="24">
        <f t="shared" si="10"/>
        <v>65.010000000000005</v>
      </c>
      <c r="G74" s="29">
        <v>0.05</v>
      </c>
      <c r="H74" s="24">
        <f>F74*G74</f>
        <v>3.2505000000000006</v>
      </c>
    </row>
    <row r="75" spans="3:8" x14ac:dyDescent="0.2">
      <c r="C75" s="12"/>
      <c r="D75" s="12"/>
      <c r="E75" s="12">
        <f>SUM(E62:E74)</f>
        <v>45891.210000000006</v>
      </c>
      <c r="F75" s="12">
        <f>SUM(F62:F74)</f>
        <v>25557.210000000003</v>
      </c>
      <c r="H75" s="12">
        <f>SUM(H62:H74)</f>
        <v>1277.8605000000005</v>
      </c>
    </row>
    <row r="76" spans="3:8" x14ac:dyDescent="0.2">
      <c r="E76" s="16"/>
      <c r="F76" s="16"/>
      <c r="H76" s="16">
        <f>H75-L33</f>
        <v>3.0500000000529326E-2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8
Clements</oddHeader>
    <oddFooter>&amp;L_x000D_&amp;1#&amp;"Calibri"&amp;14&amp;K000000 Business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46F7-6543-4F44-9D90-8B246F508857}">
  <sheetPr>
    <pageSetUpPr fitToPage="1"/>
  </sheetPr>
  <dimension ref="A1:Q61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17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17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17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">
      <c r="A5" s="4" t="s">
        <v>40</v>
      </c>
    </row>
    <row r="6" spans="1:17" x14ac:dyDescent="0.2">
      <c r="A6" s="5" t="s">
        <v>44</v>
      </c>
    </row>
    <row r="8" spans="1:17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17" x14ac:dyDescent="0.2">
      <c r="A9" s="9" t="s">
        <v>18</v>
      </c>
      <c r="M9" s="10">
        <v>2007941</v>
      </c>
    </row>
    <row r="10" spans="1:17" x14ac:dyDescent="0.2">
      <c r="A10" s="11">
        <v>43533</v>
      </c>
      <c r="C10" s="12">
        <v>12367114</v>
      </c>
      <c r="D10" s="13">
        <v>16677</v>
      </c>
      <c r="E10" s="14">
        <f>49797.44-2.61</f>
        <v>49794.83</v>
      </c>
      <c r="F10" s="14">
        <f t="shared" ref="F10:F15" si="0">99594.88</f>
        <v>99594.880000000005</v>
      </c>
      <c r="G10" s="12">
        <f t="shared" ref="G10:G33" si="1">E10-D10</f>
        <v>33117.83</v>
      </c>
      <c r="H10" s="12">
        <f t="shared" ref="H10:H33" si="2">F10-D10</f>
        <v>82917.88</v>
      </c>
      <c r="I10" s="15">
        <v>0.21</v>
      </c>
      <c r="J10" s="15">
        <v>0.05</v>
      </c>
      <c r="K10" s="16">
        <f t="shared" ref="K10:K33" si="3">G10*I10-L10*I10</f>
        <v>6084.1065600000002</v>
      </c>
      <c r="L10" s="16">
        <f t="shared" ref="L10:L33" si="4">H10*J10</f>
        <v>4145.8940000000002</v>
      </c>
      <c r="M10" s="16">
        <f t="shared" ref="M10:M33" si="5">M9+K10+L10</f>
        <v>2018171.0005600001</v>
      </c>
      <c r="N10" s="16">
        <f t="shared" ref="N10:N17" si="6">40400.24+104428.02</f>
        <v>144828.26</v>
      </c>
      <c r="O10" s="17"/>
      <c r="Q10" s="18"/>
    </row>
    <row r="11" spans="1:17" x14ac:dyDescent="0.2">
      <c r="A11" s="11">
        <v>43556</v>
      </c>
      <c r="C11" s="12">
        <v>12367114</v>
      </c>
      <c r="D11" s="13">
        <v>16677</v>
      </c>
      <c r="E11" s="14">
        <f>49797.44</f>
        <v>49797.440000000002</v>
      </c>
      <c r="F11" s="14">
        <f t="shared" si="0"/>
        <v>99594.880000000005</v>
      </c>
      <c r="G11" s="12">
        <f t="shared" si="1"/>
        <v>33120.44</v>
      </c>
      <c r="H11" s="12">
        <f t="shared" si="2"/>
        <v>82917.88</v>
      </c>
      <c r="I11" s="15">
        <v>0.21</v>
      </c>
      <c r="J11" s="15">
        <v>0.05</v>
      </c>
      <c r="K11" s="16">
        <f t="shared" si="3"/>
        <v>6084.6546600000001</v>
      </c>
      <c r="L11" s="16">
        <f t="shared" si="4"/>
        <v>4145.8940000000002</v>
      </c>
      <c r="M11" s="16">
        <f t="shared" si="5"/>
        <v>2028401.5492200002</v>
      </c>
      <c r="N11" s="16">
        <f t="shared" si="6"/>
        <v>144828.26</v>
      </c>
      <c r="O11" s="17"/>
      <c r="Q11" s="16"/>
    </row>
    <row r="12" spans="1:17" x14ac:dyDescent="0.2">
      <c r="A12" s="11">
        <v>43586</v>
      </c>
      <c r="C12" s="12">
        <v>12367114</v>
      </c>
      <c r="D12" s="13">
        <v>40952</v>
      </c>
      <c r="E12" s="14">
        <f>49797.44+2.45</f>
        <v>49799.89</v>
      </c>
      <c r="F12" s="14">
        <f t="shared" si="0"/>
        <v>99594.880000000005</v>
      </c>
      <c r="G12" s="12">
        <f>E12-D12</f>
        <v>8847.89</v>
      </c>
      <c r="H12" s="12">
        <f>F12-D12</f>
        <v>58642.880000000005</v>
      </c>
      <c r="I12" s="15">
        <v>0.21</v>
      </c>
      <c r="J12" s="15">
        <v>0.05</v>
      </c>
      <c r="K12" s="16">
        <f t="shared" si="3"/>
        <v>1242.3066599999997</v>
      </c>
      <c r="L12" s="16">
        <f t="shared" si="4"/>
        <v>2932.1440000000002</v>
      </c>
      <c r="M12" s="16">
        <f t="shared" si="5"/>
        <v>2032575.9998800003</v>
      </c>
      <c r="N12" s="16">
        <f t="shared" si="6"/>
        <v>144828.26</v>
      </c>
      <c r="Q12" s="16"/>
    </row>
    <row r="13" spans="1:17" x14ac:dyDescent="0.2">
      <c r="A13" s="11">
        <v>43617</v>
      </c>
      <c r="C13" s="12">
        <v>12367114</v>
      </c>
      <c r="D13" s="13">
        <v>40952</v>
      </c>
      <c r="E13" s="14">
        <f>49797.44</f>
        <v>49797.440000000002</v>
      </c>
      <c r="F13" s="14">
        <f t="shared" si="0"/>
        <v>99594.880000000005</v>
      </c>
      <c r="G13" s="12">
        <f t="shared" si="1"/>
        <v>8845.4400000000023</v>
      </c>
      <c r="H13" s="12">
        <f t="shared" si="2"/>
        <v>58642.880000000005</v>
      </c>
      <c r="I13" s="15">
        <v>0.21</v>
      </c>
      <c r="J13" s="15">
        <v>0.05</v>
      </c>
      <c r="K13" s="16">
        <f t="shared" si="3"/>
        <v>1241.7921600000004</v>
      </c>
      <c r="L13" s="16">
        <f t="shared" si="4"/>
        <v>2932.1440000000002</v>
      </c>
      <c r="M13" s="16">
        <f t="shared" si="5"/>
        <v>2036749.9360400003</v>
      </c>
      <c r="N13" s="16">
        <f t="shared" si="6"/>
        <v>144828.26</v>
      </c>
      <c r="Q13" s="12"/>
    </row>
    <row r="14" spans="1:17" x14ac:dyDescent="0.2">
      <c r="A14" s="11">
        <v>43647</v>
      </c>
      <c r="C14" s="12">
        <v>12367114</v>
      </c>
      <c r="D14" s="13">
        <v>40952</v>
      </c>
      <c r="E14" s="14">
        <f>49797.44</f>
        <v>49797.440000000002</v>
      </c>
      <c r="F14" s="14">
        <f t="shared" si="0"/>
        <v>99594.880000000005</v>
      </c>
      <c r="G14" s="12">
        <f>E14-D14</f>
        <v>8845.4400000000023</v>
      </c>
      <c r="H14" s="12">
        <f>F14-D14</f>
        <v>58642.880000000005</v>
      </c>
      <c r="I14" s="15">
        <v>0.21</v>
      </c>
      <c r="J14" s="15">
        <v>0.05</v>
      </c>
      <c r="K14" s="16">
        <f t="shared" si="3"/>
        <v>1241.7921600000004</v>
      </c>
      <c r="L14" s="16">
        <f t="shared" si="4"/>
        <v>2932.1440000000002</v>
      </c>
      <c r="M14" s="16">
        <f t="shared" si="5"/>
        <v>2040923.8722000003</v>
      </c>
      <c r="N14" s="16">
        <f t="shared" si="6"/>
        <v>144828.26</v>
      </c>
      <c r="P14" s="12"/>
      <c r="Q14" s="16"/>
    </row>
    <row r="15" spans="1:17" x14ac:dyDescent="0.2">
      <c r="A15" s="11">
        <v>43678</v>
      </c>
      <c r="C15" s="12">
        <v>12367114</v>
      </c>
      <c r="D15" s="13">
        <v>40952</v>
      </c>
      <c r="E15" s="14">
        <f>49797.44</f>
        <v>49797.440000000002</v>
      </c>
      <c r="F15" s="14">
        <f t="shared" si="0"/>
        <v>99594.880000000005</v>
      </c>
      <c r="G15" s="12">
        <f t="shared" si="1"/>
        <v>8845.4400000000023</v>
      </c>
      <c r="H15" s="12">
        <f t="shared" si="2"/>
        <v>58642.880000000005</v>
      </c>
      <c r="I15" s="15">
        <v>0.21</v>
      </c>
      <c r="J15" s="15">
        <v>0.05</v>
      </c>
      <c r="K15" s="16">
        <f t="shared" si="3"/>
        <v>1241.7921600000004</v>
      </c>
      <c r="L15" s="16">
        <f t="shared" si="4"/>
        <v>2932.1440000000002</v>
      </c>
      <c r="M15" s="16">
        <f t="shared" si="5"/>
        <v>2045097.8083600004</v>
      </c>
      <c r="N15" s="16">
        <f t="shared" si="6"/>
        <v>144828.26</v>
      </c>
      <c r="Q15" s="16"/>
    </row>
    <row r="16" spans="1:17" x14ac:dyDescent="0.2">
      <c r="A16" s="11">
        <v>43717</v>
      </c>
      <c r="C16" s="12">
        <v>12894358</v>
      </c>
      <c r="D16" s="13">
        <v>37985</v>
      </c>
      <c r="E16" s="14">
        <f>55234.63+2643.9</f>
        <v>57878.53</v>
      </c>
      <c r="F16" s="14">
        <f>105032.07</f>
        <v>105032.07</v>
      </c>
      <c r="G16" s="12">
        <f t="shared" si="1"/>
        <v>19893.53</v>
      </c>
      <c r="H16" s="12">
        <f t="shared" si="2"/>
        <v>67047.070000000007</v>
      </c>
      <c r="I16" s="15">
        <v>0.21</v>
      </c>
      <c r="J16" s="15">
        <v>0.05</v>
      </c>
      <c r="K16" s="16">
        <f t="shared" si="3"/>
        <v>3473.6470649999992</v>
      </c>
      <c r="L16" s="16">
        <f t="shared" si="4"/>
        <v>3352.3535000000006</v>
      </c>
      <c r="M16" s="16">
        <f t="shared" si="5"/>
        <v>2051923.8089250003</v>
      </c>
      <c r="N16" s="16">
        <f t="shared" si="6"/>
        <v>144828.26</v>
      </c>
      <c r="O16" s="16"/>
      <c r="P16" s="16"/>
    </row>
    <row r="17" spans="1:16" x14ac:dyDescent="0.2">
      <c r="A17" s="11">
        <v>43739</v>
      </c>
      <c r="C17" s="12">
        <v>12894358</v>
      </c>
      <c r="D17" s="13">
        <v>35018</v>
      </c>
      <c r="E17" s="14">
        <f>55234.63-881.18</f>
        <v>54353.45</v>
      </c>
      <c r="F17" s="14">
        <v>105032.07</v>
      </c>
      <c r="G17" s="12">
        <f t="shared" si="1"/>
        <v>19335.449999999997</v>
      </c>
      <c r="H17" s="12">
        <f t="shared" si="2"/>
        <v>70014.070000000007</v>
      </c>
      <c r="I17" s="15">
        <v>0.21</v>
      </c>
      <c r="J17" s="15">
        <v>0.05</v>
      </c>
      <c r="K17" s="16">
        <f t="shared" si="3"/>
        <v>3325.2967649999991</v>
      </c>
      <c r="L17" s="16">
        <f t="shared" si="4"/>
        <v>3500.7035000000005</v>
      </c>
      <c r="M17" s="16">
        <f t="shared" si="5"/>
        <v>2058749.8091900004</v>
      </c>
      <c r="N17" s="16">
        <f t="shared" si="6"/>
        <v>144828.26</v>
      </c>
      <c r="O17" s="16"/>
      <c r="P17" s="16"/>
    </row>
    <row r="18" spans="1:16" x14ac:dyDescent="0.2">
      <c r="A18" s="11">
        <v>43770</v>
      </c>
      <c r="C18" s="12">
        <v>197852044</v>
      </c>
      <c r="D18" s="13">
        <v>313225</v>
      </c>
      <c r="E18" s="14">
        <f>38780750.24-166148.82</f>
        <v>38614601.420000002</v>
      </c>
      <c r="F18" s="14">
        <v>2994995.92</v>
      </c>
      <c r="G18" s="12">
        <f>E18-D18</f>
        <v>38301376.420000002</v>
      </c>
      <c r="H18" s="12">
        <f>F18-D18</f>
        <v>2681770.92</v>
      </c>
      <c r="I18" s="15">
        <v>0.21</v>
      </c>
      <c r="J18" s="15">
        <v>0.05</v>
      </c>
      <c r="K18" s="16">
        <f t="shared" si="3"/>
        <v>8015130.4535400001</v>
      </c>
      <c r="L18" s="16">
        <f t="shared" si="4"/>
        <v>134088.546</v>
      </c>
      <c r="M18" s="16">
        <f t="shared" si="5"/>
        <v>10207968.808730001</v>
      </c>
      <c r="N18" s="16">
        <f>40400.24+104428.02+418827.15</f>
        <v>563655.41</v>
      </c>
      <c r="O18" s="16"/>
      <c r="P18" s="16"/>
    </row>
    <row r="19" spans="1:16" x14ac:dyDescent="0.2">
      <c r="A19" s="11">
        <v>43800</v>
      </c>
      <c r="C19" s="12">
        <v>197852044</v>
      </c>
      <c r="D19" s="13">
        <v>591432</v>
      </c>
      <c r="E19" s="14">
        <f>38780750.24+164382.83</f>
        <v>38945133.07</v>
      </c>
      <c r="F19" s="14">
        <f>2994995.92</f>
        <v>2994995.92</v>
      </c>
      <c r="G19" s="12">
        <f t="shared" si="1"/>
        <v>38353701.07</v>
      </c>
      <c r="H19" s="12">
        <f t="shared" si="2"/>
        <v>2403563.92</v>
      </c>
      <c r="I19" s="15">
        <v>0.21</v>
      </c>
      <c r="J19" s="15">
        <v>0.05</v>
      </c>
      <c r="K19" s="16">
        <f t="shared" si="3"/>
        <v>8029039.8035399998</v>
      </c>
      <c r="L19" s="16">
        <f t="shared" si="4"/>
        <v>120178.196</v>
      </c>
      <c r="M19" s="16">
        <f t="shared" si="5"/>
        <v>18357186.80827</v>
      </c>
      <c r="N19" s="16">
        <f>40400.24+104428.02+418827.15-3831.25</f>
        <v>559824.16</v>
      </c>
    </row>
    <row r="20" spans="1:16" x14ac:dyDescent="0.2">
      <c r="A20" s="11">
        <v>43831</v>
      </c>
      <c r="C20" s="12">
        <v>197852044</v>
      </c>
      <c r="D20" s="13">
        <v>591432</v>
      </c>
      <c r="E20" s="14">
        <f>1075200.79</f>
        <v>1075200.79</v>
      </c>
      <c r="F20" s="14">
        <v>1804812.97</v>
      </c>
      <c r="G20" s="12">
        <f>E20-D20</f>
        <v>483768.79000000004</v>
      </c>
      <c r="H20" s="12">
        <f>F20-D20</f>
        <v>1213380.97</v>
      </c>
      <c r="I20" s="15">
        <v>0.21</v>
      </c>
      <c r="J20" s="15">
        <v>0.05</v>
      </c>
      <c r="K20" s="16">
        <f t="shared" si="3"/>
        <v>88850.945715000009</v>
      </c>
      <c r="L20" s="16">
        <f t="shared" si="4"/>
        <v>60669.048500000004</v>
      </c>
      <c r="M20" s="16">
        <f t="shared" si="5"/>
        <v>18506706.802485</v>
      </c>
      <c r="N20" s="16">
        <f>40400.24+104428.02+418827.15-3831.25+12731.5</f>
        <v>572555.66</v>
      </c>
    </row>
    <row r="21" spans="1:16" x14ac:dyDescent="0.2">
      <c r="A21" s="11">
        <v>43862</v>
      </c>
      <c r="C21" s="12">
        <v>197852044</v>
      </c>
      <c r="D21" s="13">
        <v>591432</v>
      </c>
      <c r="E21" s="14">
        <f>1075200.79</f>
        <v>1075200.79</v>
      </c>
      <c r="F21" s="14">
        <v>1804812.97</v>
      </c>
      <c r="G21" s="12">
        <f t="shared" si="1"/>
        <v>483768.79000000004</v>
      </c>
      <c r="H21" s="12">
        <f t="shared" si="2"/>
        <v>1213380.97</v>
      </c>
      <c r="I21" s="15">
        <v>0.21</v>
      </c>
      <c r="J21" s="15">
        <v>0.05</v>
      </c>
      <c r="K21" s="16">
        <f t="shared" si="3"/>
        <v>88850.945715000009</v>
      </c>
      <c r="L21" s="16">
        <f t="shared" si="4"/>
        <v>60669.048500000004</v>
      </c>
      <c r="M21" s="16">
        <f t="shared" si="5"/>
        <v>18656226.796700001</v>
      </c>
      <c r="N21" s="16">
        <f>40400.24+104428.02+418827.15-3831.25+12731.5-3831.25</f>
        <v>568724.41</v>
      </c>
    </row>
    <row r="22" spans="1:16" x14ac:dyDescent="0.2">
      <c r="A22" s="11">
        <v>43899</v>
      </c>
      <c r="C22" s="12">
        <v>197852044</v>
      </c>
      <c r="D22" s="13">
        <v>591432</v>
      </c>
      <c r="E22" s="10">
        <f>1075200.79</f>
        <v>1075200.79</v>
      </c>
      <c r="F22" s="10">
        <v>1804812.97</v>
      </c>
      <c r="G22" s="12">
        <f t="shared" si="1"/>
        <v>483768.79000000004</v>
      </c>
      <c r="H22" s="12">
        <f t="shared" si="2"/>
        <v>1213380.97</v>
      </c>
      <c r="I22" s="15">
        <v>0.21</v>
      </c>
      <c r="J22" s="15">
        <v>0.05</v>
      </c>
      <c r="K22" s="16">
        <f t="shared" si="3"/>
        <v>88850.945715000009</v>
      </c>
      <c r="L22" s="16">
        <f t="shared" si="4"/>
        <v>60669.048500000004</v>
      </c>
      <c r="M22" s="16">
        <f t="shared" si="5"/>
        <v>18805746.790915001</v>
      </c>
      <c r="N22" s="16">
        <f>40400.24+524492.91</f>
        <v>564893.15</v>
      </c>
    </row>
    <row r="23" spans="1:16" x14ac:dyDescent="0.2">
      <c r="A23" s="11">
        <v>43922</v>
      </c>
      <c r="C23" s="12">
        <v>197852044</v>
      </c>
      <c r="D23" s="13">
        <v>591432</v>
      </c>
      <c r="E23" s="10">
        <f>1075200.79</f>
        <v>1075200.79</v>
      </c>
      <c r="F23" s="10">
        <v>1804812.97</v>
      </c>
      <c r="G23" s="12">
        <f t="shared" si="1"/>
        <v>483768.79000000004</v>
      </c>
      <c r="H23" s="12">
        <f t="shared" si="2"/>
        <v>1213380.97</v>
      </c>
      <c r="I23" s="15">
        <v>0.21</v>
      </c>
      <c r="J23" s="15">
        <v>0.05</v>
      </c>
      <c r="K23" s="16">
        <f t="shared" si="3"/>
        <v>88850.945715000009</v>
      </c>
      <c r="L23" s="16">
        <f t="shared" si="4"/>
        <v>60669.048500000004</v>
      </c>
      <c r="M23" s="16">
        <f t="shared" si="5"/>
        <v>18955266.785130002</v>
      </c>
      <c r="N23" s="16">
        <f>40400.24+520661.66</f>
        <v>561061.9</v>
      </c>
    </row>
    <row r="24" spans="1:16" x14ac:dyDescent="0.2">
      <c r="A24" s="11">
        <v>43952</v>
      </c>
      <c r="C24" s="12">
        <v>197852044</v>
      </c>
      <c r="D24" s="13">
        <v>591432</v>
      </c>
      <c r="E24" s="10">
        <f>1075200.79</f>
        <v>1075200.79</v>
      </c>
      <c r="F24" s="10">
        <v>1804812.97</v>
      </c>
      <c r="G24" s="12">
        <f>E24-D24</f>
        <v>483768.79000000004</v>
      </c>
      <c r="H24" s="12">
        <f>F24-D24</f>
        <v>1213380.97</v>
      </c>
      <c r="I24" s="15">
        <v>0.21</v>
      </c>
      <c r="J24" s="15">
        <v>0.05</v>
      </c>
      <c r="K24" s="16">
        <f t="shared" si="3"/>
        <v>88850.945715000009</v>
      </c>
      <c r="L24" s="16">
        <f t="shared" si="4"/>
        <v>60669.048500000004</v>
      </c>
      <c r="M24" s="16">
        <f t="shared" si="5"/>
        <v>19104786.779345002</v>
      </c>
      <c r="N24" s="16">
        <f>40400.24+516830.4</f>
        <v>557230.64</v>
      </c>
    </row>
    <row r="25" spans="1:16" x14ac:dyDescent="0.2">
      <c r="A25" s="11">
        <v>43983</v>
      </c>
      <c r="C25" s="12">
        <v>201249101</v>
      </c>
      <c r="D25" s="13">
        <v>596542</v>
      </c>
      <c r="E25" s="10">
        <f>(1100233.76-2511.34)*0+1102498.57-4380</f>
        <v>1098118.57</v>
      </c>
      <c r="F25" s="10">
        <f>1829835.94*0+1832110.75-4380</f>
        <v>1827730.75</v>
      </c>
      <c r="G25" s="12">
        <f t="shared" si="1"/>
        <v>501576.57000000007</v>
      </c>
      <c r="H25" s="12">
        <f t="shared" si="2"/>
        <v>1231188.75</v>
      </c>
      <c r="I25" s="15">
        <v>0.21</v>
      </c>
      <c r="J25" s="15">
        <v>0.05</v>
      </c>
      <c r="K25" s="16">
        <f t="shared" si="3"/>
        <v>92403.597825000019</v>
      </c>
      <c r="L25" s="16">
        <f t="shared" si="4"/>
        <v>61559.4375</v>
      </c>
      <c r="M25" s="16">
        <f t="shared" si="5"/>
        <v>19258749.81467</v>
      </c>
      <c r="N25" s="16">
        <f>40400.24+512999.15</f>
        <v>553399.39</v>
      </c>
    </row>
    <row r="26" spans="1:16" x14ac:dyDescent="0.2">
      <c r="A26" s="11">
        <v>44013</v>
      </c>
      <c r="C26" s="12">
        <v>201249101</v>
      </c>
      <c r="D26" s="13">
        <v>601652</v>
      </c>
      <c r="E26" s="14">
        <f>1102498.57+730</f>
        <v>1103228.57</v>
      </c>
      <c r="F26" s="14">
        <f>1832110.75+730</f>
        <v>1832840.75</v>
      </c>
      <c r="G26" s="12">
        <f>E26-D26</f>
        <v>501576.57000000007</v>
      </c>
      <c r="H26" s="12">
        <f>F26-D26</f>
        <v>1231188.75</v>
      </c>
      <c r="I26" s="15">
        <v>0.21</v>
      </c>
      <c r="J26" s="15">
        <v>0.05</v>
      </c>
      <c r="K26" s="16">
        <f t="shared" si="3"/>
        <v>92403.597825000019</v>
      </c>
      <c r="L26" s="16">
        <f t="shared" si="4"/>
        <v>61559.4375</v>
      </c>
      <c r="M26" s="16">
        <f t="shared" si="5"/>
        <v>19412712.849994998</v>
      </c>
      <c r="N26" s="16">
        <f>40400.24+509167.89</f>
        <v>549568.13</v>
      </c>
    </row>
    <row r="27" spans="1:16" x14ac:dyDescent="0.2">
      <c r="A27" s="11">
        <v>44044</v>
      </c>
      <c r="C27" s="12">
        <v>201249101</v>
      </c>
      <c r="D27" s="13">
        <v>601652</v>
      </c>
      <c r="E27" s="14">
        <f>1102498.57+730</f>
        <v>1103228.57</v>
      </c>
      <c r="F27" s="14">
        <f>1832110.75+730</f>
        <v>1832840.75</v>
      </c>
      <c r="G27" s="12">
        <f t="shared" si="1"/>
        <v>501576.57000000007</v>
      </c>
      <c r="H27" s="12">
        <f t="shared" si="2"/>
        <v>1231188.75</v>
      </c>
      <c r="I27" s="15">
        <v>0.21</v>
      </c>
      <c r="J27" s="15">
        <v>0.05</v>
      </c>
      <c r="K27" s="16">
        <f t="shared" si="3"/>
        <v>92403.597825000019</v>
      </c>
      <c r="L27" s="16">
        <f t="shared" si="4"/>
        <v>61559.4375</v>
      </c>
      <c r="M27" s="16">
        <f t="shared" si="5"/>
        <v>19566675.885319997</v>
      </c>
      <c r="N27" s="16">
        <f>40400.24+505336.64</f>
        <v>545736.88</v>
      </c>
    </row>
    <row r="28" spans="1:16" x14ac:dyDescent="0.2">
      <c r="A28" s="11">
        <v>44083</v>
      </c>
      <c r="C28" s="12">
        <v>201249101</v>
      </c>
      <c r="D28" s="13">
        <v>601652</v>
      </c>
      <c r="E28" s="14">
        <f>1102498.57+730</f>
        <v>1103228.57</v>
      </c>
      <c r="F28" s="14">
        <f>1832110.75+730</f>
        <v>1832840.75</v>
      </c>
      <c r="G28" s="12">
        <f t="shared" si="1"/>
        <v>501576.57000000007</v>
      </c>
      <c r="H28" s="12">
        <f t="shared" si="2"/>
        <v>1231188.75</v>
      </c>
      <c r="I28" s="15">
        <v>0.21</v>
      </c>
      <c r="J28" s="15">
        <v>0.05</v>
      </c>
      <c r="K28" s="16">
        <f t="shared" si="3"/>
        <v>92403.597825000019</v>
      </c>
      <c r="L28" s="16">
        <f t="shared" si="4"/>
        <v>61559.4375</v>
      </c>
      <c r="M28" s="16">
        <f t="shared" si="5"/>
        <v>19720638.920644995</v>
      </c>
      <c r="N28" s="16">
        <f>40400.24+501505.39</f>
        <v>541905.63</v>
      </c>
    </row>
    <row r="29" spans="1:16" x14ac:dyDescent="0.2">
      <c r="A29" s="11">
        <v>44105</v>
      </c>
      <c r="C29" s="12">
        <v>201249101</v>
      </c>
      <c r="D29" s="13">
        <v>601652</v>
      </c>
      <c r="E29" s="14">
        <f>1102498.57+730</f>
        <v>1103228.57</v>
      </c>
      <c r="F29" s="14">
        <f>1832110.75+730</f>
        <v>1832840.75</v>
      </c>
      <c r="G29" s="12">
        <f t="shared" si="1"/>
        <v>501576.57000000007</v>
      </c>
      <c r="H29" s="12">
        <f t="shared" si="2"/>
        <v>1231188.75</v>
      </c>
      <c r="I29" s="15">
        <v>0.21</v>
      </c>
      <c r="J29" s="15">
        <v>0.05</v>
      </c>
      <c r="K29" s="16">
        <f t="shared" si="3"/>
        <v>92403.597825000019</v>
      </c>
      <c r="L29" s="16">
        <f t="shared" si="4"/>
        <v>61559.4375</v>
      </c>
      <c r="M29" s="16">
        <f t="shared" si="5"/>
        <v>19874601.955969993</v>
      </c>
      <c r="N29" s="16">
        <f>40400.24+497674.13</f>
        <v>538074.37</v>
      </c>
    </row>
    <row r="30" spans="1:16" x14ac:dyDescent="0.2">
      <c r="A30" s="11">
        <v>44136</v>
      </c>
      <c r="C30" s="12">
        <v>201249101</v>
      </c>
      <c r="D30" s="13">
        <v>601651.5</v>
      </c>
      <c r="E30" s="14">
        <f>1102498.57+731.9</f>
        <v>1103230.47</v>
      </c>
      <c r="F30" s="14">
        <f>1832110.75+731.4</f>
        <v>1832842.15</v>
      </c>
      <c r="G30" s="12">
        <f>E30-D30</f>
        <v>501578.97</v>
      </c>
      <c r="H30" s="12">
        <f>F30-D30</f>
        <v>1231190.6499999999</v>
      </c>
      <c r="I30" s="15">
        <v>0.21</v>
      </c>
      <c r="J30" s="15">
        <v>0.05</v>
      </c>
      <c r="K30" s="16">
        <f t="shared" si="3"/>
        <v>92404.081874999989</v>
      </c>
      <c r="L30" s="16">
        <f t="shared" si="4"/>
        <v>61559.532500000001</v>
      </c>
      <c r="M30" s="16">
        <f t="shared" si="5"/>
        <v>20028565.570344992</v>
      </c>
      <c r="N30" s="16">
        <f>40400.24+493842.88</f>
        <v>534243.12</v>
      </c>
    </row>
    <row r="31" spans="1:16" x14ac:dyDescent="0.2">
      <c r="A31" s="11">
        <v>44166</v>
      </c>
      <c r="C31" s="12">
        <v>207637612</v>
      </c>
      <c r="D31" s="13">
        <v>611261</v>
      </c>
      <c r="E31" s="10">
        <f>1270196.99+730.3</f>
        <v>1270927.29</v>
      </c>
      <c r="F31" s="10">
        <f>1999809.17+730.3</f>
        <v>2000539.47</v>
      </c>
      <c r="G31" s="12">
        <f t="shared" si="1"/>
        <v>659666.29</v>
      </c>
      <c r="H31" s="12">
        <f t="shared" si="2"/>
        <v>1389278.47</v>
      </c>
      <c r="I31" s="15">
        <v>0.21</v>
      </c>
      <c r="J31" s="15">
        <v>0.05</v>
      </c>
      <c r="K31" s="16">
        <f t="shared" si="3"/>
        <v>123942.496965</v>
      </c>
      <c r="L31" s="16">
        <f t="shared" si="4"/>
        <v>69463.923500000004</v>
      </c>
      <c r="M31" s="16">
        <f t="shared" si="5"/>
        <v>20221971.990809992</v>
      </c>
      <c r="N31" s="16">
        <f>40400.24+490011.63</f>
        <v>530411.87</v>
      </c>
    </row>
    <row r="32" spans="1:16" x14ac:dyDescent="0.2">
      <c r="A32" s="11">
        <v>44197</v>
      </c>
      <c r="C32" s="12">
        <v>207637612</v>
      </c>
      <c r="D32" s="13">
        <v>620871</v>
      </c>
      <c r="E32" s="14">
        <f>1128554.6+15357.07</f>
        <v>1143911.6700000002</v>
      </c>
      <c r="F32" s="14">
        <f>1833247.08+15357.07</f>
        <v>1848604.1500000001</v>
      </c>
      <c r="G32" s="12">
        <f>E32-D32</f>
        <v>523040.67000000016</v>
      </c>
      <c r="H32" s="12">
        <f>F32-D32</f>
        <v>1227733.1500000001</v>
      </c>
      <c r="I32" s="15">
        <v>0.21</v>
      </c>
      <c r="J32" s="15">
        <v>0.05</v>
      </c>
      <c r="K32" s="16">
        <f t="shared" si="3"/>
        <v>96947.342625000019</v>
      </c>
      <c r="L32" s="16">
        <f t="shared" si="4"/>
        <v>61386.657500000008</v>
      </c>
      <c r="M32" s="16">
        <f t="shared" si="5"/>
        <v>20380305.99093499</v>
      </c>
      <c r="N32" s="16">
        <f>40400.24+501856.64</f>
        <v>542256.88</v>
      </c>
    </row>
    <row r="33" spans="1:14" x14ac:dyDescent="0.2">
      <c r="A33" s="11">
        <v>44228</v>
      </c>
      <c r="C33" s="12">
        <v>207637612</v>
      </c>
      <c r="D33" s="13">
        <v>620871</v>
      </c>
      <c r="E33" s="14">
        <f>1128554.6-1396.44</f>
        <v>1127158.1600000001</v>
      </c>
      <c r="F33" s="14">
        <f>1833247.08-1396.44</f>
        <v>1831850.6400000001</v>
      </c>
      <c r="G33" s="12">
        <f t="shared" si="1"/>
        <v>506287.16000000015</v>
      </c>
      <c r="H33" s="12">
        <f t="shared" si="2"/>
        <v>1210979.6400000001</v>
      </c>
      <c r="I33" s="15">
        <v>0.21</v>
      </c>
      <c r="J33" s="15">
        <v>0.05</v>
      </c>
      <c r="K33" s="16">
        <f t="shared" si="3"/>
        <v>93605.017380000034</v>
      </c>
      <c r="L33" s="16">
        <f t="shared" si="4"/>
        <v>60548.982000000011</v>
      </c>
      <c r="M33" s="16">
        <f t="shared" si="5"/>
        <v>20534459.99031499</v>
      </c>
      <c r="N33" s="16">
        <f>40400.24+498025.39</f>
        <v>538425.63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2"/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45</v>
      </c>
    </row>
    <row r="38" spans="1:14" x14ac:dyDescent="0.2">
      <c r="C38" s="23" t="s">
        <v>49</v>
      </c>
    </row>
    <row r="39" spans="1:14" x14ac:dyDescent="0.2">
      <c r="C39" s="23" t="s">
        <v>50</v>
      </c>
    </row>
    <row r="40" spans="1:14" x14ac:dyDescent="0.2">
      <c r="C40" s="16" t="s">
        <v>21</v>
      </c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4378287</v>
      </c>
      <c r="D43" s="12">
        <v>620871</v>
      </c>
      <c r="E43" s="12">
        <f>21891.44+4168.86+10422.15</f>
        <v>36482.449999999997</v>
      </c>
      <c r="F43" s="12">
        <f>E43-D43</f>
        <v>-584388.55000000005</v>
      </c>
      <c r="G43" s="15">
        <v>0.21</v>
      </c>
      <c r="H43" s="12">
        <f>F43*G43</f>
        <v>-122721.59550000001</v>
      </c>
    </row>
    <row r="44" spans="1:14" x14ac:dyDescent="0.2">
      <c r="C44" s="12">
        <v>1178248</v>
      </c>
      <c r="D44" s="12"/>
      <c r="E44" s="12">
        <f>5891.24+1213.01+3032.52</f>
        <v>10136.77</v>
      </c>
      <c r="F44" s="12">
        <f t="shared" ref="F44:F48" si="7">E44-D44</f>
        <v>10136.77</v>
      </c>
      <c r="G44" s="15">
        <v>0.21</v>
      </c>
      <c r="H44" s="12">
        <f t="shared" ref="H44:H48" si="8">F44*G44</f>
        <v>2128.7217000000001</v>
      </c>
    </row>
    <row r="45" spans="1:14" x14ac:dyDescent="0.2">
      <c r="C45" s="12">
        <v>527243</v>
      </c>
      <c r="D45" s="12"/>
      <c r="E45" s="12">
        <f>2636.22+586.73+1466.83</f>
        <v>4689.78</v>
      </c>
      <c r="F45" s="12">
        <f t="shared" si="7"/>
        <v>4689.78</v>
      </c>
      <c r="G45" s="15">
        <v>0.21</v>
      </c>
      <c r="H45" s="12">
        <f t="shared" si="8"/>
        <v>984.85379999999986</v>
      </c>
    </row>
    <row r="46" spans="1:14" x14ac:dyDescent="0.2">
      <c r="C46" s="12">
        <v>110974612</v>
      </c>
      <c r="D46" s="12"/>
      <c r="E46" s="12">
        <f>554873.06+432236.87</f>
        <v>987109.93</v>
      </c>
      <c r="F46" s="12">
        <f t="shared" si="7"/>
        <v>987109.93</v>
      </c>
      <c r="G46" s="15">
        <v>0.21</v>
      </c>
      <c r="H46" s="12">
        <f t="shared" si="8"/>
        <v>207293.08530000001</v>
      </c>
    </row>
    <row r="47" spans="1:14" x14ac:dyDescent="0.2">
      <c r="C47" s="12">
        <f>1019117.12+679411.41+1698528.54</f>
        <v>3397057.0700000003</v>
      </c>
      <c r="D47" s="12"/>
      <c r="E47" s="12">
        <f>16985.29+4087.23+10218.06</f>
        <v>31290.58</v>
      </c>
      <c r="F47" s="12">
        <f t="shared" si="7"/>
        <v>31290.58</v>
      </c>
      <c r="G47" s="15">
        <v>0.21</v>
      </c>
      <c r="H47" s="12">
        <f t="shared" si="8"/>
        <v>6571.0218000000004</v>
      </c>
    </row>
    <row r="48" spans="1:14" ht="15" x14ac:dyDescent="0.35">
      <c r="C48" s="12">
        <f>1916553.32+1277702.21+3194255.53</f>
        <v>6388511.0600000005</v>
      </c>
      <c r="D48" s="12"/>
      <c r="E48" s="24">
        <f>31942.56+7686.44+19216.11-1396.5</f>
        <v>57448.61</v>
      </c>
      <c r="F48" s="24">
        <f t="shared" si="7"/>
        <v>57448.61</v>
      </c>
      <c r="G48" s="15">
        <v>0.21</v>
      </c>
      <c r="H48" s="24">
        <f t="shared" si="8"/>
        <v>12064.2081</v>
      </c>
    </row>
    <row r="49" spans="3:8" x14ac:dyDescent="0.2">
      <c r="E49" s="16">
        <f>SUM(E43:E48)</f>
        <v>1127158.1200000001</v>
      </c>
      <c r="F49" s="16">
        <f>SUM(F43:F48)</f>
        <v>506287.12000000005</v>
      </c>
      <c r="G49" s="22" t="s">
        <v>27</v>
      </c>
      <c r="H49" s="16">
        <f>SUM(H43:H48)</f>
        <v>106320.29519999999</v>
      </c>
    </row>
    <row r="50" spans="3:8" ht="15" x14ac:dyDescent="0.35">
      <c r="G50" s="22" t="s">
        <v>28</v>
      </c>
      <c r="H50" s="24">
        <f>-H60*0.21</f>
        <v>-12715.28559</v>
      </c>
    </row>
    <row r="51" spans="3:8" x14ac:dyDescent="0.2">
      <c r="H51" s="16">
        <f>H49+H50</f>
        <v>93605.009609999994</v>
      </c>
    </row>
    <row r="52" spans="3:8" x14ac:dyDescent="0.2">
      <c r="H52" s="16">
        <f>H51-K33</f>
        <v>-7.7700000401819125E-3</v>
      </c>
    </row>
    <row r="53" spans="3:8" x14ac:dyDescent="0.2">
      <c r="C53" s="16" t="s">
        <v>29</v>
      </c>
      <c r="D53" s="25" t="s">
        <v>23</v>
      </c>
      <c r="E53" s="26" t="s">
        <v>30</v>
      </c>
      <c r="F53" s="16" t="s">
        <v>31</v>
      </c>
      <c r="G53" s="15" t="s">
        <v>13</v>
      </c>
      <c r="H53" s="16" t="s">
        <v>32</v>
      </c>
    </row>
    <row r="54" spans="3:8" x14ac:dyDescent="0.2">
      <c r="C54" s="12">
        <v>8756574</v>
      </c>
      <c r="D54" s="16">
        <f>D43</f>
        <v>620871</v>
      </c>
      <c r="E54" s="16">
        <f>43782.87+8337.72+20844.29</f>
        <v>72964.88</v>
      </c>
      <c r="F54" s="16">
        <f>E54-D54</f>
        <v>-547906.12</v>
      </c>
      <c r="G54" s="15">
        <v>0.05</v>
      </c>
      <c r="H54" s="16">
        <f>F54*G54</f>
        <v>-27395.306</v>
      </c>
    </row>
    <row r="55" spans="3:8" x14ac:dyDescent="0.2">
      <c r="C55" s="12">
        <v>2356496</v>
      </c>
      <c r="E55" s="16">
        <f>11782.48+2426.01+6065.03</f>
        <v>20273.52</v>
      </c>
      <c r="F55" s="16">
        <f t="shared" ref="F55:F59" si="9">E55-D55</f>
        <v>20273.52</v>
      </c>
      <c r="G55" s="15">
        <v>0.05</v>
      </c>
      <c r="H55" s="16">
        <f t="shared" ref="H55:H59" si="10">F55*G55</f>
        <v>1013.676</v>
      </c>
    </row>
    <row r="56" spans="3:8" x14ac:dyDescent="0.2">
      <c r="C56" s="12">
        <v>527243</v>
      </c>
      <c r="E56" s="16">
        <f>2636.22+586.73+1466.83</f>
        <v>4689.78</v>
      </c>
      <c r="F56" s="16">
        <f t="shared" si="9"/>
        <v>4689.78</v>
      </c>
      <c r="G56" s="15">
        <v>0.05</v>
      </c>
      <c r="H56" s="16">
        <f t="shared" si="10"/>
        <v>234.489</v>
      </c>
    </row>
    <row r="57" spans="3:8" x14ac:dyDescent="0.2">
      <c r="C57" s="12">
        <v>184957686</v>
      </c>
      <c r="E57" s="12">
        <f>924788.43+720394.78</f>
        <v>1645183.21</v>
      </c>
      <c r="F57" s="12">
        <f t="shared" si="9"/>
        <v>1645183.21</v>
      </c>
      <c r="G57" s="15">
        <v>0.05</v>
      </c>
      <c r="H57" s="12">
        <f t="shared" si="10"/>
        <v>82259.160499999998</v>
      </c>
    </row>
    <row r="58" spans="3:8" x14ac:dyDescent="0.2">
      <c r="C58" s="12">
        <f>C47</f>
        <v>3397057.0700000003</v>
      </c>
      <c r="E58" s="12">
        <f>16985.29+4087.23+10218.06</f>
        <v>31290.58</v>
      </c>
      <c r="F58" s="12">
        <f t="shared" si="9"/>
        <v>31290.58</v>
      </c>
      <c r="G58" s="29">
        <v>0.05</v>
      </c>
      <c r="H58" s="12">
        <f t="shared" si="10"/>
        <v>1564.5290000000002</v>
      </c>
    </row>
    <row r="59" spans="3:8" ht="15" x14ac:dyDescent="0.35">
      <c r="C59" s="12">
        <f>C48</f>
        <v>6388511.0600000005</v>
      </c>
      <c r="E59" s="24">
        <f>31942.56+7686.44+19216.11-1396.5</f>
        <v>57448.61</v>
      </c>
      <c r="F59" s="24">
        <f t="shared" si="9"/>
        <v>57448.61</v>
      </c>
      <c r="G59" s="29">
        <v>0.05</v>
      </c>
      <c r="H59" s="24">
        <f t="shared" si="10"/>
        <v>2872.4305000000004</v>
      </c>
    </row>
    <row r="60" spans="3:8" x14ac:dyDescent="0.2">
      <c r="E60" s="16">
        <f>SUM(E54:E59)</f>
        <v>1831850.58</v>
      </c>
      <c r="F60" s="16">
        <f>SUM(F54:F59)</f>
        <v>1210979.5800000003</v>
      </c>
      <c r="H60" s="16">
        <f>SUM(H54:H59)</f>
        <v>60548.978999999999</v>
      </c>
    </row>
    <row r="61" spans="3:8" x14ac:dyDescent="0.2">
      <c r="H61" s="16">
        <f>H60-L33</f>
        <v>-3.0000000115251169E-3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7 of 8
Clements</oddHeader>
    <oddFooter>&amp;L_x000D_&amp;1#&amp;"Calibri"&amp;14&amp;K000000 Business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B8E1C-E350-4907-A8A1-79A6379D59D2}">
  <sheetPr>
    <pageSetUpPr fitToPage="1"/>
  </sheetPr>
  <dimension ref="A1:T53"/>
  <sheetViews>
    <sheetView zoomScaleNormal="100" workbookViewId="0">
      <selection sqref="A1:N1"/>
    </sheetView>
  </sheetViews>
  <sheetFormatPr defaultRowHeight="12.75" x14ac:dyDescent="0.2"/>
  <cols>
    <col min="1" max="1" width="11.28515625" style="9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1:20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</row>
    <row r="3" spans="1:20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</row>
    <row r="4" spans="1:20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x14ac:dyDescent="0.2">
      <c r="A5" s="4" t="s">
        <v>40</v>
      </c>
    </row>
    <row r="6" spans="1:20" x14ac:dyDescent="0.2">
      <c r="A6" s="5" t="s">
        <v>46</v>
      </c>
    </row>
    <row r="8" spans="1:20" s="8" customFormat="1" ht="38.25" x14ac:dyDescent="0.2">
      <c r="A8" s="6" t="s">
        <v>5</v>
      </c>
      <c r="B8" s="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</row>
    <row r="9" spans="1:20" x14ac:dyDescent="0.2">
      <c r="A9" s="9" t="s">
        <v>18</v>
      </c>
      <c r="M9" s="10">
        <v>67262</v>
      </c>
    </row>
    <row r="10" spans="1:20" x14ac:dyDescent="0.2">
      <c r="A10" s="11">
        <v>43533</v>
      </c>
      <c r="C10" s="12">
        <v>379213</v>
      </c>
      <c r="D10" s="13">
        <v>866</v>
      </c>
      <c r="E10" s="13">
        <f>1055</f>
        <v>1055</v>
      </c>
      <c r="F10" s="13">
        <f>2110</f>
        <v>2110</v>
      </c>
      <c r="G10" s="14">
        <f t="shared" ref="G10:G13" si="0">E10-D10</f>
        <v>189</v>
      </c>
      <c r="H10" s="14">
        <f t="shared" ref="H10:H13" si="1">F10-D10</f>
        <v>1244</v>
      </c>
      <c r="I10" s="15">
        <v>0.21</v>
      </c>
      <c r="J10" s="15">
        <v>0.05</v>
      </c>
      <c r="K10" s="16">
        <f t="shared" ref="K10:K13" si="2">G10*I10-L10*I10</f>
        <v>26.628</v>
      </c>
      <c r="L10" s="16">
        <f t="shared" ref="L10:L13" si="3">H10*J10</f>
        <v>62.2</v>
      </c>
      <c r="M10" s="16">
        <f t="shared" ref="M10:M33" si="4">M9+K10+L10</f>
        <v>67350.827999999994</v>
      </c>
      <c r="N10" s="16">
        <v>0</v>
      </c>
      <c r="O10" s="17"/>
    </row>
    <row r="11" spans="1:20" x14ac:dyDescent="0.2">
      <c r="A11" s="11">
        <v>43556</v>
      </c>
      <c r="C11" s="12">
        <v>379213</v>
      </c>
      <c r="D11" s="13">
        <v>866</v>
      </c>
      <c r="E11" s="13">
        <f>1055</f>
        <v>1055</v>
      </c>
      <c r="F11" s="13">
        <f>2110</f>
        <v>2110</v>
      </c>
      <c r="G11" s="14">
        <f t="shared" si="0"/>
        <v>189</v>
      </c>
      <c r="H11" s="14">
        <f t="shared" si="1"/>
        <v>1244</v>
      </c>
      <c r="I11" s="15">
        <v>0.21</v>
      </c>
      <c r="J11" s="15">
        <v>0.05</v>
      </c>
      <c r="K11" s="16">
        <f t="shared" si="2"/>
        <v>26.628</v>
      </c>
      <c r="L11" s="16">
        <f t="shared" si="3"/>
        <v>62.2</v>
      </c>
      <c r="M11" s="16">
        <f t="shared" si="4"/>
        <v>67439.655999999988</v>
      </c>
      <c r="N11" s="16">
        <v>0</v>
      </c>
      <c r="O11" s="17"/>
      <c r="Q11" s="16">
        <f>358619-M12</f>
        <v>291062.46739500004</v>
      </c>
      <c r="R11" s="22" t="s">
        <v>42</v>
      </c>
    </row>
    <row r="12" spans="1:20" x14ac:dyDescent="0.2">
      <c r="A12" s="11">
        <v>43586</v>
      </c>
      <c r="C12" s="12">
        <v>379213</v>
      </c>
      <c r="D12" s="13">
        <v>754.5</v>
      </c>
      <c r="E12" s="13">
        <f>1056</f>
        <v>1056</v>
      </c>
      <c r="F12" s="13">
        <f>2110.49</f>
        <v>2110.4899999999998</v>
      </c>
      <c r="G12" s="14">
        <f t="shared" si="0"/>
        <v>301.5</v>
      </c>
      <c r="H12" s="14">
        <f t="shared" si="1"/>
        <v>1355.9899999999998</v>
      </c>
      <c r="I12" s="15">
        <v>0.21</v>
      </c>
      <c r="J12" s="15">
        <v>0.05</v>
      </c>
      <c r="K12" s="16">
        <f t="shared" si="2"/>
        <v>49.077105000000003</v>
      </c>
      <c r="L12" s="16">
        <f t="shared" si="3"/>
        <v>67.799499999999995</v>
      </c>
      <c r="M12" s="16">
        <f t="shared" si="4"/>
        <v>67556.532604999986</v>
      </c>
      <c r="N12" s="16">
        <v>0</v>
      </c>
      <c r="Q12">
        <f>+Q11/0.389</f>
        <v>748232.56399742945</v>
      </c>
      <c r="R12" s="16"/>
    </row>
    <row r="13" spans="1:20" x14ac:dyDescent="0.2">
      <c r="A13" s="11">
        <v>43617</v>
      </c>
      <c r="C13" s="12">
        <v>379213</v>
      </c>
      <c r="D13" s="13">
        <v>755</v>
      </c>
      <c r="E13" s="13">
        <f>1055-2</f>
        <v>1053</v>
      </c>
      <c r="F13" s="13">
        <f>2110</f>
        <v>2110</v>
      </c>
      <c r="G13" s="14">
        <f t="shared" si="0"/>
        <v>298</v>
      </c>
      <c r="H13" s="14">
        <f t="shared" si="1"/>
        <v>1355</v>
      </c>
      <c r="I13" s="15">
        <v>0.21</v>
      </c>
      <c r="J13" s="15">
        <v>0.05</v>
      </c>
      <c r="K13" s="16">
        <f t="shared" si="2"/>
        <v>48.352499999999999</v>
      </c>
      <c r="L13" s="16">
        <f t="shared" si="3"/>
        <v>67.75</v>
      </c>
      <c r="M13" s="16">
        <f t="shared" si="4"/>
        <v>67672.635104999979</v>
      </c>
      <c r="N13" s="16">
        <v>0</v>
      </c>
      <c r="Q13" s="16">
        <f>374733-M14</f>
        <v>306944.26239500003</v>
      </c>
    </row>
    <row r="14" spans="1:20" x14ac:dyDescent="0.2">
      <c r="A14" s="11">
        <v>43647</v>
      </c>
      <c r="C14" s="12">
        <v>379213</v>
      </c>
      <c r="D14" s="13">
        <v>755</v>
      </c>
      <c r="E14" s="13">
        <f>1055-2</f>
        <v>1053</v>
      </c>
      <c r="F14" s="13">
        <f>2110</f>
        <v>2110</v>
      </c>
      <c r="G14" s="14">
        <f>E14-D14</f>
        <v>298</v>
      </c>
      <c r="H14" s="14">
        <f>F14-D14</f>
        <v>1355</v>
      </c>
      <c r="I14" s="15">
        <v>0.21</v>
      </c>
      <c r="J14" s="15">
        <v>0.05</v>
      </c>
      <c r="K14" s="16">
        <f>G14*I14-L14*I14</f>
        <v>48.352499999999999</v>
      </c>
      <c r="L14" s="16">
        <f>H14*J14</f>
        <v>67.75</v>
      </c>
      <c r="M14" s="16">
        <f t="shared" si="4"/>
        <v>67788.737604999973</v>
      </c>
      <c r="N14" s="16">
        <v>0</v>
      </c>
      <c r="Q14">
        <f>+Q13/0.389</f>
        <v>789059.80050128535</v>
      </c>
      <c r="R14" s="16"/>
      <c r="S14" s="16"/>
      <c r="T14" s="16"/>
    </row>
    <row r="15" spans="1:20" x14ac:dyDescent="0.2">
      <c r="A15" s="11">
        <v>43678</v>
      </c>
      <c r="C15" s="12">
        <v>379213</v>
      </c>
      <c r="D15" s="13">
        <v>754.5</v>
      </c>
      <c r="E15" s="13">
        <f>1055.49</f>
        <v>1055.49</v>
      </c>
      <c r="F15" s="13">
        <f>2110.49</f>
        <v>2110.4899999999998</v>
      </c>
      <c r="G15" s="14">
        <f>E15-D15</f>
        <v>300.99</v>
      </c>
      <c r="H15" s="14">
        <f>F15-D15</f>
        <v>1355.9899999999998</v>
      </c>
      <c r="I15" s="15">
        <v>0.21</v>
      </c>
      <c r="J15" s="15">
        <v>0.05</v>
      </c>
      <c r="K15" s="16">
        <f>G15*I15-L15*I15</f>
        <v>48.970005</v>
      </c>
      <c r="L15" s="16">
        <f>H15*J15</f>
        <v>67.799499999999995</v>
      </c>
      <c r="M15" s="16">
        <f t="shared" si="4"/>
        <v>67905.507109999962</v>
      </c>
      <c r="N15" s="16">
        <v>0</v>
      </c>
      <c r="Q15" s="16">
        <f>+M15-386700</f>
        <v>-318794.49289000005</v>
      </c>
      <c r="R15" s="28"/>
      <c r="T15" s="16"/>
    </row>
    <row r="16" spans="1:20" x14ac:dyDescent="0.2">
      <c r="A16" s="11">
        <v>43717</v>
      </c>
      <c r="C16" s="12">
        <v>379213</v>
      </c>
      <c r="D16" s="13">
        <v>755</v>
      </c>
      <c r="E16" s="13">
        <f>1055-2</f>
        <v>1053</v>
      </c>
      <c r="F16" s="13">
        <f>2110</f>
        <v>2110</v>
      </c>
      <c r="G16" s="14">
        <f t="shared" ref="G16:G19" si="5">E16-D16</f>
        <v>298</v>
      </c>
      <c r="H16" s="14">
        <f t="shared" ref="H16:H19" si="6">F16-D16</f>
        <v>1355</v>
      </c>
      <c r="I16" s="15">
        <v>0.21</v>
      </c>
      <c r="J16" s="15">
        <v>0.05</v>
      </c>
      <c r="K16" s="16">
        <f t="shared" ref="K16:K19" si="7">G16*I16-L16*I16</f>
        <v>48.352499999999999</v>
      </c>
      <c r="L16" s="16">
        <f t="shared" ref="L16:L19" si="8">H16*J16</f>
        <v>67.75</v>
      </c>
      <c r="M16" s="16">
        <f t="shared" si="4"/>
        <v>68021.609609999956</v>
      </c>
      <c r="N16" s="16">
        <v>0</v>
      </c>
      <c r="O16" s="16"/>
      <c r="P16" s="16"/>
      <c r="Q16">
        <f>+Q15/0.389</f>
        <v>-819523.11796915182</v>
      </c>
    </row>
    <row r="17" spans="1:16" x14ac:dyDescent="0.2">
      <c r="A17" s="11">
        <v>43739</v>
      </c>
      <c r="C17" s="12">
        <v>44037947</v>
      </c>
      <c r="D17" s="13">
        <v>44232</v>
      </c>
      <c r="E17" s="13">
        <f>5655446.97-34432.99</f>
        <v>5621013.9799999995</v>
      </c>
      <c r="F17" s="13">
        <v>547844.18000000005</v>
      </c>
      <c r="G17" s="14">
        <f t="shared" si="5"/>
        <v>5576781.9799999995</v>
      </c>
      <c r="H17" s="14">
        <f t="shared" si="6"/>
        <v>503612.18000000005</v>
      </c>
      <c r="I17" s="15">
        <v>0.21</v>
      </c>
      <c r="J17" s="15">
        <v>0.05</v>
      </c>
      <c r="K17" s="16">
        <f t="shared" si="7"/>
        <v>1165836.28791</v>
      </c>
      <c r="L17" s="16">
        <f t="shared" si="8"/>
        <v>25180.609000000004</v>
      </c>
      <c r="M17" s="16">
        <f t="shared" si="4"/>
        <v>1259038.5065199998</v>
      </c>
      <c r="N17" s="16">
        <v>0</v>
      </c>
      <c r="O17" s="16"/>
      <c r="P17" s="16"/>
    </row>
    <row r="18" spans="1:16" x14ac:dyDescent="0.2">
      <c r="A18" s="11">
        <v>43770</v>
      </c>
      <c r="C18" s="12">
        <v>44037947</v>
      </c>
      <c r="D18" s="13">
        <v>87709</v>
      </c>
      <c r="E18" s="13">
        <f>5655446.97+17217.56</f>
        <v>5672664.5299999993</v>
      </c>
      <c r="F18" s="13">
        <v>547844.18000000005</v>
      </c>
      <c r="G18" s="14">
        <f t="shared" si="5"/>
        <v>5584955.5299999993</v>
      </c>
      <c r="H18" s="14">
        <f t="shared" si="6"/>
        <v>460135.18000000005</v>
      </c>
      <c r="I18" s="15">
        <v>0.21</v>
      </c>
      <c r="J18" s="15">
        <v>0.05</v>
      </c>
      <c r="K18" s="16">
        <f t="shared" si="7"/>
        <v>1168009.2419099999</v>
      </c>
      <c r="L18" s="16">
        <f t="shared" si="8"/>
        <v>23006.759000000005</v>
      </c>
      <c r="M18" s="16">
        <f t="shared" si="4"/>
        <v>2450054.5074299998</v>
      </c>
      <c r="N18" s="16">
        <v>0</v>
      </c>
      <c r="O18" s="16"/>
      <c r="P18" s="16"/>
    </row>
    <row r="19" spans="1:16" x14ac:dyDescent="0.2">
      <c r="A19" s="11">
        <v>43800</v>
      </c>
      <c r="C19" s="12">
        <v>44037947</v>
      </c>
      <c r="D19" s="13">
        <v>87709</v>
      </c>
      <c r="E19" s="13">
        <f>5655446.97+17217.56</f>
        <v>5672664.5299999993</v>
      </c>
      <c r="F19" s="13">
        <v>547844.18000000005</v>
      </c>
      <c r="G19" s="14">
        <f t="shared" si="5"/>
        <v>5584955.5299999993</v>
      </c>
      <c r="H19" s="14">
        <f t="shared" si="6"/>
        <v>460135.18000000005</v>
      </c>
      <c r="I19" s="15">
        <v>0.21</v>
      </c>
      <c r="J19" s="15">
        <v>0.05</v>
      </c>
      <c r="K19" s="16">
        <f t="shared" si="7"/>
        <v>1168009.2419099999</v>
      </c>
      <c r="L19" s="16">
        <f t="shared" si="8"/>
        <v>23006.759000000005</v>
      </c>
      <c r="M19" s="16">
        <f t="shared" si="4"/>
        <v>3641070.5083399997</v>
      </c>
      <c r="N19" s="16">
        <v>0</v>
      </c>
    </row>
    <row r="20" spans="1:16" x14ac:dyDescent="0.2">
      <c r="A20" s="11">
        <v>43831</v>
      </c>
      <c r="C20" s="12">
        <v>44037947</v>
      </c>
      <c r="D20" s="13">
        <v>87709</v>
      </c>
      <c r="E20" s="13">
        <f>167829.02</f>
        <v>167829.02</v>
      </c>
      <c r="F20" s="13">
        <v>264595.67</v>
      </c>
      <c r="G20" s="14">
        <f>E20-D20</f>
        <v>80120.01999999999</v>
      </c>
      <c r="H20" s="14">
        <f>F20-D20</f>
        <v>176886.66999999998</v>
      </c>
      <c r="I20" s="15">
        <v>0.21</v>
      </c>
      <c r="J20" s="15">
        <v>0.05</v>
      </c>
      <c r="K20" s="16">
        <f>G20*I20-L20*I20</f>
        <v>14967.894164999996</v>
      </c>
      <c r="L20" s="16">
        <f>H20*J20</f>
        <v>8844.3334999999988</v>
      </c>
      <c r="M20" s="16">
        <f t="shared" si="4"/>
        <v>3664882.7360049998</v>
      </c>
      <c r="N20" s="16">
        <v>0</v>
      </c>
    </row>
    <row r="21" spans="1:16" x14ac:dyDescent="0.2">
      <c r="A21" s="11">
        <v>43862</v>
      </c>
      <c r="C21" s="12">
        <v>44037947</v>
      </c>
      <c r="D21" s="13">
        <v>87709</v>
      </c>
      <c r="E21" s="13">
        <f>167829.02</f>
        <v>167829.02</v>
      </c>
      <c r="F21" s="13">
        <v>264595.67</v>
      </c>
      <c r="G21" s="14">
        <f>E21-D21</f>
        <v>80120.01999999999</v>
      </c>
      <c r="H21" s="14">
        <f>F21-D21</f>
        <v>176886.66999999998</v>
      </c>
      <c r="I21" s="15">
        <v>0.21</v>
      </c>
      <c r="J21" s="15">
        <v>0.05</v>
      </c>
      <c r="K21" s="16">
        <f>G21*I21-L21*I21</f>
        <v>14967.894164999996</v>
      </c>
      <c r="L21" s="16">
        <f>H21*J21</f>
        <v>8844.3334999999988</v>
      </c>
      <c r="M21" s="16">
        <f t="shared" si="4"/>
        <v>3688694.96367</v>
      </c>
      <c r="N21" s="16">
        <v>0</v>
      </c>
    </row>
    <row r="22" spans="1:16" x14ac:dyDescent="0.2">
      <c r="A22" s="11">
        <v>43899</v>
      </c>
      <c r="C22" s="12">
        <v>44037947</v>
      </c>
      <c r="D22" s="13">
        <v>87709</v>
      </c>
      <c r="E22" s="13">
        <f>167829.02+3</f>
        <v>167832.02</v>
      </c>
      <c r="F22" s="13">
        <v>264595.67</v>
      </c>
      <c r="G22" s="14">
        <f t="shared" ref="G22:G25" si="9">E22-D22</f>
        <v>80123.01999999999</v>
      </c>
      <c r="H22" s="14">
        <f t="shared" ref="H22:H25" si="10">F22-D22</f>
        <v>176886.66999999998</v>
      </c>
      <c r="I22" s="15">
        <v>0.21</v>
      </c>
      <c r="J22" s="15">
        <v>0.05</v>
      </c>
      <c r="K22" s="16">
        <f t="shared" ref="K22:K25" si="11">G22*I22-L22*I22</f>
        <v>14968.524164999997</v>
      </c>
      <c r="L22" s="16">
        <f t="shared" ref="L22:L25" si="12">H22*J22</f>
        <v>8844.3334999999988</v>
      </c>
      <c r="M22" s="16">
        <f t="shared" si="4"/>
        <v>3712507.821335</v>
      </c>
      <c r="N22" s="16">
        <v>0</v>
      </c>
    </row>
    <row r="23" spans="1:16" x14ac:dyDescent="0.2">
      <c r="A23" s="11">
        <v>43922</v>
      </c>
      <c r="C23" s="12">
        <v>44037947</v>
      </c>
      <c r="D23" s="13">
        <v>87709</v>
      </c>
      <c r="E23" s="13">
        <f>167829.02</f>
        <v>167829.02</v>
      </c>
      <c r="F23" s="13">
        <v>264595.67</v>
      </c>
      <c r="G23" s="14">
        <f t="shared" si="9"/>
        <v>80120.01999999999</v>
      </c>
      <c r="H23" s="14">
        <f t="shared" si="10"/>
        <v>176886.66999999998</v>
      </c>
      <c r="I23" s="15">
        <v>0.21</v>
      </c>
      <c r="J23" s="15">
        <v>0.05</v>
      </c>
      <c r="K23" s="16">
        <f t="shared" si="11"/>
        <v>14967.894164999996</v>
      </c>
      <c r="L23" s="16">
        <f t="shared" si="12"/>
        <v>8844.3334999999988</v>
      </c>
      <c r="M23" s="16">
        <f t="shared" si="4"/>
        <v>3736320.0490000001</v>
      </c>
      <c r="N23" s="16">
        <v>0</v>
      </c>
    </row>
    <row r="24" spans="1:16" x14ac:dyDescent="0.2">
      <c r="A24" s="11">
        <v>43952</v>
      </c>
      <c r="C24" s="12">
        <v>44037947</v>
      </c>
      <c r="D24" s="13">
        <v>87709</v>
      </c>
      <c r="E24" s="13">
        <f>167829.02</f>
        <v>167829.02</v>
      </c>
      <c r="F24" s="13">
        <v>264595.67</v>
      </c>
      <c r="G24" s="14">
        <f t="shared" si="9"/>
        <v>80120.01999999999</v>
      </c>
      <c r="H24" s="14">
        <f t="shared" si="10"/>
        <v>176886.66999999998</v>
      </c>
      <c r="I24" s="15">
        <v>0.21</v>
      </c>
      <c r="J24" s="15">
        <v>0.05</v>
      </c>
      <c r="K24" s="16">
        <f t="shared" si="11"/>
        <v>14967.894164999996</v>
      </c>
      <c r="L24" s="16">
        <f t="shared" si="12"/>
        <v>8844.3334999999988</v>
      </c>
      <c r="M24" s="16">
        <f t="shared" si="4"/>
        <v>3760132.2766650002</v>
      </c>
      <c r="N24" s="16">
        <v>0</v>
      </c>
    </row>
    <row r="25" spans="1:16" x14ac:dyDescent="0.2">
      <c r="A25" s="11">
        <v>43983</v>
      </c>
      <c r="C25" s="12">
        <v>44037947</v>
      </c>
      <c r="D25" s="13">
        <v>87709</v>
      </c>
      <c r="E25" s="13">
        <f>167829.02-2</f>
        <v>167827.02</v>
      </c>
      <c r="F25" s="13">
        <v>264595.67</v>
      </c>
      <c r="G25" s="14">
        <f t="shared" si="9"/>
        <v>80118.01999999999</v>
      </c>
      <c r="H25" s="14">
        <f t="shared" si="10"/>
        <v>176886.66999999998</v>
      </c>
      <c r="I25" s="15">
        <v>0.21</v>
      </c>
      <c r="J25" s="15">
        <v>0.05</v>
      </c>
      <c r="K25" s="16">
        <f t="shared" si="11"/>
        <v>14967.474164999998</v>
      </c>
      <c r="L25" s="16">
        <f t="shared" si="12"/>
        <v>8844.3334999999988</v>
      </c>
      <c r="M25" s="16">
        <f t="shared" si="4"/>
        <v>3783944.0843300004</v>
      </c>
      <c r="N25" s="16">
        <v>0</v>
      </c>
    </row>
    <row r="26" spans="1:16" x14ac:dyDescent="0.2">
      <c r="A26" s="11">
        <v>44013</v>
      </c>
      <c r="C26" s="12">
        <v>44037947</v>
      </c>
      <c r="D26" s="13">
        <v>87709</v>
      </c>
      <c r="E26" s="13">
        <f>167829.02+2</f>
        <v>167831.02</v>
      </c>
      <c r="F26" s="13">
        <v>264595.67</v>
      </c>
      <c r="G26" s="14">
        <f>E26-D26</f>
        <v>80122.01999999999</v>
      </c>
      <c r="H26" s="14">
        <f>F26-D26</f>
        <v>176886.66999999998</v>
      </c>
      <c r="I26" s="15">
        <v>0.21</v>
      </c>
      <c r="J26" s="15">
        <v>0.05</v>
      </c>
      <c r="K26" s="16">
        <f>G26*I26-L26*I26</f>
        <v>14968.314164999998</v>
      </c>
      <c r="L26" s="16">
        <f>H26*J26</f>
        <v>8844.3334999999988</v>
      </c>
      <c r="M26" s="16">
        <f t="shared" si="4"/>
        <v>3807756.7319950005</v>
      </c>
      <c r="N26" s="16">
        <v>0</v>
      </c>
    </row>
    <row r="27" spans="1:16" x14ac:dyDescent="0.2">
      <c r="A27" s="11">
        <v>44044</v>
      </c>
      <c r="C27" s="12">
        <v>44037947</v>
      </c>
      <c r="D27" s="13">
        <v>87709.49</v>
      </c>
      <c r="E27" s="13">
        <f>167829.02+2</f>
        <v>167831.02</v>
      </c>
      <c r="F27" s="13">
        <v>264595.67</v>
      </c>
      <c r="G27" s="14">
        <f>E27-D27</f>
        <v>80121.529999999984</v>
      </c>
      <c r="H27" s="14">
        <f>F27-D27</f>
        <v>176886.18</v>
      </c>
      <c r="I27" s="15">
        <v>0.21</v>
      </c>
      <c r="J27" s="15">
        <v>0.05</v>
      </c>
      <c r="K27" s="16">
        <f>G27*I27-L27*I27</f>
        <v>14968.216409999997</v>
      </c>
      <c r="L27" s="16">
        <f>H27*J27</f>
        <v>8844.3089999999993</v>
      </c>
      <c r="M27" s="16">
        <f t="shared" si="4"/>
        <v>3831569.2574050003</v>
      </c>
      <c r="N27" s="16">
        <v>0</v>
      </c>
    </row>
    <row r="28" spans="1:16" x14ac:dyDescent="0.2">
      <c r="A28" s="11">
        <v>44083</v>
      </c>
      <c r="C28" s="12">
        <v>44037947</v>
      </c>
      <c r="D28" s="13">
        <v>87709.49</v>
      </c>
      <c r="E28" s="13">
        <v>167828.5</v>
      </c>
      <c r="F28" s="13">
        <v>264595.67</v>
      </c>
      <c r="G28" s="14">
        <f t="shared" ref="G28:G31" si="13">E28-D28</f>
        <v>80119.009999999995</v>
      </c>
      <c r="H28" s="14">
        <f t="shared" ref="H28:H31" si="14">F28-D28</f>
        <v>176886.18</v>
      </c>
      <c r="I28" s="15">
        <v>0.21</v>
      </c>
      <c r="J28" s="15">
        <v>0.05</v>
      </c>
      <c r="K28" s="16">
        <f t="shared" ref="K28:K31" si="15">G28*I28-L28*I28</f>
        <v>14967.68721</v>
      </c>
      <c r="L28" s="16">
        <f t="shared" ref="L28:L31" si="16">H28*J28</f>
        <v>8844.3089999999993</v>
      </c>
      <c r="M28" s="16">
        <f t="shared" si="4"/>
        <v>3855381.2536150003</v>
      </c>
      <c r="N28" s="16">
        <v>0</v>
      </c>
    </row>
    <row r="29" spans="1:16" x14ac:dyDescent="0.2">
      <c r="A29" s="11">
        <v>44105</v>
      </c>
      <c r="C29" s="12">
        <v>44037947</v>
      </c>
      <c r="D29" s="13">
        <v>87709.49</v>
      </c>
      <c r="E29" s="13">
        <v>167828.5</v>
      </c>
      <c r="F29" s="13">
        <v>264595.67</v>
      </c>
      <c r="G29" s="14">
        <f t="shared" si="13"/>
        <v>80119.009999999995</v>
      </c>
      <c r="H29" s="14">
        <f t="shared" si="14"/>
        <v>176886.18</v>
      </c>
      <c r="I29" s="15">
        <v>0.21</v>
      </c>
      <c r="J29" s="15">
        <v>0.05</v>
      </c>
      <c r="K29" s="16">
        <f t="shared" si="15"/>
        <v>14967.68721</v>
      </c>
      <c r="L29" s="16">
        <f t="shared" si="16"/>
        <v>8844.3089999999993</v>
      </c>
      <c r="M29" s="16">
        <f t="shared" si="4"/>
        <v>3879193.2498250003</v>
      </c>
      <c r="N29" s="16">
        <v>0</v>
      </c>
    </row>
    <row r="30" spans="1:16" x14ac:dyDescent="0.2">
      <c r="A30" s="11">
        <v>44136</v>
      </c>
      <c r="C30" s="12">
        <v>44037947</v>
      </c>
      <c r="D30" s="13">
        <v>87709</v>
      </c>
      <c r="E30" s="13">
        <v>167829.02</v>
      </c>
      <c r="F30" s="13">
        <f>264595.67</f>
        <v>264595.67</v>
      </c>
      <c r="G30" s="14">
        <f t="shared" si="13"/>
        <v>80120.01999999999</v>
      </c>
      <c r="H30" s="14">
        <f t="shared" si="14"/>
        <v>176886.66999999998</v>
      </c>
      <c r="I30" s="15">
        <v>0.21</v>
      </c>
      <c r="J30" s="15">
        <v>0.05</v>
      </c>
      <c r="K30" s="16">
        <f t="shared" si="15"/>
        <v>14967.894164999996</v>
      </c>
      <c r="L30" s="16">
        <f t="shared" si="16"/>
        <v>8844.3334999999988</v>
      </c>
      <c r="M30" s="16">
        <f t="shared" si="4"/>
        <v>3903005.4774900004</v>
      </c>
      <c r="N30" s="16">
        <v>0</v>
      </c>
    </row>
    <row r="31" spans="1:16" x14ac:dyDescent="0.2">
      <c r="A31" s="11">
        <v>44166</v>
      </c>
      <c r="C31" s="12">
        <v>44037947</v>
      </c>
      <c r="D31" s="13">
        <v>87709</v>
      </c>
      <c r="E31" s="13">
        <v>167829.02</v>
      </c>
      <c r="F31" s="13">
        <f>264595.67</f>
        <v>264595.67</v>
      </c>
      <c r="G31" s="14">
        <f t="shared" si="13"/>
        <v>80120.01999999999</v>
      </c>
      <c r="H31" s="14">
        <f t="shared" si="14"/>
        <v>176886.66999999998</v>
      </c>
      <c r="I31" s="15">
        <v>0.21</v>
      </c>
      <c r="J31" s="15">
        <v>0.05</v>
      </c>
      <c r="K31" s="16">
        <f t="shared" si="15"/>
        <v>14967.894164999996</v>
      </c>
      <c r="L31" s="16">
        <f t="shared" si="16"/>
        <v>8844.3334999999988</v>
      </c>
      <c r="M31" s="16">
        <f t="shared" si="4"/>
        <v>3926817.7051550006</v>
      </c>
      <c r="N31" s="16">
        <v>0</v>
      </c>
    </row>
    <row r="32" spans="1:16" x14ac:dyDescent="0.2">
      <c r="A32" s="11">
        <v>44197</v>
      </c>
      <c r="C32" s="12">
        <v>44037947</v>
      </c>
      <c r="D32" s="13">
        <v>87709</v>
      </c>
      <c r="E32" s="13">
        <f>155228.43</f>
        <v>155228.43</v>
      </c>
      <c r="F32" s="13">
        <f>244729.84</f>
        <v>244729.84</v>
      </c>
      <c r="G32" s="14">
        <f>E32-D32</f>
        <v>67519.429999999993</v>
      </c>
      <c r="H32" s="14">
        <f>F32-D32</f>
        <v>157020.84</v>
      </c>
      <c r="I32" s="15">
        <v>0.21</v>
      </c>
      <c r="J32" s="15">
        <v>0.05</v>
      </c>
      <c r="K32" s="16">
        <f>G32*I32-L32*I32</f>
        <v>12530.361479999998</v>
      </c>
      <c r="L32" s="16">
        <f>H32*J32</f>
        <v>7851.0420000000004</v>
      </c>
      <c r="M32" s="16">
        <f t="shared" si="4"/>
        <v>3947199.1086350004</v>
      </c>
      <c r="N32" s="16">
        <v>0</v>
      </c>
    </row>
    <row r="33" spans="1:14" x14ac:dyDescent="0.2">
      <c r="A33" s="11">
        <v>44228</v>
      </c>
      <c r="C33" s="12">
        <v>44037947</v>
      </c>
      <c r="D33" s="13">
        <v>87709</v>
      </c>
      <c r="E33" s="13">
        <f>155228.43</f>
        <v>155228.43</v>
      </c>
      <c r="F33" s="13">
        <f>244729.84</f>
        <v>244729.84</v>
      </c>
      <c r="G33" s="14">
        <f>E33-D33</f>
        <v>67519.429999999993</v>
      </c>
      <c r="H33" s="14">
        <f>F33-D33</f>
        <v>157020.84</v>
      </c>
      <c r="I33" s="15">
        <v>0.21</v>
      </c>
      <c r="J33" s="15">
        <v>0.05</v>
      </c>
      <c r="K33" s="16">
        <f>G33*I33-L33*I33</f>
        <v>12530.361479999998</v>
      </c>
      <c r="L33" s="16">
        <f>H33*J33</f>
        <v>7851.0420000000004</v>
      </c>
      <c r="M33" s="16">
        <f t="shared" si="4"/>
        <v>3967580.5121150003</v>
      </c>
      <c r="N33" s="16">
        <v>0</v>
      </c>
    </row>
    <row r="34" spans="1:14" x14ac:dyDescent="0.2">
      <c r="A34" s="19"/>
      <c r="C34" s="12"/>
      <c r="D34" s="13"/>
      <c r="E34" s="13"/>
      <c r="F34" s="13"/>
      <c r="G34" s="14"/>
      <c r="H34" s="14"/>
      <c r="I34" s="14"/>
      <c r="J34" s="12"/>
      <c r="K34" s="12"/>
      <c r="L34" s="15"/>
      <c r="M34" s="15"/>
      <c r="N34" s="16"/>
    </row>
    <row r="35" spans="1:14" x14ac:dyDescent="0.2">
      <c r="A35" s="19"/>
      <c r="C35" s="12"/>
      <c r="D35" s="13"/>
      <c r="E35" s="13"/>
      <c r="F35" s="13"/>
      <c r="G35" s="14"/>
      <c r="H35" s="14"/>
      <c r="I35" s="14"/>
      <c r="J35" s="12"/>
      <c r="K35" s="12"/>
      <c r="L35" s="15"/>
      <c r="M35" s="15"/>
      <c r="N35" s="16"/>
    </row>
    <row r="36" spans="1:14" x14ac:dyDescent="0.2">
      <c r="A36" s="19"/>
      <c r="C36" s="12"/>
      <c r="D36" s="13"/>
      <c r="E36" s="13"/>
      <c r="F36" s="13"/>
      <c r="G36" s="14"/>
      <c r="H36" s="14"/>
      <c r="I36" s="14"/>
      <c r="J36" s="12"/>
      <c r="K36" s="12"/>
      <c r="L36" s="15"/>
      <c r="M36" s="15"/>
      <c r="N36" s="16"/>
    </row>
    <row r="37" spans="1:14" x14ac:dyDescent="0.2">
      <c r="C37" s="23" t="s">
        <v>47</v>
      </c>
      <c r="D37" s="25"/>
      <c r="E37" s="25"/>
      <c r="F37" s="25"/>
      <c r="G37" s="26"/>
      <c r="H37" s="26"/>
    </row>
    <row r="38" spans="1:14" x14ac:dyDescent="0.2">
      <c r="C38" s="23" t="s">
        <v>49</v>
      </c>
      <c r="D38" s="25"/>
      <c r="E38" s="25"/>
      <c r="F38" s="25"/>
      <c r="G38" s="26"/>
      <c r="H38" s="26"/>
    </row>
    <row r="39" spans="1:14" x14ac:dyDescent="0.2">
      <c r="C39" s="23" t="s">
        <v>50</v>
      </c>
      <c r="D39" s="25"/>
      <c r="E39" s="25"/>
      <c r="F39" s="25"/>
      <c r="G39" s="26"/>
      <c r="H39" s="26"/>
    </row>
    <row r="40" spans="1:14" x14ac:dyDescent="0.2">
      <c r="C40" s="16" t="s">
        <v>21</v>
      </c>
      <c r="D40" s="25"/>
      <c r="E40" s="25"/>
      <c r="F40" s="25"/>
      <c r="G40" s="26"/>
      <c r="H40" s="26"/>
    </row>
    <row r="41" spans="1:14" x14ac:dyDescent="0.2">
      <c r="C41" s="5"/>
      <c r="D41" s="25"/>
      <c r="E41" s="25"/>
      <c r="F41" s="25"/>
      <c r="G41" s="25"/>
      <c r="H41" s="25"/>
    </row>
    <row r="42" spans="1:14" x14ac:dyDescent="0.2">
      <c r="C42" s="16" t="s">
        <v>22</v>
      </c>
      <c r="D42" s="27" t="s">
        <v>23</v>
      </c>
      <c r="E42" s="26" t="s">
        <v>24</v>
      </c>
      <c r="F42" s="16" t="s">
        <v>25</v>
      </c>
      <c r="G42" s="15" t="s">
        <v>12</v>
      </c>
      <c r="H42" s="16" t="s">
        <v>26</v>
      </c>
    </row>
    <row r="43" spans="1:14" x14ac:dyDescent="0.2">
      <c r="C43" s="12">
        <v>189606.505</v>
      </c>
      <c r="D43" s="12">
        <v>87709</v>
      </c>
      <c r="E43" s="12">
        <v>902.68</v>
      </c>
      <c r="F43" s="12">
        <f>E43-D43</f>
        <v>-86806.32</v>
      </c>
      <c r="G43" s="15">
        <v>0.21</v>
      </c>
      <c r="H43" s="12">
        <f>F43*G43</f>
        <v>-18229.3272</v>
      </c>
    </row>
    <row r="44" spans="1:14" ht="15" x14ac:dyDescent="0.35">
      <c r="C44" s="12">
        <v>27735645</v>
      </c>
      <c r="D44" s="12"/>
      <c r="E44" s="24">
        <v>154325.75</v>
      </c>
      <c r="F44" s="24">
        <f>E44-D44</f>
        <v>154325.75</v>
      </c>
      <c r="G44" s="15">
        <v>0.21</v>
      </c>
      <c r="H44" s="24">
        <f>F44*G44</f>
        <v>32408.407499999998</v>
      </c>
    </row>
    <row r="45" spans="1:14" x14ac:dyDescent="0.2">
      <c r="C45" s="12"/>
      <c r="D45" s="12"/>
      <c r="E45" s="12">
        <f>SUM(E43:E44)</f>
        <v>155228.43</v>
      </c>
      <c r="F45" s="12">
        <f>SUM(F43:F44)</f>
        <v>67519.429999999993</v>
      </c>
      <c r="G45" s="29" t="s">
        <v>27</v>
      </c>
      <c r="H45" s="12">
        <f>SUM(H43:H44)</f>
        <v>14179.080299999998</v>
      </c>
    </row>
    <row r="46" spans="1:14" ht="15" x14ac:dyDescent="0.35">
      <c r="C46" s="12"/>
      <c r="D46" s="12"/>
      <c r="E46" s="12"/>
      <c r="F46" s="12"/>
      <c r="G46" s="22" t="s">
        <v>28</v>
      </c>
      <c r="H46" s="24">
        <f>-H52*0.21</f>
        <v>-1648.7188199999998</v>
      </c>
    </row>
    <row r="47" spans="1:14" x14ac:dyDescent="0.2">
      <c r="H47" s="12">
        <f>H45+H46</f>
        <v>12530.361479999998</v>
      </c>
    </row>
    <row r="48" spans="1:14" x14ac:dyDescent="0.2">
      <c r="H48" s="12">
        <f>H47-K33</f>
        <v>0</v>
      </c>
    </row>
    <row r="49" spans="3:8" x14ac:dyDescent="0.2">
      <c r="C49" s="16" t="s">
        <v>29</v>
      </c>
      <c r="D49" s="25" t="s">
        <v>23</v>
      </c>
      <c r="E49" s="26" t="s">
        <v>30</v>
      </c>
      <c r="F49" s="16" t="s">
        <v>31</v>
      </c>
      <c r="G49" s="15" t="s">
        <v>13</v>
      </c>
      <c r="H49" s="16" t="s">
        <v>32</v>
      </c>
    </row>
    <row r="50" spans="3:8" x14ac:dyDescent="0.2">
      <c r="C50" s="12">
        <v>379213.01</v>
      </c>
      <c r="D50" s="12">
        <f>D43</f>
        <v>87709</v>
      </c>
      <c r="E50" s="12">
        <v>1805.37</v>
      </c>
      <c r="F50" s="12">
        <f>E50-D50</f>
        <v>-85903.63</v>
      </c>
      <c r="G50" s="15">
        <v>0.05</v>
      </c>
      <c r="H50" s="12">
        <f>F50*G50</f>
        <v>-4295.1815000000006</v>
      </c>
    </row>
    <row r="51" spans="3:8" ht="15" x14ac:dyDescent="0.35">
      <c r="C51" s="12">
        <v>43658734</v>
      </c>
      <c r="D51" s="12"/>
      <c r="E51" s="24">
        <v>242924.47</v>
      </c>
      <c r="F51" s="24">
        <f>E51-D51</f>
        <v>242924.47</v>
      </c>
      <c r="G51" s="15">
        <v>0.05</v>
      </c>
      <c r="H51" s="24">
        <f>F51*G51</f>
        <v>12146.2235</v>
      </c>
    </row>
    <row r="52" spans="3:8" x14ac:dyDescent="0.2">
      <c r="C52" s="12"/>
      <c r="D52" s="12"/>
      <c r="E52" s="12">
        <f>SUM(E50:E51)</f>
        <v>244729.84</v>
      </c>
      <c r="F52" s="12">
        <f>SUM(F50:F51)</f>
        <v>157020.84</v>
      </c>
      <c r="H52" s="12">
        <f>SUM(H50:H51)</f>
        <v>7851.0419999999995</v>
      </c>
    </row>
    <row r="53" spans="3:8" x14ac:dyDescent="0.2">
      <c r="C53" s="12"/>
      <c r="D53" s="12"/>
      <c r="E53" s="12"/>
      <c r="F53" s="12"/>
      <c r="G53" s="15"/>
      <c r="H53" s="12">
        <f>H52-L33</f>
        <v>0</v>
      </c>
    </row>
  </sheetData>
  <mergeCells count="3">
    <mergeCell ref="A1:N1"/>
    <mergeCell ref="A2:N2"/>
    <mergeCell ref="A3:N3"/>
  </mergeCells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8 of 8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41785-E34C-4FBB-BD61-8C00739BFCE4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sharepoint/v4"/>
    <ds:schemaRef ds:uri="http://purl.org/dc/elements/1.1/"/>
    <ds:schemaRef ds:uri="http://www.w3.org/XML/1998/namespace"/>
    <ds:schemaRef ds:uri="65bfb563-8fe2-4d34-a09f-38a217d8fee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BF0C99-F21A-4FF8-9981-ED89530D4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EA0E25-650F-47A3-A6AA-01A74048F4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  <vt:lpstr>'Project 23'!Print_Area</vt:lpstr>
      <vt:lpstr>'Project 24'!Print_Area</vt:lpstr>
      <vt:lpstr>'Project 25'!Print_Area</vt:lpstr>
      <vt:lpstr>'Project 26'!Print_Area</vt:lpstr>
      <vt:lpstr>'Project 27'!Print_Area</vt:lpstr>
      <vt:lpstr>'Project 28'!Print_Area</vt:lpstr>
      <vt:lpstr>'Project 29'!Print_Area</vt:lpstr>
      <vt:lpstr>'Project 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Jay Fister</dc:creator>
  <cp:lastModifiedBy>Fackler, Andrea</cp:lastModifiedBy>
  <cp:lastPrinted>2024-02-14T20:20:31Z</cp:lastPrinted>
  <dcterms:created xsi:type="dcterms:W3CDTF">2024-01-26T18:23:29Z</dcterms:created>
  <dcterms:modified xsi:type="dcterms:W3CDTF">2024-02-14T20:20:36Z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2024-01-26T18:33:17Z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ad8034a0-62a5-4780-9c6b-cb84fc0a8944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2024-02-14T20:20:30Z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dd0e629f-e44f-4a3b-a616-43f1afd99b72</vt:lpwstr>
  </property>
  <property fmtid="{D5CDD505-2E9C-101B-9397-08002B2CF9AE}" pid="16" name="MSIP_Label_d662fcd2-3ff9-4261-9b26-9dd5808d0bb4_ContentBits">
    <vt:lpwstr>0</vt:lpwstr>
  </property>
</Properties>
</file>