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LGE\0 - efiled 02-14-2024\"/>
    </mc:Choice>
  </mc:AlternateContent>
  <xr:revisionPtr revIDLastSave="0" documentId="13_ncr:1_{7077919E-93BB-49D7-906A-30C1543B4CDC}" xr6:coauthVersionLast="47" xr6:coauthVersionMax="47" xr10:uidLastSave="{00000000-0000-0000-0000-000000000000}"/>
  <bookViews>
    <workbookView xWindow="-120" yWindow="-120" windowWidth="29040" windowHeight="17025" tabRatio="909" xr2:uid="{00000000-000D-0000-FFFF-FFFF00000000}"/>
  </bookViews>
  <sheets>
    <sheet name="Project 23" sheetId="23" r:id="rId1"/>
    <sheet name="Project 24" sheetId="26" r:id="rId2"/>
    <sheet name="Project 25" sheetId="25" r:id="rId3"/>
    <sheet name="Project 26" sheetId="24" r:id="rId4"/>
    <sheet name="Project 27" sheetId="27" r:id="rId5"/>
    <sheet name="Project 28" sheetId="28" r:id="rId6"/>
    <sheet name="Project 29" sheetId="30" r:id="rId7"/>
    <sheet name="Project 30" sheetId="29" r:id="rId8"/>
  </sheets>
  <definedNames>
    <definedName name="_xlnm.Print_Area" localSheetId="0">'Project 23'!$A$1:$N$15</definedName>
    <definedName name="_xlnm.Print_Area" localSheetId="1">'Project 24'!$A$1:$N$45</definedName>
    <definedName name="_xlnm.Print_Area" localSheetId="2">'Project 25'!$A$1:$N$39</definedName>
    <definedName name="_xlnm.Print_Area" localSheetId="3">'Project 26'!$A$1:$N$95</definedName>
    <definedName name="_xlnm.Print_Area" localSheetId="4">'Project 27'!$A$1:$N$45</definedName>
    <definedName name="_xlnm.Print_Area" localSheetId="5">'Project 28'!$A$1:$N$58</definedName>
    <definedName name="_xlnm.Print_Area" localSheetId="6">'Project 29'!$A$1:$N$41</definedName>
    <definedName name="_xlnm.Print_Area" localSheetId="7">'Project 30'!$A$1:$N$35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3" l="1"/>
  <c r="N15" i="30"/>
  <c r="N14" i="30"/>
  <c r="N13" i="30"/>
  <c r="N12" i="30"/>
  <c r="N11" i="30"/>
  <c r="N10" i="30"/>
  <c r="E26" i="29"/>
  <c r="F26" i="29" s="1"/>
  <c r="H26" i="29" s="1"/>
  <c r="E34" i="29"/>
  <c r="F33" i="29"/>
  <c r="H33" i="29" s="1"/>
  <c r="F32" i="29"/>
  <c r="F34" i="29" s="1"/>
  <c r="D32" i="29"/>
  <c r="E27" i="29"/>
  <c r="F25" i="29"/>
  <c r="H25" i="29" s="1"/>
  <c r="E39" i="30"/>
  <c r="E29" i="30"/>
  <c r="E30" i="30" s="1"/>
  <c r="F15" i="30"/>
  <c r="E15" i="30"/>
  <c r="F14" i="30"/>
  <c r="E14" i="30"/>
  <c r="E13" i="30"/>
  <c r="F13" i="30"/>
  <c r="E12" i="30"/>
  <c r="F29" i="30"/>
  <c r="H29" i="30" s="1"/>
  <c r="C39" i="30"/>
  <c r="C29" i="30"/>
  <c r="F38" i="30"/>
  <c r="H38" i="30" s="1"/>
  <c r="F37" i="30"/>
  <c r="H37" i="30" s="1"/>
  <c r="F36" i="30"/>
  <c r="H36" i="30" s="1"/>
  <c r="D35" i="30"/>
  <c r="F35" i="30" s="1"/>
  <c r="F28" i="30"/>
  <c r="H28" i="30" s="1"/>
  <c r="F27" i="30"/>
  <c r="H27" i="30" s="1"/>
  <c r="F26" i="30"/>
  <c r="H26" i="30" s="1"/>
  <c r="F25" i="30"/>
  <c r="H56" i="28"/>
  <c r="F56" i="28"/>
  <c r="F55" i="28"/>
  <c r="H55" i="28" s="1"/>
  <c r="F54" i="28"/>
  <c r="H54" i="28" s="1"/>
  <c r="H53" i="28"/>
  <c r="F53" i="28"/>
  <c r="H52" i="28"/>
  <c r="F52" i="28"/>
  <c r="F51" i="28"/>
  <c r="H51" i="28" s="1"/>
  <c r="F50" i="28"/>
  <c r="H50" i="28" s="1"/>
  <c r="H49" i="28"/>
  <c r="F49" i="28"/>
  <c r="H48" i="28"/>
  <c r="F48" i="28"/>
  <c r="F47" i="28"/>
  <c r="H47" i="28" s="1"/>
  <c r="F46" i="28"/>
  <c r="H46" i="28" s="1"/>
  <c r="E45" i="28"/>
  <c r="E57" i="28" s="1"/>
  <c r="D44" i="28"/>
  <c r="F44" i="28" s="1"/>
  <c r="F38" i="28"/>
  <c r="H38" i="28" s="1"/>
  <c r="F37" i="28"/>
  <c r="H37" i="28" s="1"/>
  <c r="E36" i="28"/>
  <c r="F36" i="28" s="1"/>
  <c r="H36" i="28" s="1"/>
  <c r="H35" i="28"/>
  <c r="F35" i="28"/>
  <c r="F34" i="28"/>
  <c r="H34" i="28" s="1"/>
  <c r="F33" i="28"/>
  <c r="H33" i="28" s="1"/>
  <c r="F32" i="28"/>
  <c r="H32" i="28" s="1"/>
  <c r="H31" i="28"/>
  <c r="F31" i="28"/>
  <c r="F30" i="28"/>
  <c r="H30" i="28" s="1"/>
  <c r="F29" i="28"/>
  <c r="H29" i="28" s="1"/>
  <c r="F28" i="28"/>
  <c r="H28" i="28" s="1"/>
  <c r="H27" i="28"/>
  <c r="F27" i="28"/>
  <c r="F26" i="28"/>
  <c r="H26" i="28" s="1"/>
  <c r="F25" i="28"/>
  <c r="E44" i="27"/>
  <c r="F43" i="27"/>
  <c r="H43" i="27" s="1"/>
  <c r="F42" i="27"/>
  <c r="H42" i="27" s="1"/>
  <c r="F41" i="27"/>
  <c r="H41" i="27" s="1"/>
  <c r="F40" i="27"/>
  <c r="H40" i="27" s="1"/>
  <c r="F39" i="27"/>
  <c r="H39" i="27" s="1"/>
  <c r="F38" i="27"/>
  <c r="H38" i="27" s="1"/>
  <c r="D37" i="27"/>
  <c r="F37" i="27" s="1"/>
  <c r="F32" i="27"/>
  <c r="E32" i="27"/>
  <c r="F31" i="27"/>
  <c r="H31" i="27" s="1"/>
  <c r="F30" i="27"/>
  <c r="H30" i="27" s="1"/>
  <c r="F29" i="27"/>
  <c r="H29" i="27" s="1"/>
  <c r="H28" i="27"/>
  <c r="F28" i="27"/>
  <c r="F27" i="27"/>
  <c r="H27" i="27" s="1"/>
  <c r="F26" i="27"/>
  <c r="H26" i="27" s="1"/>
  <c r="F25" i="27"/>
  <c r="H25" i="27" s="1"/>
  <c r="K15" i="24"/>
  <c r="F15" i="24"/>
  <c r="E93" i="24"/>
  <c r="F93" i="24" s="1"/>
  <c r="H93" i="24" s="1"/>
  <c r="E57" i="24"/>
  <c r="F57" i="24" s="1"/>
  <c r="H57" i="24" s="1"/>
  <c r="E15" i="24"/>
  <c r="E14" i="24"/>
  <c r="C93" i="24"/>
  <c r="F92" i="24"/>
  <c r="H92" i="24" s="1"/>
  <c r="F91" i="24"/>
  <c r="H91" i="24" s="1"/>
  <c r="F90" i="24"/>
  <c r="H90" i="24" s="1"/>
  <c r="F89" i="24"/>
  <c r="H89" i="24" s="1"/>
  <c r="F88" i="24"/>
  <c r="H88" i="24" s="1"/>
  <c r="F87" i="24"/>
  <c r="H87" i="24" s="1"/>
  <c r="F86" i="24"/>
  <c r="H86" i="24" s="1"/>
  <c r="F85" i="24"/>
  <c r="H85" i="24" s="1"/>
  <c r="F84" i="24"/>
  <c r="H84" i="24" s="1"/>
  <c r="F83" i="24"/>
  <c r="H83" i="24" s="1"/>
  <c r="F82" i="24"/>
  <c r="H82" i="24" s="1"/>
  <c r="F81" i="24"/>
  <c r="H81" i="24" s="1"/>
  <c r="F80" i="24"/>
  <c r="H80" i="24" s="1"/>
  <c r="F79" i="24"/>
  <c r="H79" i="24" s="1"/>
  <c r="F78" i="24"/>
  <c r="H78" i="24" s="1"/>
  <c r="F77" i="24"/>
  <c r="H77" i="24" s="1"/>
  <c r="F76" i="24"/>
  <c r="H76" i="24" s="1"/>
  <c r="F75" i="24"/>
  <c r="H75" i="24" s="1"/>
  <c r="F74" i="24"/>
  <c r="H74" i="24" s="1"/>
  <c r="F73" i="24"/>
  <c r="H73" i="24" s="1"/>
  <c r="F72" i="24"/>
  <c r="H72" i="24" s="1"/>
  <c r="F71" i="24"/>
  <c r="H71" i="24" s="1"/>
  <c r="F70" i="24"/>
  <c r="H70" i="24" s="1"/>
  <c r="F69" i="24"/>
  <c r="H69" i="24" s="1"/>
  <c r="F68" i="24"/>
  <c r="H68" i="24" s="1"/>
  <c r="F67" i="24"/>
  <c r="H67" i="24" s="1"/>
  <c r="F66" i="24"/>
  <c r="H66" i="24" s="1"/>
  <c r="F65" i="24"/>
  <c r="H65" i="24" s="1"/>
  <c r="F64" i="24"/>
  <c r="H64" i="24" s="1"/>
  <c r="D63" i="24"/>
  <c r="F63" i="24" s="1"/>
  <c r="F56" i="24"/>
  <c r="H56" i="24" s="1"/>
  <c r="F55" i="24"/>
  <c r="H55" i="24" s="1"/>
  <c r="F54" i="24"/>
  <c r="H54" i="24" s="1"/>
  <c r="F53" i="24"/>
  <c r="H53" i="24" s="1"/>
  <c r="F52" i="24"/>
  <c r="H52" i="24" s="1"/>
  <c r="F51" i="24"/>
  <c r="H51" i="24" s="1"/>
  <c r="F50" i="24"/>
  <c r="H50" i="24" s="1"/>
  <c r="F49" i="24"/>
  <c r="H49" i="24" s="1"/>
  <c r="H48" i="24"/>
  <c r="F48" i="24"/>
  <c r="H47" i="24"/>
  <c r="F47" i="24"/>
  <c r="F46" i="24"/>
  <c r="H46" i="24" s="1"/>
  <c r="H45" i="24"/>
  <c r="F45" i="24"/>
  <c r="F44" i="24"/>
  <c r="H44" i="24" s="1"/>
  <c r="F43" i="24"/>
  <c r="H43" i="24" s="1"/>
  <c r="F42" i="24"/>
  <c r="H42" i="24" s="1"/>
  <c r="F41" i="24"/>
  <c r="H41" i="24" s="1"/>
  <c r="F40" i="24"/>
  <c r="H40" i="24" s="1"/>
  <c r="H39" i="24"/>
  <c r="F39" i="24"/>
  <c r="F38" i="24"/>
  <c r="H38" i="24" s="1"/>
  <c r="F37" i="24"/>
  <c r="H37" i="24" s="1"/>
  <c r="H36" i="24"/>
  <c r="F36" i="24"/>
  <c r="F35" i="24"/>
  <c r="H35" i="24" s="1"/>
  <c r="F34" i="24"/>
  <c r="H34" i="24" s="1"/>
  <c r="H33" i="24"/>
  <c r="F33" i="24"/>
  <c r="F32" i="24"/>
  <c r="H32" i="24" s="1"/>
  <c r="F31" i="24"/>
  <c r="H31" i="24" s="1"/>
  <c r="F30" i="24"/>
  <c r="H30" i="24" s="1"/>
  <c r="F29" i="24"/>
  <c r="H29" i="24" s="1"/>
  <c r="F28" i="24"/>
  <c r="H28" i="24" s="1"/>
  <c r="H27" i="24"/>
  <c r="F27" i="24"/>
  <c r="F26" i="24"/>
  <c r="H26" i="24" s="1"/>
  <c r="F25" i="24"/>
  <c r="H25" i="24" s="1"/>
  <c r="K15" i="25"/>
  <c r="E28" i="25"/>
  <c r="E15" i="25"/>
  <c r="E38" i="25"/>
  <c r="H37" i="25"/>
  <c r="F37" i="25"/>
  <c r="F36" i="25"/>
  <c r="H36" i="25" s="1"/>
  <c r="F35" i="25"/>
  <c r="H35" i="25" s="1"/>
  <c r="D34" i="25"/>
  <c r="F34" i="25" s="1"/>
  <c r="E29" i="25"/>
  <c r="F28" i="25"/>
  <c r="H28" i="25" s="1"/>
  <c r="F27" i="25"/>
  <c r="H27" i="25" s="1"/>
  <c r="F26" i="25"/>
  <c r="H25" i="25"/>
  <c r="F25" i="25"/>
  <c r="E42" i="26"/>
  <c r="E44" i="26" s="1"/>
  <c r="H43" i="26"/>
  <c r="F43" i="26"/>
  <c r="C43" i="26"/>
  <c r="E43" i="26"/>
  <c r="H32" i="26"/>
  <c r="H31" i="26"/>
  <c r="F31" i="26"/>
  <c r="F32" i="26" s="1"/>
  <c r="E32" i="26"/>
  <c r="F41" i="26"/>
  <c r="H41" i="26" s="1"/>
  <c r="F40" i="26"/>
  <c r="H40" i="26" s="1"/>
  <c r="F39" i="26"/>
  <c r="H39" i="26" s="1"/>
  <c r="F38" i="26"/>
  <c r="H38" i="26" s="1"/>
  <c r="D37" i="26"/>
  <c r="F37" i="26" s="1"/>
  <c r="E30" i="26"/>
  <c r="F29" i="26"/>
  <c r="H29" i="26" s="1"/>
  <c r="F28" i="26"/>
  <c r="H28" i="26" s="1"/>
  <c r="F27" i="26"/>
  <c r="H27" i="26" s="1"/>
  <c r="F26" i="26"/>
  <c r="H26" i="26" s="1"/>
  <c r="F25" i="26"/>
  <c r="H25" i="26" s="1"/>
  <c r="H27" i="29" l="1"/>
  <c r="F27" i="29"/>
  <c r="H32" i="29"/>
  <c r="H34" i="29" s="1"/>
  <c r="E40" i="30"/>
  <c r="F39" i="30"/>
  <c r="H39" i="30" s="1"/>
  <c r="F30" i="30"/>
  <c r="H25" i="30"/>
  <c r="H30" i="30" s="1"/>
  <c r="H35" i="30"/>
  <c r="F57" i="28"/>
  <c r="H44" i="28"/>
  <c r="H57" i="28" s="1"/>
  <c r="F39" i="28"/>
  <c r="H25" i="28"/>
  <c r="H39" i="28" s="1"/>
  <c r="E39" i="28"/>
  <c r="F45" i="28"/>
  <c r="H45" i="28" s="1"/>
  <c r="H32" i="27"/>
  <c r="H37" i="27"/>
  <c r="H44" i="27" s="1"/>
  <c r="F44" i="27"/>
  <c r="E94" i="24"/>
  <c r="F94" i="24"/>
  <c r="E58" i="24"/>
  <c r="H58" i="24"/>
  <c r="F58" i="24"/>
  <c r="H63" i="24"/>
  <c r="H94" i="24" s="1"/>
  <c r="F29" i="25"/>
  <c r="H34" i="25"/>
  <c r="H38" i="25" s="1"/>
  <c r="F38" i="25"/>
  <c r="H29" i="25"/>
  <c r="H26" i="25"/>
  <c r="F42" i="26"/>
  <c r="H42" i="26" s="1"/>
  <c r="H44" i="26" s="1"/>
  <c r="F44" i="26"/>
  <c r="H37" i="26"/>
  <c r="F30" i="26"/>
  <c r="H30" i="26" s="1"/>
  <c r="H35" i="29" l="1"/>
  <c r="H28" i="29"/>
  <c r="H29" i="29" s="1"/>
  <c r="H30" i="29" s="1"/>
  <c r="F40" i="30"/>
  <c r="H40" i="30"/>
  <c r="H31" i="30"/>
  <c r="H32" i="30" s="1"/>
  <c r="H40" i="28"/>
  <c r="H58" i="28"/>
  <c r="H41" i="28"/>
  <c r="H42" i="28" s="1"/>
  <c r="H45" i="27"/>
  <c r="H33" i="27"/>
  <c r="H34" i="27" s="1"/>
  <c r="H35" i="27" s="1"/>
  <c r="H59" i="24"/>
  <c r="H60" i="24" s="1"/>
  <c r="H30" i="25"/>
  <c r="H31" i="25" s="1"/>
  <c r="H39" i="25"/>
  <c r="H33" i="26"/>
  <c r="H34" i="26" s="1"/>
  <c r="E15" i="28" l="1"/>
  <c r="E15" i="26"/>
  <c r="E15" i="29" l="1"/>
  <c r="E15" i="27"/>
  <c r="F15" i="25"/>
  <c r="F15" i="26"/>
  <c r="E15" i="23"/>
  <c r="E14" i="29" l="1"/>
  <c r="E14" i="28"/>
  <c r="E14" i="26"/>
  <c r="E14" i="27"/>
  <c r="F14" i="25"/>
  <c r="E14" i="25"/>
  <c r="F14" i="26"/>
  <c r="E14" i="23"/>
  <c r="E13" i="29" l="1"/>
  <c r="E13" i="28"/>
  <c r="E13" i="26"/>
  <c r="E13" i="27" l="1"/>
  <c r="E13" i="24"/>
  <c r="E13" i="25"/>
  <c r="E12" i="29" l="1"/>
  <c r="E12" i="28"/>
  <c r="E12" i="27"/>
  <c r="E12" i="24"/>
  <c r="E12" i="25"/>
  <c r="E12" i="26"/>
  <c r="E12" i="23"/>
  <c r="E11" i="29" l="1"/>
  <c r="E11" i="28"/>
  <c r="E11" i="24"/>
  <c r="E11" i="26"/>
  <c r="E11" i="30"/>
  <c r="E11" i="27"/>
  <c r="E10" i="24"/>
  <c r="E11" i="25"/>
  <c r="E10" i="26"/>
  <c r="E11" i="23"/>
  <c r="E10" i="29" l="1"/>
  <c r="E10" i="30"/>
  <c r="E10" i="28"/>
  <c r="E10" i="27"/>
  <c r="E10" i="25"/>
  <c r="E10" i="23"/>
  <c r="H15" i="28" l="1"/>
  <c r="G15" i="28"/>
  <c r="H14" i="28"/>
  <c r="G14" i="28"/>
  <c r="G10" i="28" l="1"/>
  <c r="H10" i="28"/>
  <c r="L10" i="28" s="1"/>
  <c r="K10" i="28" l="1"/>
  <c r="H13" i="29" l="1"/>
  <c r="L13" i="29" s="1"/>
  <c r="G13" i="29"/>
  <c r="H12" i="29"/>
  <c r="L12" i="29" s="1"/>
  <c r="G12" i="29"/>
  <c r="H11" i="29"/>
  <c r="L11" i="29" s="1"/>
  <c r="G11" i="29"/>
  <c r="H10" i="29"/>
  <c r="L10" i="29" s="1"/>
  <c r="G10" i="29"/>
  <c r="K11" i="29" l="1"/>
  <c r="K13" i="29"/>
  <c r="K10" i="29"/>
  <c r="K12" i="29"/>
  <c r="H15" i="30" l="1"/>
  <c r="L15" i="30" s="1"/>
  <c r="H41" i="30" s="1"/>
  <c r="G15" i="30"/>
  <c r="H14" i="30"/>
  <c r="L14" i="30" s="1"/>
  <c r="G14" i="30"/>
  <c r="H13" i="30"/>
  <c r="L13" i="30" s="1"/>
  <c r="G13" i="30"/>
  <c r="H12" i="30"/>
  <c r="L12" i="30" s="1"/>
  <c r="G12" i="30"/>
  <c r="H11" i="30"/>
  <c r="L11" i="30" s="1"/>
  <c r="G11" i="30"/>
  <c r="H10" i="30"/>
  <c r="L10" i="30" s="1"/>
  <c r="G10" i="30"/>
  <c r="K15" i="30" l="1"/>
  <c r="H33" i="30" s="1"/>
  <c r="K11" i="30"/>
  <c r="K14" i="30"/>
  <c r="K10" i="30"/>
  <c r="M10" i="30" s="1"/>
  <c r="K13" i="30"/>
  <c r="K12" i="30"/>
  <c r="M11" i="30" l="1"/>
  <c r="M12" i="30" l="1"/>
  <c r="M10" i="29"/>
  <c r="M13" i="30" l="1"/>
  <c r="M11" i="29"/>
  <c r="M10" i="28"/>
  <c r="M14" i="30" l="1"/>
  <c r="M12" i="29"/>
  <c r="M15" i="30" l="1"/>
  <c r="M13" i="29"/>
  <c r="G12" i="28"/>
  <c r="G13" i="27"/>
  <c r="G12" i="27"/>
  <c r="G14" i="24"/>
  <c r="G13" i="24"/>
  <c r="G11" i="24"/>
  <c r="G15" i="25"/>
  <c r="G15" i="23"/>
  <c r="G12" i="23"/>
  <c r="G10" i="23"/>
  <c r="G11" i="23"/>
  <c r="G15" i="26"/>
  <c r="G10" i="26"/>
  <c r="G15" i="29"/>
  <c r="G14" i="29"/>
  <c r="H14" i="29"/>
  <c r="L14" i="29" s="1"/>
  <c r="H15" i="29"/>
  <c r="H13" i="28"/>
  <c r="L13" i="28" s="1"/>
  <c r="G13" i="28"/>
  <c r="H12" i="28"/>
  <c r="L12" i="28" s="1"/>
  <c r="H11" i="28"/>
  <c r="L11" i="28" s="1"/>
  <c r="G11" i="28"/>
  <c r="L14" i="28"/>
  <c r="H12" i="27"/>
  <c r="L12" i="27" s="1"/>
  <c r="H11" i="27"/>
  <c r="L11" i="27" s="1"/>
  <c r="G10" i="27"/>
  <c r="H10" i="27"/>
  <c r="L10" i="27" s="1"/>
  <c r="G11" i="27"/>
  <c r="H13" i="27"/>
  <c r="L13" i="27" s="1"/>
  <c r="G14" i="27"/>
  <c r="H14" i="27"/>
  <c r="L14" i="27" s="1"/>
  <c r="G15" i="27"/>
  <c r="H15" i="27"/>
  <c r="H13" i="24"/>
  <c r="L13" i="24" s="1"/>
  <c r="H11" i="24"/>
  <c r="L11" i="24" s="1"/>
  <c r="G10" i="24"/>
  <c r="H10" i="24"/>
  <c r="L10" i="24" s="1"/>
  <c r="G12" i="24"/>
  <c r="H12" i="24"/>
  <c r="L12" i="24" s="1"/>
  <c r="H14" i="24"/>
  <c r="L14" i="24" s="1"/>
  <c r="G15" i="24"/>
  <c r="H15" i="24"/>
  <c r="G13" i="25"/>
  <c r="H11" i="25"/>
  <c r="L11" i="25" s="1"/>
  <c r="H12" i="25"/>
  <c r="L12" i="25" s="1"/>
  <c r="H13" i="25"/>
  <c r="L13" i="25" s="1"/>
  <c r="H14" i="25"/>
  <c r="L14" i="25" s="1"/>
  <c r="H15" i="25"/>
  <c r="L15" i="25" s="1"/>
  <c r="G11" i="25"/>
  <c r="G12" i="25"/>
  <c r="G14" i="25"/>
  <c r="H10" i="25"/>
  <c r="L10" i="25" s="1"/>
  <c r="G10" i="25"/>
  <c r="G11" i="26"/>
  <c r="G12" i="26"/>
  <c r="H12" i="26"/>
  <c r="L12" i="26" s="1"/>
  <c r="G13" i="26"/>
  <c r="G14" i="26"/>
  <c r="H14" i="26"/>
  <c r="L14" i="26" s="1"/>
  <c r="H15" i="26"/>
  <c r="H11" i="26"/>
  <c r="L11" i="26" s="1"/>
  <c r="H13" i="26"/>
  <c r="L13" i="26" s="1"/>
  <c r="H10" i="26"/>
  <c r="L10" i="26" s="1"/>
  <c r="G14" i="23"/>
  <c r="H11" i="23"/>
  <c r="L11" i="23" s="1"/>
  <c r="H12" i="23"/>
  <c r="L12" i="23" s="1"/>
  <c r="G13" i="23"/>
  <c r="H13" i="23"/>
  <c r="L13" i="23" s="1"/>
  <c r="H14" i="23"/>
  <c r="L14" i="23" s="1"/>
  <c r="H15" i="23"/>
  <c r="L15" i="23" s="1"/>
  <c r="H10" i="23"/>
  <c r="L10" i="23" s="1"/>
  <c r="K14" i="27" l="1"/>
  <c r="K10" i="25"/>
  <c r="M10" i="25" s="1"/>
  <c r="L15" i="29"/>
  <c r="L15" i="28"/>
  <c r="L15" i="27"/>
  <c r="L15" i="24"/>
  <c r="H95" i="24" s="1"/>
  <c r="L15" i="26"/>
  <c r="H45" i="26" s="1"/>
  <c r="K14" i="28"/>
  <c r="K14" i="25"/>
  <c r="K13" i="25"/>
  <c r="H32" i="25"/>
  <c r="K11" i="25"/>
  <c r="K12" i="25"/>
  <c r="K13" i="26"/>
  <c r="K14" i="26"/>
  <c r="K12" i="26"/>
  <c r="K11" i="26"/>
  <c r="K10" i="26"/>
  <c r="M10" i="26" s="1"/>
  <c r="K10" i="23"/>
  <c r="M10" i="23" s="1"/>
  <c r="K13" i="23"/>
  <c r="K14" i="24"/>
  <c r="K12" i="23"/>
  <c r="K15" i="23"/>
  <c r="K14" i="23"/>
  <c r="K11" i="23"/>
  <c r="K14" i="29"/>
  <c r="M14" i="29" s="1"/>
  <c r="K13" i="28"/>
  <c r="K12" i="28"/>
  <c r="K11" i="28"/>
  <c r="K13" i="27"/>
  <c r="K12" i="27"/>
  <c r="K11" i="27"/>
  <c r="K10" i="27"/>
  <c r="M10" i="27" s="1"/>
  <c r="K13" i="24"/>
  <c r="K12" i="24"/>
  <c r="K11" i="24"/>
  <c r="K10" i="24"/>
  <c r="M10" i="24" s="1"/>
  <c r="K15" i="28" l="1"/>
  <c r="K15" i="27"/>
  <c r="M11" i="25"/>
  <c r="K15" i="29"/>
  <c r="H61" i="24"/>
  <c r="K15" i="26"/>
  <c r="H35" i="26" s="1"/>
  <c r="M11" i="27"/>
  <c r="M11" i="24"/>
  <c r="M11" i="26"/>
  <c r="M11" i="23"/>
  <c r="M12" i="27" l="1"/>
  <c r="M12" i="24"/>
  <c r="M12" i="25"/>
  <c r="M12" i="26"/>
  <c r="M12" i="23"/>
  <c r="M15" i="29"/>
  <c r="Q11" i="29"/>
  <c r="Q12" i="29" s="1"/>
  <c r="M13" i="25" l="1"/>
  <c r="M14" i="25" s="1"/>
  <c r="M15" i="25" s="1"/>
  <c r="M13" i="27"/>
  <c r="M13" i="24"/>
  <c r="M13" i="26"/>
  <c r="M13" i="23"/>
  <c r="Q13" i="29"/>
  <c r="Q14" i="29" s="1"/>
  <c r="M14" i="23" l="1"/>
  <c r="M15" i="23" s="1"/>
  <c r="M14" i="27"/>
  <c r="M15" i="27" s="1"/>
  <c r="M14" i="24"/>
  <c r="M15" i="24" s="1"/>
  <c r="M14" i="26"/>
  <c r="Q15" i="29"/>
  <c r="Q16" i="29" s="1"/>
  <c r="M11" i="28"/>
  <c r="M15" i="26" l="1"/>
  <c r="M12" i="28"/>
  <c r="M13" i="28" l="1"/>
  <c r="Q11" i="28"/>
  <c r="Q12" i="28" s="1"/>
  <c r="Q11" i="24"/>
  <c r="Q12" i="24" s="1"/>
  <c r="M14" i="28" l="1"/>
  <c r="Q11" i="27"/>
  <c r="Q12" i="27" s="1"/>
  <c r="M15" i="28" l="1"/>
  <c r="Q15" i="28" s="1"/>
  <c r="Q13" i="28"/>
  <c r="Q14" i="28" s="1"/>
  <c r="Q13" i="27"/>
  <c r="Q14" i="27" s="1"/>
  <c r="Q15" i="27"/>
  <c r="Q16" i="27" s="1"/>
  <c r="Q13" i="24" l="1"/>
  <c r="Q14" i="24" s="1"/>
  <c r="Q15" i="24"/>
  <c r="Q16" i="24" s="1"/>
</calcChain>
</file>

<file path=xl/sharedStrings.xml><?xml version="1.0" encoding="utf-8"?>
<sst xmlns="http://schemas.openxmlformats.org/spreadsheetml/2006/main" count="285" uniqueCount="52">
  <si>
    <t>Month</t>
  </si>
  <si>
    <t>Plant Balance</t>
  </si>
  <si>
    <t>Book Depreciation</t>
  </si>
  <si>
    <t>Louisville Gas and Electric Company</t>
  </si>
  <si>
    <t>Deferred Taxes on Retirements</t>
  </si>
  <si>
    <t>Accumulated Deferred Taxes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</si>
  <si>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</si>
  <si>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</si>
  <si>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</si>
  <si>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</si>
  <si>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</si>
  <si>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</si>
  <si>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</si>
  <si>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</si>
  <si>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</si>
  <si>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Project 27 - Trimble County Unit 1 Air Compliance</t>
  </si>
  <si>
    <t>2016 - Plan</t>
  </si>
  <si>
    <t>Project 28 - Supplemental Mecury Control</t>
  </si>
  <si>
    <t>Project 30 -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</si>
  <si>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</si>
  <si>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</si>
  <si>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</si>
  <si>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</si>
  <si>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</si>
  <si>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</si>
  <si>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</si>
  <si>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</si>
  <si>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 xml:space="preserve">Due to Bonus Depreciation for tax purposes taken on certain components of Project 27, the deferred tax calculation for this project 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</si>
  <si>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</si>
  <si>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</si>
  <si>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</si>
  <si>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</si>
  <si>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</si>
  <si>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</si>
  <si>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</si>
  <si>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 xml:space="preserve">Due to Bonus Depreciation for tax purposes taken on certain components of Project 24, the deferred tax calculation for this project </t>
  </si>
  <si>
    <t>State Basis</t>
  </si>
  <si>
    <t>State Tax Depr</t>
  </si>
  <si>
    <t>St. Difference</t>
  </si>
  <si>
    <t>St Def Tax</t>
  </si>
  <si>
    <t>State Offset</t>
  </si>
  <si>
    <t xml:space="preserve">Due to Bonus Depreciation for tax purposes taken on certain components of Project 25, the deferred tax calculation for this project </t>
  </si>
  <si>
    <t>Subtotal</t>
  </si>
  <si>
    <t xml:space="preserve">Due to Bonus Depreciation for tax purposes taken on certain components of Project 26, the deferred tax calculation for this project </t>
  </si>
  <si>
    <t xml:space="preserve">Due to Bonus Depreciation for tax purposes taken on certain components of Project 28, the deferred tax calculation for this project </t>
  </si>
  <si>
    <t xml:space="preserve">Due to Bonus Depreciation for tax purposes taken on certain components of Project 30, the deferred tax calculation for this project </t>
  </si>
  <si>
    <t>Project 24 - Trimble County CCP Storage (Landfill - Phase I)</t>
  </si>
  <si>
    <t>Project 29 - Mill Creek New Process Water Systems</t>
  </si>
  <si>
    <t>depreciation, which reduces the Federal tax basis to 50% of the plant balance.  A sample calculation of deferred taxes for Aug 2020</t>
  </si>
  <si>
    <t>Excess deferred tax amortization</t>
  </si>
  <si>
    <t xml:space="preserve">Due to Bonus Depreciation for tax purposes taken on certain components of Project 29, the deferred tax calculation for this project </t>
  </si>
  <si>
    <t>The federal deferred tax column includes an amount for amortization of excess deferred tax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</si>
</sst>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Fill="1" applyBorder="1"/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41" fontId="0" fillId="0" borderId="0" xfId="0" applyNumberFormat="1"/>
    <xf numFmtId="166" fontId="1" fillId="0" borderId="0" xfId="1" applyNumberFormat="1"/>
    <xf numFmtId="0" fontId="3" fillId="0" borderId="0" xfId="0" applyFont="1" applyFill="1" applyAlignment="1">
      <alignment horizontal="centerContinuous"/>
    </xf>
    <xf numFmtId="41" fontId="4" fillId="0" borderId="0" xfId="0" applyNumberFormat="1" applyFont="1"/>
    <xf numFmtId="38" fontId="4" fillId="0" borderId="0" xfId="0" applyNumberFormat="1" applyFont="1"/>
    <xf numFmtId="166" fontId="4" fillId="0" borderId="0" xfId="1" applyNumberFormat="1" applyFont="1"/>
    <xf numFmtId="41" fontId="0" fillId="0" borderId="0" xfId="0" applyNumberFormat="1" applyFill="1"/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 applyFill="1" applyBorder="1" applyAlignment="1" applyProtection="1">
      <alignment horizontal="left"/>
    </xf>
    <xf numFmtId="38" fontId="0" fillId="0" borderId="0" xfId="0" applyNumberFormat="1"/>
    <xf numFmtId="165" fontId="2" fillId="0" borderId="0" xfId="0" quotePrefix="1" applyNumberFormat="1" applyFont="1" applyFill="1" applyBorder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166" fontId="0" fillId="0" borderId="0" xfId="0" applyNumberFormat="1"/>
    <xf numFmtId="166" fontId="1" fillId="0" borderId="0" xfId="3" applyNumberFormat="1" applyFont="1" applyFill="1"/>
    <xf numFmtId="43" fontId="1" fillId="0" borderId="0" xfId="3" applyFont="1" applyFill="1"/>
    <xf numFmtId="166" fontId="1" fillId="0" borderId="0" xfId="3" quotePrefix="1" applyNumberFormat="1" applyFont="1" applyFill="1" applyAlignment="1">
      <alignment horizontal="left"/>
    </xf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43" fontId="0" fillId="0" borderId="0" xfId="1" applyFont="1"/>
    <xf numFmtId="43" fontId="0" fillId="0" borderId="0" xfId="1" applyNumberFormat="1" applyFont="1"/>
    <xf numFmtId="41" fontId="1" fillId="0" borderId="0" xfId="0" applyNumberFormat="1" applyFont="1"/>
    <xf numFmtId="164" fontId="1" fillId="0" borderId="0" xfId="0" applyNumberFormat="1" applyFont="1"/>
    <xf numFmtId="41" fontId="1" fillId="0" borderId="1" xfId="0" applyNumberFormat="1" applyFont="1" applyBorder="1"/>
    <xf numFmtId="38" fontId="1" fillId="0" borderId="0" xfId="0" applyNumberFormat="1" applyFont="1"/>
    <xf numFmtId="4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</cellXfs>
  <cellStyles count="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Normal" xfId="0" builtinId="0"/>
    <cellStyle name="Normal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S18"/>
  <sheetViews>
    <sheetView tabSelected="1"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9</v>
      </c>
    </row>
    <row r="6" spans="1:19" x14ac:dyDescent="0.2">
      <c r="A6" s="18" t="s">
        <v>10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1104655</v>
      </c>
    </row>
    <row r="10" spans="1:19" x14ac:dyDescent="0.2">
      <c r="A10" s="29">
        <v>43899</v>
      </c>
      <c r="C10" s="12">
        <v>9599354</v>
      </c>
      <c r="D10" s="13">
        <v>16570</v>
      </c>
      <c r="E10" s="10">
        <f>35687.38</f>
        <v>35687.379999999997</v>
      </c>
      <c r="F10" s="10">
        <v>35687.379999999997</v>
      </c>
      <c r="G10" s="12">
        <f t="shared" ref="G10:G15" si="0">E10-D10</f>
        <v>19117.379999999997</v>
      </c>
      <c r="H10" s="12">
        <f t="shared" ref="H10:H15" si="1">F10-D10</f>
        <v>19117.379999999997</v>
      </c>
      <c r="I10" s="3">
        <v>0.21</v>
      </c>
      <c r="J10" s="3">
        <v>0.05</v>
      </c>
      <c r="K10" s="9">
        <f t="shared" ref="K10:K15" si="2">G10*I10-L10*I10</f>
        <v>3813.9173099999994</v>
      </c>
      <c r="L10" s="9">
        <f t="shared" ref="L10:L15" si="3">H10*J10</f>
        <v>955.86899999999991</v>
      </c>
      <c r="M10" s="15">
        <f t="shared" ref="M10:M15" si="4">M9+K10+L10</f>
        <v>1109424.7863099999</v>
      </c>
      <c r="N10" s="9">
        <v>0</v>
      </c>
      <c r="O10" s="31"/>
      <c r="Q10" s="23"/>
    </row>
    <row r="11" spans="1:19" x14ac:dyDescent="0.2">
      <c r="A11" s="29">
        <v>43922</v>
      </c>
      <c r="C11" s="12">
        <v>9599354</v>
      </c>
      <c r="D11" s="13">
        <v>16570</v>
      </c>
      <c r="E11" s="10">
        <f>35687.38</f>
        <v>35687.379999999997</v>
      </c>
      <c r="F11" s="10">
        <v>35687.379999999997</v>
      </c>
      <c r="G11" s="12">
        <f t="shared" si="0"/>
        <v>19117.379999999997</v>
      </c>
      <c r="H11" s="12">
        <f t="shared" si="1"/>
        <v>19117.379999999997</v>
      </c>
      <c r="I11" s="3">
        <v>0.21</v>
      </c>
      <c r="J11" s="3">
        <v>0.05</v>
      </c>
      <c r="K11" s="9">
        <f t="shared" si="2"/>
        <v>3813.9173099999994</v>
      </c>
      <c r="L11" s="9">
        <f t="shared" si="3"/>
        <v>955.86899999999991</v>
      </c>
      <c r="M11" s="15">
        <f t="shared" si="4"/>
        <v>1114194.5726199998</v>
      </c>
      <c r="N11" s="9">
        <v>0</v>
      </c>
      <c r="O11" s="31"/>
      <c r="Q11" s="9"/>
      <c r="S11" s="9"/>
    </row>
    <row r="12" spans="1:19" x14ac:dyDescent="0.2">
      <c r="A12" s="29">
        <v>43952</v>
      </c>
      <c r="C12" s="12">
        <v>9599354</v>
      </c>
      <c r="D12" s="13">
        <v>16570</v>
      </c>
      <c r="E12" s="10">
        <f>35687.38+2</f>
        <v>35689.379999999997</v>
      </c>
      <c r="F12" s="10">
        <v>35687.379999999997</v>
      </c>
      <c r="G12" s="12">
        <f t="shared" si="0"/>
        <v>19119.379999999997</v>
      </c>
      <c r="H12" s="12">
        <f t="shared" si="1"/>
        <v>19117.379999999997</v>
      </c>
      <c r="I12" s="3">
        <v>0.21</v>
      </c>
      <c r="J12" s="3">
        <v>0.05</v>
      </c>
      <c r="K12" s="9">
        <f t="shared" si="2"/>
        <v>3814.3373099999994</v>
      </c>
      <c r="L12" s="9">
        <f t="shared" si="3"/>
        <v>955.86899999999991</v>
      </c>
      <c r="M12" s="15">
        <f t="shared" si="4"/>
        <v>1118964.7789299998</v>
      </c>
      <c r="N12" s="9">
        <v>0</v>
      </c>
      <c r="Q12" s="9"/>
    </row>
    <row r="13" spans="1:19" x14ac:dyDescent="0.2">
      <c r="A13" s="29">
        <v>43983</v>
      </c>
      <c r="C13" s="12">
        <v>9599354</v>
      </c>
      <c r="D13" s="13">
        <v>16570</v>
      </c>
      <c r="E13" s="10">
        <f>-5372090.44</f>
        <v>-5372090.4400000004</v>
      </c>
      <c r="F13" s="10">
        <v>-5372090.4400000004</v>
      </c>
      <c r="G13" s="12">
        <f t="shared" si="0"/>
        <v>-5388660.4400000004</v>
      </c>
      <c r="H13" s="12">
        <f t="shared" si="1"/>
        <v>-5388660.4400000004</v>
      </c>
      <c r="I13" s="3">
        <v>0.21</v>
      </c>
      <c r="J13" s="3">
        <v>0.05</v>
      </c>
      <c r="K13" s="9">
        <f t="shared" si="2"/>
        <v>-1075037.7577800001</v>
      </c>
      <c r="L13" s="9">
        <f t="shared" si="3"/>
        <v>-269433.02200000006</v>
      </c>
      <c r="M13" s="15">
        <f t="shared" si="4"/>
        <v>-225506.00085000036</v>
      </c>
      <c r="N13" s="9">
        <v>0</v>
      </c>
      <c r="Q13" s="12"/>
    </row>
    <row r="14" spans="1:19" x14ac:dyDescent="0.2">
      <c r="A14" s="29">
        <v>44013</v>
      </c>
      <c r="C14" s="12">
        <v>9599354</v>
      </c>
      <c r="D14" s="13">
        <v>16570</v>
      </c>
      <c r="E14" s="10">
        <f>35687.38</f>
        <v>35687.379999999997</v>
      </c>
      <c r="F14" s="10">
        <v>35687.379999999997</v>
      </c>
      <c r="G14" s="12">
        <f t="shared" si="0"/>
        <v>19117.379999999997</v>
      </c>
      <c r="H14" s="12">
        <f t="shared" si="1"/>
        <v>19117.379999999997</v>
      </c>
      <c r="I14" s="3">
        <v>0.21</v>
      </c>
      <c r="J14" s="3">
        <v>0.05</v>
      </c>
      <c r="K14" s="9">
        <f t="shared" si="2"/>
        <v>3813.9173099999994</v>
      </c>
      <c r="L14" s="9">
        <f t="shared" si="3"/>
        <v>955.86899999999991</v>
      </c>
      <c r="M14" s="15">
        <f t="shared" si="4"/>
        <v>-220736.21454000036</v>
      </c>
      <c r="N14" s="9">
        <v>0</v>
      </c>
      <c r="P14" s="12"/>
      <c r="Q14" s="9"/>
    </row>
    <row r="15" spans="1:19" x14ac:dyDescent="0.2">
      <c r="A15" s="29">
        <v>44044</v>
      </c>
      <c r="C15" s="12">
        <v>9599354</v>
      </c>
      <c r="D15" s="13">
        <v>16570</v>
      </c>
      <c r="E15" s="10">
        <f>35687.38</f>
        <v>35687.379999999997</v>
      </c>
      <c r="F15" s="10">
        <v>35687.379999999997</v>
      </c>
      <c r="G15" s="12">
        <f t="shared" si="0"/>
        <v>19117.379999999997</v>
      </c>
      <c r="H15" s="12">
        <f t="shared" si="1"/>
        <v>19117.379999999997</v>
      </c>
      <c r="I15" s="3">
        <v>0.21</v>
      </c>
      <c r="J15" s="3">
        <v>0.05</v>
      </c>
      <c r="K15" s="9">
        <f t="shared" si="2"/>
        <v>3813.9173099999994</v>
      </c>
      <c r="L15" s="9">
        <f t="shared" si="3"/>
        <v>955.86899999999991</v>
      </c>
      <c r="M15" s="15">
        <f t="shared" si="4"/>
        <v>-215966.42823000037</v>
      </c>
      <c r="N15" s="9">
        <v>0</v>
      </c>
      <c r="Q15" s="9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1 of 8
Clements</oddHeader>
    <oddFooter>&amp;L_x000D_&amp;1#&amp;"Calibri"&amp;14&amp;K000000 Business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20" t="s">
        <v>9</v>
      </c>
    </row>
    <row r="6" spans="1:18" x14ac:dyDescent="0.2">
      <c r="A6" s="21" t="s">
        <v>46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8343844</v>
      </c>
    </row>
    <row r="10" spans="1:18" x14ac:dyDescent="0.2">
      <c r="A10" s="29">
        <v>43899</v>
      </c>
      <c r="C10" s="12">
        <v>108274372</v>
      </c>
      <c r="D10" s="13">
        <v>217238</v>
      </c>
      <c r="E10" s="35">
        <f>1024352.6+2785.72</f>
        <v>1027138.32</v>
      </c>
      <c r="F10" s="35">
        <v>548173</v>
      </c>
      <c r="G10" s="14">
        <f t="shared" ref="G10:G15" si="0">E10-D10</f>
        <v>809900.32</v>
      </c>
      <c r="H10" s="14">
        <f t="shared" ref="H10:H15" si="1">F10-D10</f>
        <v>330935</v>
      </c>
      <c r="I10" s="3">
        <v>0.21</v>
      </c>
      <c r="J10" s="3">
        <v>0.05</v>
      </c>
      <c r="K10" s="9">
        <f t="shared" ref="K10:K15" si="2">G10*I10-L10*I10</f>
        <v>166604.24969999999</v>
      </c>
      <c r="L10" s="9">
        <f t="shared" ref="L10:L15" si="3">H10*J10</f>
        <v>16546.75</v>
      </c>
      <c r="M10" s="15">
        <f t="shared" ref="M10:M15" si="4">M9+K10+L10</f>
        <v>8526994.9997000005</v>
      </c>
      <c r="N10" s="9">
        <v>296464.3</v>
      </c>
      <c r="O10" s="30"/>
      <c r="R10" s="23"/>
    </row>
    <row r="11" spans="1:18" x14ac:dyDescent="0.2">
      <c r="A11" s="29">
        <v>43922</v>
      </c>
      <c r="C11" s="12">
        <v>108275889</v>
      </c>
      <c r="D11" s="13">
        <v>217239</v>
      </c>
      <c r="E11" s="13">
        <f>1024358.92+2779.35</f>
        <v>1027138.27</v>
      </c>
      <c r="F11" s="13">
        <v>548179.6</v>
      </c>
      <c r="G11" s="14">
        <f t="shared" si="0"/>
        <v>809899.27</v>
      </c>
      <c r="H11" s="14">
        <f t="shared" si="1"/>
        <v>330940.59999999998</v>
      </c>
      <c r="I11" s="3">
        <v>0.21</v>
      </c>
      <c r="J11" s="3">
        <v>0.05</v>
      </c>
      <c r="K11" s="9">
        <f t="shared" si="2"/>
        <v>166603.97039999999</v>
      </c>
      <c r="L11" s="9">
        <f t="shared" si="3"/>
        <v>16547.03</v>
      </c>
      <c r="M11" s="15">
        <f t="shared" si="4"/>
        <v>8710146.0000999998</v>
      </c>
      <c r="N11" s="9">
        <v>296464.3</v>
      </c>
      <c r="O11" s="30"/>
      <c r="Q11" s="9"/>
      <c r="R11" s="23"/>
    </row>
    <row r="12" spans="1:18" x14ac:dyDescent="0.2">
      <c r="A12" s="29">
        <v>43952</v>
      </c>
      <c r="C12" s="12">
        <v>108295997</v>
      </c>
      <c r="D12" s="13">
        <v>217241</v>
      </c>
      <c r="E12" s="13">
        <f>1024358.92+2786.49</f>
        <v>1027145.41</v>
      </c>
      <c r="F12" s="13">
        <v>548179.6</v>
      </c>
      <c r="G12" s="14">
        <f t="shared" si="0"/>
        <v>809904.41</v>
      </c>
      <c r="H12" s="14">
        <f t="shared" si="1"/>
        <v>330938.59999999998</v>
      </c>
      <c r="I12" s="3">
        <v>0.21</v>
      </c>
      <c r="J12" s="3">
        <v>0.05</v>
      </c>
      <c r="K12" s="9">
        <f t="shared" si="2"/>
        <v>166605.07080000002</v>
      </c>
      <c r="L12" s="9">
        <f t="shared" si="3"/>
        <v>16546.93</v>
      </c>
      <c r="M12" s="15">
        <f t="shared" si="4"/>
        <v>8893298.0009000003</v>
      </c>
      <c r="N12" s="9">
        <v>296464.3</v>
      </c>
      <c r="R12" s="23"/>
    </row>
    <row r="13" spans="1:18" x14ac:dyDescent="0.2">
      <c r="A13" s="29">
        <v>43983</v>
      </c>
      <c r="C13" s="12">
        <v>108295997</v>
      </c>
      <c r="D13" s="13">
        <v>217241</v>
      </c>
      <c r="E13" s="13">
        <f>1024358.92+2786.49-4</f>
        <v>1027141.41</v>
      </c>
      <c r="F13" s="13">
        <v>548179.6</v>
      </c>
      <c r="G13" s="14">
        <f t="shared" si="0"/>
        <v>809900.41</v>
      </c>
      <c r="H13" s="14">
        <f t="shared" si="1"/>
        <v>330938.59999999998</v>
      </c>
      <c r="I13" s="3">
        <v>0.21</v>
      </c>
      <c r="J13" s="3">
        <v>0.05</v>
      </c>
      <c r="K13" s="9">
        <f t="shared" si="2"/>
        <v>166604.23080000002</v>
      </c>
      <c r="L13" s="9">
        <f t="shared" si="3"/>
        <v>16546.93</v>
      </c>
      <c r="M13" s="15">
        <f t="shared" si="4"/>
        <v>9076449.1616999991</v>
      </c>
      <c r="N13" s="9">
        <v>296464.3</v>
      </c>
      <c r="Q13" s="17"/>
      <c r="R13" s="23"/>
    </row>
    <row r="14" spans="1:18" x14ac:dyDescent="0.2">
      <c r="A14" s="29">
        <v>44013</v>
      </c>
      <c r="C14" s="12">
        <v>108295997</v>
      </c>
      <c r="D14" s="13">
        <v>217241</v>
      </c>
      <c r="E14" s="13">
        <f>1024358.92+2786.49-2</f>
        <v>1027143.41</v>
      </c>
      <c r="F14" s="13">
        <f>548179.6</f>
        <v>548179.6</v>
      </c>
      <c r="G14" s="14">
        <f t="shared" si="0"/>
        <v>809902.41</v>
      </c>
      <c r="H14" s="14">
        <f t="shared" si="1"/>
        <v>330938.59999999998</v>
      </c>
      <c r="I14" s="3">
        <v>0.21</v>
      </c>
      <c r="J14" s="3">
        <v>0.05</v>
      </c>
      <c r="K14" s="9">
        <f t="shared" si="2"/>
        <v>166604.6508</v>
      </c>
      <c r="L14" s="9">
        <f t="shared" si="3"/>
        <v>16546.93</v>
      </c>
      <c r="M14" s="15">
        <f t="shared" si="4"/>
        <v>9259600.7424999997</v>
      </c>
      <c r="N14" s="9">
        <v>296464.3</v>
      </c>
      <c r="Q14" s="12"/>
      <c r="R14" s="23"/>
    </row>
    <row r="15" spans="1:18" x14ac:dyDescent="0.2">
      <c r="A15" s="29">
        <v>44044</v>
      </c>
      <c r="C15" s="12">
        <v>108295997</v>
      </c>
      <c r="D15" s="13">
        <v>217241</v>
      </c>
      <c r="E15" s="13">
        <f>1024358.92+2786.49-2</f>
        <v>1027143.41</v>
      </c>
      <c r="F15" s="13">
        <f>548179.6</f>
        <v>548179.6</v>
      </c>
      <c r="G15" s="14">
        <f t="shared" si="0"/>
        <v>809902.41</v>
      </c>
      <c r="H15" s="14">
        <f t="shared" si="1"/>
        <v>330938.59999999998</v>
      </c>
      <c r="I15" s="3">
        <v>0.21</v>
      </c>
      <c r="J15" s="3">
        <v>0.05</v>
      </c>
      <c r="K15" s="9">
        <f t="shared" si="2"/>
        <v>166604.6508</v>
      </c>
      <c r="L15" s="9">
        <f t="shared" si="3"/>
        <v>16546.93</v>
      </c>
      <c r="M15" s="15">
        <f t="shared" si="4"/>
        <v>9442752.3233000003</v>
      </c>
      <c r="N15" s="9">
        <v>296464.3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6" t="s">
        <v>35</v>
      </c>
      <c r="D19" s="24"/>
      <c r="E19" s="24"/>
      <c r="F19" s="24"/>
      <c r="G19" s="25"/>
      <c r="H19" s="25"/>
    </row>
    <row r="20" spans="1:16" x14ac:dyDescent="0.2">
      <c r="C20" s="36" t="s">
        <v>28</v>
      </c>
      <c r="D20" s="24"/>
      <c r="E20" s="24"/>
      <c r="F20" s="24"/>
      <c r="G20" s="25"/>
      <c r="H20" s="25"/>
    </row>
    <row r="21" spans="1:16" x14ac:dyDescent="0.2">
      <c r="C21" s="36" t="s">
        <v>48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7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2033858.4350000001</v>
      </c>
      <c r="D25" s="32">
        <v>217241</v>
      </c>
      <c r="E25" s="32">
        <v>8957.4500000000007</v>
      </c>
      <c r="F25" s="32">
        <f>E25-D25</f>
        <v>-208283.55</v>
      </c>
      <c r="G25" s="3">
        <v>0.21</v>
      </c>
      <c r="H25" s="32">
        <f>F25*G25</f>
        <v>-43739.545499999993</v>
      </c>
    </row>
    <row r="26" spans="1:16" x14ac:dyDescent="0.2">
      <c r="C26" s="32">
        <v>4041284</v>
      </c>
      <c r="D26" s="32"/>
      <c r="E26" s="32">
        <v>20802.509999999998</v>
      </c>
      <c r="F26" s="32">
        <f t="shared" ref="F26:F31" si="5">E26-D26</f>
        <v>20802.509999999998</v>
      </c>
      <c r="G26" s="3">
        <v>0.21</v>
      </c>
      <c r="H26" s="32">
        <f t="shared" ref="H26:H31" si="6">F26*G26</f>
        <v>4368.5270999999993</v>
      </c>
    </row>
    <row r="27" spans="1:16" x14ac:dyDescent="0.2">
      <c r="C27" s="32">
        <v>199697</v>
      </c>
      <c r="D27" s="32"/>
      <c r="E27" s="32">
        <v>1111.1500000000001</v>
      </c>
      <c r="F27" s="32">
        <f t="shared" si="5"/>
        <v>1111.1500000000001</v>
      </c>
      <c r="G27" s="3">
        <v>0.21</v>
      </c>
      <c r="H27" s="32">
        <f t="shared" si="6"/>
        <v>233.3415</v>
      </c>
    </row>
    <row r="28" spans="1:16" x14ac:dyDescent="0.2">
      <c r="C28" s="32">
        <v>39689535</v>
      </c>
      <c r="D28" s="32"/>
      <c r="E28" s="32">
        <v>238765.63</v>
      </c>
      <c r="F28" s="32">
        <f t="shared" si="5"/>
        <v>238765.63</v>
      </c>
      <c r="G28" s="3">
        <v>0.21</v>
      </c>
      <c r="H28" s="32">
        <f t="shared" si="6"/>
        <v>50140.782299999999</v>
      </c>
    </row>
    <row r="29" spans="1:16" x14ac:dyDescent="0.2">
      <c r="C29" s="32">
        <v>226548</v>
      </c>
      <c r="D29" s="32"/>
      <c r="E29" s="32">
        <v>1362.88</v>
      </c>
      <c r="F29" s="32">
        <f t="shared" si="5"/>
        <v>1362.88</v>
      </c>
      <c r="G29" s="3">
        <v>0.21</v>
      </c>
      <c r="H29" s="32">
        <f t="shared" si="6"/>
        <v>286.20480000000003</v>
      </c>
    </row>
    <row r="30" spans="1:16" x14ac:dyDescent="0.2">
      <c r="C30" s="32">
        <v>19943355</v>
      </c>
      <c r="D30" s="32"/>
      <c r="E30" s="32">
        <f>753352.99+2785.72</f>
        <v>756138.71</v>
      </c>
      <c r="F30" s="32">
        <f t="shared" si="5"/>
        <v>756138.71</v>
      </c>
      <c r="G30" s="3">
        <v>0.21</v>
      </c>
      <c r="H30" s="32">
        <f t="shared" si="6"/>
        <v>158789.12909999999</v>
      </c>
      <c r="I30" s="28"/>
    </row>
    <row r="31" spans="1:16" ht="15" x14ac:dyDescent="0.35">
      <c r="C31" s="32">
        <v>1516.95</v>
      </c>
      <c r="D31" s="32"/>
      <c r="E31" s="27">
        <v>4.74</v>
      </c>
      <c r="F31" s="27">
        <f t="shared" si="5"/>
        <v>4.74</v>
      </c>
      <c r="G31" s="3">
        <v>0.21</v>
      </c>
      <c r="H31" s="27">
        <f t="shared" si="6"/>
        <v>0.99540000000000006</v>
      </c>
    </row>
    <row r="32" spans="1:16" x14ac:dyDescent="0.2">
      <c r="C32" s="32"/>
      <c r="D32" s="32"/>
      <c r="E32" s="32">
        <f>SUM(E25:E31)</f>
        <v>1027143.07</v>
      </c>
      <c r="F32" s="32">
        <f>SUM(F25:F31)</f>
        <v>809902.07</v>
      </c>
      <c r="G32" s="33" t="s">
        <v>42</v>
      </c>
      <c r="H32" s="32">
        <f>SUM(H25:H31)</f>
        <v>170079.43470000001</v>
      </c>
    </row>
    <row r="33" spans="3:8" ht="15" x14ac:dyDescent="0.35">
      <c r="E33" s="9"/>
      <c r="F33" s="9"/>
      <c r="G33" s="28" t="s">
        <v>40</v>
      </c>
      <c r="H33" s="27">
        <f>-H44*0.21</f>
        <v>-3474.8544599999996</v>
      </c>
    </row>
    <row r="34" spans="3:8" x14ac:dyDescent="0.2">
      <c r="H34" s="32">
        <f>H32+H33</f>
        <v>166604.58024000001</v>
      </c>
    </row>
    <row r="35" spans="3:8" x14ac:dyDescent="0.2">
      <c r="H35" s="32">
        <f>H34-K15</f>
        <v>-7.0559999992838129E-2</v>
      </c>
    </row>
    <row r="36" spans="3:8" x14ac:dyDescent="0.2">
      <c r="C36" s="9" t="s">
        <v>36</v>
      </c>
      <c r="D36" s="24" t="s">
        <v>31</v>
      </c>
      <c r="E36" s="25" t="s">
        <v>37</v>
      </c>
      <c r="F36" s="9" t="s">
        <v>38</v>
      </c>
      <c r="G36" s="3" t="s">
        <v>24</v>
      </c>
      <c r="H36" s="9" t="s">
        <v>39</v>
      </c>
    </row>
    <row r="37" spans="3:8" x14ac:dyDescent="0.2">
      <c r="C37" s="32">
        <v>4067716.87</v>
      </c>
      <c r="D37" s="32">
        <f>D25</f>
        <v>217241</v>
      </c>
      <c r="E37" s="32">
        <v>17914.900000000001</v>
      </c>
      <c r="F37" s="32">
        <f>E37-D37</f>
        <v>-199326.1</v>
      </c>
      <c r="G37" s="3">
        <v>0.05</v>
      </c>
      <c r="H37" s="32">
        <f>F37*G37</f>
        <v>-9966.3050000000003</v>
      </c>
    </row>
    <row r="38" spans="3:8" x14ac:dyDescent="0.2">
      <c r="C38" s="32">
        <v>8082569</v>
      </c>
      <c r="D38" s="32"/>
      <c r="E38" s="32">
        <v>41605.019999999997</v>
      </c>
      <c r="F38" s="32">
        <f t="shared" ref="F38:F43" si="7">E38-D38</f>
        <v>41605.019999999997</v>
      </c>
      <c r="G38" s="3">
        <v>0.05</v>
      </c>
      <c r="H38" s="32">
        <f t="shared" ref="H38:H43" si="8">F38*G38</f>
        <v>2080.2509999999997</v>
      </c>
    </row>
    <row r="39" spans="3:8" x14ac:dyDescent="0.2">
      <c r="C39" s="32">
        <v>199697</v>
      </c>
      <c r="D39" s="32"/>
      <c r="E39" s="32">
        <v>1111.1500000000001</v>
      </c>
      <c r="F39" s="32">
        <f t="shared" si="7"/>
        <v>1111.1500000000001</v>
      </c>
      <c r="G39" s="3">
        <v>0.05</v>
      </c>
      <c r="H39" s="32">
        <f t="shared" si="8"/>
        <v>55.557500000000005</v>
      </c>
    </row>
    <row r="40" spans="3:8" x14ac:dyDescent="0.2">
      <c r="C40" s="32">
        <v>66149226</v>
      </c>
      <c r="D40" s="32"/>
      <c r="E40" s="32">
        <v>397942.72</v>
      </c>
      <c r="F40" s="32">
        <f t="shared" si="7"/>
        <v>397942.72</v>
      </c>
      <c r="G40" s="3">
        <v>0.05</v>
      </c>
      <c r="H40" s="32">
        <f t="shared" si="8"/>
        <v>19897.135999999999</v>
      </c>
    </row>
    <row r="41" spans="3:8" x14ac:dyDescent="0.2">
      <c r="C41" s="32">
        <v>226548</v>
      </c>
      <c r="D41" s="32"/>
      <c r="E41" s="32">
        <v>1362.88</v>
      </c>
      <c r="F41" s="32">
        <f t="shared" si="7"/>
        <v>1362.88</v>
      </c>
      <c r="G41" s="3">
        <v>0.05</v>
      </c>
      <c r="H41" s="32">
        <f t="shared" si="8"/>
        <v>68.144000000000005</v>
      </c>
    </row>
    <row r="42" spans="3:8" x14ac:dyDescent="0.2">
      <c r="C42" s="32">
        <v>28235715</v>
      </c>
      <c r="E42" s="32">
        <f>88236.61+1.5</f>
        <v>88238.11</v>
      </c>
      <c r="F42" s="32">
        <f t="shared" si="7"/>
        <v>88238.11</v>
      </c>
      <c r="G42" s="3">
        <v>0.05</v>
      </c>
      <c r="H42" s="32">
        <f t="shared" si="8"/>
        <v>4411.9054999999998</v>
      </c>
    </row>
    <row r="43" spans="3:8" ht="15" x14ac:dyDescent="0.35">
      <c r="C43" s="32">
        <f>C31</f>
        <v>1516.95</v>
      </c>
      <c r="E43" s="27">
        <f>E31</f>
        <v>4.74</v>
      </c>
      <c r="F43" s="27">
        <f t="shared" si="7"/>
        <v>4.74</v>
      </c>
      <c r="G43" s="3">
        <v>0.05</v>
      </c>
      <c r="H43" s="27">
        <f t="shared" si="8"/>
        <v>0.23700000000000002</v>
      </c>
    </row>
    <row r="44" spans="3:8" x14ac:dyDescent="0.2">
      <c r="E44" s="9">
        <f>SUM(E37:E43)</f>
        <v>548179.52</v>
      </c>
      <c r="F44" s="9">
        <f>SUM(F37:F43)</f>
        <v>330938.51999999996</v>
      </c>
      <c r="H44" s="9">
        <f>SUM(H37:H43)</f>
        <v>16546.925999999999</v>
      </c>
    </row>
    <row r="45" spans="3:8" x14ac:dyDescent="0.2">
      <c r="H45" s="9">
        <f>H44-L15</f>
        <v>-4.0000000008149073E-3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2 of 8
Clements</oddHeader>
    <oddFooter>&amp;L_x000D_&amp;1#&amp;"Calibri"&amp;14&amp;K000000 Business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R39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6" t="s">
        <v>9</v>
      </c>
    </row>
    <row r="6" spans="1:18" x14ac:dyDescent="0.2">
      <c r="A6" s="18" t="s">
        <v>13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1453196</v>
      </c>
    </row>
    <row r="10" spans="1:18" x14ac:dyDescent="0.2">
      <c r="A10" s="29">
        <v>43899</v>
      </c>
      <c r="C10" s="12">
        <v>7413755</v>
      </c>
      <c r="D10" s="13">
        <v>19482</v>
      </c>
      <c r="E10" s="35">
        <f>15797.71-2</f>
        <v>15795.71</v>
      </c>
      <c r="F10" s="35">
        <v>31595.43</v>
      </c>
      <c r="G10" s="14">
        <f t="shared" ref="G10:G15" si="0">E10-D10</f>
        <v>-3686.2900000000009</v>
      </c>
      <c r="H10" s="14">
        <f t="shared" ref="H10:H15" si="1">F10-D10</f>
        <v>12113.43</v>
      </c>
      <c r="I10" s="3">
        <v>0.21</v>
      </c>
      <c r="J10" s="3">
        <v>0.05</v>
      </c>
      <c r="K10" s="9">
        <f t="shared" ref="K10:K14" si="2">G10*I10-L10*I10</f>
        <v>-901.31191500000011</v>
      </c>
      <c r="L10" s="9">
        <f t="shared" ref="L10:L15" si="3">H10*J10</f>
        <v>605.67150000000004</v>
      </c>
      <c r="M10" s="15">
        <f t="shared" ref="M10:M15" si="4">M9+K10+L10</f>
        <v>1452900.359585</v>
      </c>
      <c r="N10" s="9">
        <v>0</v>
      </c>
      <c r="O10" s="30"/>
      <c r="Q10" s="9"/>
      <c r="R10" s="23"/>
    </row>
    <row r="11" spans="1:18" x14ac:dyDescent="0.2">
      <c r="A11" s="29">
        <v>43922</v>
      </c>
      <c r="C11" s="12">
        <v>7413755</v>
      </c>
      <c r="D11" s="13">
        <v>19482</v>
      </c>
      <c r="E11" s="35">
        <f>15797.71-2</f>
        <v>15795.71</v>
      </c>
      <c r="F11" s="35">
        <v>31595.43</v>
      </c>
      <c r="G11" s="14">
        <f t="shared" si="0"/>
        <v>-3686.2900000000009</v>
      </c>
      <c r="H11" s="14">
        <f t="shared" si="1"/>
        <v>12113.43</v>
      </c>
      <c r="I11" s="3">
        <v>0.21</v>
      </c>
      <c r="J11" s="3">
        <v>0.05</v>
      </c>
      <c r="K11" s="9">
        <f t="shared" si="2"/>
        <v>-901.31191500000011</v>
      </c>
      <c r="L11" s="9">
        <f t="shared" si="3"/>
        <v>605.67150000000004</v>
      </c>
      <c r="M11" s="15">
        <f t="shared" si="4"/>
        <v>1452604.7191699999</v>
      </c>
      <c r="N11" s="9">
        <v>0</v>
      </c>
      <c r="O11" s="30"/>
      <c r="Q11" s="9"/>
      <c r="R11" s="23"/>
    </row>
    <row r="12" spans="1:18" x14ac:dyDescent="0.2">
      <c r="A12" s="29">
        <v>43952</v>
      </c>
      <c r="C12" s="12">
        <v>7413755</v>
      </c>
      <c r="D12" s="13">
        <v>19482</v>
      </c>
      <c r="E12" s="35">
        <f>15797.71+2</f>
        <v>15799.71</v>
      </c>
      <c r="F12" s="35">
        <v>31595.43</v>
      </c>
      <c r="G12" s="14">
        <f t="shared" si="0"/>
        <v>-3682.2900000000009</v>
      </c>
      <c r="H12" s="14">
        <f t="shared" si="1"/>
        <v>12113.43</v>
      </c>
      <c r="I12" s="3">
        <v>0.21</v>
      </c>
      <c r="J12" s="3">
        <v>0.05</v>
      </c>
      <c r="K12" s="9">
        <f t="shared" si="2"/>
        <v>-900.47191500000019</v>
      </c>
      <c r="L12" s="9">
        <f t="shared" si="3"/>
        <v>605.67150000000004</v>
      </c>
      <c r="M12" s="15">
        <f t="shared" si="4"/>
        <v>1452309.918755</v>
      </c>
      <c r="N12" s="9">
        <v>0</v>
      </c>
      <c r="R12" s="23"/>
    </row>
    <row r="13" spans="1:18" x14ac:dyDescent="0.2">
      <c r="A13" s="29">
        <v>43983</v>
      </c>
      <c r="C13" s="12">
        <v>7413755</v>
      </c>
      <c r="D13" s="13">
        <v>19482</v>
      </c>
      <c r="E13" s="35">
        <f>15797.71</f>
        <v>15797.71</v>
      </c>
      <c r="F13" s="35">
        <v>31595.43</v>
      </c>
      <c r="G13" s="14">
        <f t="shared" si="0"/>
        <v>-3684.2900000000009</v>
      </c>
      <c r="H13" s="14">
        <f t="shared" si="1"/>
        <v>12113.43</v>
      </c>
      <c r="I13" s="3">
        <v>0.21</v>
      </c>
      <c r="J13" s="3">
        <v>0.05</v>
      </c>
      <c r="K13" s="9">
        <f t="shared" si="2"/>
        <v>-900.89191500000015</v>
      </c>
      <c r="L13" s="9">
        <f t="shared" si="3"/>
        <v>605.67150000000004</v>
      </c>
      <c r="M13" s="15">
        <f t="shared" si="4"/>
        <v>1452014.6983399999</v>
      </c>
      <c r="N13" s="9">
        <v>0</v>
      </c>
      <c r="R13" s="23"/>
    </row>
    <row r="14" spans="1:18" x14ac:dyDescent="0.2">
      <c r="A14" s="29">
        <v>44013</v>
      </c>
      <c r="C14" s="12">
        <v>7413755</v>
      </c>
      <c r="D14" s="13">
        <v>19482</v>
      </c>
      <c r="E14" s="13">
        <f>15797.71</f>
        <v>15797.71</v>
      </c>
      <c r="F14" s="13">
        <f>31595.43</f>
        <v>31595.43</v>
      </c>
      <c r="G14" s="14">
        <f t="shared" si="0"/>
        <v>-3684.2900000000009</v>
      </c>
      <c r="H14" s="14">
        <f t="shared" si="1"/>
        <v>12113.43</v>
      </c>
      <c r="I14" s="3">
        <v>0.21</v>
      </c>
      <c r="J14" s="3">
        <v>0.05</v>
      </c>
      <c r="K14" s="9">
        <f t="shared" si="2"/>
        <v>-900.89191500000015</v>
      </c>
      <c r="L14" s="9">
        <f t="shared" si="3"/>
        <v>605.67150000000004</v>
      </c>
      <c r="M14" s="15">
        <f t="shared" si="4"/>
        <v>1451719.4779249998</v>
      </c>
      <c r="N14" s="9">
        <v>0</v>
      </c>
      <c r="R14" s="23"/>
    </row>
    <row r="15" spans="1:18" x14ac:dyDescent="0.2">
      <c r="A15" s="29">
        <v>44044</v>
      </c>
      <c r="C15" s="12">
        <v>7413755</v>
      </c>
      <c r="D15" s="13">
        <v>19482</v>
      </c>
      <c r="E15" s="13">
        <f>15797.71</f>
        <v>15797.71</v>
      </c>
      <c r="F15" s="13">
        <f>31595.43</f>
        <v>31595.43</v>
      </c>
      <c r="G15" s="14">
        <f t="shared" si="0"/>
        <v>-3684.2900000000009</v>
      </c>
      <c r="H15" s="14">
        <f t="shared" si="1"/>
        <v>12113.43</v>
      </c>
      <c r="I15" s="3">
        <v>0.21</v>
      </c>
      <c r="J15" s="3">
        <v>0.05</v>
      </c>
      <c r="K15" s="9">
        <f>(G15*I15-L15*I15)-682.72-682.72-274.3</f>
        <v>-2540.6319150000004</v>
      </c>
      <c r="L15" s="9">
        <f t="shared" si="3"/>
        <v>605.67150000000004</v>
      </c>
      <c r="M15" s="15">
        <f t="shared" si="4"/>
        <v>1449784.5175099997</v>
      </c>
      <c r="N15" s="9">
        <v>0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9" t="s">
        <v>51</v>
      </c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6" t="s">
        <v>41</v>
      </c>
      <c r="D19" s="24"/>
      <c r="E19" s="24"/>
      <c r="F19" s="24"/>
      <c r="G19" s="25"/>
      <c r="H19" s="25"/>
    </row>
    <row r="20" spans="1:16" x14ac:dyDescent="0.2">
      <c r="C20" s="36" t="s">
        <v>28</v>
      </c>
      <c r="D20" s="24"/>
      <c r="E20" s="24"/>
      <c r="F20" s="24"/>
      <c r="G20" s="25"/>
      <c r="H20" s="25"/>
    </row>
    <row r="21" spans="1:16" x14ac:dyDescent="0.2">
      <c r="C21" s="36" t="s">
        <v>48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7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2318136</v>
      </c>
      <c r="D25" s="32">
        <v>19482</v>
      </c>
      <c r="E25" s="32">
        <v>8619.6</v>
      </c>
      <c r="F25" s="32">
        <f>E25-D25</f>
        <v>-10862.4</v>
      </c>
      <c r="G25" s="3">
        <v>0.21</v>
      </c>
      <c r="H25" s="32">
        <f>F25*G25</f>
        <v>-2281.1039999999998</v>
      </c>
    </row>
    <row r="26" spans="1:16" x14ac:dyDescent="0.2">
      <c r="C26" s="32">
        <v>-39771</v>
      </c>
      <c r="D26" s="32"/>
      <c r="E26" s="32">
        <v>-175.16</v>
      </c>
      <c r="F26" s="32">
        <f t="shared" ref="F26:F28" si="5">E26-D26</f>
        <v>-175.16</v>
      </c>
      <c r="G26" s="3">
        <v>0.21</v>
      </c>
      <c r="H26" s="32">
        <f t="shared" ref="H26:H28" si="6">F26*G26</f>
        <v>-36.7836</v>
      </c>
    </row>
    <row r="27" spans="1:16" x14ac:dyDescent="0.2">
      <c r="C27" s="32">
        <v>1088793</v>
      </c>
      <c r="D27" s="32"/>
      <c r="E27" s="32">
        <v>5604.56</v>
      </c>
      <c r="F27" s="32">
        <f t="shared" si="5"/>
        <v>5604.56</v>
      </c>
      <c r="G27" s="3">
        <v>0.21</v>
      </c>
      <c r="H27" s="32">
        <f t="shared" si="6"/>
        <v>1176.9576</v>
      </c>
    </row>
    <row r="28" spans="1:16" ht="15" x14ac:dyDescent="0.35">
      <c r="C28" s="32">
        <v>339720</v>
      </c>
      <c r="D28" s="32"/>
      <c r="E28" s="27">
        <f>1748.71</f>
        <v>1748.71</v>
      </c>
      <c r="F28" s="27">
        <f t="shared" si="5"/>
        <v>1748.71</v>
      </c>
      <c r="G28" s="3">
        <v>0.21</v>
      </c>
      <c r="H28" s="27">
        <f t="shared" si="6"/>
        <v>367.22910000000002</v>
      </c>
    </row>
    <row r="29" spans="1:16" x14ac:dyDescent="0.2">
      <c r="C29" s="32"/>
      <c r="D29" s="32"/>
      <c r="E29" s="32">
        <f>SUM(E25:E28)</f>
        <v>15797.71</v>
      </c>
      <c r="F29" s="32">
        <f>SUM(F25:F28)</f>
        <v>-3684.2899999999991</v>
      </c>
      <c r="G29" s="33" t="s">
        <v>42</v>
      </c>
      <c r="H29" s="32">
        <f>SUM(H25:H28)</f>
        <v>-773.70090000000005</v>
      </c>
    </row>
    <row r="30" spans="1:16" x14ac:dyDescent="0.2">
      <c r="E30" s="9"/>
      <c r="F30" s="9"/>
      <c r="G30" s="28" t="s">
        <v>40</v>
      </c>
      <c r="H30" s="32">
        <f>-H38*0.21</f>
        <v>-127.19091</v>
      </c>
    </row>
    <row r="31" spans="1:16" x14ac:dyDescent="0.2">
      <c r="H31" s="9">
        <f>H29+H30</f>
        <v>-900.89181000000008</v>
      </c>
    </row>
    <row r="32" spans="1:16" x14ac:dyDescent="0.2">
      <c r="H32" s="9">
        <f>H31-K15</f>
        <v>1639.7401050000003</v>
      </c>
      <c r="I32" s="28" t="s">
        <v>49</v>
      </c>
    </row>
    <row r="33" spans="3:8" x14ac:dyDescent="0.2">
      <c r="C33" s="9" t="s">
        <v>36</v>
      </c>
      <c r="D33" s="24" t="s">
        <v>31</v>
      </c>
      <c r="E33" s="25" t="s">
        <v>37</v>
      </c>
      <c r="F33" s="9" t="s">
        <v>38</v>
      </c>
      <c r="G33" s="3" t="s">
        <v>24</v>
      </c>
      <c r="H33" s="9" t="s">
        <v>39</v>
      </c>
    </row>
    <row r="34" spans="3:8" x14ac:dyDescent="0.2">
      <c r="C34" s="32">
        <v>4636272</v>
      </c>
      <c r="D34" s="32">
        <f>D25</f>
        <v>19482</v>
      </c>
      <c r="E34" s="32">
        <v>17239.2</v>
      </c>
      <c r="F34" s="32">
        <f>E34-D34</f>
        <v>-2242.7999999999993</v>
      </c>
      <c r="G34" s="3">
        <v>0.05</v>
      </c>
      <c r="H34" s="32">
        <f>F34*G34</f>
        <v>-112.13999999999997</v>
      </c>
    </row>
    <row r="35" spans="3:8" x14ac:dyDescent="0.2">
      <c r="C35" s="32">
        <v>-79542</v>
      </c>
      <c r="D35" s="32"/>
      <c r="E35" s="32">
        <v>-350.31</v>
      </c>
      <c r="F35" s="32">
        <f t="shared" ref="F35:F37" si="7">E35-D35</f>
        <v>-350.31</v>
      </c>
      <c r="G35" s="3">
        <v>0.05</v>
      </c>
      <c r="H35" s="32">
        <f t="shared" ref="H35:H37" si="8">F35*G35</f>
        <v>-17.515499999999999</v>
      </c>
    </row>
    <row r="36" spans="3:8" x14ac:dyDescent="0.2">
      <c r="C36" s="32">
        <v>2177586</v>
      </c>
      <c r="D36" s="32"/>
      <c r="E36" s="32">
        <v>11209.12</v>
      </c>
      <c r="F36" s="32">
        <f t="shared" si="7"/>
        <v>11209.12</v>
      </c>
      <c r="G36" s="3">
        <v>0.05</v>
      </c>
      <c r="H36" s="32">
        <f t="shared" si="8"/>
        <v>560.45600000000002</v>
      </c>
    </row>
    <row r="37" spans="3:8" ht="15" x14ac:dyDescent="0.35">
      <c r="C37" s="32">
        <v>679439</v>
      </c>
      <c r="D37" s="32"/>
      <c r="E37" s="27">
        <v>3497.41</v>
      </c>
      <c r="F37" s="27">
        <f t="shared" si="7"/>
        <v>3497.41</v>
      </c>
      <c r="G37" s="3">
        <v>0.05</v>
      </c>
      <c r="H37" s="27">
        <f t="shared" si="8"/>
        <v>174.87049999999999</v>
      </c>
    </row>
    <row r="38" spans="3:8" x14ac:dyDescent="0.2">
      <c r="E38" s="9">
        <f>SUM(E34:E37)</f>
        <v>31595.420000000002</v>
      </c>
      <c r="F38" s="9">
        <f>SUM(F34:F37)</f>
        <v>12113.420000000002</v>
      </c>
      <c r="H38" s="9">
        <f>SUM(H34:H37)</f>
        <v>605.67100000000005</v>
      </c>
    </row>
    <row r="39" spans="3:8" x14ac:dyDescent="0.2">
      <c r="H39" s="9">
        <f>H38-L15</f>
        <v>-4.9999999998817657E-4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3 of 8
Clements</oddHeader>
    <oddFooter>&amp;L_x000D_&amp;1#&amp;"Calibri"&amp;14&amp;K000000 Business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pageSetUpPr fitToPage="1"/>
  </sheetPr>
  <dimension ref="A1:S9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6.28515625" customWidth="1"/>
    <col min="4" max="4" width="12.7109375" customWidth="1"/>
    <col min="5" max="5" width="16.7109375" customWidth="1"/>
    <col min="6" max="6" width="15" customWidth="1"/>
    <col min="7" max="14" width="12.7109375" customWidth="1"/>
    <col min="15" max="15" width="13.5703125" bestFit="1" customWidth="1"/>
    <col min="16" max="16" width="12.7109375" customWidth="1"/>
    <col min="17" max="17" width="9.28515625" hidden="1" customWidth="1"/>
    <col min="18" max="18" width="11.7109375" bestFit="1" customWidth="1"/>
    <col min="19" max="19" width="12.425781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11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244488707</v>
      </c>
    </row>
    <row r="10" spans="1:19" x14ac:dyDescent="0.2">
      <c r="A10" s="29">
        <v>43899</v>
      </c>
      <c r="C10" s="12">
        <v>1036143609</v>
      </c>
      <c r="D10" s="13">
        <v>4386364</v>
      </c>
      <c r="E10" s="35">
        <f>3971291.87+2</f>
        <v>3971293.87</v>
      </c>
      <c r="F10" s="35">
        <v>7830960.0199999996</v>
      </c>
      <c r="G10" s="14">
        <f t="shared" ref="G10:G15" si="0">E10-D10</f>
        <v>-415070.12999999989</v>
      </c>
      <c r="H10" s="14">
        <f t="shared" ref="H10:H15" si="1">F10-D10</f>
        <v>3444596.0199999996</v>
      </c>
      <c r="I10" s="3">
        <v>0.21</v>
      </c>
      <c r="J10" s="3">
        <v>0.05</v>
      </c>
      <c r="K10" s="9">
        <f t="shared" ref="K10:K14" si="2">G10*I10-L10*I10</f>
        <v>-123332.98550999997</v>
      </c>
      <c r="L10" s="9">
        <f t="shared" ref="L10:L15" si="3">H10*J10</f>
        <v>172229.80099999998</v>
      </c>
      <c r="M10" s="15">
        <f t="shared" ref="M10:M15" si="4">M9+K10+L10</f>
        <v>244537603.81549001</v>
      </c>
      <c r="N10" s="9">
        <v>86560.5</v>
      </c>
      <c r="O10" s="30"/>
      <c r="S10" s="23"/>
    </row>
    <row r="11" spans="1:19" x14ac:dyDescent="0.2">
      <c r="A11" s="29">
        <v>43922</v>
      </c>
      <c r="C11" s="12">
        <v>1036143609</v>
      </c>
      <c r="D11" s="13">
        <v>4386364</v>
      </c>
      <c r="E11" s="35">
        <f>3971291.87</f>
        <v>3971291.87</v>
      </c>
      <c r="F11" s="35">
        <v>7830960.0199999996</v>
      </c>
      <c r="G11" s="14">
        <f t="shared" si="0"/>
        <v>-415072.12999999989</v>
      </c>
      <c r="H11" s="14">
        <f t="shared" si="1"/>
        <v>3444596.0199999996</v>
      </c>
      <c r="I11" s="3">
        <v>0.21</v>
      </c>
      <c r="J11" s="3">
        <v>0.05</v>
      </c>
      <c r="K11" s="9">
        <f t="shared" si="2"/>
        <v>-123333.40550999995</v>
      </c>
      <c r="L11" s="9">
        <f t="shared" si="3"/>
        <v>172229.80099999998</v>
      </c>
      <c r="M11" s="15">
        <f t="shared" si="4"/>
        <v>244586500.21098</v>
      </c>
      <c r="N11" s="9">
        <v>86159.93</v>
      </c>
      <c r="O11" s="30"/>
      <c r="Q11" s="9">
        <f>358619-M12</f>
        <v>-244276777.60646999</v>
      </c>
      <c r="S11" s="23"/>
    </row>
    <row r="12" spans="1:19" x14ac:dyDescent="0.2">
      <c r="A12" s="29">
        <v>43952</v>
      </c>
      <c r="C12" s="12">
        <v>1036143609</v>
      </c>
      <c r="D12" s="13">
        <v>4386364</v>
      </c>
      <c r="E12" s="35">
        <f>3971291.87</f>
        <v>3971291.87</v>
      </c>
      <c r="F12" s="35">
        <v>7830960.0199999996</v>
      </c>
      <c r="G12" s="14">
        <f t="shared" si="0"/>
        <v>-415072.12999999989</v>
      </c>
      <c r="H12" s="14">
        <f t="shared" si="1"/>
        <v>3444596.0199999996</v>
      </c>
      <c r="I12" s="3">
        <v>0.21</v>
      </c>
      <c r="J12" s="3">
        <v>0.05</v>
      </c>
      <c r="K12" s="9">
        <f t="shared" si="2"/>
        <v>-123333.40550999995</v>
      </c>
      <c r="L12" s="9">
        <f t="shared" si="3"/>
        <v>172229.80099999998</v>
      </c>
      <c r="M12" s="15">
        <f t="shared" si="4"/>
        <v>244635396.60646999</v>
      </c>
      <c r="N12" s="9">
        <v>85759.35</v>
      </c>
      <c r="Q12">
        <f>+Q11/0.389</f>
        <v>-627960867.88295627</v>
      </c>
      <c r="R12" s="9"/>
      <c r="S12" s="23"/>
    </row>
    <row r="13" spans="1:19" x14ac:dyDescent="0.2">
      <c r="A13" s="29">
        <v>43983</v>
      </c>
      <c r="C13" s="12">
        <v>1036143609</v>
      </c>
      <c r="D13" s="13">
        <v>4386364</v>
      </c>
      <c r="E13" s="35">
        <f>3971291.87</f>
        <v>3971291.87</v>
      </c>
      <c r="F13" s="35">
        <v>7830960.0199999996</v>
      </c>
      <c r="G13" s="14">
        <f t="shared" si="0"/>
        <v>-415072.12999999989</v>
      </c>
      <c r="H13" s="14">
        <f t="shared" si="1"/>
        <v>3444596.0199999996</v>
      </c>
      <c r="I13" s="3">
        <v>0.21</v>
      </c>
      <c r="J13" s="3">
        <v>0.05</v>
      </c>
      <c r="K13" s="9">
        <f t="shared" si="2"/>
        <v>-123333.40550999995</v>
      </c>
      <c r="L13" s="9">
        <f t="shared" si="3"/>
        <v>172229.80099999998</v>
      </c>
      <c r="M13" s="15">
        <f t="shared" si="4"/>
        <v>244684293.00195998</v>
      </c>
      <c r="N13" s="9">
        <v>85358.78</v>
      </c>
      <c r="Q13" s="9">
        <f>374733-M14</f>
        <v>-244358456.52219999</v>
      </c>
      <c r="S13" s="23"/>
    </row>
    <row r="14" spans="1:19" x14ac:dyDescent="0.2">
      <c r="A14" s="29">
        <v>44013</v>
      </c>
      <c r="C14" s="12">
        <v>1036143609</v>
      </c>
      <c r="D14" s="13">
        <v>4386363.5</v>
      </c>
      <c r="E14" s="35">
        <f>3971291.87</f>
        <v>3971291.87</v>
      </c>
      <c r="F14" s="35">
        <v>7830960.0199999996</v>
      </c>
      <c r="G14" s="14">
        <f t="shared" si="0"/>
        <v>-415071.62999999989</v>
      </c>
      <c r="H14" s="14">
        <f t="shared" si="1"/>
        <v>3444596.5199999996</v>
      </c>
      <c r="I14" s="3">
        <v>0.21</v>
      </c>
      <c r="J14" s="3">
        <v>0.05</v>
      </c>
      <c r="K14" s="9">
        <f t="shared" si="2"/>
        <v>-123333.30575999997</v>
      </c>
      <c r="L14" s="9">
        <f t="shared" si="3"/>
        <v>172229.826</v>
      </c>
      <c r="M14" s="15">
        <f t="shared" si="4"/>
        <v>244733189.52219999</v>
      </c>
      <c r="N14" s="9">
        <v>84958.21</v>
      </c>
      <c r="Q14">
        <f>+Q13/0.389</f>
        <v>-628170839.38868892</v>
      </c>
      <c r="R14" s="9"/>
      <c r="S14" s="23"/>
    </row>
    <row r="15" spans="1:19" x14ac:dyDescent="0.2">
      <c r="A15" s="29">
        <v>44044</v>
      </c>
      <c r="C15" s="12">
        <v>1037147753</v>
      </c>
      <c r="D15" s="13">
        <v>4388987</v>
      </c>
      <c r="E15" s="13">
        <f>3978822.95</f>
        <v>3978822.95</v>
      </c>
      <c r="F15" s="13">
        <f>7838491.1</f>
        <v>7838491.0999999996</v>
      </c>
      <c r="G15" s="14">
        <f t="shared" si="0"/>
        <v>-410164.04999999981</v>
      </c>
      <c r="H15" s="14">
        <f t="shared" si="1"/>
        <v>3449504.0999999996</v>
      </c>
      <c r="I15" s="3">
        <v>0.21</v>
      </c>
      <c r="J15" s="3">
        <v>0.05</v>
      </c>
      <c r="K15" s="9">
        <f>G15*I15-L15*I15-47793.69-47793.69-19641</f>
        <v>-237582.62354999996</v>
      </c>
      <c r="L15" s="9">
        <f t="shared" si="3"/>
        <v>172475.20499999999</v>
      </c>
      <c r="M15" s="15">
        <f t="shared" si="4"/>
        <v>244668082.10365</v>
      </c>
      <c r="N15" s="9">
        <v>84557.64</v>
      </c>
      <c r="Q15" s="9">
        <f>+M15-386700</f>
        <v>244281382.10365</v>
      </c>
      <c r="R15" s="19"/>
      <c r="S15" s="23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627972704.63663232</v>
      </c>
    </row>
    <row r="17" spans="1:16" x14ac:dyDescent="0.2">
      <c r="A17" s="16"/>
      <c r="C17" s="9" t="s">
        <v>51</v>
      </c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6" t="s">
        <v>43</v>
      </c>
      <c r="D19" s="24"/>
      <c r="E19" s="24"/>
      <c r="F19" s="24"/>
      <c r="G19" s="25"/>
      <c r="H19" s="25"/>
    </row>
    <row r="20" spans="1:16" x14ac:dyDescent="0.2">
      <c r="C20" s="36" t="s">
        <v>28</v>
      </c>
      <c r="D20" s="24"/>
      <c r="E20" s="24"/>
      <c r="F20" s="24"/>
      <c r="G20" s="25"/>
      <c r="H20" s="25"/>
    </row>
    <row r="21" spans="1:16" x14ac:dyDescent="0.2">
      <c r="C21" s="36" t="s">
        <v>48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7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360851</v>
      </c>
      <c r="D25" s="32">
        <v>4388987</v>
      </c>
      <c r="E25" s="32">
        <v>0</v>
      </c>
      <c r="F25" s="32">
        <f>E25-D25</f>
        <v>-4388987</v>
      </c>
      <c r="G25" s="3">
        <v>0.21</v>
      </c>
      <c r="H25" s="32">
        <f>F25*G25</f>
        <v>-921687.27</v>
      </c>
    </row>
    <row r="26" spans="1:16" x14ac:dyDescent="0.2">
      <c r="C26" s="32">
        <v>982514</v>
      </c>
      <c r="D26" s="32"/>
      <c r="E26" s="32">
        <v>3653.31</v>
      </c>
      <c r="F26" s="32">
        <f>E26</f>
        <v>3653.31</v>
      </c>
      <c r="G26" s="3">
        <v>0.21</v>
      </c>
      <c r="H26" s="32">
        <f t="shared" ref="H26:H57" si="5">F26*G26</f>
        <v>767.19509999999991</v>
      </c>
    </row>
    <row r="27" spans="1:16" x14ac:dyDescent="0.2">
      <c r="C27" s="32">
        <v>9377.5</v>
      </c>
      <c r="D27" s="32"/>
      <c r="E27" s="32">
        <v>0</v>
      </c>
      <c r="F27" s="32">
        <f t="shared" ref="F27:F57" si="6">E27</f>
        <v>0</v>
      </c>
      <c r="G27" s="3">
        <v>0.21</v>
      </c>
      <c r="H27" s="32">
        <f t="shared" si="5"/>
        <v>0</v>
      </c>
    </row>
    <row r="28" spans="1:16" x14ac:dyDescent="0.2">
      <c r="C28" s="32">
        <v>2975815</v>
      </c>
      <c r="D28" s="32"/>
      <c r="E28" s="32">
        <v>11213.86</v>
      </c>
      <c r="F28" s="32">
        <f t="shared" si="6"/>
        <v>11213.86</v>
      </c>
      <c r="G28" s="3">
        <v>0.21</v>
      </c>
      <c r="H28" s="32">
        <f t="shared" si="5"/>
        <v>2354.9106000000002</v>
      </c>
    </row>
    <row r="29" spans="1:16" x14ac:dyDescent="0.2">
      <c r="C29" s="32">
        <v>-5631.44</v>
      </c>
      <c r="D29" s="32"/>
      <c r="E29" s="32">
        <v>-23.13</v>
      </c>
      <c r="F29" s="32">
        <f t="shared" si="6"/>
        <v>-23.13</v>
      </c>
      <c r="G29" s="3">
        <v>0.21</v>
      </c>
      <c r="H29" s="32">
        <f t="shared" si="5"/>
        <v>-4.8572999999999995</v>
      </c>
    </row>
    <row r="30" spans="1:16" x14ac:dyDescent="0.2">
      <c r="C30" s="32">
        <v>64989652.743999988</v>
      </c>
      <c r="D30" s="32"/>
      <c r="E30" s="32">
        <v>264724.52</v>
      </c>
      <c r="F30" s="32">
        <f t="shared" si="6"/>
        <v>264724.52</v>
      </c>
      <c r="G30" s="3">
        <v>0.21</v>
      </c>
      <c r="H30" s="32">
        <f t="shared" si="5"/>
        <v>55592.1492</v>
      </c>
    </row>
    <row r="31" spans="1:16" x14ac:dyDescent="0.2">
      <c r="C31" s="32">
        <v>97484479.115999967</v>
      </c>
      <c r="D31" s="32"/>
      <c r="E31" s="32">
        <v>1160529.51</v>
      </c>
      <c r="F31" s="32">
        <f t="shared" si="6"/>
        <v>1160529.51</v>
      </c>
      <c r="G31" s="3">
        <v>0.21</v>
      </c>
      <c r="H31" s="32">
        <f t="shared" si="5"/>
        <v>243711.19709999999</v>
      </c>
    </row>
    <row r="32" spans="1:16" x14ac:dyDescent="0.2">
      <c r="C32" s="32">
        <v>3354199.04</v>
      </c>
      <c r="D32" s="32"/>
      <c r="E32" s="32">
        <v>13662.77</v>
      </c>
      <c r="F32" s="32">
        <f t="shared" si="6"/>
        <v>13662.77</v>
      </c>
      <c r="G32" s="3">
        <v>0.21</v>
      </c>
      <c r="H32" s="32">
        <f t="shared" si="5"/>
        <v>2869.1817000000001</v>
      </c>
    </row>
    <row r="33" spans="3:8" x14ac:dyDescent="0.2">
      <c r="C33" s="32">
        <v>2749178.17</v>
      </c>
      <c r="D33" s="32"/>
      <c r="E33" s="32">
        <v>12107.84</v>
      </c>
      <c r="F33" s="32">
        <f t="shared" si="6"/>
        <v>12107.84</v>
      </c>
      <c r="G33" s="3">
        <v>0.21</v>
      </c>
      <c r="H33" s="32">
        <f t="shared" si="5"/>
        <v>2542.6464000000001</v>
      </c>
    </row>
    <row r="34" spans="3:8" x14ac:dyDescent="0.2">
      <c r="C34" s="32">
        <v>4123767.2549999999</v>
      </c>
      <c r="D34" s="32"/>
      <c r="E34" s="32">
        <v>49092.467321428565</v>
      </c>
      <c r="F34" s="32">
        <f t="shared" si="6"/>
        <v>49092.467321428565</v>
      </c>
      <c r="G34" s="3">
        <v>0.21</v>
      </c>
      <c r="H34" s="32">
        <f t="shared" si="5"/>
        <v>10309.418137499999</v>
      </c>
    </row>
    <row r="35" spans="3:8" x14ac:dyDescent="0.2">
      <c r="C35" s="32">
        <v>73250212.46800001</v>
      </c>
      <c r="D35" s="32"/>
      <c r="E35" s="32">
        <v>322606.14</v>
      </c>
      <c r="F35" s="32">
        <f t="shared" si="6"/>
        <v>322606.14</v>
      </c>
      <c r="G35" s="3">
        <v>0.21</v>
      </c>
      <c r="H35" s="32">
        <f t="shared" si="5"/>
        <v>67747.289399999994</v>
      </c>
    </row>
    <row r="36" spans="3:8" x14ac:dyDescent="0.2">
      <c r="C36" s="32">
        <v>109875318.70200001</v>
      </c>
      <c r="D36" s="32"/>
      <c r="E36" s="32">
        <v>610418.43999999994</v>
      </c>
      <c r="F36" s="32">
        <f t="shared" si="6"/>
        <v>610418.43999999994</v>
      </c>
      <c r="G36" s="3">
        <v>0.21</v>
      </c>
      <c r="H36" s="32">
        <f t="shared" si="5"/>
        <v>128187.87239999998</v>
      </c>
    </row>
    <row r="37" spans="3:8" x14ac:dyDescent="0.2">
      <c r="C37" s="32">
        <v>787778.5340000001</v>
      </c>
      <c r="D37" s="32"/>
      <c r="E37" s="32">
        <v>3469.51</v>
      </c>
      <c r="F37" s="32">
        <f t="shared" si="6"/>
        <v>3469.51</v>
      </c>
      <c r="G37" s="3">
        <v>0.21</v>
      </c>
      <c r="H37" s="32">
        <f t="shared" si="5"/>
        <v>728.59710000000007</v>
      </c>
    </row>
    <row r="38" spans="3:8" x14ac:dyDescent="0.2">
      <c r="C38" s="32">
        <v>1181667.801</v>
      </c>
      <c r="D38" s="32"/>
      <c r="E38" s="32">
        <v>14067.47382142857</v>
      </c>
      <c r="F38" s="32">
        <f t="shared" si="6"/>
        <v>14067.47382142857</v>
      </c>
      <c r="G38" s="3">
        <v>0.21</v>
      </c>
      <c r="H38" s="32">
        <f t="shared" si="5"/>
        <v>2954.1695024999995</v>
      </c>
    </row>
    <row r="39" spans="3:8" x14ac:dyDescent="0.2">
      <c r="C39" s="32">
        <v>2965892.7320000008</v>
      </c>
      <c r="D39" s="32"/>
      <c r="E39" s="32">
        <v>13062.29</v>
      </c>
      <c r="F39" s="32">
        <f t="shared" si="6"/>
        <v>13062.29</v>
      </c>
      <c r="G39" s="3">
        <v>0.21</v>
      </c>
      <c r="H39" s="32">
        <f t="shared" si="5"/>
        <v>2743.0808999999999</v>
      </c>
    </row>
    <row r="40" spans="3:8" x14ac:dyDescent="0.2">
      <c r="C40" s="32">
        <v>4448839.0980000012</v>
      </c>
      <c r="D40" s="32"/>
      <c r="E40" s="32">
        <v>49431.55</v>
      </c>
      <c r="F40" s="32">
        <f t="shared" si="6"/>
        <v>49431.55</v>
      </c>
      <c r="G40" s="3">
        <v>0.21</v>
      </c>
      <c r="H40" s="32">
        <f t="shared" si="5"/>
        <v>10380.6255</v>
      </c>
    </row>
    <row r="41" spans="3:8" x14ac:dyDescent="0.2">
      <c r="C41" s="32">
        <v>61477.070000000007</v>
      </c>
      <c r="D41" s="32"/>
      <c r="E41" s="32">
        <v>270.76</v>
      </c>
      <c r="F41" s="32">
        <f t="shared" si="6"/>
        <v>270.76</v>
      </c>
      <c r="G41" s="3">
        <v>0.21</v>
      </c>
      <c r="H41" s="32">
        <f t="shared" si="5"/>
        <v>56.859599999999993</v>
      </c>
    </row>
    <row r="42" spans="3:8" x14ac:dyDescent="0.2">
      <c r="C42" s="32">
        <v>48864.22</v>
      </c>
      <c r="D42" s="32"/>
      <c r="E42" s="32">
        <v>232.63</v>
      </c>
      <c r="F42" s="32">
        <f t="shared" si="6"/>
        <v>232.63</v>
      </c>
      <c r="G42" s="3">
        <v>0.21</v>
      </c>
      <c r="H42" s="32">
        <f t="shared" si="5"/>
        <v>48.8523</v>
      </c>
    </row>
    <row r="43" spans="3:8" x14ac:dyDescent="0.2">
      <c r="C43" s="32">
        <v>59018708.316</v>
      </c>
      <c r="D43" s="32"/>
      <c r="E43" s="32">
        <v>280978.23</v>
      </c>
      <c r="F43" s="32">
        <f t="shared" si="6"/>
        <v>280978.23</v>
      </c>
      <c r="G43" s="3">
        <v>0.21</v>
      </c>
      <c r="H43" s="32">
        <f t="shared" si="5"/>
        <v>59005.428299999992</v>
      </c>
    </row>
    <row r="44" spans="3:8" x14ac:dyDescent="0.2">
      <c r="C44" s="32">
        <v>88528062.473999992</v>
      </c>
      <c r="D44" s="32"/>
      <c r="E44" s="32">
        <v>1053905.5056428572</v>
      </c>
      <c r="F44" s="32">
        <f t="shared" si="6"/>
        <v>1053905.5056428572</v>
      </c>
      <c r="G44" s="3">
        <v>0.21</v>
      </c>
      <c r="H44" s="32">
        <f t="shared" si="5"/>
        <v>221320.156185</v>
      </c>
    </row>
    <row r="45" spans="3:8" x14ac:dyDescent="0.2">
      <c r="C45" s="32">
        <v>2761999.0980000007</v>
      </c>
      <c r="D45" s="32"/>
      <c r="E45" s="32">
        <v>13149.42</v>
      </c>
      <c r="F45" s="32">
        <f t="shared" si="6"/>
        <v>13149.42</v>
      </c>
      <c r="G45" s="3">
        <v>0.21</v>
      </c>
      <c r="H45" s="32">
        <f t="shared" si="5"/>
        <v>2761.3782000000001</v>
      </c>
    </row>
    <row r="46" spans="3:8" x14ac:dyDescent="0.2">
      <c r="C46" s="32">
        <v>1834207.4429999997</v>
      </c>
      <c r="D46" s="32"/>
      <c r="E46" s="32">
        <v>30570.124049999995</v>
      </c>
      <c r="F46" s="32">
        <f t="shared" si="6"/>
        <v>30570.124049999995</v>
      </c>
      <c r="G46" s="3">
        <v>0.21</v>
      </c>
      <c r="H46" s="32">
        <f t="shared" si="5"/>
        <v>6419.7260504999986</v>
      </c>
    </row>
    <row r="47" spans="3:8" x14ac:dyDescent="0.2">
      <c r="C47" s="32">
        <v>2308791.2039999999</v>
      </c>
      <c r="D47" s="32"/>
      <c r="E47" s="32">
        <v>27486</v>
      </c>
      <c r="F47" s="32">
        <f t="shared" si="6"/>
        <v>27486</v>
      </c>
      <c r="G47" s="3">
        <v>0.21</v>
      </c>
      <c r="H47" s="32">
        <f t="shared" si="5"/>
        <v>5772.0599999999995</v>
      </c>
    </row>
    <row r="48" spans="3:8" x14ac:dyDescent="0.2">
      <c r="C48" s="32">
        <v>28925</v>
      </c>
      <c r="D48" s="32"/>
      <c r="E48" s="32">
        <v>148.88999999999999</v>
      </c>
      <c r="F48" s="32">
        <f t="shared" si="6"/>
        <v>148.88999999999999</v>
      </c>
      <c r="G48" s="3">
        <v>0.21</v>
      </c>
      <c r="H48" s="32">
        <f t="shared" si="5"/>
        <v>31.266899999999996</v>
      </c>
    </row>
    <row r="49" spans="3:9" x14ac:dyDescent="0.2">
      <c r="C49" s="32">
        <v>1678783</v>
      </c>
      <c r="D49" s="32"/>
      <c r="E49" s="32">
        <v>8641.5400000000009</v>
      </c>
      <c r="F49" s="32">
        <f t="shared" si="6"/>
        <v>8641.5400000000009</v>
      </c>
      <c r="G49" s="3">
        <v>0.21</v>
      </c>
      <c r="H49" s="32">
        <f t="shared" si="5"/>
        <v>1814.7234000000001</v>
      </c>
    </row>
    <row r="50" spans="3:9" x14ac:dyDescent="0.2">
      <c r="C50" s="32">
        <v>5224318</v>
      </c>
      <c r="D50" s="32"/>
      <c r="E50" s="32"/>
      <c r="F50" s="32">
        <f t="shared" si="6"/>
        <v>0</v>
      </c>
      <c r="G50" s="3">
        <v>0.21</v>
      </c>
      <c r="H50" s="32">
        <f t="shared" si="5"/>
        <v>0</v>
      </c>
    </row>
    <row r="51" spans="3:9" x14ac:dyDescent="0.2">
      <c r="C51" s="32">
        <v>2238219</v>
      </c>
      <c r="D51" s="32"/>
      <c r="E51" s="32">
        <v>12453.82</v>
      </c>
      <c r="F51" s="32">
        <f t="shared" si="6"/>
        <v>12453.82</v>
      </c>
      <c r="G51" s="3">
        <v>0.21</v>
      </c>
      <c r="H51" s="32">
        <f t="shared" si="5"/>
        <v>2615.3021999999996</v>
      </c>
    </row>
    <row r="52" spans="3:9" x14ac:dyDescent="0.2">
      <c r="C52" s="32">
        <v>2433435</v>
      </c>
      <c r="D52" s="32"/>
      <c r="E52" s="32">
        <v>28969.46</v>
      </c>
      <c r="F52" s="32">
        <f t="shared" si="6"/>
        <v>28969.46</v>
      </c>
      <c r="G52" s="3">
        <v>0.21</v>
      </c>
      <c r="H52" s="32">
        <f t="shared" si="5"/>
        <v>6083.5865999999996</v>
      </c>
    </row>
    <row r="53" spans="3:9" x14ac:dyDescent="0.2">
      <c r="C53" s="32">
        <v>923894</v>
      </c>
      <c r="D53" s="32"/>
      <c r="E53" s="32">
        <v>15398.23</v>
      </c>
      <c r="F53" s="32">
        <f t="shared" si="6"/>
        <v>15398.23</v>
      </c>
      <c r="G53" s="33">
        <v>0.21</v>
      </c>
      <c r="H53" s="32">
        <f t="shared" si="5"/>
        <v>3233.6282999999999</v>
      </c>
    </row>
    <row r="54" spans="3:9" x14ac:dyDescent="0.2">
      <c r="C54" s="32">
        <v>2547757</v>
      </c>
      <c r="D54" s="32"/>
      <c r="E54" s="32">
        <v>23868.720000000001</v>
      </c>
      <c r="F54" s="32">
        <f t="shared" si="6"/>
        <v>23868.720000000001</v>
      </c>
      <c r="G54" s="33">
        <v>0.21</v>
      </c>
      <c r="H54" s="32">
        <f t="shared" si="5"/>
        <v>5012.4312</v>
      </c>
    </row>
    <row r="55" spans="3:9" x14ac:dyDescent="0.2">
      <c r="C55" s="32">
        <v>-5508918</v>
      </c>
      <c r="D55" s="32"/>
      <c r="E55" s="32">
        <v>-52829.42</v>
      </c>
      <c r="F55" s="32">
        <f t="shared" si="6"/>
        <v>-52829.42</v>
      </c>
      <c r="G55" s="33">
        <v>0.21</v>
      </c>
      <c r="H55" s="32">
        <f t="shared" si="5"/>
        <v>-11094.178199999998</v>
      </c>
    </row>
    <row r="56" spans="3:9" x14ac:dyDescent="0.2">
      <c r="C56" s="32">
        <v>5285</v>
      </c>
      <c r="D56" s="32"/>
      <c r="E56" s="32">
        <v>31.8</v>
      </c>
      <c r="F56" s="32">
        <f t="shared" si="6"/>
        <v>31.8</v>
      </c>
      <c r="G56" s="33">
        <v>0.21</v>
      </c>
      <c r="H56" s="32">
        <f t="shared" si="5"/>
        <v>6.6779999999999999</v>
      </c>
    </row>
    <row r="57" spans="3:9" ht="15" x14ac:dyDescent="0.35">
      <c r="C57" s="32">
        <v>1004143.76</v>
      </c>
      <c r="D57" s="32"/>
      <c r="E57" s="27">
        <f>3137.95+3137.95+1255</f>
        <v>7530.9</v>
      </c>
      <c r="F57" s="27">
        <f t="shared" si="6"/>
        <v>7530.9</v>
      </c>
      <c r="G57" s="33">
        <v>0.21</v>
      </c>
      <c r="H57" s="27">
        <f t="shared" si="5"/>
        <v>1581.4889999999998</v>
      </c>
    </row>
    <row r="58" spans="3:9" x14ac:dyDescent="0.2">
      <c r="E58" s="32">
        <f>SUM(E25:E57)</f>
        <v>3978823.1608357141</v>
      </c>
      <c r="F58" s="32">
        <f>SUM(F25:F57)</f>
        <v>-410163.83916428557</v>
      </c>
      <c r="G58" s="28" t="s">
        <v>42</v>
      </c>
      <c r="H58" s="32">
        <f>SUM(H25:H57)</f>
        <v>-86134.406224500184</v>
      </c>
    </row>
    <row r="59" spans="3:9" ht="15" x14ac:dyDescent="0.35">
      <c r="E59" s="9"/>
      <c r="F59" s="9"/>
      <c r="G59" s="28" t="s">
        <v>40</v>
      </c>
      <c r="H59" s="27">
        <f>-H94*0.21</f>
        <v>-36219.790271999991</v>
      </c>
    </row>
    <row r="60" spans="3:9" x14ac:dyDescent="0.2">
      <c r="H60" s="9">
        <f>H58+H59</f>
        <v>-122354.19649650017</v>
      </c>
    </row>
    <row r="61" spans="3:9" x14ac:dyDescent="0.2">
      <c r="H61" s="9">
        <f>H60-K15</f>
        <v>115228.42705349979</v>
      </c>
      <c r="I61" s="28" t="s">
        <v>49</v>
      </c>
    </row>
    <row r="62" spans="3:9" x14ac:dyDescent="0.2">
      <c r="C62" s="9" t="s">
        <v>36</v>
      </c>
      <c r="D62" s="24" t="s">
        <v>31</v>
      </c>
      <c r="E62" s="25" t="s">
        <v>37</v>
      </c>
      <c r="F62" s="9" t="s">
        <v>38</v>
      </c>
      <c r="G62" s="3" t="s">
        <v>24</v>
      </c>
      <c r="H62" s="9" t="s">
        <v>39</v>
      </c>
    </row>
    <row r="63" spans="3:9" x14ac:dyDescent="0.2">
      <c r="C63" s="32">
        <v>360851</v>
      </c>
      <c r="D63" s="32">
        <f>D25</f>
        <v>4388987</v>
      </c>
      <c r="E63" s="32">
        <v>0</v>
      </c>
      <c r="F63" s="32">
        <f>E63-D63</f>
        <v>-4388987</v>
      </c>
      <c r="G63" s="3">
        <v>0.05</v>
      </c>
      <c r="H63" s="32">
        <f>F63*G63</f>
        <v>-219449.35</v>
      </c>
    </row>
    <row r="64" spans="3:9" x14ac:dyDescent="0.2">
      <c r="C64" s="32">
        <v>1965028</v>
      </c>
      <c r="D64" s="32"/>
      <c r="E64" s="32">
        <v>7306.63</v>
      </c>
      <c r="F64" s="32">
        <f>E64</f>
        <v>7306.63</v>
      </c>
      <c r="G64" s="3">
        <v>0.05</v>
      </c>
      <c r="H64" s="32">
        <f t="shared" ref="H64:H93" si="7">F64*G64</f>
        <v>365.33150000000001</v>
      </c>
    </row>
    <row r="65" spans="3:8" x14ac:dyDescent="0.2">
      <c r="C65" s="32">
        <v>18755</v>
      </c>
      <c r="D65" s="32"/>
      <c r="E65" s="32"/>
      <c r="F65" s="32">
        <f t="shared" ref="F65:F93" si="8">E65</f>
        <v>0</v>
      </c>
      <c r="G65" s="3">
        <v>0.05</v>
      </c>
      <c r="H65" s="32">
        <f t="shared" si="7"/>
        <v>0</v>
      </c>
    </row>
    <row r="66" spans="3:8" x14ac:dyDescent="0.2">
      <c r="C66" s="32">
        <v>3107470</v>
      </c>
      <c r="D66" s="32"/>
      <c r="E66" s="32">
        <v>11709.98</v>
      </c>
      <c r="F66" s="32">
        <f t="shared" si="8"/>
        <v>11709.98</v>
      </c>
      <c r="G66" s="3">
        <v>0.05</v>
      </c>
      <c r="H66" s="32">
        <f t="shared" si="7"/>
        <v>585.49900000000002</v>
      </c>
    </row>
    <row r="67" spans="3:8" x14ac:dyDescent="0.2">
      <c r="C67" s="32">
        <v>-5725</v>
      </c>
      <c r="D67" s="32"/>
      <c r="E67" s="32">
        <v>-23.32</v>
      </c>
      <c r="F67" s="32">
        <f t="shared" si="8"/>
        <v>-23.32</v>
      </c>
      <c r="G67" s="3">
        <v>0.05</v>
      </c>
      <c r="H67" s="32">
        <f t="shared" si="7"/>
        <v>-1.1660000000000001</v>
      </c>
    </row>
    <row r="68" spans="3:8" x14ac:dyDescent="0.2">
      <c r="C68" s="32">
        <v>127918333.47199999</v>
      </c>
      <c r="D68" s="32"/>
      <c r="E68" s="32">
        <v>521054.01</v>
      </c>
      <c r="F68" s="32">
        <f t="shared" si="8"/>
        <v>521054.01</v>
      </c>
      <c r="G68" s="3">
        <v>0.05</v>
      </c>
      <c r="H68" s="32">
        <f t="shared" si="7"/>
        <v>26052.700500000003</v>
      </c>
    </row>
    <row r="69" spans="3:8" x14ac:dyDescent="0.2">
      <c r="C69" s="32">
        <v>191877500.20799997</v>
      </c>
      <c r="D69" s="32"/>
      <c r="E69" s="32">
        <v>2284255.9548571426</v>
      </c>
      <c r="F69" s="32">
        <f t="shared" si="8"/>
        <v>2284255.9548571426</v>
      </c>
      <c r="G69" s="3">
        <v>0.05</v>
      </c>
      <c r="H69" s="32">
        <f t="shared" si="7"/>
        <v>114212.79774285713</v>
      </c>
    </row>
    <row r="70" spans="3:8" x14ac:dyDescent="0.2">
      <c r="C70" s="32">
        <v>3354199.04</v>
      </c>
      <c r="D70" s="32"/>
      <c r="E70" s="32">
        <v>13662.77</v>
      </c>
      <c r="F70" s="32">
        <f t="shared" si="8"/>
        <v>13662.77</v>
      </c>
      <c r="G70" s="3">
        <v>0.05</v>
      </c>
      <c r="H70" s="32">
        <f t="shared" si="7"/>
        <v>683.13850000000002</v>
      </c>
    </row>
    <row r="71" spans="3:8" x14ac:dyDescent="0.2">
      <c r="C71" s="32">
        <v>5411173.5480000004</v>
      </c>
      <c r="D71" s="32"/>
      <c r="E71" s="32">
        <v>23831.71</v>
      </c>
      <c r="F71" s="32">
        <f t="shared" si="8"/>
        <v>23831.71</v>
      </c>
      <c r="G71" s="3">
        <v>0.05</v>
      </c>
      <c r="H71" s="32">
        <f t="shared" si="7"/>
        <v>1191.5854999999999</v>
      </c>
    </row>
    <row r="72" spans="3:8" x14ac:dyDescent="0.2">
      <c r="C72" s="32">
        <v>8116760.3219999988</v>
      </c>
      <c r="D72" s="32"/>
      <c r="E72" s="32">
        <v>96628</v>
      </c>
      <c r="F72" s="32">
        <f t="shared" si="8"/>
        <v>96628</v>
      </c>
      <c r="G72" s="3">
        <v>0.05</v>
      </c>
      <c r="H72" s="32">
        <f t="shared" si="7"/>
        <v>4831.4000000000005</v>
      </c>
    </row>
    <row r="73" spans="3:8" x14ac:dyDescent="0.2">
      <c r="C73" s="32">
        <v>143218226.94000003</v>
      </c>
      <c r="D73" s="32"/>
      <c r="E73" s="32">
        <v>630756.93999999994</v>
      </c>
      <c r="F73" s="32">
        <f t="shared" si="8"/>
        <v>630756.93999999994</v>
      </c>
      <c r="G73" s="3">
        <v>0.05</v>
      </c>
      <c r="H73" s="32">
        <f t="shared" si="7"/>
        <v>31537.846999999998</v>
      </c>
    </row>
    <row r="74" spans="3:8" x14ac:dyDescent="0.2">
      <c r="C74" s="32">
        <v>214827340.41</v>
      </c>
      <c r="D74" s="32"/>
      <c r="E74" s="32">
        <v>1193485.23</v>
      </c>
      <c r="F74" s="32">
        <f t="shared" si="8"/>
        <v>1193485.23</v>
      </c>
      <c r="G74" s="3">
        <v>0.05</v>
      </c>
      <c r="H74" s="32">
        <f t="shared" si="7"/>
        <v>59674.261500000001</v>
      </c>
    </row>
    <row r="75" spans="3:8" x14ac:dyDescent="0.2">
      <c r="C75" s="32">
        <v>1550574.7880000002</v>
      </c>
      <c r="D75" s="32"/>
      <c r="E75" s="32">
        <v>6828.99</v>
      </c>
      <c r="F75" s="32">
        <f t="shared" si="8"/>
        <v>6828.99</v>
      </c>
      <c r="G75" s="3">
        <v>0.05</v>
      </c>
      <c r="H75" s="32">
        <f t="shared" si="7"/>
        <v>341.4495</v>
      </c>
    </row>
    <row r="76" spans="3:8" x14ac:dyDescent="0.2">
      <c r="C76" s="32">
        <v>2325862.182</v>
      </c>
      <c r="D76" s="32"/>
      <c r="E76" s="32">
        <v>27688.835500000001</v>
      </c>
      <c r="F76" s="32">
        <f t="shared" si="8"/>
        <v>27688.835500000001</v>
      </c>
      <c r="G76" s="3">
        <v>0.05</v>
      </c>
      <c r="H76" s="32">
        <f t="shared" si="7"/>
        <v>1384.4417750000002</v>
      </c>
    </row>
    <row r="77" spans="3:8" x14ac:dyDescent="0.2">
      <c r="C77" s="32">
        <v>5798889.6400000006</v>
      </c>
      <c r="D77" s="32"/>
      <c r="E77" s="32">
        <v>25539.279999999999</v>
      </c>
      <c r="F77" s="32">
        <f t="shared" si="8"/>
        <v>25539.279999999999</v>
      </c>
      <c r="G77" s="3">
        <v>0.05</v>
      </c>
      <c r="H77" s="32">
        <f t="shared" si="7"/>
        <v>1276.9639999999999</v>
      </c>
    </row>
    <row r="78" spans="3:8" x14ac:dyDescent="0.2">
      <c r="C78" s="32">
        <v>8698334.459999999</v>
      </c>
      <c r="D78" s="32"/>
      <c r="E78" s="32">
        <v>96648.16</v>
      </c>
      <c r="F78" s="32">
        <f t="shared" si="8"/>
        <v>96648.16</v>
      </c>
      <c r="G78" s="3">
        <v>0.05</v>
      </c>
      <c r="H78" s="32">
        <f t="shared" si="7"/>
        <v>4832.4080000000004</v>
      </c>
    </row>
    <row r="79" spans="3:8" x14ac:dyDescent="0.2">
      <c r="C79" s="32">
        <v>61477.070000000007</v>
      </c>
      <c r="D79" s="32"/>
      <c r="E79" s="32">
        <v>270.76</v>
      </c>
      <c r="F79" s="32">
        <f t="shared" si="8"/>
        <v>270.76</v>
      </c>
      <c r="G79" s="3">
        <v>0.05</v>
      </c>
      <c r="H79" s="32">
        <f t="shared" si="7"/>
        <v>13.538</v>
      </c>
    </row>
    <row r="80" spans="3:8" x14ac:dyDescent="0.2">
      <c r="C80" s="32">
        <v>97728.44</v>
      </c>
      <c r="D80" s="32"/>
      <c r="E80" s="32">
        <v>465.27</v>
      </c>
      <c r="F80" s="32">
        <f t="shared" si="8"/>
        <v>465.27</v>
      </c>
      <c r="G80" s="3">
        <v>0.05</v>
      </c>
      <c r="H80" s="32">
        <f t="shared" si="7"/>
        <v>23.263500000000001</v>
      </c>
    </row>
    <row r="81" spans="3:8" x14ac:dyDescent="0.2">
      <c r="C81" s="32">
        <v>113639335.91600001</v>
      </c>
      <c r="D81" s="32"/>
      <c r="E81" s="32">
        <v>541017.93999999994</v>
      </c>
      <c r="F81" s="32">
        <f t="shared" si="8"/>
        <v>541017.93999999994</v>
      </c>
      <c r="G81" s="3">
        <v>0.05</v>
      </c>
      <c r="H81" s="32">
        <f t="shared" si="7"/>
        <v>27050.896999999997</v>
      </c>
    </row>
    <row r="82" spans="3:8" x14ac:dyDescent="0.2">
      <c r="C82" s="32">
        <v>170459003.87400001</v>
      </c>
      <c r="D82" s="32"/>
      <c r="E82" s="32">
        <v>2029273.8556428573</v>
      </c>
      <c r="F82" s="32">
        <f t="shared" si="8"/>
        <v>2029273.8556428573</v>
      </c>
      <c r="G82" s="3">
        <v>0.05</v>
      </c>
      <c r="H82" s="32">
        <f t="shared" si="7"/>
        <v>101463.69278214287</v>
      </c>
    </row>
    <row r="83" spans="3:8" x14ac:dyDescent="0.2">
      <c r="C83" s="32">
        <v>5354505.7920000004</v>
      </c>
      <c r="D83" s="32"/>
      <c r="E83" s="32">
        <v>25491.91</v>
      </c>
      <c r="F83" s="32">
        <f t="shared" si="8"/>
        <v>25491.91</v>
      </c>
      <c r="G83" s="3">
        <v>0.05</v>
      </c>
      <c r="H83" s="32">
        <f t="shared" si="7"/>
        <v>1274.5955000000001</v>
      </c>
    </row>
    <row r="84" spans="3:8" x14ac:dyDescent="0.2">
      <c r="C84" s="32">
        <v>3586227.6599999997</v>
      </c>
      <c r="D84" s="32"/>
      <c r="E84" s="32">
        <v>59770.460999999988</v>
      </c>
      <c r="F84" s="32">
        <f t="shared" si="8"/>
        <v>59770.460999999988</v>
      </c>
      <c r="G84" s="3">
        <v>0.05</v>
      </c>
      <c r="H84" s="32">
        <f t="shared" si="7"/>
        <v>2988.5230499999998</v>
      </c>
    </row>
    <row r="85" spans="3:8" x14ac:dyDescent="0.2">
      <c r="C85" s="32">
        <v>4445531.0279999999</v>
      </c>
      <c r="D85" s="32"/>
      <c r="E85" s="32">
        <v>52922.988428571429</v>
      </c>
      <c r="F85" s="32">
        <f t="shared" si="8"/>
        <v>52922.988428571429</v>
      </c>
      <c r="G85" s="3">
        <v>0.05</v>
      </c>
      <c r="H85" s="32">
        <f t="shared" si="7"/>
        <v>2646.1494214285717</v>
      </c>
    </row>
    <row r="86" spans="3:8" x14ac:dyDescent="0.2">
      <c r="C86" s="32">
        <v>3386491</v>
      </c>
      <c r="D86" s="32"/>
      <c r="E86" s="32">
        <v>17431.96</v>
      </c>
      <c r="F86" s="32">
        <f t="shared" si="8"/>
        <v>17431.96</v>
      </c>
      <c r="G86" s="33">
        <v>0.05</v>
      </c>
      <c r="H86" s="32">
        <f t="shared" si="7"/>
        <v>871.59799999999996</v>
      </c>
    </row>
    <row r="87" spans="3:8" x14ac:dyDescent="0.2">
      <c r="C87" s="32">
        <v>4327946</v>
      </c>
      <c r="D87" s="32"/>
      <c r="E87" s="32">
        <v>24081.41</v>
      </c>
      <c r="F87" s="32">
        <f t="shared" si="8"/>
        <v>24081.41</v>
      </c>
      <c r="G87" s="33">
        <v>0.05</v>
      </c>
      <c r="H87" s="32">
        <f t="shared" si="7"/>
        <v>1204.0705</v>
      </c>
    </row>
    <row r="88" spans="3:8" x14ac:dyDescent="0.2">
      <c r="C88" s="32">
        <v>4685530</v>
      </c>
      <c r="D88" s="32"/>
      <c r="E88" s="32">
        <v>55780.12</v>
      </c>
      <c r="F88" s="32">
        <f t="shared" si="8"/>
        <v>55780.12</v>
      </c>
      <c r="G88" s="33">
        <v>0.05</v>
      </c>
      <c r="H88" s="32">
        <f t="shared" si="7"/>
        <v>2789.0060000000003</v>
      </c>
    </row>
    <row r="89" spans="3:8" x14ac:dyDescent="0.2">
      <c r="C89" s="32">
        <v>1806390</v>
      </c>
      <c r="D89" s="32"/>
      <c r="E89" s="32">
        <v>30106.49</v>
      </c>
      <c r="F89" s="32">
        <f t="shared" si="8"/>
        <v>30106.49</v>
      </c>
      <c r="G89" s="33">
        <v>0.05</v>
      </c>
      <c r="H89" s="32">
        <f t="shared" si="7"/>
        <v>1505.3245000000002</v>
      </c>
    </row>
    <row r="90" spans="3:8" x14ac:dyDescent="0.2">
      <c r="C90" s="32">
        <v>5014718</v>
      </c>
      <c r="D90" s="32"/>
      <c r="E90" s="32">
        <v>46980.51</v>
      </c>
      <c r="F90" s="32">
        <f t="shared" si="8"/>
        <v>46980.51</v>
      </c>
      <c r="G90" s="33">
        <v>0.05</v>
      </c>
      <c r="H90" s="32">
        <f t="shared" si="7"/>
        <v>2349.0255000000002</v>
      </c>
    </row>
    <row r="91" spans="3:8" x14ac:dyDescent="0.2">
      <c r="C91" s="32">
        <v>729864</v>
      </c>
      <c r="D91" s="32"/>
      <c r="E91" s="32">
        <v>7961.29</v>
      </c>
      <c r="F91" s="32">
        <f t="shared" si="8"/>
        <v>7961.29</v>
      </c>
      <c r="G91" s="33">
        <v>0.05</v>
      </c>
      <c r="H91" s="32">
        <f t="shared" si="7"/>
        <v>398.06450000000001</v>
      </c>
    </row>
    <row r="92" spans="3:8" x14ac:dyDescent="0.2">
      <c r="C92" s="32">
        <v>5285</v>
      </c>
      <c r="D92" s="32"/>
      <c r="E92" s="32">
        <v>31.8</v>
      </c>
      <c r="F92" s="32">
        <f t="shared" si="8"/>
        <v>31.8</v>
      </c>
      <c r="G92" s="33">
        <v>0.05</v>
      </c>
      <c r="H92" s="32">
        <f t="shared" si="7"/>
        <v>1.59</v>
      </c>
    </row>
    <row r="93" spans="3:8" ht="15" x14ac:dyDescent="0.35">
      <c r="C93" s="32">
        <f>C57</f>
        <v>1004143.76</v>
      </c>
      <c r="D93" s="32"/>
      <c r="E93" s="27">
        <f>E57</f>
        <v>7530.9</v>
      </c>
      <c r="F93" s="27">
        <f t="shared" si="8"/>
        <v>7530.9</v>
      </c>
      <c r="G93" s="33">
        <v>0.05</v>
      </c>
      <c r="H93" s="27">
        <f t="shared" si="7"/>
        <v>376.54500000000002</v>
      </c>
    </row>
    <row r="94" spans="3:8" x14ac:dyDescent="0.2">
      <c r="E94" s="9">
        <f>SUM(E63:E93)</f>
        <v>7838490.8354285713</v>
      </c>
      <c r="F94" s="9">
        <f>SUM(F63:F93)</f>
        <v>3449503.8354285709</v>
      </c>
      <c r="H94" s="9">
        <f>SUM(H63:H93)</f>
        <v>172475.19177142854</v>
      </c>
    </row>
    <row r="95" spans="3:8" x14ac:dyDescent="0.2">
      <c r="E95" s="9"/>
      <c r="F95" s="9"/>
      <c r="H95" s="9">
        <f>H94-L15</f>
        <v>-1.3228571449872106E-2</v>
      </c>
    </row>
  </sheetData>
  <pageMargins left="0.5" right="0.5" top="1.5" bottom="0.5" header="0.5" footer="0.5"/>
  <pageSetup scale="53" orientation="portrait" r:id="rId1"/>
  <headerFooter alignWithMargins="0">
    <oddHeader>&amp;R&amp;"Times New Roman,Bold"&amp;12Attachment to Response to Question No. 3
Page 4 of 8
Clements</oddHeader>
    <oddFooter>&amp;L_x000D_&amp;1#&amp;"Calibri"&amp;14&amp;K000000 Business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140625" customWidth="1"/>
    <col min="6" max="6" width="15" customWidth="1"/>
    <col min="7" max="16" width="12.7109375" customWidth="1"/>
    <col min="17" max="17" width="9.28515625" hidden="1" customWidth="1"/>
    <col min="18" max="18" width="11.7109375" bestFit="1" customWidth="1"/>
    <col min="19" max="19" width="11.4257812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12</v>
      </c>
    </row>
    <row r="6" spans="1:19" x14ac:dyDescent="0.2">
      <c r="A6" s="18" t="s">
        <v>15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22830812</v>
      </c>
    </row>
    <row r="10" spans="1:19" x14ac:dyDescent="0.2">
      <c r="A10" s="29">
        <v>43899</v>
      </c>
      <c r="C10" s="12">
        <v>100993470</v>
      </c>
      <c r="D10" s="13">
        <v>244315</v>
      </c>
      <c r="E10" s="35">
        <f t="shared" ref="E10:E15" si="0">450190.07</f>
        <v>450190.07</v>
      </c>
      <c r="F10" s="35">
        <v>899495.42</v>
      </c>
      <c r="G10" s="14">
        <f t="shared" ref="G10:G15" si="1">E10-D10</f>
        <v>205875.07</v>
      </c>
      <c r="H10" s="14">
        <f t="shared" ref="H10:H15" si="2">F10-D10</f>
        <v>655180.42000000004</v>
      </c>
      <c r="I10" s="3">
        <v>0.21</v>
      </c>
      <c r="J10" s="3">
        <v>0.05</v>
      </c>
      <c r="K10" s="9">
        <f t="shared" ref="K10:K15" si="3">G10*I10-L10*I10</f>
        <v>36354.370289999999</v>
      </c>
      <c r="L10" s="9">
        <f t="shared" ref="L10:L15" si="4">H10*J10</f>
        <v>32759.021000000004</v>
      </c>
      <c r="M10" s="15">
        <f t="shared" ref="M10:M15" si="5">M9+K10+L10</f>
        <v>22899925.391290002</v>
      </c>
      <c r="N10" s="9">
        <v>0</v>
      </c>
      <c r="O10" s="30"/>
      <c r="S10" s="23"/>
    </row>
    <row r="11" spans="1:19" x14ac:dyDescent="0.2">
      <c r="A11" s="29">
        <v>43922</v>
      </c>
      <c r="C11" s="12">
        <v>100993470</v>
      </c>
      <c r="D11" s="13">
        <v>244315</v>
      </c>
      <c r="E11" s="35">
        <f t="shared" si="0"/>
        <v>450190.07</v>
      </c>
      <c r="F11" s="35">
        <v>899495.42</v>
      </c>
      <c r="G11" s="14">
        <f t="shared" si="1"/>
        <v>205875.07</v>
      </c>
      <c r="H11" s="14">
        <f t="shared" si="2"/>
        <v>655180.42000000004</v>
      </c>
      <c r="I11" s="3">
        <v>0.21</v>
      </c>
      <c r="J11" s="3">
        <v>0.05</v>
      </c>
      <c r="K11" s="9">
        <f t="shared" si="3"/>
        <v>36354.370289999999</v>
      </c>
      <c r="L11" s="9">
        <f t="shared" si="4"/>
        <v>32759.021000000004</v>
      </c>
      <c r="M11" s="15">
        <f t="shared" si="5"/>
        <v>22969038.782580003</v>
      </c>
      <c r="N11" s="9">
        <v>0</v>
      </c>
      <c r="O11" s="30"/>
      <c r="Q11" s="9">
        <f>358619-M12</f>
        <v>-22679533.173870005</v>
      </c>
      <c r="R11" s="17"/>
      <c r="S11" s="23"/>
    </row>
    <row r="12" spans="1:19" x14ac:dyDescent="0.2">
      <c r="A12" s="29">
        <v>43952</v>
      </c>
      <c r="C12" s="12">
        <v>100993470</v>
      </c>
      <c r="D12" s="13">
        <v>244315</v>
      </c>
      <c r="E12" s="35">
        <f t="shared" si="0"/>
        <v>450190.07</v>
      </c>
      <c r="F12" s="35">
        <v>899495.42</v>
      </c>
      <c r="G12" s="14">
        <f t="shared" si="1"/>
        <v>205875.07</v>
      </c>
      <c r="H12" s="14">
        <f t="shared" si="2"/>
        <v>655180.42000000004</v>
      </c>
      <c r="I12" s="3">
        <v>0.21</v>
      </c>
      <c r="J12" s="3">
        <v>0.05</v>
      </c>
      <c r="K12" s="9">
        <f t="shared" si="3"/>
        <v>36354.370289999999</v>
      </c>
      <c r="L12" s="9">
        <f t="shared" si="4"/>
        <v>32759.021000000004</v>
      </c>
      <c r="M12" s="15">
        <f t="shared" si="5"/>
        <v>23038152.173870005</v>
      </c>
      <c r="N12" s="9">
        <v>0</v>
      </c>
      <c r="Q12">
        <f>+Q11/0.389</f>
        <v>-58302141.835141398</v>
      </c>
      <c r="R12" s="9"/>
      <c r="S12" s="23"/>
    </row>
    <row r="13" spans="1:19" x14ac:dyDescent="0.2">
      <c r="A13" s="29">
        <v>43983</v>
      </c>
      <c r="C13" s="12">
        <v>100993470</v>
      </c>
      <c r="D13" s="13">
        <v>244315</v>
      </c>
      <c r="E13" s="35">
        <f t="shared" si="0"/>
        <v>450190.07</v>
      </c>
      <c r="F13" s="35">
        <v>899495.42</v>
      </c>
      <c r="G13" s="14">
        <f t="shared" si="1"/>
        <v>205875.07</v>
      </c>
      <c r="H13" s="14">
        <f t="shared" si="2"/>
        <v>655180.42000000004</v>
      </c>
      <c r="I13" s="3">
        <v>0.21</v>
      </c>
      <c r="J13" s="3">
        <v>0.05</v>
      </c>
      <c r="K13" s="9">
        <f t="shared" si="3"/>
        <v>36354.370289999999</v>
      </c>
      <c r="L13" s="9">
        <f t="shared" si="4"/>
        <v>32759.021000000004</v>
      </c>
      <c r="M13" s="15">
        <f t="shared" si="5"/>
        <v>23107265.565160006</v>
      </c>
      <c r="N13" s="9">
        <v>0</v>
      </c>
      <c r="Q13" s="9">
        <f>374733-M14</f>
        <v>-22801645.956450008</v>
      </c>
      <c r="S13" s="23"/>
    </row>
    <row r="14" spans="1:19" x14ac:dyDescent="0.2">
      <c r="A14" s="29">
        <v>44013</v>
      </c>
      <c r="C14" s="12">
        <v>100993470</v>
      </c>
      <c r="D14" s="13">
        <v>244315</v>
      </c>
      <c r="E14" s="35">
        <f t="shared" si="0"/>
        <v>450190.07</v>
      </c>
      <c r="F14" s="35">
        <v>899495.42</v>
      </c>
      <c r="G14" s="14">
        <f t="shared" si="1"/>
        <v>205875.07</v>
      </c>
      <c r="H14" s="14">
        <f t="shared" si="2"/>
        <v>655180.42000000004</v>
      </c>
      <c r="I14" s="3">
        <v>0.21</v>
      </c>
      <c r="J14" s="3">
        <v>0.05</v>
      </c>
      <c r="K14" s="9">
        <f t="shared" si="3"/>
        <v>36354.370289999999</v>
      </c>
      <c r="L14" s="9">
        <f t="shared" si="4"/>
        <v>32759.021000000004</v>
      </c>
      <c r="M14" s="15">
        <f t="shared" si="5"/>
        <v>23176378.956450008</v>
      </c>
      <c r="N14" s="9">
        <v>0</v>
      </c>
      <c r="Q14">
        <f>+Q13/0.389</f>
        <v>-58616056.443316214</v>
      </c>
      <c r="R14" s="9"/>
      <c r="S14" s="23"/>
    </row>
    <row r="15" spans="1:19" x14ac:dyDescent="0.2">
      <c r="A15" s="29">
        <v>44044</v>
      </c>
      <c r="C15" s="12">
        <v>100993470</v>
      </c>
      <c r="D15" s="13">
        <v>244315</v>
      </c>
      <c r="E15" s="35">
        <f t="shared" si="0"/>
        <v>450190.07</v>
      </c>
      <c r="F15" s="35">
        <v>899495.42</v>
      </c>
      <c r="G15" s="14">
        <f t="shared" si="1"/>
        <v>205875.07</v>
      </c>
      <c r="H15" s="14">
        <f t="shared" si="2"/>
        <v>655180.42000000004</v>
      </c>
      <c r="I15" s="3">
        <v>0.21</v>
      </c>
      <c r="J15" s="3">
        <v>0.05</v>
      </c>
      <c r="K15" s="9">
        <f t="shared" si="3"/>
        <v>36354.370289999999</v>
      </c>
      <c r="L15" s="9">
        <f t="shared" si="4"/>
        <v>32759.021000000004</v>
      </c>
      <c r="M15" s="15">
        <f t="shared" si="5"/>
        <v>23245492.347740009</v>
      </c>
      <c r="N15" s="9">
        <v>0</v>
      </c>
      <c r="Q15" s="9">
        <f>+M15-386700</f>
        <v>22858792.347740009</v>
      </c>
      <c r="R15" s="19"/>
      <c r="S15" s="23"/>
    </row>
    <row r="16" spans="1:19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58762962.333521873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6" t="s">
        <v>27</v>
      </c>
      <c r="D19" s="24"/>
      <c r="E19" s="24"/>
      <c r="F19" s="24"/>
      <c r="G19" s="25"/>
      <c r="H19" s="25"/>
    </row>
    <row r="20" spans="1:16" x14ac:dyDescent="0.2">
      <c r="C20" s="36" t="s">
        <v>28</v>
      </c>
      <c r="D20" s="24"/>
      <c r="E20" s="24"/>
      <c r="F20" s="24"/>
      <c r="G20" s="25"/>
      <c r="H20" s="25"/>
    </row>
    <row r="21" spans="1:16" x14ac:dyDescent="0.2">
      <c r="C21" s="36" t="s">
        <v>48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7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19447093.452</v>
      </c>
      <c r="D25" s="32">
        <v>244315</v>
      </c>
      <c r="E25" s="32">
        <v>85648.24</v>
      </c>
      <c r="F25" s="32">
        <f>E25-D25</f>
        <v>-158666.76</v>
      </c>
      <c r="G25" s="3">
        <v>0.21</v>
      </c>
      <c r="H25" s="32">
        <f>F25*G25</f>
        <v>-33320.0196</v>
      </c>
    </row>
    <row r="26" spans="1:16" x14ac:dyDescent="0.2">
      <c r="C26" s="32">
        <v>29170640.177999996</v>
      </c>
      <c r="D26" s="32"/>
      <c r="E26" s="32">
        <v>347269.53</v>
      </c>
      <c r="F26" s="32">
        <f>E26</f>
        <v>347269.53</v>
      </c>
      <c r="G26" s="3">
        <v>0.21</v>
      </c>
      <c r="H26" s="32">
        <f t="shared" ref="H26:H31" si="6">F26*G26</f>
        <v>72926.601300000009</v>
      </c>
    </row>
    <row r="27" spans="1:16" x14ac:dyDescent="0.2">
      <c r="C27" s="32">
        <v>584700.50199999998</v>
      </c>
      <c r="D27" s="32"/>
      <c r="E27" s="32">
        <v>2783.66</v>
      </c>
      <c r="F27" s="32">
        <f t="shared" ref="F27:F31" si="7">E27</f>
        <v>2783.66</v>
      </c>
      <c r="G27" s="3">
        <v>0.21</v>
      </c>
      <c r="H27" s="32">
        <f t="shared" si="6"/>
        <v>584.56859999999995</v>
      </c>
    </row>
    <row r="28" spans="1:16" x14ac:dyDescent="0.2">
      <c r="C28" s="32">
        <v>877050.75299999991</v>
      </c>
      <c r="D28" s="32"/>
      <c r="E28" s="32">
        <v>10441.080392857142</v>
      </c>
      <c r="F28" s="32">
        <f t="shared" si="7"/>
        <v>10441.080392857142</v>
      </c>
      <c r="G28" s="33">
        <v>0.21</v>
      </c>
      <c r="H28" s="32">
        <f t="shared" si="6"/>
        <v>2192.6268824999997</v>
      </c>
    </row>
    <row r="29" spans="1:16" x14ac:dyDescent="0.2">
      <c r="C29" s="32">
        <v>137487</v>
      </c>
      <c r="D29" s="32"/>
      <c r="E29" s="32">
        <v>707.71</v>
      </c>
      <c r="F29" s="32">
        <f t="shared" si="7"/>
        <v>707.71</v>
      </c>
      <c r="G29" s="33">
        <v>0.21</v>
      </c>
      <c r="H29" s="32">
        <f t="shared" si="6"/>
        <v>148.6191</v>
      </c>
    </row>
    <row r="30" spans="1:16" x14ac:dyDescent="0.2">
      <c r="C30" s="32">
        <v>206231</v>
      </c>
      <c r="D30" s="32"/>
      <c r="E30" s="32">
        <v>2455</v>
      </c>
      <c r="F30" s="32">
        <f t="shared" si="7"/>
        <v>2455</v>
      </c>
      <c r="G30" s="33">
        <v>0.21</v>
      </c>
      <c r="H30" s="32">
        <f t="shared" si="6"/>
        <v>515.54999999999995</v>
      </c>
    </row>
    <row r="31" spans="1:16" ht="15" x14ac:dyDescent="0.35">
      <c r="C31" s="32">
        <v>147065</v>
      </c>
      <c r="D31" s="32"/>
      <c r="E31" s="27">
        <v>884.72</v>
      </c>
      <c r="F31" s="27">
        <f t="shared" si="7"/>
        <v>884.72</v>
      </c>
      <c r="G31" s="33">
        <v>0.21</v>
      </c>
      <c r="H31" s="27">
        <f t="shared" si="6"/>
        <v>185.7912</v>
      </c>
    </row>
    <row r="32" spans="1:16" x14ac:dyDescent="0.2">
      <c r="C32" s="32"/>
      <c r="D32" s="32"/>
      <c r="E32" s="32">
        <f>SUM(E25:E31)</f>
        <v>450189.94039285713</v>
      </c>
      <c r="F32" s="32">
        <f>SUM(F25:F31)</f>
        <v>205874.94039285716</v>
      </c>
      <c r="G32" s="28" t="s">
        <v>42</v>
      </c>
      <c r="H32" s="32">
        <f>SUM(H25:H31)</f>
        <v>43233.737482500015</v>
      </c>
    </row>
    <row r="33" spans="3:8" ht="15" x14ac:dyDescent="0.35">
      <c r="E33" s="9"/>
      <c r="F33" s="9"/>
      <c r="G33" s="28" t="s">
        <v>40</v>
      </c>
      <c r="H33" s="27">
        <f>-H44*0.21</f>
        <v>-6879.394332750001</v>
      </c>
    </row>
    <row r="34" spans="3:8" x14ac:dyDescent="0.2">
      <c r="H34" s="9">
        <f>H32+H33</f>
        <v>36354.343149750013</v>
      </c>
    </row>
    <row r="35" spans="3:8" x14ac:dyDescent="0.2">
      <c r="H35" s="9">
        <f>H34-K15</f>
        <v>-2.7140249985677656E-2</v>
      </c>
    </row>
    <row r="36" spans="3:8" x14ac:dyDescent="0.2">
      <c r="C36" s="9" t="s">
        <v>36</v>
      </c>
      <c r="D36" s="24" t="s">
        <v>31</v>
      </c>
      <c r="E36" s="25" t="s">
        <v>37</v>
      </c>
      <c r="F36" s="9" t="s">
        <v>38</v>
      </c>
      <c r="G36" s="3" t="s">
        <v>24</v>
      </c>
      <c r="H36" s="9" t="s">
        <v>39</v>
      </c>
    </row>
    <row r="37" spans="3:8" x14ac:dyDescent="0.2">
      <c r="C37" s="32">
        <v>38894186.903999999</v>
      </c>
      <c r="D37" s="32">
        <f>D25</f>
        <v>244315</v>
      </c>
      <c r="E37" s="32">
        <v>171296.48</v>
      </c>
      <c r="F37" s="32">
        <f>E37-D37</f>
        <v>-73018.51999999999</v>
      </c>
      <c r="G37" s="3">
        <v>0.05</v>
      </c>
      <c r="H37" s="32">
        <f>F37*G37</f>
        <v>-3650.9259999999995</v>
      </c>
    </row>
    <row r="38" spans="3:8" x14ac:dyDescent="0.2">
      <c r="C38" s="32">
        <v>58341280.355999991</v>
      </c>
      <c r="D38" s="32"/>
      <c r="E38" s="32">
        <v>694539.05185714283</v>
      </c>
      <c r="F38" s="32">
        <f>E38</f>
        <v>694539.05185714283</v>
      </c>
      <c r="G38" s="3">
        <v>0.05</v>
      </c>
      <c r="H38" s="32">
        <f t="shared" ref="H38:H43" si="8">F38*G38</f>
        <v>34726.952592857146</v>
      </c>
    </row>
    <row r="39" spans="3:8" x14ac:dyDescent="0.2">
      <c r="C39" s="32">
        <v>1169401.004</v>
      </c>
      <c r="D39" s="32"/>
      <c r="E39" s="32">
        <v>5567.32</v>
      </c>
      <c r="F39" s="32">
        <f t="shared" ref="F39:F43" si="9">E39</f>
        <v>5567.32</v>
      </c>
      <c r="G39" s="3">
        <v>0.05</v>
      </c>
      <c r="H39" s="32">
        <f t="shared" si="8"/>
        <v>278.36599999999999</v>
      </c>
    </row>
    <row r="40" spans="3:8" x14ac:dyDescent="0.2">
      <c r="C40" s="32">
        <v>1754101.5059999998</v>
      </c>
      <c r="D40" s="32"/>
      <c r="E40" s="32">
        <v>20882.160785714284</v>
      </c>
      <c r="F40" s="32">
        <f t="shared" si="9"/>
        <v>20882.160785714284</v>
      </c>
      <c r="G40" s="3">
        <v>0.05</v>
      </c>
      <c r="H40" s="32">
        <f t="shared" si="8"/>
        <v>1044.1080392857143</v>
      </c>
    </row>
    <row r="41" spans="3:8" x14ac:dyDescent="0.2">
      <c r="C41" s="32">
        <v>274974</v>
      </c>
      <c r="D41" s="32"/>
      <c r="E41" s="32">
        <v>1415.43</v>
      </c>
      <c r="F41" s="32">
        <f t="shared" si="9"/>
        <v>1415.43</v>
      </c>
      <c r="G41" s="3">
        <v>0.05</v>
      </c>
      <c r="H41" s="32">
        <f t="shared" si="8"/>
        <v>70.771500000000003</v>
      </c>
    </row>
    <row r="42" spans="3:8" x14ac:dyDescent="0.2">
      <c r="C42" s="32">
        <v>412461</v>
      </c>
      <c r="D42" s="32"/>
      <c r="E42" s="32">
        <v>4910.25</v>
      </c>
      <c r="F42" s="32">
        <f t="shared" si="9"/>
        <v>4910.25</v>
      </c>
      <c r="G42" s="33">
        <v>0.05</v>
      </c>
      <c r="H42" s="32">
        <f t="shared" si="8"/>
        <v>245.51250000000002</v>
      </c>
    </row>
    <row r="43" spans="3:8" ht="15" x14ac:dyDescent="0.35">
      <c r="C43" s="32">
        <v>147065</v>
      </c>
      <c r="D43" s="32"/>
      <c r="E43" s="27">
        <v>884.72</v>
      </c>
      <c r="F43" s="27">
        <f t="shared" si="9"/>
        <v>884.72</v>
      </c>
      <c r="G43" s="33">
        <v>0.05</v>
      </c>
      <c r="H43" s="27">
        <f t="shared" si="8"/>
        <v>44.236000000000004</v>
      </c>
    </row>
    <row r="44" spans="3:8" x14ac:dyDescent="0.2">
      <c r="E44" s="9">
        <f>SUM(E37:E43)</f>
        <v>899495.41264285706</v>
      </c>
      <c r="F44" s="9">
        <f>SUM(F37:F43)</f>
        <v>655180.41264285706</v>
      </c>
      <c r="H44" s="32">
        <f>SUM(H37:H43)</f>
        <v>32759.020632142863</v>
      </c>
    </row>
    <row r="45" spans="3:8" x14ac:dyDescent="0.2">
      <c r="E45" s="9"/>
      <c r="F45" s="9"/>
      <c r="H45" s="9">
        <f>H44-L15</f>
        <v>-3.6785714110010304E-4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8
Clements</oddHeader>
    <oddFooter>&amp;L_x000D_&amp;1#&amp;"Calibri"&amp;14&amp;K000000 Business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8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5703125" customWidth="1"/>
    <col min="4" max="4" width="12.7109375" customWidth="1"/>
    <col min="5" max="5" width="16.14062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19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9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 x14ac:dyDescent="0.2">
      <c r="A5" s="6" t="s">
        <v>16</v>
      </c>
    </row>
    <row r="6" spans="1:19" x14ac:dyDescent="0.2">
      <c r="A6" s="22" t="s">
        <v>17</v>
      </c>
    </row>
    <row r="8" spans="1:19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9" x14ac:dyDescent="0.2">
      <c r="A9" s="8" t="s">
        <v>8</v>
      </c>
      <c r="M9" s="10">
        <v>887674</v>
      </c>
      <c r="O9" s="9" t="s">
        <v>14</v>
      </c>
    </row>
    <row r="10" spans="1:19" x14ac:dyDescent="0.2">
      <c r="A10" s="29">
        <v>43899</v>
      </c>
      <c r="C10" s="12">
        <v>4512896</v>
      </c>
      <c r="D10" s="13">
        <v>20334</v>
      </c>
      <c r="E10" s="35">
        <f>23784.47+2</f>
        <v>23786.47</v>
      </c>
      <c r="F10" s="35">
        <v>46581.52</v>
      </c>
      <c r="G10" s="14">
        <f t="shared" ref="G10:G13" si="0">E10-D10</f>
        <v>3452.4700000000012</v>
      </c>
      <c r="H10" s="14">
        <f t="shared" ref="H10:H13" si="1">F10-D10</f>
        <v>26247.519999999997</v>
      </c>
      <c r="I10" s="3">
        <v>0.21</v>
      </c>
      <c r="J10" s="3">
        <v>0.05</v>
      </c>
      <c r="K10" s="9">
        <f t="shared" ref="K10:K15" si="2">G10*I10-L10*I10</f>
        <v>449.41974000000022</v>
      </c>
      <c r="L10" s="9">
        <f t="shared" ref="L10:L15" si="3">H10*J10</f>
        <v>1312.376</v>
      </c>
      <c r="M10" s="15">
        <f t="shared" ref="M10:M15" si="4">M9+K10+L10</f>
        <v>889435.79574000009</v>
      </c>
      <c r="N10" s="9">
        <v>0</v>
      </c>
      <c r="O10" s="30"/>
    </row>
    <row r="11" spans="1:19" x14ac:dyDescent="0.2">
      <c r="A11" s="29">
        <v>43922</v>
      </c>
      <c r="C11" s="12">
        <v>4512896</v>
      </c>
      <c r="D11" s="13">
        <v>20334</v>
      </c>
      <c r="E11" s="35">
        <f>23784.47</f>
        <v>23784.47</v>
      </c>
      <c r="F11" s="35">
        <v>46581.52</v>
      </c>
      <c r="G11" s="14">
        <f t="shared" si="0"/>
        <v>3450.4700000000012</v>
      </c>
      <c r="H11" s="14">
        <f t="shared" si="1"/>
        <v>26247.519999999997</v>
      </c>
      <c r="I11" s="3">
        <v>0.21</v>
      </c>
      <c r="J11" s="3">
        <v>0.05</v>
      </c>
      <c r="K11" s="9">
        <f t="shared" si="2"/>
        <v>448.99974000000026</v>
      </c>
      <c r="L11" s="9">
        <f t="shared" si="3"/>
        <v>1312.376</v>
      </c>
      <c r="M11" s="15">
        <f t="shared" si="4"/>
        <v>891197.17148000014</v>
      </c>
      <c r="N11" s="9">
        <v>0</v>
      </c>
      <c r="O11" s="30"/>
      <c r="Q11" s="9">
        <f>358619-M12</f>
        <v>-534339.12722000014</v>
      </c>
      <c r="R11" s="17"/>
      <c r="S11" s="9"/>
    </row>
    <row r="12" spans="1:19" x14ac:dyDescent="0.2">
      <c r="A12" s="29">
        <v>43952</v>
      </c>
      <c r="C12" s="12">
        <v>4512896</v>
      </c>
      <c r="D12" s="13">
        <v>20334</v>
      </c>
      <c r="E12" s="35">
        <f>23784.47-2</f>
        <v>23782.47</v>
      </c>
      <c r="F12" s="35">
        <v>46581.52</v>
      </c>
      <c r="G12" s="14">
        <f t="shared" si="0"/>
        <v>3448.4700000000012</v>
      </c>
      <c r="H12" s="14">
        <f t="shared" si="1"/>
        <v>26247.519999999997</v>
      </c>
      <c r="I12" s="3">
        <v>0.21</v>
      </c>
      <c r="J12" s="3">
        <v>0.05</v>
      </c>
      <c r="K12" s="9">
        <f t="shared" si="2"/>
        <v>448.57974000000019</v>
      </c>
      <c r="L12" s="9">
        <f t="shared" si="3"/>
        <v>1312.376</v>
      </c>
      <c r="M12" s="15">
        <f t="shared" si="4"/>
        <v>892958.12722000014</v>
      </c>
      <c r="N12" s="9">
        <v>0</v>
      </c>
      <c r="Q12">
        <f>+Q11/0.389</f>
        <v>-1373622.4350128537</v>
      </c>
      <c r="R12" s="9"/>
      <c r="S12" s="9"/>
    </row>
    <row r="13" spans="1:19" x14ac:dyDescent="0.2">
      <c r="A13" s="29">
        <v>43983</v>
      </c>
      <c r="C13" s="12">
        <v>4512896</v>
      </c>
      <c r="D13" s="13">
        <v>20334</v>
      </c>
      <c r="E13" s="35">
        <f>23784.47-2</f>
        <v>23782.47</v>
      </c>
      <c r="F13" s="35">
        <v>46581.52</v>
      </c>
      <c r="G13" s="14">
        <f t="shared" si="0"/>
        <v>3448.4700000000012</v>
      </c>
      <c r="H13" s="14">
        <f t="shared" si="1"/>
        <v>26247.519999999997</v>
      </c>
      <c r="I13" s="3">
        <v>0.21</v>
      </c>
      <c r="J13" s="3">
        <v>0.05</v>
      </c>
      <c r="K13" s="9">
        <f t="shared" si="2"/>
        <v>448.57974000000019</v>
      </c>
      <c r="L13" s="9">
        <f t="shared" si="3"/>
        <v>1312.376</v>
      </c>
      <c r="M13" s="15">
        <f t="shared" si="4"/>
        <v>894719.08296000015</v>
      </c>
      <c r="N13" s="9">
        <v>0</v>
      </c>
      <c r="Q13" s="9">
        <f>374733-M14</f>
        <v>-521747.87870000023</v>
      </c>
      <c r="S13" s="9"/>
    </row>
    <row r="14" spans="1:19" x14ac:dyDescent="0.2">
      <c r="A14" s="29">
        <v>44013</v>
      </c>
      <c r="C14" s="12">
        <v>4512896</v>
      </c>
      <c r="D14" s="13">
        <v>20334</v>
      </c>
      <c r="E14" s="35">
        <f>23784.47+2</f>
        <v>23786.47</v>
      </c>
      <c r="F14" s="35">
        <v>46581.52</v>
      </c>
      <c r="G14" s="14">
        <f t="shared" ref="G14" si="5">E14-D14</f>
        <v>3452.4700000000012</v>
      </c>
      <c r="H14" s="14">
        <f t="shared" ref="H14" si="6">F14-D14</f>
        <v>26247.519999999997</v>
      </c>
      <c r="I14" s="3">
        <v>0.21</v>
      </c>
      <c r="J14" s="3">
        <v>0.05</v>
      </c>
      <c r="K14" s="9">
        <f t="shared" si="2"/>
        <v>449.41974000000022</v>
      </c>
      <c r="L14" s="9">
        <f t="shared" si="3"/>
        <v>1312.376</v>
      </c>
      <c r="M14" s="15">
        <f t="shared" si="4"/>
        <v>896480.87870000023</v>
      </c>
      <c r="N14" s="9">
        <v>0</v>
      </c>
      <c r="Q14">
        <f>+Q13/0.389</f>
        <v>-1341254.1868894608</v>
      </c>
      <c r="R14" s="9"/>
      <c r="S14" s="9"/>
    </row>
    <row r="15" spans="1:19" x14ac:dyDescent="0.2">
      <c r="A15" s="29">
        <v>44044</v>
      </c>
      <c r="C15" s="12">
        <v>4512896</v>
      </c>
      <c r="D15" s="13">
        <v>20334</v>
      </c>
      <c r="E15" s="35">
        <f>23784.47</f>
        <v>23784.47</v>
      </c>
      <c r="F15" s="35">
        <v>46581.52</v>
      </c>
      <c r="G15" s="14">
        <f t="shared" ref="G15" si="7">E15-D15</f>
        <v>3450.4700000000012</v>
      </c>
      <c r="H15" s="14">
        <f t="shared" ref="H15" si="8">F15-D15</f>
        <v>26247.519999999997</v>
      </c>
      <c r="I15" s="3">
        <v>0.21</v>
      </c>
      <c r="J15" s="3">
        <v>0.05</v>
      </c>
      <c r="K15" s="9">
        <f t="shared" si="2"/>
        <v>448.99974000000026</v>
      </c>
      <c r="L15" s="9">
        <f t="shared" si="3"/>
        <v>1312.376</v>
      </c>
      <c r="M15" s="15">
        <f t="shared" si="4"/>
        <v>898242.25444000028</v>
      </c>
      <c r="N15" s="9">
        <v>0</v>
      </c>
      <c r="Q15" s="9">
        <f>+M15-386700</f>
        <v>511542.25444000028</v>
      </c>
      <c r="R15" s="19"/>
      <c r="S15" s="9"/>
    </row>
    <row r="16" spans="1:19" x14ac:dyDescent="0.2">
      <c r="A16" s="16"/>
      <c r="C16" s="12"/>
      <c r="D16" s="13"/>
      <c r="E16" s="13"/>
      <c r="F16" s="13"/>
      <c r="G16" s="14"/>
      <c r="H16" s="14"/>
      <c r="I16" s="3"/>
      <c r="J16" s="3"/>
      <c r="K16" s="9"/>
      <c r="L16" s="9"/>
      <c r="M16" s="15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3"/>
      <c r="J17" s="3"/>
      <c r="K17" s="9"/>
      <c r="L17" s="9"/>
      <c r="M17" s="15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3"/>
      <c r="J18" s="3"/>
      <c r="K18" s="9"/>
      <c r="L18" s="9"/>
      <c r="M18" s="15"/>
      <c r="N18" s="9"/>
      <c r="O18" s="15"/>
      <c r="P18" s="9"/>
    </row>
    <row r="19" spans="1:16" x14ac:dyDescent="0.2">
      <c r="A19" s="16"/>
      <c r="C19" s="36" t="s">
        <v>44</v>
      </c>
      <c r="D19" s="24"/>
      <c r="E19" s="24"/>
      <c r="F19" s="24"/>
      <c r="G19" s="25"/>
      <c r="H19" s="25"/>
      <c r="L19" s="9"/>
      <c r="M19" s="15"/>
      <c r="N19" s="9"/>
      <c r="O19" s="15"/>
      <c r="P19" s="9"/>
    </row>
    <row r="20" spans="1:16" x14ac:dyDescent="0.2">
      <c r="A20" s="16"/>
      <c r="C20" s="36" t="s">
        <v>28</v>
      </c>
      <c r="D20" s="24"/>
      <c r="E20" s="24"/>
      <c r="F20" s="24"/>
      <c r="G20" s="25"/>
      <c r="H20" s="25"/>
      <c r="L20" s="3"/>
      <c r="M20" s="3"/>
      <c r="N20" s="9"/>
      <c r="O20" s="15"/>
      <c r="P20" s="9"/>
    </row>
    <row r="21" spans="1:16" x14ac:dyDescent="0.2">
      <c r="C21" s="36" t="s">
        <v>48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7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234559.42400000003</v>
      </c>
      <c r="D25" s="32">
        <v>20334</v>
      </c>
      <c r="E25" s="32">
        <v>1116.7</v>
      </c>
      <c r="F25" s="32">
        <f>E25-D25</f>
        <v>-19217.3</v>
      </c>
      <c r="G25" s="3">
        <v>0.21</v>
      </c>
      <c r="H25" s="32">
        <f>F25*G25</f>
        <v>-4035.6329999999998</v>
      </c>
    </row>
    <row r="26" spans="1:16" x14ac:dyDescent="0.2">
      <c r="C26" s="32">
        <v>351839.136</v>
      </c>
      <c r="D26" s="32"/>
      <c r="E26" s="32">
        <v>4188.5611428571428</v>
      </c>
      <c r="F26" s="32">
        <f>E26</f>
        <v>4188.5611428571428</v>
      </c>
      <c r="G26" s="33">
        <v>0.21</v>
      </c>
      <c r="H26" s="32">
        <f>F26*G26</f>
        <v>879.59784000000002</v>
      </c>
    </row>
    <row r="27" spans="1:16" x14ac:dyDescent="0.2">
      <c r="C27" s="32">
        <v>2765</v>
      </c>
      <c r="D27" s="32"/>
      <c r="E27" s="32">
        <v>14.23</v>
      </c>
      <c r="F27" s="32">
        <f t="shared" ref="F27:F38" si="9">E27</f>
        <v>14.23</v>
      </c>
      <c r="G27" s="33">
        <v>0.21</v>
      </c>
      <c r="H27" s="32">
        <f t="shared" ref="H27:H34" si="10">F27*G27</f>
        <v>2.9883000000000002</v>
      </c>
    </row>
    <row r="28" spans="1:16" x14ac:dyDescent="0.2">
      <c r="C28" s="32">
        <v>4147</v>
      </c>
      <c r="D28" s="32"/>
      <c r="E28" s="32">
        <v>49.37</v>
      </c>
      <c r="F28" s="32">
        <f t="shared" si="9"/>
        <v>49.37</v>
      </c>
      <c r="G28" s="33">
        <v>0.21</v>
      </c>
      <c r="H28" s="32">
        <f t="shared" si="10"/>
        <v>10.367699999999999</v>
      </c>
    </row>
    <row r="29" spans="1:16" x14ac:dyDescent="0.2">
      <c r="C29" s="32">
        <v>363607</v>
      </c>
      <c r="D29" s="32"/>
      <c r="E29" s="32">
        <v>1871.67</v>
      </c>
      <c r="F29" s="32">
        <f t="shared" si="9"/>
        <v>1871.67</v>
      </c>
      <c r="G29" s="33">
        <v>0.21</v>
      </c>
      <c r="H29" s="32">
        <f t="shared" si="10"/>
        <v>393.05070000000001</v>
      </c>
    </row>
    <row r="30" spans="1:16" x14ac:dyDescent="0.2">
      <c r="C30" s="32">
        <v>545411</v>
      </c>
      <c r="D30" s="32"/>
      <c r="E30" s="32">
        <v>9090.18</v>
      </c>
      <c r="F30" s="32">
        <f t="shared" si="9"/>
        <v>9090.18</v>
      </c>
      <c r="G30" s="33">
        <v>0.21</v>
      </c>
      <c r="H30" s="32">
        <f t="shared" si="10"/>
        <v>1908.9377999999999</v>
      </c>
    </row>
    <row r="31" spans="1:16" x14ac:dyDescent="0.2">
      <c r="C31" s="32">
        <v>195243</v>
      </c>
      <c r="D31" s="32"/>
      <c r="E31" s="32">
        <v>1005.02</v>
      </c>
      <c r="F31" s="32">
        <f t="shared" si="9"/>
        <v>1005.02</v>
      </c>
      <c r="G31" s="33">
        <v>0.21</v>
      </c>
      <c r="H31" s="32">
        <f t="shared" si="10"/>
        <v>211.05419999999998</v>
      </c>
    </row>
    <row r="32" spans="1:16" x14ac:dyDescent="0.2">
      <c r="C32" s="32">
        <v>292865</v>
      </c>
      <c r="D32" s="32"/>
      <c r="E32" s="32">
        <v>3486.49</v>
      </c>
      <c r="F32" s="32">
        <f t="shared" si="9"/>
        <v>3486.49</v>
      </c>
      <c r="G32" s="33">
        <v>0.21</v>
      </c>
      <c r="H32" s="32">
        <f t="shared" si="10"/>
        <v>732.16289999999992</v>
      </c>
    </row>
    <row r="33" spans="3:8" x14ac:dyDescent="0.2">
      <c r="C33" s="32">
        <v>210220</v>
      </c>
      <c r="D33" s="32"/>
      <c r="E33" s="32">
        <v>0</v>
      </c>
      <c r="F33" s="32">
        <f t="shared" si="9"/>
        <v>0</v>
      </c>
      <c r="G33" s="33">
        <v>0.21</v>
      </c>
      <c r="H33" s="32">
        <f t="shared" si="10"/>
        <v>0</v>
      </c>
    </row>
    <row r="34" spans="3:8" x14ac:dyDescent="0.2">
      <c r="C34" s="32">
        <v>126132</v>
      </c>
      <c r="D34" s="32"/>
      <c r="E34" s="32">
        <v>701.82</v>
      </c>
      <c r="F34" s="32">
        <f t="shared" si="9"/>
        <v>701.82</v>
      </c>
      <c r="G34" s="33">
        <v>0.21</v>
      </c>
      <c r="H34" s="32">
        <f t="shared" si="10"/>
        <v>147.38220000000001</v>
      </c>
    </row>
    <row r="35" spans="3:8" x14ac:dyDescent="0.2">
      <c r="C35" s="32">
        <v>189198</v>
      </c>
      <c r="D35" s="32"/>
      <c r="E35" s="32">
        <v>2252.36</v>
      </c>
      <c r="F35" s="32">
        <f t="shared" si="9"/>
        <v>2252.36</v>
      </c>
      <c r="G35" s="33">
        <v>0.21</v>
      </c>
      <c r="H35" s="32">
        <f>F35*G35</f>
        <v>472.99560000000002</v>
      </c>
    </row>
    <row r="36" spans="3:8" x14ac:dyDescent="0.2">
      <c r="C36" s="32">
        <v>6472</v>
      </c>
      <c r="D36" s="32"/>
      <c r="E36" s="32">
        <f>8.08-2</f>
        <v>6.08</v>
      </c>
      <c r="F36" s="32">
        <f t="shared" si="9"/>
        <v>6.08</v>
      </c>
      <c r="G36" s="33">
        <v>0.21</v>
      </c>
      <c r="H36" s="32">
        <f t="shared" ref="H36:H37" si="11">F36*G36</f>
        <v>1.2767999999999999</v>
      </c>
    </row>
    <row r="37" spans="3:8" x14ac:dyDescent="0.2">
      <c r="C37" s="32">
        <v>-4163</v>
      </c>
      <c r="D37" s="32"/>
      <c r="E37" s="32">
        <v>-39.76</v>
      </c>
      <c r="F37" s="32">
        <f t="shared" si="9"/>
        <v>-39.76</v>
      </c>
      <c r="G37" s="33">
        <v>0.21</v>
      </c>
      <c r="H37" s="32">
        <f t="shared" si="11"/>
        <v>-8.3495999999999988</v>
      </c>
    </row>
    <row r="38" spans="3:8" ht="15" x14ac:dyDescent="0.35">
      <c r="C38" s="32">
        <v>4163</v>
      </c>
      <c r="D38" s="32"/>
      <c r="E38" s="27">
        <v>39.76</v>
      </c>
      <c r="F38" s="27">
        <f t="shared" si="9"/>
        <v>39.76</v>
      </c>
      <c r="G38" s="33">
        <v>0.21</v>
      </c>
      <c r="H38" s="27">
        <f>F38*G38</f>
        <v>8.3495999999999988</v>
      </c>
    </row>
    <row r="39" spans="3:8" x14ac:dyDescent="0.2">
      <c r="C39" s="32"/>
      <c r="D39" s="32"/>
      <c r="E39" s="32">
        <f>SUM(E25:E38)</f>
        <v>23782.481142857141</v>
      </c>
      <c r="F39" s="32">
        <f>SUM(F25:F38)</f>
        <v>3448.4811428571443</v>
      </c>
      <c r="G39" s="28" t="s">
        <v>42</v>
      </c>
      <c r="H39" s="32">
        <f>SUM(H25:H38)</f>
        <v>724.18104000000005</v>
      </c>
    </row>
    <row r="40" spans="3:8" x14ac:dyDescent="0.2">
      <c r="E40" s="9"/>
      <c r="F40" s="9"/>
      <c r="G40" s="28" t="s">
        <v>40</v>
      </c>
      <c r="H40" s="34">
        <f>-H57*0.21</f>
        <v>-275.59887900000007</v>
      </c>
    </row>
    <row r="41" spans="3:8" x14ac:dyDescent="0.2">
      <c r="H41" s="9">
        <f>H39+H40</f>
        <v>448.58216099999999</v>
      </c>
    </row>
    <row r="42" spans="3:8" x14ac:dyDescent="0.2">
      <c r="H42" s="9">
        <f>H41-K13</f>
        <v>2.4209999997992782E-3</v>
      </c>
    </row>
    <row r="43" spans="3:8" x14ac:dyDescent="0.2">
      <c r="C43" s="9" t="s">
        <v>36</v>
      </c>
      <c r="D43" s="24" t="s">
        <v>31</v>
      </c>
      <c r="E43" s="25" t="s">
        <v>37</v>
      </c>
      <c r="F43" s="9" t="s">
        <v>38</v>
      </c>
      <c r="G43" s="3" t="s">
        <v>24</v>
      </c>
      <c r="H43" s="9" t="s">
        <v>39</v>
      </c>
    </row>
    <row r="44" spans="3:8" x14ac:dyDescent="0.2">
      <c r="C44" s="32">
        <v>469118.84800000006</v>
      </c>
      <c r="D44" s="32">
        <f>D25</f>
        <v>20334</v>
      </c>
      <c r="E44" s="32">
        <v>2233.4</v>
      </c>
      <c r="F44" s="32">
        <f>E44-D44</f>
        <v>-18100.599999999999</v>
      </c>
      <c r="G44" s="3">
        <v>0.05</v>
      </c>
      <c r="H44" s="32">
        <f>F44*G44</f>
        <v>-905.03</v>
      </c>
    </row>
    <row r="45" spans="3:8" x14ac:dyDescent="0.2">
      <c r="C45" s="32">
        <v>703678.272</v>
      </c>
      <c r="D45" s="32"/>
      <c r="E45" s="32">
        <f>8377.12228571429</f>
        <v>8377.1222857142893</v>
      </c>
      <c r="F45" s="32">
        <f>E45</f>
        <v>8377.1222857142893</v>
      </c>
      <c r="G45" s="3">
        <v>0.05</v>
      </c>
      <c r="H45" s="32">
        <f>F45*G45</f>
        <v>418.85611428571451</v>
      </c>
    </row>
    <row r="46" spans="3:8" x14ac:dyDescent="0.2">
      <c r="C46" s="32">
        <v>5529</v>
      </c>
      <c r="D46" s="32"/>
      <c r="E46" s="32">
        <v>28.46</v>
      </c>
      <c r="F46" s="32">
        <f t="shared" ref="F46:F56" si="12">E46</f>
        <v>28.46</v>
      </c>
      <c r="G46" s="3">
        <v>0.05</v>
      </c>
      <c r="H46" s="32">
        <f t="shared" ref="H46:H52" si="13">F46*G46</f>
        <v>1.423</v>
      </c>
    </row>
    <row r="47" spans="3:8" x14ac:dyDescent="0.2">
      <c r="C47" s="32">
        <v>8294</v>
      </c>
      <c r="D47" s="32"/>
      <c r="E47" s="32">
        <v>98.73</v>
      </c>
      <c r="F47" s="32">
        <f t="shared" si="12"/>
        <v>98.73</v>
      </c>
      <c r="G47" s="3">
        <v>0.05</v>
      </c>
      <c r="H47" s="32">
        <f t="shared" si="13"/>
        <v>4.9365000000000006</v>
      </c>
    </row>
    <row r="48" spans="3:8" x14ac:dyDescent="0.2">
      <c r="C48" s="32">
        <v>727215</v>
      </c>
      <c r="D48" s="32"/>
      <c r="E48" s="32">
        <v>3743.34</v>
      </c>
      <c r="F48" s="32">
        <f t="shared" si="12"/>
        <v>3743.34</v>
      </c>
      <c r="G48" s="3">
        <v>0.05</v>
      </c>
      <c r="H48" s="32">
        <f t="shared" si="13"/>
        <v>187.16700000000003</v>
      </c>
    </row>
    <row r="49" spans="3:8" x14ac:dyDescent="0.2">
      <c r="C49" s="32">
        <v>1090822</v>
      </c>
      <c r="D49" s="32"/>
      <c r="E49" s="32">
        <v>18180.36</v>
      </c>
      <c r="F49" s="32">
        <f t="shared" si="12"/>
        <v>18180.36</v>
      </c>
      <c r="G49" s="3">
        <v>0.05</v>
      </c>
      <c r="H49" s="32">
        <f t="shared" si="13"/>
        <v>909.01800000000003</v>
      </c>
    </row>
    <row r="50" spans="3:8" x14ac:dyDescent="0.2">
      <c r="C50" s="32">
        <v>390487</v>
      </c>
      <c r="D50" s="32"/>
      <c r="E50" s="32">
        <v>2010.03</v>
      </c>
      <c r="F50" s="32">
        <f t="shared" si="12"/>
        <v>2010.03</v>
      </c>
      <c r="G50" s="3">
        <v>0.05</v>
      </c>
      <c r="H50" s="32">
        <f t="shared" si="13"/>
        <v>100.50150000000001</v>
      </c>
    </row>
    <row r="51" spans="3:8" x14ac:dyDescent="0.2">
      <c r="C51" s="32">
        <v>585730</v>
      </c>
      <c r="D51" s="32"/>
      <c r="E51" s="32">
        <v>6972.98</v>
      </c>
      <c r="F51" s="32">
        <f t="shared" si="12"/>
        <v>6972.98</v>
      </c>
      <c r="G51" s="3">
        <v>0.05</v>
      </c>
      <c r="H51" s="32">
        <f t="shared" si="13"/>
        <v>348.649</v>
      </c>
    </row>
    <row r="52" spans="3:8" x14ac:dyDescent="0.2">
      <c r="C52" s="32">
        <v>210220</v>
      </c>
      <c r="D52" s="32"/>
      <c r="E52" s="32">
        <v>1169.7</v>
      </c>
      <c r="F52" s="32">
        <f t="shared" si="12"/>
        <v>1169.7</v>
      </c>
      <c r="G52" s="3">
        <v>0.05</v>
      </c>
      <c r="H52" s="32">
        <f t="shared" si="13"/>
        <v>58.485000000000007</v>
      </c>
    </row>
    <row r="53" spans="3:8" x14ac:dyDescent="0.2">
      <c r="C53" s="32">
        <v>315330</v>
      </c>
      <c r="D53" s="32"/>
      <c r="E53" s="32">
        <v>3753.93</v>
      </c>
      <c r="F53" s="32">
        <f t="shared" si="12"/>
        <v>3753.93</v>
      </c>
      <c r="G53" s="33">
        <v>0.05</v>
      </c>
      <c r="H53" s="32">
        <f>F53*G53</f>
        <v>187.69650000000001</v>
      </c>
    </row>
    <row r="54" spans="3:8" x14ac:dyDescent="0.2">
      <c r="C54" s="32">
        <v>6472</v>
      </c>
      <c r="D54" s="32"/>
      <c r="E54" s="32">
        <v>13.46</v>
      </c>
      <c r="F54" s="32">
        <f t="shared" si="12"/>
        <v>13.46</v>
      </c>
      <c r="G54" s="33">
        <v>0.05</v>
      </c>
      <c r="H54" s="32">
        <f t="shared" ref="H54:H55" si="14">F54*G54</f>
        <v>0.67300000000000004</v>
      </c>
    </row>
    <row r="55" spans="3:8" x14ac:dyDescent="0.2">
      <c r="C55" s="32">
        <v>-6939</v>
      </c>
      <c r="D55" s="32"/>
      <c r="E55" s="32">
        <v>-66.260000000000005</v>
      </c>
      <c r="F55" s="32">
        <f t="shared" si="12"/>
        <v>-66.260000000000005</v>
      </c>
      <c r="G55" s="33">
        <v>0.05</v>
      </c>
      <c r="H55" s="32">
        <f t="shared" si="14"/>
        <v>-3.3130000000000006</v>
      </c>
    </row>
    <row r="56" spans="3:8" ht="15" x14ac:dyDescent="0.35">
      <c r="C56" s="32">
        <v>6939</v>
      </c>
      <c r="D56" s="32"/>
      <c r="E56" s="27">
        <v>66.260000000000005</v>
      </c>
      <c r="F56" s="27">
        <f t="shared" si="12"/>
        <v>66.260000000000005</v>
      </c>
      <c r="G56" s="33">
        <v>0.05</v>
      </c>
      <c r="H56" s="27">
        <f>F56*G56</f>
        <v>3.3130000000000006</v>
      </c>
    </row>
    <row r="57" spans="3:8" x14ac:dyDescent="0.2">
      <c r="C57" s="32"/>
      <c r="D57" s="32"/>
      <c r="E57" s="32">
        <f>SUM(E44:E56)</f>
        <v>46581.512285714285</v>
      </c>
      <c r="F57" s="32">
        <f>SUM(F44:F56)</f>
        <v>26247.512285714289</v>
      </c>
      <c r="H57" s="32">
        <f>SUM(H44:H56)</f>
        <v>1312.3756142857146</v>
      </c>
    </row>
    <row r="58" spans="3:8" x14ac:dyDescent="0.2">
      <c r="E58" s="9"/>
      <c r="F58" s="9"/>
      <c r="H58" s="9">
        <f>H57-L13</f>
        <v>-3.8571428535760788E-4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6 of 8
Clements</oddHeader>
    <oddFooter>&amp;L_x000D_&amp;1#&amp;"Calibri"&amp;14&amp;K000000 Business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1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7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6" t="s">
        <v>16</v>
      </c>
    </row>
    <row r="6" spans="1:17" x14ac:dyDescent="0.2">
      <c r="A6" s="22" t="s">
        <v>47</v>
      </c>
    </row>
    <row r="8" spans="1:17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17" x14ac:dyDescent="0.2">
      <c r="A9" s="8" t="s">
        <v>8</v>
      </c>
      <c r="M9" s="10">
        <v>18656227</v>
      </c>
    </row>
    <row r="10" spans="1:17" x14ac:dyDescent="0.2">
      <c r="A10" s="29">
        <v>43899</v>
      </c>
      <c r="C10" s="12">
        <v>197852044</v>
      </c>
      <c r="D10" s="13">
        <v>591432</v>
      </c>
      <c r="E10" s="10">
        <f>1075200.79</f>
        <v>1075200.79</v>
      </c>
      <c r="F10" s="10">
        <v>1804812.97</v>
      </c>
      <c r="G10" s="12">
        <f t="shared" ref="G10:G15" si="0">E10-D10</f>
        <v>483768.79000000004</v>
      </c>
      <c r="H10" s="12">
        <f t="shared" ref="H10:H15" si="1">F10-D10</f>
        <v>1213380.97</v>
      </c>
      <c r="I10" s="3">
        <v>0.21</v>
      </c>
      <c r="J10" s="3">
        <v>0.05</v>
      </c>
      <c r="K10" s="9">
        <f t="shared" ref="K10:K15" si="2">G10*I10-L10*I10</f>
        <v>88850.945715000009</v>
      </c>
      <c r="L10" s="9">
        <f t="shared" ref="L10:L15" si="3">H10*J10</f>
        <v>60669.048500000004</v>
      </c>
      <c r="M10" s="15">
        <f t="shared" ref="M10:M15" si="4">M9+K10+L10</f>
        <v>18805746.994215</v>
      </c>
      <c r="N10" s="9">
        <f>40400.24+524492.91</f>
        <v>564893.15</v>
      </c>
      <c r="O10" s="30"/>
      <c r="Q10" s="23"/>
    </row>
    <row r="11" spans="1:17" x14ac:dyDescent="0.2">
      <c r="A11" s="29">
        <v>43922</v>
      </c>
      <c r="C11" s="12">
        <v>197852044</v>
      </c>
      <c r="D11" s="13">
        <v>591432</v>
      </c>
      <c r="E11" s="10">
        <f>1075200.79</f>
        <v>1075200.79</v>
      </c>
      <c r="F11" s="10">
        <v>1804812.97</v>
      </c>
      <c r="G11" s="12">
        <f t="shared" si="0"/>
        <v>483768.79000000004</v>
      </c>
      <c r="H11" s="12">
        <f t="shared" si="1"/>
        <v>1213380.97</v>
      </c>
      <c r="I11" s="3">
        <v>0.21</v>
      </c>
      <c r="J11" s="3">
        <v>0.05</v>
      </c>
      <c r="K11" s="9">
        <f t="shared" si="2"/>
        <v>88850.945715000009</v>
      </c>
      <c r="L11" s="9">
        <f t="shared" si="3"/>
        <v>60669.048500000004</v>
      </c>
      <c r="M11" s="15">
        <f t="shared" si="4"/>
        <v>18955266.988430001</v>
      </c>
      <c r="N11" s="9">
        <f>40400.24+520661.66</f>
        <v>561061.9</v>
      </c>
      <c r="O11" s="30"/>
      <c r="Q11" s="9"/>
    </row>
    <row r="12" spans="1:17" x14ac:dyDescent="0.2">
      <c r="A12" s="29">
        <v>43952</v>
      </c>
      <c r="C12" s="12">
        <v>197852044</v>
      </c>
      <c r="D12" s="13">
        <v>591432</v>
      </c>
      <c r="E12" s="10">
        <f>1075200.79</f>
        <v>1075200.79</v>
      </c>
      <c r="F12" s="10">
        <v>1804812.97</v>
      </c>
      <c r="G12" s="12">
        <f>E12-D12</f>
        <v>483768.79000000004</v>
      </c>
      <c r="H12" s="12">
        <f>F12-D12</f>
        <v>1213380.97</v>
      </c>
      <c r="I12" s="3">
        <v>0.21</v>
      </c>
      <c r="J12" s="3">
        <v>0.05</v>
      </c>
      <c r="K12" s="9">
        <f t="shared" si="2"/>
        <v>88850.945715000009</v>
      </c>
      <c r="L12" s="9">
        <f t="shared" si="3"/>
        <v>60669.048500000004</v>
      </c>
      <c r="M12" s="15">
        <f t="shared" si="4"/>
        <v>19104786.982645001</v>
      </c>
      <c r="N12" s="9">
        <f>40400.24+516830.4</f>
        <v>557230.64</v>
      </c>
      <c r="Q12" s="9"/>
    </row>
    <row r="13" spans="1:17" x14ac:dyDescent="0.2">
      <c r="A13" s="29">
        <v>43983</v>
      </c>
      <c r="C13" s="12">
        <v>201249101</v>
      </c>
      <c r="D13" s="13">
        <v>596542</v>
      </c>
      <c r="E13" s="10">
        <f>(1100233.76-2511.34)*0+1102498.57-4380</f>
        <v>1098118.57</v>
      </c>
      <c r="F13" s="10">
        <f>1829835.94*0+1832110.75-4380</f>
        <v>1827730.75</v>
      </c>
      <c r="G13" s="12">
        <f t="shared" si="0"/>
        <v>501576.57000000007</v>
      </c>
      <c r="H13" s="12">
        <f t="shared" si="1"/>
        <v>1231188.75</v>
      </c>
      <c r="I13" s="3">
        <v>0.21</v>
      </c>
      <c r="J13" s="3">
        <v>0.05</v>
      </c>
      <c r="K13" s="9">
        <f t="shared" si="2"/>
        <v>92403.597825000019</v>
      </c>
      <c r="L13" s="9">
        <f t="shared" si="3"/>
        <v>61559.4375</v>
      </c>
      <c r="M13" s="15">
        <f t="shared" si="4"/>
        <v>19258750.017969999</v>
      </c>
      <c r="N13" s="9">
        <f>40400.24+512999.15</f>
        <v>553399.39</v>
      </c>
      <c r="Q13" s="12"/>
    </row>
    <row r="14" spans="1:17" x14ac:dyDescent="0.2">
      <c r="A14" s="29">
        <v>44013</v>
      </c>
      <c r="C14" s="12">
        <v>201249101</v>
      </c>
      <c r="D14" s="13">
        <v>601652</v>
      </c>
      <c r="E14" s="14">
        <f>1102498.57+730</f>
        <v>1103228.57</v>
      </c>
      <c r="F14" s="14">
        <f>1832110.75+730</f>
        <v>1832840.75</v>
      </c>
      <c r="G14" s="12">
        <f>E14-D14</f>
        <v>501576.57000000007</v>
      </c>
      <c r="H14" s="12">
        <f>F14-D14</f>
        <v>1231188.75</v>
      </c>
      <c r="I14" s="3">
        <v>0.21</v>
      </c>
      <c r="J14" s="3">
        <v>0.05</v>
      </c>
      <c r="K14" s="9">
        <f t="shared" si="2"/>
        <v>92403.597825000019</v>
      </c>
      <c r="L14" s="9">
        <f t="shared" si="3"/>
        <v>61559.4375</v>
      </c>
      <c r="M14" s="15">
        <f t="shared" si="4"/>
        <v>19412713.053294998</v>
      </c>
      <c r="N14" s="9">
        <f>40400.24+509167.89</f>
        <v>549568.13</v>
      </c>
      <c r="P14" s="12"/>
      <c r="Q14" s="9"/>
    </row>
    <row r="15" spans="1:17" x14ac:dyDescent="0.2">
      <c r="A15" s="29">
        <v>44044</v>
      </c>
      <c r="C15" s="12">
        <v>201249101</v>
      </c>
      <c r="D15" s="13">
        <v>601652</v>
      </c>
      <c r="E15" s="14">
        <f>1102498.57+730</f>
        <v>1103228.57</v>
      </c>
      <c r="F15" s="14">
        <f>1832110.75+730</f>
        <v>1832840.75</v>
      </c>
      <c r="G15" s="12">
        <f t="shared" si="0"/>
        <v>501576.57000000007</v>
      </c>
      <c r="H15" s="12">
        <f t="shared" si="1"/>
        <v>1231188.75</v>
      </c>
      <c r="I15" s="3">
        <v>0.21</v>
      </c>
      <c r="J15" s="3">
        <v>0.05</v>
      </c>
      <c r="K15" s="9">
        <f t="shared" si="2"/>
        <v>92403.597825000019</v>
      </c>
      <c r="L15" s="9">
        <f t="shared" si="3"/>
        <v>61559.4375</v>
      </c>
      <c r="M15" s="15">
        <f t="shared" si="4"/>
        <v>19566676.088619996</v>
      </c>
      <c r="N15" s="9">
        <f>40400.24+505336.64</f>
        <v>545736.88</v>
      </c>
      <c r="Q15" s="9"/>
    </row>
    <row r="16" spans="1:17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6" t="s">
        <v>50</v>
      </c>
    </row>
    <row r="20" spans="1:16" x14ac:dyDescent="0.2">
      <c r="C20" s="36" t="s">
        <v>28</v>
      </c>
    </row>
    <row r="21" spans="1:16" x14ac:dyDescent="0.2">
      <c r="C21" s="36" t="s">
        <v>48</v>
      </c>
    </row>
    <row r="22" spans="1:16" x14ac:dyDescent="0.2">
      <c r="C22" s="9" t="s">
        <v>29</v>
      </c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4378287</v>
      </c>
      <c r="D25" s="32">
        <v>601652</v>
      </c>
      <c r="E25" s="32">
        <v>37667.5</v>
      </c>
      <c r="F25" s="32">
        <f>E25-D25</f>
        <v>-563984.5</v>
      </c>
      <c r="G25" s="3">
        <v>0.21</v>
      </c>
      <c r="H25" s="32">
        <f>F25*G25</f>
        <v>-118436.745</v>
      </c>
    </row>
    <row r="26" spans="1:16" x14ac:dyDescent="0.2">
      <c r="C26" s="32">
        <v>1178248</v>
      </c>
      <c r="D26" s="32"/>
      <c r="E26" s="32">
        <v>10480.42</v>
      </c>
      <c r="F26" s="32">
        <f t="shared" ref="F26:F29" si="5">E26-D26</f>
        <v>10480.42</v>
      </c>
      <c r="G26" s="3">
        <v>0.21</v>
      </c>
      <c r="H26" s="32">
        <f t="shared" ref="H26:H29" si="6">F26*G26</f>
        <v>2200.8881999999999</v>
      </c>
    </row>
    <row r="27" spans="1:16" x14ac:dyDescent="0.2">
      <c r="C27" s="32">
        <v>527243</v>
      </c>
      <c r="D27" s="32"/>
      <c r="E27" s="32">
        <v>4856.4799999999996</v>
      </c>
      <c r="F27" s="32">
        <f t="shared" si="5"/>
        <v>4856.4799999999996</v>
      </c>
      <c r="G27" s="3">
        <v>0.21</v>
      </c>
      <c r="H27" s="32">
        <f t="shared" si="6"/>
        <v>1019.8607999999999</v>
      </c>
    </row>
    <row r="28" spans="1:16" x14ac:dyDescent="0.2">
      <c r="C28" s="32">
        <v>110974612</v>
      </c>
      <c r="D28" s="32"/>
      <c r="E28" s="32">
        <v>1022196.4</v>
      </c>
      <c r="F28" s="32">
        <f t="shared" si="5"/>
        <v>1022196.4</v>
      </c>
      <c r="G28" s="3">
        <v>0.21</v>
      </c>
      <c r="H28" s="32">
        <f t="shared" si="6"/>
        <v>214661.24400000001</v>
      </c>
    </row>
    <row r="29" spans="1:16" ht="15" x14ac:dyDescent="0.35">
      <c r="C29" s="32">
        <f>1019117.12+679411.41+1698528.54</f>
        <v>3397057.0700000003</v>
      </c>
      <c r="D29" s="32"/>
      <c r="E29" s="27">
        <f>8493+2123+5308+12104</f>
        <v>28028</v>
      </c>
      <c r="F29" s="27">
        <f t="shared" si="5"/>
        <v>28028</v>
      </c>
      <c r="G29" s="3">
        <v>0.21</v>
      </c>
      <c r="H29" s="27">
        <f t="shared" si="6"/>
        <v>5885.88</v>
      </c>
    </row>
    <row r="30" spans="1:16" x14ac:dyDescent="0.2">
      <c r="E30" s="9">
        <f>SUM(E25:E29)</f>
        <v>1103228.8</v>
      </c>
      <c r="F30" s="9">
        <f>SUM(F25:F29)</f>
        <v>501576.80000000005</v>
      </c>
      <c r="G30" s="28" t="s">
        <v>42</v>
      </c>
      <c r="H30" s="9">
        <f>SUM(H25:H29)</f>
        <v>105331.12800000001</v>
      </c>
    </row>
    <row r="31" spans="1:16" ht="15" x14ac:dyDescent="0.35">
      <c r="G31" s="28" t="s">
        <v>40</v>
      </c>
      <c r="H31" s="27">
        <f>-H40*0.21</f>
        <v>-12927.484184999998</v>
      </c>
    </row>
    <row r="32" spans="1:16" x14ac:dyDescent="0.2">
      <c r="H32" s="9">
        <f>H30+H31</f>
        <v>92403.643815000018</v>
      </c>
    </row>
    <row r="33" spans="3:8" x14ac:dyDescent="0.2">
      <c r="H33" s="9">
        <f>H32-K15</f>
        <v>4.5989999998710118E-2</v>
      </c>
    </row>
    <row r="34" spans="3:8" x14ac:dyDescent="0.2">
      <c r="C34" s="9" t="s">
        <v>36</v>
      </c>
      <c r="D34" s="24" t="s">
        <v>31</v>
      </c>
      <c r="E34" s="25" t="s">
        <v>37</v>
      </c>
      <c r="F34" s="9" t="s">
        <v>38</v>
      </c>
      <c r="G34" s="3" t="s">
        <v>24</v>
      </c>
      <c r="H34" s="9" t="s">
        <v>39</v>
      </c>
    </row>
    <row r="35" spans="3:8" x14ac:dyDescent="0.2">
      <c r="C35" s="32">
        <v>8756574</v>
      </c>
      <c r="D35" s="9">
        <f>D25</f>
        <v>601652</v>
      </c>
      <c r="E35" s="9">
        <v>75335</v>
      </c>
      <c r="F35" s="9">
        <f>E35-D35</f>
        <v>-526317</v>
      </c>
      <c r="G35" s="3">
        <v>0.05</v>
      </c>
      <c r="H35" s="9">
        <f>F35*G35</f>
        <v>-26315.850000000002</v>
      </c>
    </row>
    <row r="36" spans="3:8" x14ac:dyDescent="0.2">
      <c r="C36" s="32">
        <v>2356496</v>
      </c>
      <c r="E36" s="9">
        <v>20960.830000000002</v>
      </c>
      <c r="F36" s="9">
        <f t="shared" ref="F36:F39" si="7">E36-D36</f>
        <v>20960.830000000002</v>
      </c>
      <c r="G36" s="3">
        <v>0.05</v>
      </c>
      <c r="H36" s="9">
        <f t="shared" ref="H36:H39" si="8">F36*G36</f>
        <v>1048.0415</v>
      </c>
    </row>
    <row r="37" spans="3:8" x14ac:dyDescent="0.2">
      <c r="C37" s="32">
        <v>527243</v>
      </c>
      <c r="E37" s="9">
        <v>4856.4799999999996</v>
      </c>
      <c r="F37" s="9">
        <f t="shared" si="7"/>
        <v>4856.4799999999996</v>
      </c>
      <c r="G37" s="3">
        <v>0.05</v>
      </c>
      <c r="H37" s="9">
        <f t="shared" si="8"/>
        <v>242.82399999999998</v>
      </c>
    </row>
    <row r="38" spans="3:8" x14ac:dyDescent="0.2">
      <c r="C38" s="32">
        <v>184957686</v>
      </c>
      <c r="E38" s="32">
        <v>1703660.66</v>
      </c>
      <c r="F38" s="32">
        <f t="shared" si="7"/>
        <v>1703660.66</v>
      </c>
      <c r="G38" s="3">
        <v>0.05</v>
      </c>
      <c r="H38" s="32">
        <f t="shared" si="8"/>
        <v>85183.032999999996</v>
      </c>
    </row>
    <row r="39" spans="3:8" ht="15" x14ac:dyDescent="0.35">
      <c r="C39" s="32">
        <f>C29</f>
        <v>3397057.0700000003</v>
      </c>
      <c r="E39" s="27">
        <f>E29</f>
        <v>28028</v>
      </c>
      <c r="F39" s="27">
        <f t="shared" si="7"/>
        <v>28028</v>
      </c>
      <c r="G39" s="33">
        <v>0.05</v>
      </c>
      <c r="H39" s="27">
        <f t="shared" si="8"/>
        <v>1401.4</v>
      </c>
    </row>
    <row r="40" spans="3:8" x14ac:dyDescent="0.2">
      <c r="E40" s="9">
        <f>SUM(E35:E39)</f>
        <v>1832840.97</v>
      </c>
      <c r="F40" s="9">
        <f>SUM(F35:F39)</f>
        <v>1231188.97</v>
      </c>
      <c r="H40" s="9">
        <f>SUM(H35:H39)</f>
        <v>61559.448499999991</v>
      </c>
    </row>
    <row r="41" spans="3:8" x14ac:dyDescent="0.2">
      <c r="H41" s="9">
        <f>H40-L15</f>
        <v>1.0999999991327059E-2</v>
      </c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7 of 8
Clements</oddHeader>
    <oddFooter>&amp;L_x000D_&amp;1#&amp;"Calibri"&amp;14&amp;K000000 Business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14</v>
      </c>
      <c r="N4" s="4"/>
      <c r="O4" s="4"/>
      <c r="P4" s="4"/>
    </row>
    <row r="5" spans="1:20" x14ac:dyDescent="0.2">
      <c r="A5" s="6" t="s">
        <v>16</v>
      </c>
    </row>
    <row r="6" spans="1:20" x14ac:dyDescent="0.2">
      <c r="A6" s="22" t="s">
        <v>18</v>
      </c>
    </row>
    <row r="8" spans="1:20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5</v>
      </c>
      <c r="N8" s="2" t="s">
        <v>4</v>
      </c>
    </row>
    <row r="9" spans="1:20" x14ac:dyDescent="0.2">
      <c r="A9" s="8" t="s">
        <v>8</v>
      </c>
      <c r="M9" s="10">
        <v>3688695</v>
      </c>
    </row>
    <row r="10" spans="1:20" x14ac:dyDescent="0.2">
      <c r="A10" s="29">
        <v>43899</v>
      </c>
      <c r="C10" s="12">
        <v>44037947</v>
      </c>
      <c r="D10" s="13">
        <v>87709</v>
      </c>
      <c r="E10" s="35">
        <f>167829.02+3</f>
        <v>167832.02</v>
      </c>
      <c r="F10" s="35">
        <v>264595.67</v>
      </c>
      <c r="G10" s="14">
        <f t="shared" ref="G10:G13" si="0">E10-D10</f>
        <v>80123.01999999999</v>
      </c>
      <c r="H10" s="14">
        <f t="shared" ref="H10:H13" si="1">F10-D10</f>
        <v>176886.66999999998</v>
      </c>
      <c r="I10" s="3">
        <v>0.21</v>
      </c>
      <c r="J10" s="3">
        <v>0.05</v>
      </c>
      <c r="K10" s="9">
        <f t="shared" ref="K10:K13" si="2">G10*I10-L10*I10</f>
        <v>14968.524164999997</v>
      </c>
      <c r="L10" s="9">
        <f t="shared" ref="L10:L13" si="3">H10*J10</f>
        <v>8844.3334999999988</v>
      </c>
      <c r="M10" s="15">
        <f t="shared" ref="M10:M15" si="4">M9+K10+L10</f>
        <v>3712507.857665</v>
      </c>
      <c r="N10" s="9">
        <v>0</v>
      </c>
      <c r="O10" s="30"/>
    </row>
    <row r="11" spans="1:20" x14ac:dyDescent="0.2">
      <c r="A11" s="29">
        <v>43922</v>
      </c>
      <c r="C11" s="12">
        <v>44037947</v>
      </c>
      <c r="D11" s="13">
        <v>87709</v>
      </c>
      <c r="E11" s="35">
        <f>167829.02</f>
        <v>167829.02</v>
      </c>
      <c r="F11" s="35">
        <v>264595.67</v>
      </c>
      <c r="G11" s="14">
        <f t="shared" si="0"/>
        <v>80120.01999999999</v>
      </c>
      <c r="H11" s="14">
        <f t="shared" si="1"/>
        <v>176886.66999999998</v>
      </c>
      <c r="I11" s="3">
        <v>0.21</v>
      </c>
      <c r="J11" s="3">
        <v>0.05</v>
      </c>
      <c r="K11" s="9">
        <f t="shared" si="2"/>
        <v>14967.894164999996</v>
      </c>
      <c r="L11" s="9">
        <f t="shared" si="3"/>
        <v>8844.3334999999988</v>
      </c>
      <c r="M11" s="15">
        <f t="shared" si="4"/>
        <v>3736320.0853300001</v>
      </c>
      <c r="N11" s="9">
        <v>0</v>
      </c>
      <c r="O11" s="30"/>
      <c r="Q11" s="9">
        <f>358619-M12</f>
        <v>-3401513.3129950003</v>
      </c>
      <c r="R11" s="17" t="s">
        <v>14</v>
      </c>
    </row>
    <row r="12" spans="1:20" x14ac:dyDescent="0.2">
      <c r="A12" s="29">
        <v>43952</v>
      </c>
      <c r="C12" s="12">
        <v>44037947</v>
      </c>
      <c r="D12" s="13">
        <v>87709</v>
      </c>
      <c r="E12" s="35">
        <f>167829.02</f>
        <v>167829.02</v>
      </c>
      <c r="F12" s="35">
        <v>264595.67</v>
      </c>
      <c r="G12" s="14">
        <f t="shared" si="0"/>
        <v>80120.01999999999</v>
      </c>
      <c r="H12" s="14">
        <f t="shared" si="1"/>
        <v>176886.66999999998</v>
      </c>
      <c r="I12" s="3">
        <v>0.21</v>
      </c>
      <c r="J12" s="3">
        <v>0.05</v>
      </c>
      <c r="K12" s="9">
        <f t="shared" si="2"/>
        <v>14967.894164999996</v>
      </c>
      <c r="L12" s="9">
        <f t="shared" si="3"/>
        <v>8844.3334999999988</v>
      </c>
      <c r="M12" s="15">
        <f t="shared" si="4"/>
        <v>3760132.3129950003</v>
      </c>
      <c r="N12" s="9">
        <v>0</v>
      </c>
      <c r="Q12">
        <f>+Q11/0.389</f>
        <v>-8744250.1619408745</v>
      </c>
      <c r="R12" s="9"/>
    </row>
    <row r="13" spans="1:20" x14ac:dyDescent="0.2">
      <c r="A13" s="29">
        <v>43983</v>
      </c>
      <c r="C13" s="12">
        <v>44037947</v>
      </c>
      <c r="D13" s="13">
        <v>87709</v>
      </c>
      <c r="E13" s="35">
        <f>167829.02-2</f>
        <v>167827.02</v>
      </c>
      <c r="F13" s="35">
        <v>264595.67</v>
      </c>
      <c r="G13" s="14">
        <f t="shared" si="0"/>
        <v>80118.01999999999</v>
      </c>
      <c r="H13" s="14">
        <f t="shared" si="1"/>
        <v>176886.66999999998</v>
      </c>
      <c r="I13" s="3">
        <v>0.21</v>
      </c>
      <c r="J13" s="3">
        <v>0.05</v>
      </c>
      <c r="K13" s="9">
        <f t="shared" si="2"/>
        <v>14967.474164999998</v>
      </c>
      <c r="L13" s="9">
        <f t="shared" si="3"/>
        <v>8844.3334999999988</v>
      </c>
      <c r="M13" s="15">
        <f t="shared" si="4"/>
        <v>3783944.1206600005</v>
      </c>
      <c r="N13" s="9">
        <v>0</v>
      </c>
      <c r="Q13" s="9">
        <f>374733-M14</f>
        <v>-3433023.7683250005</v>
      </c>
    </row>
    <row r="14" spans="1:20" x14ac:dyDescent="0.2">
      <c r="A14" s="29">
        <v>44013</v>
      </c>
      <c r="C14" s="12">
        <v>44037947</v>
      </c>
      <c r="D14" s="13">
        <v>87709</v>
      </c>
      <c r="E14" s="35">
        <f>167829.02+2</f>
        <v>167831.02</v>
      </c>
      <c r="F14" s="35">
        <v>264595.67</v>
      </c>
      <c r="G14" s="14">
        <f>E14-D14</f>
        <v>80122.01999999999</v>
      </c>
      <c r="H14" s="14">
        <f>F14-D14</f>
        <v>176886.66999999998</v>
      </c>
      <c r="I14" s="3">
        <v>0.21</v>
      </c>
      <c r="J14" s="3">
        <v>0.05</v>
      </c>
      <c r="K14" s="9">
        <f>G14*I14-L14*I14</f>
        <v>14968.314164999998</v>
      </c>
      <c r="L14" s="9">
        <f>H14*J14</f>
        <v>8844.3334999999988</v>
      </c>
      <c r="M14" s="15">
        <f t="shared" si="4"/>
        <v>3807756.7683250005</v>
      </c>
      <c r="N14" s="9">
        <v>0</v>
      </c>
      <c r="Q14">
        <f>+Q13/0.389</f>
        <v>-8825253.9031491019</v>
      </c>
      <c r="R14" s="9"/>
      <c r="S14" s="9"/>
      <c r="T14" s="9"/>
    </row>
    <row r="15" spans="1:20" x14ac:dyDescent="0.2">
      <c r="A15" s="29">
        <v>44044</v>
      </c>
      <c r="C15" s="12">
        <v>44037947</v>
      </c>
      <c r="D15" s="13">
        <v>87709</v>
      </c>
      <c r="E15" s="35">
        <f>167829.02+2</f>
        <v>167831.02</v>
      </c>
      <c r="F15" s="35">
        <v>264595.67</v>
      </c>
      <c r="G15" s="14">
        <f>E15-D15</f>
        <v>80122.01999999999</v>
      </c>
      <c r="H15" s="14">
        <f>F15-D15</f>
        <v>176886.66999999998</v>
      </c>
      <c r="I15" s="3">
        <v>0.21</v>
      </c>
      <c r="J15" s="3">
        <v>0.05</v>
      </c>
      <c r="K15" s="9">
        <f>G15*I15-L15*I15</f>
        <v>14968.314164999998</v>
      </c>
      <c r="L15" s="9">
        <f>H15*J15</f>
        <v>8844.3334999999988</v>
      </c>
      <c r="M15" s="15">
        <f t="shared" si="4"/>
        <v>3831569.4159900006</v>
      </c>
      <c r="N15" s="9">
        <v>0</v>
      </c>
      <c r="Q15" s="9">
        <f>+M15-386700</f>
        <v>3444869.4159900006</v>
      </c>
      <c r="R15" s="19"/>
      <c r="T15" s="9"/>
    </row>
    <row r="16" spans="1:20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8855705.4395629838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36" t="s">
        <v>45</v>
      </c>
      <c r="D19" s="24"/>
      <c r="E19" s="24"/>
      <c r="F19" s="24"/>
      <c r="G19" s="25"/>
      <c r="H19" s="25"/>
    </row>
    <row r="20" spans="1:16" x14ac:dyDescent="0.2">
      <c r="C20" s="36" t="s">
        <v>28</v>
      </c>
      <c r="D20" s="24"/>
      <c r="E20" s="24"/>
      <c r="F20" s="24"/>
      <c r="G20" s="25"/>
      <c r="H20" s="25"/>
    </row>
    <row r="21" spans="1:16" x14ac:dyDescent="0.2">
      <c r="C21" s="36" t="s">
        <v>48</v>
      </c>
      <c r="D21" s="24"/>
      <c r="E21" s="24"/>
      <c r="F21" s="24"/>
      <c r="G21" s="25"/>
      <c r="H21" s="25"/>
    </row>
    <row r="22" spans="1:16" x14ac:dyDescent="0.2">
      <c r="C22" s="9" t="s">
        <v>29</v>
      </c>
      <c r="D22" s="24"/>
      <c r="E22" s="24"/>
      <c r="F22" s="24"/>
      <c r="G22" s="25"/>
      <c r="H22" s="25"/>
    </row>
    <row r="23" spans="1:16" x14ac:dyDescent="0.2">
      <c r="C23" s="37"/>
      <c r="D23" s="24"/>
      <c r="E23" s="24"/>
      <c r="F23" s="24"/>
      <c r="G23" s="24"/>
      <c r="H23" s="24"/>
    </row>
    <row r="24" spans="1:16" x14ac:dyDescent="0.2">
      <c r="C24" s="9" t="s">
        <v>30</v>
      </c>
      <c r="D24" s="26" t="s">
        <v>31</v>
      </c>
      <c r="E24" s="25" t="s">
        <v>32</v>
      </c>
      <c r="F24" s="9" t="s">
        <v>33</v>
      </c>
      <c r="G24" s="3" t="s">
        <v>23</v>
      </c>
      <c r="H24" s="9" t="s">
        <v>34</v>
      </c>
    </row>
    <row r="25" spans="1:16" x14ac:dyDescent="0.2">
      <c r="C25" s="32">
        <v>189606.505</v>
      </c>
      <c r="D25" s="32">
        <v>87709</v>
      </c>
      <c r="E25" s="32">
        <v>976</v>
      </c>
      <c r="F25" s="32">
        <f>E25-D25</f>
        <v>-86733</v>
      </c>
      <c r="G25" s="3">
        <v>0.21</v>
      </c>
      <c r="H25" s="32">
        <f>F25*G25</f>
        <v>-18213.93</v>
      </c>
    </row>
    <row r="26" spans="1:16" ht="15" x14ac:dyDescent="0.35">
      <c r="C26" s="32">
        <v>27735645</v>
      </c>
      <c r="D26" s="32"/>
      <c r="E26" s="27">
        <f>166853.02+1.5</f>
        <v>166854.51999999999</v>
      </c>
      <c r="F26" s="27">
        <f>E26-D26</f>
        <v>166854.51999999999</v>
      </c>
      <c r="G26" s="3">
        <v>0.21</v>
      </c>
      <c r="H26" s="27">
        <f>F26*G26</f>
        <v>35039.449199999995</v>
      </c>
    </row>
    <row r="27" spans="1:16" x14ac:dyDescent="0.2">
      <c r="C27" s="32"/>
      <c r="D27" s="32"/>
      <c r="E27" s="32">
        <f>SUM(E25:E26)</f>
        <v>167830.52</v>
      </c>
      <c r="F27" s="32">
        <f>SUM(F25:F26)</f>
        <v>80121.51999999999</v>
      </c>
      <c r="G27" s="33" t="s">
        <v>42</v>
      </c>
      <c r="H27" s="32">
        <f>SUM(H25:H26)</f>
        <v>16825.519199999995</v>
      </c>
    </row>
    <row r="28" spans="1:16" ht="15" x14ac:dyDescent="0.35">
      <c r="C28" s="32"/>
      <c r="D28" s="32"/>
      <c r="E28" s="32"/>
      <c r="F28" s="32"/>
      <c r="G28" s="28" t="s">
        <v>40</v>
      </c>
      <c r="H28" s="27">
        <f>-H34*0.21</f>
        <v>-1857.3100349999997</v>
      </c>
    </row>
    <row r="29" spans="1:16" x14ac:dyDescent="0.2">
      <c r="H29" s="32">
        <f>H27+H28</f>
        <v>14968.209164999995</v>
      </c>
    </row>
    <row r="30" spans="1:16" x14ac:dyDescent="0.2">
      <c r="H30" s="32">
        <f>H29-K15</f>
        <v>-0.10500000000320142</v>
      </c>
    </row>
    <row r="31" spans="1:16" x14ac:dyDescent="0.2">
      <c r="C31" s="9" t="s">
        <v>36</v>
      </c>
      <c r="D31" s="24" t="s">
        <v>31</v>
      </c>
      <c r="E31" s="25" t="s">
        <v>37</v>
      </c>
      <c r="F31" s="9" t="s">
        <v>38</v>
      </c>
      <c r="G31" s="3" t="s">
        <v>24</v>
      </c>
      <c r="H31" s="9" t="s">
        <v>39</v>
      </c>
    </row>
    <row r="32" spans="1:16" x14ac:dyDescent="0.2">
      <c r="C32" s="32">
        <v>379213.01</v>
      </c>
      <c r="D32" s="32">
        <f>D25</f>
        <v>87709</v>
      </c>
      <c r="E32" s="32">
        <v>1952</v>
      </c>
      <c r="F32" s="32">
        <f>E32-D32</f>
        <v>-85757</v>
      </c>
      <c r="G32" s="3">
        <v>0.05</v>
      </c>
      <c r="H32" s="32">
        <f>F32*G32</f>
        <v>-4287.8500000000004</v>
      </c>
    </row>
    <row r="33" spans="3:8" ht="15" x14ac:dyDescent="0.35">
      <c r="C33" s="32">
        <v>43658734</v>
      </c>
      <c r="D33" s="32"/>
      <c r="E33" s="27">
        <v>262643.67</v>
      </c>
      <c r="F33" s="27">
        <f>E33-D33</f>
        <v>262643.67</v>
      </c>
      <c r="G33" s="3">
        <v>0.05</v>
      </c>
      <c r="H33" s="27">
        <f>F33*G33</f>
        <v>13132.183499999999</v>
      </c>
    </row>
    <row r="34" spans="3:8" x14ac:dyDescent="0.2">
      <c r="C34" s="32"/>
      <c r="D34" s="32"/>
      <c r="E34" s="32">
        <f>SUM(E32:E33)</f>
        <v>264595.67</v>
      </c>
      <c r="F34" s="32">
        <f>SUM(F32:F33)</f>
        <v>176886.66999999998</v>
      </c>
      <c r="H34" s="32">
        <f>SUM(H32:H33)</f>
        <v>8844.3334999999988</v>
      </c>
    </row>
    <row r="35" spans="3:8" x14ac:dyDescent="0.2">
      <c r="C35" s="32"/>
      <c r="D35" s="32"/>
      <c r="E35" s="32"/>
      <c r="F35" s="32"/>
      <c r="G35" s="3"/>
      <c r="H35" s="32">
        <f>H34-L15</f>
        <v>0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8 of 8
Clements</oddHeader>
    <oddFooter>&amp;L_x000D_&amp;1#&amp;"Calibri"&amp;14&amp;K000000 Business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Props1.xml><?xml version="1.0" encoding="utf-8"?>
<ds:datastoreItem xmlns:ds="http://schemas.openxmlformats.org/officeDocument/2006/customXml" ds:itemID="{E12C75B1-3FA1-4612-A349-C9375870B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6FE553-1EE4-42A2-AF8C-20995516C2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1E6BF4-404A-4873-9964-A9E540AC8EB4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4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5bfb563-8fe2-4d34-a09f-38a217d8fee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Project 23</vt:lpstr>
      <vt:lpstr>Project 24</vt:lpstr>
      <vt:lpstr>Project 25</vt:lpstr>
      <vt:lpstr>Project 26</vt:lpstr>
      <vt:lpstr>Project 27</vt:lpstr>
      <vt:lpstr>Project 28</vt:lpstr>
      <vt:lpstr>Project 29</vt:lpstr>
      <vt:lpstr>Project 30</vt:lpstr>
      <vt:lpstr>'Project 23'!Print_Area</vt:lpstr>
      <vt:lpstr>'Project 24'!Print_Area</vt:lpstr>
      <vt:lpstr>'Project 25'!Print_Area</vt:lpstr>
      <vt:lpstr>'Project 26'!Print_Area</vt:lpstr>
      <vt:lpstr>'Project 27'!Print_Area</vt:lpstr>
      <vt:lpstr>'Project 28'!Print_Area</vt:lpstr>
      <vt:lpstr>'Project 29'!Print_Area</vt:lpstr>
      <vt:lpstr>'Project 30'!Print_Area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N093419</dc:creator>
  <cp:lastModifiedBy>Fackler, Andrea</cp:lastModifiedBy>
  <cp:lastPrinted>2017-07-07T18:49:23Z</cp:lastPrinted>
  <dcterms:created xsi:type="dcterms:W3CDTF">2006-06-09T14:23:56Z</dcterms:created>
  <dcterms:modified xsi:type="dcterms:W3CDTF">2024-02-14T20:41:36Z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2024-01-22T22:13:25Z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21cc6fda-6685-4ba9-88e3-53e860e16efe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2024-02-14T20:41:35Z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b228b7f5-d6f2-4736-928c-42f7006e8b47</vt:lpwstr>
  </property>
  <property fmtid="{D5CDD505-2E9C-101B-9397-08002B2CF9AE}" pid="16" name="MSIP_Label_d662fcd2-3ff9-4261-9b26-9dd5808d0bb4_ContentBits">
    <vt:lpwstr>0</vt:lpwstr>
  </property>
</Properties>
</file>