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LGE\0 - efiled 02-14-2024\"/>
    </mc:Choice>
  </mc:AlternateContent>
  <xr:revisionPtr revIDLastSave="0" documentId="13_ncr:1_{EE8619FC-7184-4372-A6C7-36B68C41400F}" xr6:coauthVersionLast="47" xr6:coauthVersionMax="47" xr10:uidLastSave="{00000000-0000-0000-0000-000000000000}"/>
  <bookViews>
    <workbookView xWindow="-120" yWindow="-120" windowWidth="29040" windowHeight="17025" tabRatio="909" xr2:uid="{00000000-000D-0000-FFFF-FFFF00000000}"/>
  </bookViews>
  <sheets>
    <sheet name="Project 23" sheetId="23" r:id="rId1"/>
    <sheet name="Project 24" sheetId="26" r:id="rId2"/>
    <sheet name="Project 25" sheetId="25" r:id="rId3"/>
    <sheet name="Project 26" sheetId="24" r:id="rId4"/>
    <sheet name="Project 27" sheetId="27" r:id="rId5"/>
    <sheet name="Project 28" sheetId="28" r:id="rId6"/>
    <sheet name="Project 29" sheetId="30" r:id="rId7"/>
    <sheet name="Project 30" sheetId="29" r:id="rId8"/>
  </sheets>
  <definedNames>
    <definedName name="_xlnm.Print_Area" localSheetId="0">'Project 23'!$A$1:$N$15</definedName>
    <definedName name="_xlnm.Print_Area" localSheetId="1">'Project 24'!$A$1:$N$43</definedName>
    <definedName name="_xlnm.Print_Area" localSheetId="2">'Project 25'!$A$1:$N$39</definedName>
    <definedName name="_xlnm.Print_Area" localSheetId="3">'Project 26'!$A$1:$N$93</definedName>
    <definedName name="_xlnm.Print_Area" localSheetId="4">'Project 27'!$A$1:$N$45</definedName>
    <definedName name="_xlnm.Print_Area" localSheetId="5">'Project 28'!$A$1:$N$60</definedName>
    <definedName name="_xlnm.Print_Area" localSheetId="6">'Project 29'!$A$1:$N$39</definedName>
    <definedName name="_xlnm.Print_Area" localSheetId="7">'Project 30'!$A$1:$N$35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30" l="1"/>
  <c r="N14" i="30"/>
  <c r="N13" i="30"/>
  <c r="N12" i="30"/>
  <c r="N11" i="30"/>
  <c r="N10" i="30"/>
  <c r="E38" i="28" l="1"/>
  <c r="F44" i="27"/>
  <c r="F32" i="27"/>
  <c r="E28" i="25"/>
  <c r="F34" i="29" l="1"/>
  <c r="E34" i="29"/>
  <c r="F33" i="29"/>
  <c r="H33" i="29"/>
  <c r="E27" i="29"/>
  <c r="F26" i="29"/>
  <c r="H26" i="29" s="1"/>
  <c r="E38" i="30"/>
  <c r="F35" i="30"/>
  <c r="H35" i="30" s="1"/>
  <c r="F36" i="30"/>
  <c r="H36" i="30" s="1"/>
  <c r="F37" i="30"/>
  <c r="H37" i="30" s="1"/>
  <c r="F34" i="30"/>
  <c r="H34" i="30" s="1"/>
  <c r="D34" i="30"/>
  <c r="E29" i="30"/>
  <c r="H25" i="30"/>
  <c r="F26" i="30"/>
  <c r="H26" i="30" s="1"/>
  <c r="F27" i="30"/>
  <c r="H27" i="30" s="1"/>
  <c r="F28" i="30"/>
  <c r="H28" i="30" s="1"/>
  <c r="F25" i="30"/>
  <c r="H58" i="28"/>
  <c r="H56" i="28"/>
  <c r="H57" i="28"/>
  <c r="H55" i="28"/>
  <c r="H39" i="28"/>
  <c r="H37" i="28"/>
  <c r="H40" i="28"/>
  <c r="E59" i="28"/>
  <c r="F58" i="28"/>
  <c r="F59" i="28"/>
  <c r="F57" i="28"/>
  <c r="F56" i="28"/>
  <c r="E41" i="28"/>
  <c r="F40" i="28"/>
  <c r="F41" i="28" s="1"/>
  <c r="F39" i="28"/>
  <c r="F38" i="28"/>
  <c r="H38" i="28" s="1"/>
  <c r="H41" i="28" s="1"/>
  <c r="E44" i="27"/>
  <c r="E32" i="27"/>
  <c r="H31" i="27"/>
  <c r="F31" i="27"/>
  <c r="F43" i="27"/>
  <c r="H43" i="27" s="1"/>
  <c r="H93" i="24"/>
  <c r="H89" i="24"/>
  <c r="H90" i="24"/>
  <c r="H91" i="24"/>
  <c r="F91" i="24"/>
  <c r="F90" i="24"/>
  <c r="F89" i="24"/>
  <c r="E57" i="24"/>
  <c r="E92" i="24"/>
  <c r="F54" i="24"/>
  <c r="H54" i="24" s="1"/>
  <c r="F55" i="24"/>
  <c r="H55" i="24" s="1"/>
  <c r="F56" i="24"/>
  <c r="H56" i="24" s="1"/>
  <c r="E38" i="25"/>
  <c r="F38" i="25"/>
  <c r="H30" i="25"/>
  <c r="H39" i="25"/>
  <c r="H38" i="25"/>
  <c r="F35" i="25"/>
  <c r="F36" i="25"/>
  <c r="F37" i="25"/>
  <c r="E29" i="25"/>
  <c r="F26" i="25"/>
  <c r="F27" i="25"/>
  <c r="F28" i="25"/>
  <c r="H28" i="25" s="1"/>
  <c r="H26" i="25"/>
  <c r="H27" i="25"/>
  <c r="H35" i="25"/>
  <c r="H36" i="25"/>
  <c r="H37" i="25"/>
  <c r="E30" i="26"/>
  <c r="H32" i="26"/>
  <c r="H43" i="26"/>
  <c r="H37" i="26"/>
  <c r="H42" i="26" s="1"/>
  <c r="H38" i="26"/>
  <c r="H39" i="26"/>
  <c r="H40" i="26"/>
  <c r="H41" i="26"/>
  <c r="F42" i="26"/>
  <c r="E42" i="26"/>
  <c r="F37" i="26"/>
  <c r="F38" i="26"/>
  <c r="F39" i="26"/>
  <c r="F40" i="26"/>
  <c r="F41" i="26"/>
  <c r="F31" i="26"/>
  <c r="F26" i="26"/>
  <c r="H26" i="26" s="1"/>
  <c r="F27" i="26"/>
  <c r="F28" i="26"/>
  <c r="H28" i="26" s="1"/>
  <c r="F29" i="26"/>
  <c r="F30" i="26"/>
  <c r="H30" i="26" s="1"/>
  <c r="E31" i="26"/>
  <c r="H27" i="26"/>
  <c r="H29" i="26"/>
  <c r="F29" i="25" l="1"/>
  <c r="H38" i="30"/>
  <c r="H30" i="30" s="1"/>
  <c r="F38" i="30"/>
  <c r="H29" i="30"/>
  <c r="F29" i="30"/>
  <c r="H59" i="28"/>
  <c r="H60" i="28" s="1"/>
  <c r="E15" i="29"/>
  <c r="E15" i="30"/>
  <c r="E15" i="28"/>
  <c r="E15" i="27"/>
  <c r="E15" i="24"/>
  <c r="E15" i="25"/>
  <c r="E15" i="23"/>
  <c r="H39" i="30" l="1"/>
  <c r="H31" i="30"/>
  <c r="H32" i="30" s="1"/>
  <c r="E14" i="29"/>
  <c r="E14" i="30"/>
  <c r="E14" i="28"/>
  <c r="E14" i="27"/>
  <c r="E14" i="24"/>
  <c r="E14" i="25"/>
  <c r="E14" i="26"/>
  <c r="E14" i="23"/>
  <c r="E13" i="29" l="1"/>
  <c r="E13" i="30"/>
  <c r="F13" i="30"/>
  <c r="F13" i="28"/>
  <c r="E13" i="28"/>
  <c r="E13" i="27"/>
  <c r="F13" i="27"/>
  <c r="E13" i="24"/>
  <c r="F13" i="24"/>
  <c r="F13" i="25"/>
  <c r="E13" i="25"/>
  <c r="E13" i="26"/>
  <c r="F13" i="23"/>
  <c r="E13" i="23"/>
  <c r="E12" i="29" l="1"/>
  <c r="E12" i="30"/>
  <c r="F12" i="28"/>
  <c r="E12" i="28"/>
  <c r="F12" i="27"/>
  <c r="E12" i="27"/>
  <c r="F12" i="24"/>
  <c r="E12" i="24"/>
  <c r="E12" i="25"/>
  <c r="F12" i="25"/>
  <c r="F12" i="26"/>
  <c r="E12" i="26"/>
  <c r="E12" i="23"/>
  <c r="F12" i="23"/>
  <c r="E11" i="29" l="1"/>
  <c r="E11" i="30"/>
  <c r="F11" i="28"/>
  <c r="E11" i="28"/>
  <c r="E11" i="27"/>
  <c r="F11" i="27"/>
  <c r="E11" i="24"/>
  <c r="F11" i="24"/>
  <c r="F11" i="25"/>
  <c r="E11" i="25"/>
  <c r="F11" i="26"/>
  <c r="E11" i="26"/>
  <c r="F11" i="23"/>
  <c r="E11" i="23"/>
  <c r="E10" i="29" l="1"/>
  <c r="F10" i="29"/>
  <c r="E10" i="30"/>
  <c r="F10" i="30"/>
  <c r="F10" i="28"/>
  <c r="E10" i="28"/>
  <c r="E10" i="27"/>
  <c r="F10" i="27"/>
  <c r="E10" i="24"/>
  <c r="F10" i="24"/>
  <c r="E10" i="25"/>
  <c r="F10" i="25"/>
  <c r="E10" i="26"/>
  <c r="F10" i="26"/>
  <c r="E10" i="23"/>
  <c r="F10" i="23"/>
  <c r="D32" i="29" l="1"/>
  <c r="F32" i="29" s="1"/>
  <c r="H32" i="29" s="1"/>
  <c r="H34" i="29" s="1"/>
  <c r="F25" i="29"/>
  <c r="F55" i="28"/>
  <c r="F54" i="28"/>
  <c r="H54" i="28" s="1"/>
  <c r="F53" i="28"/>
  <c r="H53" i="28" s="1"/>
  <c r="F52" i="28"/>
  <c r="H52" i="28" s="1"/>
  <c r="F51" i="28"/>
  <c r="H51" i="28" s="1"/>
  <c r="F50" i="28"/>
  <c r="H50" i="28" s="1"/>
  <c r="F49" i="28"/>
  <c r="H49" i="28" s="1"/>
  <c r="F48" i="28"/>
  <c r="H48" i="28" s="1"/>
  <c r="E47" i="28"/>
  <c r="D46" i="28"/>
  <c r="F46" i="28" s="1"/>
  <c r="F37" i="28"/>
  <c r="F36" i="28"/>
  <c r="H36" i="28" s="1"/>
  <c r="F35" i="28"/>
  <c r="H35" i="28" s="1"/>
  <c r="F34" i="28"/>
  <c r="H34" i="28" s="1"/>
  <c r="F33" i="28"/>
  <c r="H33" i="28" s="1"/>
  <c r="F32" i="28"/>
  <c r="H32" i="28" s="1"/>
  <c r="F31" i="28"/>
  <c r="H31" i="28" s="1"/>
  <c r="F30" i="28"/>
  <c r="H30" i="28" s="1"/>
  <c r="F29" i="28"/>
  <c r="H29" i="28" s="1"/>
  <c r="F28" i="28"/>
  <c r="H28" i="28" s="1"/>
  <c r="F27" i="28"/>
  <c r="F42" i="27"/>
  <c r="H42" i="27" s="1"/>
  <c r="F41" i="27"/>
  <c r="H41" i="27" s="1"/>
  <c r="F40" i="27"/>
  <c r="H40" i="27" s="1"/>
  <c r="F39" i="27"/>
  <c r="H39" i="27" s="1"/>
  <c r="F38" i="27"/>
  <c r="H38" i="27" s="1"/>
  <c r="D37" i="27"/>
  <c r="F37" i="27" s="1"/>
  <c r="F30" i="27"/>
  <c r="H30" i="27" s="1"/>
  <c r="F29" i="27"/>
  <c r="H29" i="27" s="1"/>
  <c r="F28" i="27"/>
  <c r="H28" i="27" s="1"/>
  <c r="F27" i="27"/>
  <c r="H27" i="27" s="1"/>
  <c r="F26" i="27"/>
  <c r="H26" i="27" s="1"/>
  <c r="F25" i="27"/>
  <c r="D34" i="25"/>
  <c r="F34" i="25" s="1"/>
  <c r="H34" i="25" s="1"/>
  <c r="F25" i="25"/>
  <c r="H25" i="25" s="1"/>
  <c r="H29" i="25" s="1"/>
  <c r="D36" i="26"/>
  <c r="F36" i="26" s="1"/>
  <c r="H36" i="26" s="1"/>
  <c r="F25" i="26"/>
  <c r="H25" i="26" s="1"/>
  <c r="H31" i="26" s="1"/>
  <c r="H35" i="29" l="1"/>
  <c r="H28" i="29"/>
  <c r="H25" i="29"/>
  <c r="H27" i="29" s="1"/>
  <c r="H29" i="29" s="1"/>
  <c r="H30" i="29" s="1"/>
  <c r="F27" i="29"/>
  <c r="H37" i="27"/>
  <c r="H44" i="27" s="1"/>
  <c r="H45" i="27" s="1"/>
  <c r="F47" i="28"/>
  <c r="H47" i="28" s="1"/>
  <c r="H46" i="28"/>
  <c r="H27" i="28"/>
  <c r="H25" i="27"/>
  <c r="H32" i="27" s="1"/>
  <c r="H31" i="25"/>
  <c r="H32" i="25" s="1"/>
  <c r="H33" i="26"/>
  <c r="H34" i="26" s="1"/>
  <c r="H33" i="27" l="1"/>
  <c r="H34" i="27" s="1"/>
  <c r="H35" i="27" s="1"/>
  <c r="H42" i="28" l="1"/>
  <c r="H43" i="28" s="1"/>
  <c r="H44" i="28" s="1"/>
  <c r="F88" i="24"/>
  <c r="H88" i="24" s="1"/>
  <c r="F87" i="24"/>
  <c r="H87" i="24" s="1"/>
  <c r="F86" i="24"/>
  <c r="H86" i="24" s="1"/>
  <c r="F85" i="24"/>
  <c r="H85" i="24" s="1"/>
  <c r="F84" i="24"/>
  <c r="H84" i="24" s="1"/>
  <c r="F83" i="24"/>
  <c r="H83" i="24" s="1"/>
  <c r="F82" i="24"/>
  <c r="H82" i="24" s="1"/>
  <c r="F81" i="24"/>
  <c r="H81" i="24" s="1"/>
  <c r="F80" i="24"/>
  <c r="H80" i="24" s="1"/>
  <c r="F79" i="24"/>
  <c r="H79" i="24" s="1"/>
  <c r="F78" i="24"/>
  <c r="H78" i="24" s="1"/>
  <c r="F77" i="24"/>
  <c r="H77" i="24" s="1"/>
  <c r="F76" i="24"/>
  <c r="H76" i="24" s="1"/>
  <c r="F75" i="24"/>
  <c r="H75" i="24" s="1"/>
  <c r="F74" i="24"/>
  <c r="H74" i="24" s="1"/>
  <c r="F73" i="24"/>
  <c r="H73" i="24" s="1"/>
  <c r="F72" i="24"/>
  <c r="H72" i="24" s="1"/>
  <c r="F71" i="24"/>
  <c r="H71" i="24" s="1"/>
  <c r="F70" i="24"/>
  <c r="H70" i="24" s="1"/>
  <c r="F69" i="24"/>
  <c r="H69" i="24" s="1"/>
  <c r="F68" i="24"/>
  <c r="H68" i="24" s="1"/>
  <c r="F67" i="24"/>
  <c r="H67" i="24" s="1"/>
  <c r="F66" i="24"/>
  <c r="H66" i="24" s="1"/>
  <c r="F65" i="24"/>
  <c r="H65" i="24" s="1"/>
  <c r="F64" i="24"/>
  <c r="H64" i="24" s="1"/>
  <c r="F63" i="24"/>
  <c r="D62" i="24"/>
  <c r="F62" i="24" s="1"/>
  <c r="H62" i="24" s="1"/>
  <c r="F53" i="24"/>
  <c r="H53" i="24" s="1"/>
  <c r="F52" i="24"/>
  <c r="H52" i="24" s="1"/>
  <c r="F51" i="24"/>
  <c r="H51" i="24" s="1"/>
  <c r="F50" i="24"/>
  <c r="H50" i="24" s="1"/>
  <c r="F49" i="24"/>
  <c r="H49" i="24" s="1"/>
  <c r="F48" i="24"/>
  <c r="H48" i="24" s="1"/>
  <c r="F47" i="24"/>
  <c r="H47" i="24" s="1"/>
  <c r="F46" i="24"/>
  <c r="H46" i="24" s="1"/>
  <c r="F45" i="24"/>
  <c r="H45" i="24" s="1"/>
  <c r="F44" i="24"/>
  <c r="H44" i="24" s="1"/>
  <c r="F43" i="24"/>
  <c r="H43" i="24" s="1"/>
  <c r="F42" i="24"/>
  <c r="H42" i="24" s="1"/>
  <c r="F41" i="24"/>
  <c r="H41" i="24" s="1"/>
  <c r="F40" i="24"/>
  <c r="H40" i="24" s="1"/>
  <c r="F39" i="24"/>
  <c r="H39" i="24" s="1"/>
  <c r="F38" i="24"/>
  <c r="H38" i="24" s="1"/>
  <c r="F37" i="24"/>
  <c r="H37" i="24" s="1"/>
  <c r="F36" i="24"/>
  <c r="H36" i="24" s="1"/>
  <c r="F35" i="24"/>
  <c r="H35" i="24" s="1"/>
  <c r="F34" i="24"/>
  <c r="H34" i="24" s="1"/>
  <c r="F33" i="24"/>
  <c r="H33" i="24" s="1"/>
  <c r="F32" i="24"/>
  <c r="H32" i="24" s="1"/>
  <c r="F31" i="24"/>
  <c r="H31" i="24" s="1"/>
  <c r="F30" i="24"/>
  <c r="H30" i="24" s="1"/>
  <c r="F29" i="24"/>
  <c r="H29" i="24" s="1"/>
  <c r="F28" i="24"/>
  <c r="H28" i="24" s="1"/>
  <c r="F27" i="24"/>
  <c r="H27" i="24" s="1"/>
  <c r="F26" i="24"/>
  <c r="F25" i="24"/>
  <c r="H63" i="24" l="1"/>
  <c r="H92" i="24" s="1"/>
  <c r="H58" i="24" s="1"/>
  <c r="F92" i="24"/>
  <c r="H26" i="24"/>
  <c r="H57" i="24" s="1"/>
  <c r="F57" i="24"/>
  <c r="H25" i="24"/>
  <c r="H59" i="24" l="1"/>
  <c r="H60" i="24" s="1"/>
  <c r="H15" i="28"/>
  <c r="G15" i="28"/>
  <c r="H14" i="28"/>
  <c r="G14" i="28"/>
  <c r="G10" i="28" l="1"/>
  <c r="H10" i="28"/>
  <c r="L10" i="28" s="1"/>
  <c r="K10" i="28" l="1"/>
  <c r="H13" i="29" l="1"/>
  <c r="L13" i="29" s="1"/>
  <c r="G13" i="29"/>
  <c r="H12" i="29"/>
  <c r="L12" i="29" s="1"/>
  <c r="G12" i="29"/>
  <c r="H11" i="29"/>
  <c r="L11" i="29" s="1"/>
  <c r="G11" i="29"/>
  <c r="H10" i="29"/>
  <c r="L10" i="29" s="1"/>
  <c r="G10" i="29"/>
  <c r="K11" i="29" l="1"/>
  <c r="K13" i="29"/>
  <c r="K10" i="29"/>
  <c r="K12" i="29"/>
  <c r="H15" i="30" l="1"/>
  <c r="L15" i="30" s="1"/>
  <c r="G15" i="30"/>
  <c r="H14" i="30"/>
  <c r="L14" i="30" s="1"/>
  <c r="G14" i="30"/>
  <c r="H13" i="30"/>
  <c r="L13" i="30" s="1"/>
  <c r="G13" i="30"/>
  <c r="H12" i="30"/>
  <c r="L12" i="30" s="1"/>
  <c r="G12" i="30"/>
  <c r="H11" i="30"/>
  <c r="L11" i="30" s="1"/>
  <c r="G11" i="30"/>
  <c r="H10" i="30"/>
  <c r="L10" i="30" s="1"/>
  <c r="G10" i="30"/>
  <c r="K15" i="30" l="1"/>
  <c r="K11" i="30"/>
  <c r="K14" i="30"/>
  <c r="K10" i="30"/>
  <c r="M10" i="30" s="1"/>
  <c r="K13" i="30"/>
  <c r="K12" i="30"/>
  <c r="M11" i="30" l="1"/>
  <c r="M12" i="30" l="1"/>
  <c r="M10" i="29"/>
  <c r="M13" i="30" l="1"/>
  <c r="M11" i="29"/>
  <c r="M10" i="28"/>
  <c r="M14" i="30" l="1"/>
  <c r="M15" i="30" s="1"/>
  <c r="M12" i="29"/>
  <c r="M13" i="29" l="1"/>
  <c r="G12" i="28"/>
  <c r="G13" i="27"/>
  <c r="G12" i="27"/>
  <c r="G14" i="24"/>
  <c r="G13" i="24"/>
  <c r="G11" i="24"/>
  <c r="G15" i="25"/>
  <c r="G15" i="23"/>
  <c r="G12" i="23"/>
  <c r="G10" i="23"/>
  <c r="G11" i="23"/>
  <c r="G15" i="26"/>
  <c r="G10" i="26"/>
  <c r="G15" i="29"/>
  <c r="G14" i="29"/>
  <c r="H14" i="29"/>
  <c r="L14" i="29" s="1"/>
  <c r="H15" i="29"/>
  <c r="H13" i="28"/>
  <c r="L13" i="28" s="1"/>
  <c r="G13" i="28"/>
  <c r="H12" i="28"/>
  <c r="L12" i="28" s="1"/>
  <c r="H11" i="28"/>
  <c r="L11" i="28" s="1"/>
  <c r="G11" i="28"/>
  <c r="L14" i="28"/>
  <c r="H12" i="27"/>
  <c r="L12" i="27" s="1"/>
  <c r="H11" i="27"/>
  <c r="L11" i="27" s="1"/>
  <c r="G10" i="27"/>
  <c r="H10" i="27"/>
  <c r="L10" i="27" s="1"/>
  <c r="G11" i="27"/>
  <c r="H13" i="27"/>
  <c r="L13" i="27" s="1"/>
  <c r="G14" i="27"/>
  <c r="H14" i="27"/>
  <c r="L14" i="27" s="1"/>
  <c r="G15" i="27"/>
  <c r="H15" i="27"/>
  <c r="H13" i="24"/>
  <c r="L13" i="24" s="1"/>
  <c r="H11" i="24"/>
  <c r="L11" i="24" s="1"/>
  <c r="G10" i="24"/>
  <c r="H10" i="24"/>
  <c r="L10" i="24" s="1"/>
  <c r="G12" i="24"/>
  <c r="H12" i="24"/>
  <c r="L12" i="24" s="1"/>
  <c r="H14" i="24"/>
  <c r="L14" i="24" s="1"/>
  <c r="G15" i="24"/>
  <c r="H15" i="24"/>
  <c r="G13" i="25"/>
  <c r="H11" i="25"/>
  <c r="L11" i="25" s="1"/>
  <c r="H12" i="25"/>
  <c r="L12" i="25" s="1"/>
  <c r="H13" i="25"/>
  <c r="L13" i="25" s="1"/>
  <c r="H14" i="25"/>
  <c r="L14" i="25" s="1"/>
  <c r="H15" i="25"/>
  <c r="L15" i="25" s="1"/>
  <c r="G11" i="25"/>
  <c r="G12" i="25"/>
  <c r="G14" i="25"/>
  <c r="H10" i="25"/>
  <c r="L10" i="25" s="1"/>
  <c r="G10" i="25"/>
  <c r="G11" i="26"/>
  <c r="G12" i="26"/>
  <c r="H12" i="26"/>
  <c r="L12" i="26" s="1"/>
  <c r="G13" i="26"/>
  <c r="G14" i="26"/>
  <c r="H14" i="26"/>
  <c r="L14" i="26" s="1"/>
  <c r="H15" i="26"/>
  <c r="H11" i="26"/>
  <c r="L11" i="26" s="1"/>
  <c r="H13" i="26"/>
  <c r="L13" i="26" s="1"/>
  <c r="H10" i="26"/>
  <c r="L10" i="26" s="1"/>
  <c r="G14" i="23"/>
  <c r="H11" i="23"/>
  <c r="L11" i="23" s="1"/>
  <c r="H12" i="23"/>
  <c r="L12" i="23" s="1"/>
  <c r="G13" i="23"/>
  <c r="H13" i="23"/>
  <c r="L13" i="23" s="1"/>
  <c r="H14" i="23"/>
  <c r="L14" i="23" s="1"/>
  <c r="H15" i="23"/>
  <c r="L15" i="23" s="1"/>
  <c r="H10" i="23"/>
  <c r="L10" i="23" s="1"/>
  <c r="K14" i="27" l="1"/>
  <c r="K10" i="25"/>
  <c r="M10" i="25" s="1"/>
  <c r="L15" i="29"/>
  <c r="L15" i="28"/>
  <c r="L15" i="27"/>
  <c r="L15" i="24"/>
  <c r="L15" i="26"/>
  <c r="K14" i="28"/>
  <c r="K14" i="25"/>
  <c r="K13" i="25"/>
  <c r="K15" i="25"/>
  <c r="K11" i="25"/>
  <c r="K12" i="25"/>
  <c r="K13" i="26"/>
  <c r="K14" i="26"/>
  <c r="K12" i="26"/>
  <c r="K11" i="26"/>
  <c r="K10" i="26"/>
  <c r="M10" i="26" s="1"/>
  <c r="K10" i="23"/>
  <c r="M10" i="23" s="1"/>
  <c r="K13" i="23"/>
  <c r="K14" i="24"/>
  <c r="K12" i="23"/>
  <c r="K15" i="23"/>
  <c r="K14" i="23"/>
  <c r="K11" i="23"/>
  <c r="K14" i="29"/>
  <c r="M14" i="29" s="1"/>
  <c r="K13" i="28"/>
  <c r="K12" i="28"/>
  <c r="K11" i="28"/>
  <c r="K13" i="27"/>
  <c r="K12" i="27"/>
  <c r="K11" i="27"/>
  <c r="K10" i="27"/>
  <c r="M10" i="27" s="1"/>
  <c r="K13" i="24"/>
  <c r="K12" i="24"/>
  <c r="K11" i="24"/>
  <c r="K10" i="24"/>
  <c r="M10" i="24" s="1"/>
  <c r="K15" i="28" l="1"/>
  <c r="K15" i="27"/>
  <c r="M11" i="25"/>
  <c r="K15" i="29"/>
  <c r="K15" i="24"/>
  <c r="K15" i="26"/>
  <c r="M11" i="27"/>
  <c r="M11" i="24"/>
  <c r="M11" i="26"/>
  <c r="M11" i="23"/>
  <c r="M12" i="27" l="1"/>
  <c r="M12" i="24"/>
  <c r="M12" i="25"/>
  <c r="M12" i="26"/>
  <c r="M12" i="23"/>
  <c r="M15" i="29"/>
  <c r="Q11" i="29"/>
  <c r="Q12" i="29" s="1"/>
  <c r="M13" i="25" l="1"/>
  <c r="M14" i="25" s="1"/>
  <c r="M15" i="25" s="1"/>
  <c r="M13" i="27"/>
  <c r="M13" i="24"/>
  <c r="M13" i="26"/>
  <c r="M13" i="23"/>
  <c r="M14" i="23" s="1"/>
  <c r="M15" i="23" s="1"/>
  <c r="Q13" i="29"/>
  <c r="Q14" i="29" s="1"/>
  <c r="M14" i="27" l="1"/>
  <c r="M15" i="27" s="1"/>
  <c r="M14" i="24"/>
  <c r="M15" i="24" s="1"/>
  <c r="M14" i="26"/>
  <c r="Q15" i="29"/>
  <c r="Q16" i="29" s="1"/>
  <c r="M11" i="28"/>
  <c r="M15" i="26" l="1"/>
  <c r="M12" i="28"/>
  <c r="M13" i="28" l="1"/>
  <c r="Q11" i="28"/>
  <c r="Q12" i="28" s="1"/>
  <c r="Q11" i="24"/>
  <c r="Q12" i="24" s="1"/>
  <c r="M14" i="28" l="1"/>
  <c r="Q11" i="27"/>
  <c r="Q12" i="27" s="1"/>
  <c r="M15" i="28" l="1"/>
  <c r="Q15" i="28" s="1"/>
  <c r="Q13" i="28"/>
  <c r="Q14" i="28" s="1"/>
  <c r="Q13" i="27"/>
  <c r="Q14" i="27" s="1"/>
  <c r="Q15" i="27"/>
  <c r="Q16" i="27" s="1"/>
  <c r="Q13" i="24" l="1"/>
  <c r="Q14" i="24" s="1"/>
  <c r="Q15" i="24"/>
  <c r="Q16" i="24" s="1"/>
</calcChain>
</file>

<file path=xl/sharedStrings.xml><?xml version="1.0" encoding="utf-8"?>
<sst xmlns="http://schemas.openxmlformats.org/spreadsheetml/2006/main" count="281" uniqueCount="50">
  <si>
    <t>Month</t>
  </si>
  <si>
    <t>Plant Balance</t>
  </si>
  <si>
    <t>Book Depreciation</t>
  </si>
  <si>
    <t>Louisville Gas and Electric Company</t>
  </si>
  <si>
    <t>Deferred Taxes on Retirements</t>
  </si>
  <si>
    <t>Accumulated Deferred Taxes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</si>
  <si>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</si>
  <si>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</si>
  <si>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</si>
  <si>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</si>
  <si>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</si>
  <si>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</si>
  <si>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</si>
  <si>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</si>
  <si>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</si>
  <si>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27 - Trimble County Unit 1 Air Compliance</t>
  </si>
  <si>
    <t>2016 - Plan</t>
  </si>
  <si>
    <t>Project 28 - Supplemental Mecury Control</t>
  </si>
  <si>
    <t>Project 30 -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</si>
  <si>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</si>
  <si>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</si>
  <si>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</si>
  <si>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</si>
  <si>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</si>
  <si>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</si>
  <si>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</si>
  <si>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</si>
  <si>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 xml:space="preserve">Due to Bonus Depreciation for tax purposes taken on certain components of Project 27,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</si>
  <si>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</si>
  <si>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</si>
  <si>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</si>
  <si>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</si>
  <si>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</si>
  <si>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</si>
  <si>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</si>
  <si>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 xml:space="preserve">Due to Bonus Depreciation for tax purposes taken on certain components of Project 24, the deferred tax calculation for this project </t>
  </si>
  <si>
    <t>State Basis</t>
  </si>
  <si>
    <t>State Tax Depr</t>
  </si>
  <si>
    <t>St. Difference</t>
  </si>
  <si>
    <t>St Def Tax</t>
  </si>
  <si>
    <t>State Offset</t>
  </si>
  <si>
    <t xml:space="preserve">Due to Bonus Depreciation for tax purposes taken on certain components of Project 25, the deferred tax calculation for this project </t>
  </si>
  <si>
    <t>Subtotal</t>
  </si>
  <si>
    <t xml:space="preserve">Due to Bonus Depreciation for tax purposes taken on certain components of Project 26, the deferred tax calculation for this project </t>
  </si>
  <si>
    <t xml:space="preserve">Due to Bonus Depreciation for tax purposes taken on certain components of Project 28, the deferred tax calculation for this project </t>
  </si>
  <si>
    <t xml:space="preserve">Due to Bonus Depreciation for tax purposes taken on certain components of Project 30, the deferred tax calculation for this project </t>
  </si>
  <si>
    <t>Project 24 - Trimble County CCP Storage (Landfill - Phase I)</t>
  </si>
  <si>
    <t>Project 29 - Mill Creek New Process Water Systems</t>
  </si>
  <si>
    <t>depreciation, which reduces the Federal tax basis to 50% of the plant balance.  A sample calculation of deferred taxes for Feb 2020</t>
  </si>
  <si>
    <t xml:space="preserve">Due to Bonus Depreciation for tax purposes taken on certain components of Project 29, the deferred tax calculation for this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</si>
</sst>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Fill="1" applyBorder="1"/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41" fontId="0" fillId="0" borderId="0" xfId="0" applyNumberFormat="1"/>
    <xf numFmtId="166" fontId="1" fillId="0" borderId="0" xfId="1" applyNumberFormat="1"/>
    <xf numFmtId="0" fontId="3" fillId="0" borderId="0" xfId="0" applyFont="1" applyFill="1" applyAlignment="1">
      <alignment horizontal="centerContinuous"/>
    </xf>
    <xf numFmtId="41" fontId="4" fillId="0" borderId="0" xfId="0" applyNumberFormat="1" applyFont="1"/>
    <xf numFmtId="38" fontId="4" fillId="0" borderId="0" xfId="0" applyNumberFormat="1" applyFont="1"/>
    <xf numFmtId="166" fontId="4" fillId="0" borderId="0" xfId="1" applyNumberFormat="1" applyFont="1"/>
    <xf numFmtId="41" fontId="0" fillId="0" borderId="0" xfId="0" applyNumberFormat="1" applyFill="1"/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 applyFill="1" applyBorder="1" applyAlignment="1" applyProtection="1">
      <alignment horizontal="left"/>
    </xf>
    <xf numFmtId="38" fontId="0" fillId="0" borderId="0" xfId="0" applyNumberFormat="1"/>
    <xf numFmtId="165" fontId="2" fillId="0" borderId="0" xfId="0" quotePrefix="1" applyNumberFormat="1" applyFont="1" applyFill="1" applyBorder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166" fontId="0" fillId="0" borderId="0" xfId="0" applyNumberFormat="1"/>
    <xf numFmtId="41" fontId="1" fillId="0" borderId="0" xfId="0" quotePrefix="1" applyNumberFormat="1" applyFont="1" applyFill="1" applyAlignment="1">
      <alignment horizontal="left"/>
    </xf>
    <xf numFmtId="166" fontId="1" fillId="0" borderId="0" xfId="3" applyNumberFormat="1" applyFont="1" applyFill="1"/>
    <xf numFmtId="43" fontId="1" fillId="0" borderId="0" xfId="3" applyFont="1" applyFill="1"/>
    <xf numFmtId="0" fontId="1" fillId="0" borderId="0" xfId="0" quotePrefix="1" applyFont="1" applyFill="1" applyAlignment="1">
      <alignment horizontal="left"/>
    </xf>
    <xf numFmtId="166" fontId="1" fillId="0" borderId="0" xfId="3" quotePrefix="1" applyNumberFormat="1" applyFont="1" applyFill="1" applyAlignment="1">
      <alignment horizontal="left"/>
    </xf>
    <xf numFmtId="164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43" fontId="0" fillId="0" borderId="0" xfId="1" applyFont="1"/>
    <xf numFmtId="43" fontId="0" fillId="0" borderId="0" xfId="1" applyNumberFormat="1" applyFont="1"/>
    <xf numFmtId="165" fontId="1" fillId="0" borderId="0" xfId="8" applyNumberFormat="1" applyFont="1" applyFill="1" applyAlignment="1">
      <alignment horizontal="left"/>
    </xf>
    <xf numFmtId="41" fontId="1" fillId="0" borderId="0" xfId="0" applyNumberFormat="1" applyFont="1"/>
    <xf numFmtId="41" fontId="1" fillId="0" borderId="0" xfId="0" applyNumberFormat="1" applyFont="1" applyFill="1"/>
    <xf numFmtId="164" fontId="1" fillId="0" borderId="0" xfId="0" applyNumberFormat="1" applyFont="1"/>
    <xf numFmtId="41" fontId="1" fillId="0" borderId="1" xfId="0" applyNumberFormat="1" applyFont="1" applyBorder="1"/>
  </cellXfs>
  <cellStyles count="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Normal" xfId="0" builtinId="0"/>
    <cellStyle name="Normal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S18"/>
  <sheetViews>
    <sheetView tabSelected="1"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9</v>
      </c>
    </row>
    <row r="6" spans="1:19" x14ac:dyDescent="0.2">
      <c r="A6" s="18" t="s">
        <v>10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1076026</v>
      </c>
    </row>
    <row r="10" spans="1:19" x14ac:dyDescent="0.2">
      <c r="A10" s="35">
        <v>43717</v>
      </c>
      <c r="C10" s="12">
        <v>9599354</v>
      </c>
      <c r="D10" s="13">
        <v>16570</v>
      </c>
      <c r="E10" s="14">
        <f>35697.03+2</f>
        <v>35699.03</v>
      </c>
      <c r="F10" s="14">
        <f>35697.03</f>
        <v>35697.03</v>
      </c>
      <c r="G10" s="12">
        <f t="shared" ref="G10:G15" si="0">E10-D10</f>
        <v>19129.03</v>
      </c>
      <c r="H10" s="12">
        <f t="shared" ref="H10:H15" si="1">F10-D10</f>
        <v>19127.03</v>
      </c>
      <c r="I10" s="3">
        <v>0.21</v>
      </c>
      <c r="J10" s="3">
        <v>0.05</v>
      </c>
      <c r="K10" s="9">
        <f t="shared" ref="K10:K15" si="2">G10*I10-L10*I10</f>
        <v>3816.2624849999997</v>
      </c>
      <c r="L10" s="9">
        <f t="shared" ref="L10:L15" si="3">H10*J10</f>
        <v>956.35149999999999</v>
      </c>
      <c r="M10" s="15">
        <f t="shared" ref="M10:M15" si="4">M9+K10+L10</f>
        <v>1080798.6139850002</v>
      </c>
      <c r="N10" s="9">
        <v>0</v>
      </c>
      <c r="O10" s="34"/>
      <c r="Q10" s="23"/>
    </row>
    <row r="11" spans="1:19" x14ac:dyDescent="0.2">
      <c r="A11" s="32">
        <v>43739</v>
      </c>
      <c r="C11" s="12">
        <v>9599354</v>
      </c>
      <c r="D11" s="13">
        <v>16570</v>
      </c>
      <c r="E11" s="14">
        <f>35697.03+2</f>
        <v>35699.03</v>
      </c>
      <c r="F11" s="14">
        <f>35697.03</f>
        <v>35697.03</v>
      </c>
      <c r="G11" s="12">
        <f t="shared" si="0"/>
        <v>19129.03</v>
      </c>
      <c r="H11" s="12">
        <f t="shared" si="1"/>
        <v>19127.03</v>
      </c>
      <c r="I11" s="3">
        <v>0.21</v>
      </c>
      <c r="J11" s="3">
        <v>0.05</v>
      </c>
      <c r="K11" s="9">
        <f t="shared" si="2"/>
        <v>3816.2624849999997</v>
      </c>
      <c r="L11" s="9">
        <f t="shared" si="3"/>
        <v>956.35149999999999</v>
      </c>
      <c r="M11" s="15">
        <f t="shared" si="4"/>
        <v>1085571.2279700004</v>
      </c>
      <c r="N11" s="9">
        <v>0</v>
      </c>
      <c r="O11" s="34"/>
      <c r="Q11" s="9"/>
      <c r="S11" s="9"/>
    </row>
    <row r="12" spans="1:19" x14ac:dyDescent="0.2">
      <c r="A12" s="32">
        <v>43770</v>
      </c>
      <c r="C12" s="12">
        <v>9599354</v>
      </c>
      <c r="D12" s="13">
        <v>16570</v>
      </c>
      <c r="E12" s="14">
        <f>35697.03</f>
        <v>35697.03</v>
      </c>
      <c r="F12" s="14">
        <f>35697.03</f>
        <v>35697.03</v>
      </c>
      <c r="G12" s="12">
        <f t="shared" si="0"/>
        <v>19127.03</v>
      </c>
      <c r="H12" s="12">
        <f t="shared" si="1"/>
        <v>19127.03</v>
      </c>
      <c r="I12" s="3">
        <v>0.21</v>
      </c>
      <c r="J12" s="3">
        <v>0.05</v>
      </c>
      <c r="K12" s="9">
        <f t="shared" si="2"/>
        <v>3815.8424849999997</v>
      </c>
      <c r="L12" s="9">
        <f t="shared" si="3"/>
        <v>956.35149999999999</v>
      </c>
      <c r="M12" s="15">
        <f t="shared" si="4"/>
        <v>1090343.4219550004</v>
      </c>
      <c r="N12" s="9">
        <v>0</v>
      </c>
      <c r="Q12" s="9"/>
    </row>
    <row r="13" spans="1:19" x14ac:dyDescent="0.2">
      <c r="A13" s="32">
        <v>43800</v>
      </c>
      <c r="C13" s="12">
        <v>9599354</v>
      </c>
      <c r="D13" s="13">
        <v>16570</v>
      </c>
      <c r="E13" s="14">
        <f>35697.03</f>
        <v>35697.03</v>
      </c>
      <c r="F13" s="14">
        <f>35697.03</f>
        <v>35697.03</v>
      </c>
      <c r="G13" s="12">
        <f t="shared" si="0"/>
        <v>19127.03</v>
      </c>
      <c r="H13" s="12">
        <f t="shared" si="1"/>
        <v>19127.03</v>
      </c>
      <c r="I13" s="3">
        <v>0.21</v>
      </c>
      <c r="J13" s="3">
        <v>0.05</v>
      </c>
      <c r="K13" s="9">
        <f t="shared" si="2"/>
        <v>3815.8424849999997</v>
      </c>
      <c r="L13" s="9">
        <f t="shared" si="3"/>
        <v>956.35149999999999</v>
      </c>
      <c r="M13" s="15">
        <f t="shared" si="4"/>
        <v>1095115.6159400004</v>
      </c>
      <c r="N13" s="9">
        <v>0</v>
      </c>
      <c r="Q13" s="12"/>
    </row>
    <row r="14" spans="1:19" x14ac:dyDescent="0.2">
      <c r="A14" s="32">
        <v>43831</v>
      </c>
      <c r="C14" s="12">
        <v>9599354</v>
      </c>
      <c r="D14" s="13">
        <v>16570</v>
      </c>
      <c r="E14" s="14">
        <f>35687.38</f>
        <v>35687.379999999997</v>
      </c>
      <c r="F14" s="14">
        <v>35687.379999999997</v>
      </c>
      <c r="G14" s="12">
        <f t="shared" si="0"/>
        <v>19117.379999999997</v>
      </c>
      <c r="H14" s="12">
        <f t="shared" si="1"/>
        <v>19117.379999999997</v>
      </c>
      <c r="I14" s="3">
        <v>0.21</v>
      </c>
      <c r="J14" s="3">
        <v>0.05</v>
      </c>
      <c r="K14" s="9">
        <f t="shared" si="2"/>
        <v>3813.9173099999994</v>
      </c>
      <c r="L14" s="9">
        <f t="shared" si="3"/>
        <v>955.86899999999991</v>
      </c>
      <c r="M14" s="15">
        <f t="shared" si="4"/>
        <v>1099885.4022500003</v>
      </c>
      <c r="N14" s="9">
        <v>0</v>
      </c>
      <c r="P14" s="12"/>
      <c r="Q14" s="9"/>
    </row>
    <row r="15" spans="1:19" x14ac:dyDescent="0.2">
      <c r="A15" s="32">
        <v>43862</v>
      </c>
      <c r="C15" s="12">
        <v>9599354</v>
      </c>
      <c r="D15" s="13">
        <v>16570</v>
      </c>
      <c r="E15" s="14">
        <f>35687.38</f>
        <v>35687.379999999997</v>
      </c>
      <c r="F15" s="14">
        <v>35687.379999999997</v>
      </c>
      <c r="G15" s="12">
        <f t="shared" si="0"/>
        <v>19117.379999999997</v>
      </c>
      <c r="H15" s="12">
        <f t="shared" si="1"/>
        <v>19117.379999999997</v>
      </c>
      <c r="I15" s="3">
        <v>0.21</v>
      </c>
      <c r="J15" s="3">
        <v>0.05</v>
      </c>
      <c r="K15" s="9">
        <f t="shared" si="2"/>
        <v>3813.9173099999994</v>
      </c>
      <c r="L15" s="9">
        <f t="shared" si="3"/>
        <v>955.86899999999991</v>
      </c>
      <c r="M15" s="15">
        <f t="shared" si="4"/>
        <v>1104655.1885600002</v>
      </c>
      <c r="N15" s="9">
        <v>0</v>
      </c>
      <c r="Q15" s="9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1 of 8
Clements</oddHead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3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20" t="s">
        <v>9</v>
      </c>
    </row>
    <row r="6" spans="1:18" x14ac:dyDescent="0.2">
      <c r="A6" s="21" t="s">
        <v>46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5436915</v>
      </c>
    </row>
    <row r="10" spans="1:18" x14ac:dyDescent="0.2">
      <c r="A10" s="35">
        <v>43717</v>
      </c>
      <c r="C10" s="12">
        <v>79812108</v>
      </c>
      <c r="D10" s="13">
        <v>160551</v>
      </c>
      <c r="E10" s="13">
        <f>3138709.23+9969.78</f>
        <v>3148679.01</v>
      </c>
      <c r="F10" s="13">
        <f>341161.6</f>
        <v>341161.6</v>
      </c>
      <c r="G10" s="14">
        <f t="shared" ref="G10:G15" si="0">E10-D10</f>
        <v>2988128.01</v>
      </c>
      <c r="H10" s="14">
        <f t="shared" ref="H10:H15" si="1">F10-D10</f>
        <v>180610.59999999998</v>
      </c>
      <c r="I10" s="3">
        <v>0.21</v>
      </c>
      <c r="J10" s="3">
        <v>0.05</v>
      </c>
      <c r="K10" s="9">
        <f t="shared" ref="K10:K15" si="2">G10*I10-L10*I10</f>
        <v>625610.47079999989</v>
      </c>
      <c r="L10" s="9">
        <f t="shared" ref="L10:L15" si="3">H10*J10</f>
        <v>9030.5299999999988</v>
      </c>
      <c r="M10" s="15">
        <f t="shared" ref="M10:M15" si="4">M9+K10+L10</f>
        <v>6071556.0008000005</v>
      </c>
      <c r="N10" s="9">
        <v>296464.3</v>
      </c>
      <c r="O10" s="33"/>
      <c r="R10" s="23"/>
    </row>
    <row r="11" spans="1:18" x14ac:dyDescent="0.2">
      <c r="A11" s="32">
        <v>43739</v>
      </c>
      <c r="C11" s="12">
        <v>79812108</v>
      </c>
      <c r="D11" s="13">
        <v>160551</v>
      </c>
      <c r="E11" s="13">
        <f>3138709.23+9969.78</f>
        <v>3148679.01</v>
      </c>
      <c r="F11" s="13">
        <f>341161.6</f>
        <v>341161.6</v>
      </c>
      <c r="G11" s="14">
        <f t="shared" si="0"/>
        <v>2988128.01</v>
      </c>
      <c r="H11" s="14">
        <f t="shared" si="1"/>
        <v>180610.59999999998</v>
      </c>
      <c r="I11" s="3">
        <v>0.21</v>
      </c>
      <c r="J11" s="3">
        <v>0.05</v>
      </c>
      <c r="K11" s="9">
        <f t="shared" si="2"/>
        <v>625610.47079999989</v>
      </c>
      <c r="L11" s="9">
        <f t="shared" si="3"/>
        <v>9030.5299999999988</v>
      </c>
      <c r="M11" s="15">
        <f t="shared" si="4"/>
        <v>6706197.001600001</v>
      </c>
      <c r="N11" s="9">
        <v>296464.3</v>
      </c>
      <c r="O11" s="33"/>
      <c r="Q11" s="9"/>
      <c r="R11" s="23"/>
    </row>
    <row r="12" spans="1:18" x14ac:dyDescent="0.2">
      <c r="A12" s="32">
        <v>43770</v>
      </c>
      <c r="C12" s="12">
        <v>79812108</v>
      </c>
      <c r="D12" s="13">
        <v>160551</v>
      </c>
      <c r="E12" s="13">
        <f>3138709.23+9969.78</f>
        <v>3148679.01</v>
      </c>
      <c r="F12" s="13">
        <f>341161.6</f>
        <v>341161.6</v>
      </c>
      <c r="G12" s="14">
        <f t="shared" si="0"/>
        <v>2988128.01</v>
      </c>
      <c r="H12" s="14">
        <f t="shared" si="1"/>
        <v>180610.59999999998</v>
      </c>
      <c r="I12" s="3">
        <v>0.21</v>
      </c>
      <c r="J12" s="3">
        <v>0.05</v>
      </c>
      <c r="K12" s="9">
        <f t="shared" si="2"/>
        <v>625610.47079999989</v>
      </c>
      <c r="L12" s="9">
        <f t="shared" si="3"/>
        <v>9030.5299999999988</v>
      </c>
      <c r="M12" s="15">
        <f t="shared" si="4"/>
        <v>7340838.0024000015</v>
      </c>
      <c r="N12" s="9">
        <v>296464.3</v>
      </c>
      <c r="R12" s="23"/>
    </row>
    <row r="13" spans="1:18" x14ac:dyDescent="0.2">
      <c r="A13" s="32">
        <v>43800</v>
      </c>
      <c r="C13" s="12">
        <v>80038656</v>
      </c>
      <c r="D13" s="13">
        <v>160776</v>
      </c>
      <c r="E13" s="13">
        <f>3147204.79+9972.12</f>
        <v>3157176.91</v>
      </c>
      <c r="F13" s="13">
        <v>349657.16</v>
      </c>
      <c r="G13" s="14">
        <f t="shared" si="0"/>
        <v>2996400.91</v>
      </c>
      <c r="H13" s="14">
        <f t="shared" si="1"/>
        <v>188881.15999999997</v>
      </c>
      <c r="I13" s="3">
        <v>0.21</v>
      </c>
      <c r="J13" s="3">
        <v>0.05</v>
      </c>
      <c r="K13" s="9">
        <f t="shared" si="2"/>
        <v>627260.9389200001</v>
      </c>
      <c r="L13" s="9">
        <f t="shared" si="3"/>
        <v>9444.0579999999991</v>
      </c>
      <c r="M13" s="15">
        <f t="shared" si="4"/>
        <v>7977542.9993200023</v>
      </c>
      <c r="N13" s="9">
        <v>296464.3</v>
      </c>
      <c r="Q13" s="17"/>
      <c r="R13" s="23"/>
    </row>
    <row r="14" spans="1:18" x14ac:dyDescent="0.2">
      <c r="A14" s="32">
        <v>43831</v>
      </c>
      <c r="C14" s="12">
        <v>108274372</v>
      </c>
      <c r="D14" s="13">
        <v>189120</v>
      </c>
      <c r="E14" s="13">
        <f>1024352.6-30625.95</f>
        <v>993726.65</v>
      </c>
      <c r="F14" s="13">
        <v>548173.27</v>
      </c>
      <c r="G14" s="14">
        <f t="shared" si="0"/>
        <v>804606.65</v>
      </c>
      <c r="H14" s="14">
        <f t="shared" si="1"/>
        <v>359053.27</v>
      </c>
      <c r="I14" s="3">
        <v>0.21</v>
      </c>
      <c r="J14" s="3">
        <v>0.05</v>
      </c>
      <c r="K14" s="9">
        <f t="shared" si="2"/>
        <v>165197.337165</v>
      </c>
      <c r="L14" s="9">
        <f t="shared" si="3"/>
        <v>17952.663500000002</v>
      </c>
      <c r="M14" s="15">
        <f t="shared" si="4"/>
        <v>8160692.999985002</v>
      </c>
      <c r="N14" s="9">
        <v>296464.3</v>
      </c>
      <c r="Q14" s="12"/>
      <c r="R14" s="23"/>
    </row>
    <row r="15" spans="1:18" x14ac:dyDescent="0.2">
      <c r="A15" s="32">
        <v>43862</v>
      </c>
      <c r="C15" s="12">
        <v>108274372</v>
      </c>
      <c r="D15" s="13">
        <v>217238</v>
      </c>
      <c r="E15" s="13">
        <v>1027138.32</v>
      </c>
      <c r="F15" s="13">
        <v>548173</v>
      </c>
      <c r="G15" s="14">
        <f t="shared" si="0"/>
        <v>809900.32</v>
      </c>
      <c r="H15" s="14">
        <f t="shared" si="1"/>
        <v>330935</v>
      </c>
      <c r="I15" s="3">
        <v>0.21</v>
      </c>
      <c r="J15" s="3">
        <v>0.05</v>
      </c>
      <c r="K15" s="9">
        <f t="shared" si="2"/>
        <v>166604.24969999999</v>
      </c>
      <c r="L15" s="9">
        <f t="shared" si="3"/>
        <v>16546.75</v>
      </c>
      <c r="M15" s="15">
        <f t="shared" si="4"/>
        <v>8343843.9996850016</v>
      </c>
      <c r="N15" s="9">
        <v>296464.3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 t="s">
        <v>35</v>
      </c>
      <c r="D19" s="25"/>
      <c r="E19" s="25"/>
      <c r="F19" s="25"/>
      <c r="G19" s="26"/>
      <c r="H19" s="26"/>
    </row>
    <row r="20" spans="1:16" x14ac:dyDescent="0.2">
      <c r="C20" s="24" t="s">
        <v>28</v>
      </c>
      <c r="D20" s="25"/>
      <c r="E20" s="25"/>
      <c r="F20" s="25"/>
      <c r="G20" s="26"/>
      <c r="H20" s="26"/>
    </row>
    <row r="21" spans="1:16" x14ac:dyDescent="0.2">
      <c r="C21" s="24" t="s">
        <v>48</v>
      </c>
      <c r="D21" s="25"/>
      <c r="E21" s="25"/>
      <c r="F21" s="25"/>
      <c r="G21" s="26"/>
      <c r="H21" s="26"/>
    </row>
    <row r="22" spans="1:16" x14ac:dyDescent="0.2">
      <c r="C22" s="15" t="s">
        <v>29</v>
      </c>
      <c r="D22" s="25"/>
      <c r="E22" s="25"/>
      <c r="F22" s="25"/>
      <c r="G22" s="26"/>
      <c r="H22" s="26"/>
    </row>
    <row r="23" spans="1:16" x14ac:dyDescent="0.2">
      <c r="C23" s="27"/>
      <c r="D23" s="25"/>
      <c r="E23" s="25"/>
      <c r="F23" s="25"/>
      <c r="G23" s="25"/>
      <c r="H23" s="25"/>
    </row>
    <row r="24" spans="1:16" x14ac:dyDescent="0.2">
      <c r="C24" s="15" t="s">
        <v>30</v>
      </c>
      <c r="D24" s="28" t="s">
        <v>31</v>
      </c>
      <c r="E24" s="26" t="s">
        <v>32</v>
      </c>
      <c r="F24" s="15" t="s">
        <v>33</v>
      </c>
      <c r="G24" s="29" t="s">
        <v>23</v>
      </c>
      <c r="H24" s="15" t="s">
        <v>34</v>
      </c>
    </row>
    <row r="25" spans="1:16" x14ac:dyDescent="0.2">
      <c r="C25" s="36">
        <v>2033858.4350000001</v>
      </c>
      <c r="D25" s="36">
        <v>217238</v>
      </c>
      <c r="E25" s="36">
        <v>8957.4500000000007</v>
      </c>
      <c r="F25" s="36">
        <f>E25-D25</f>
        <v>-208280.55</v>
      </c>
      <c r="G25" s="3">
        <v>0.21</v>
      </c>
      <c r="H25" s="36">
        <f>F25*G25</f>
        <v>-43738.915499999996</v>
      </c>
    </row>
    <row r="26" spans="1:16" x14ac:dyDescent="0.2">
      <c r="C26" s="36">
        <v>4041284</v>
      </c>
      <c r="D26" s="36"/>
      <c r="E26" s="36">
        <v>20802.509999999998</v>
      </c>
      <c r="F26" s="36">
        <f t="shared" ref="F26:F30" si="5">E26-D26</f>
        <v>20802.509999999998</v>
      </c>
      <c r="G26" s="3">
        <v>0.21</v>
      </c>
      <c r="H26" s="36">
        <f t="shared" ref="H26:H30" si="6">F26*G26</f>
        <v>4368.5270999999993</v>
      </c>
    </row>
    <row r="27" spans="1:16" x14ac:dyDescent="0.2">
      <c r="C27" s="36">
        <v>199697</v>
      </c>
      <c r="D27" s="36"/>
      <c r="E27" s="36">
        <v>1111.1500000000001</v>
      </c>
      <c r="F27" s="36">
        <f t="shared" si="5"/>
        <v>1111.1500000000001</v>
      </c>
      <c r="G27" s="3">
        <v>0.21</v>
      </c>
      <c r="H27" s="36">
        <f t="shared" si="6"/>
        <v>233.3415</v>
      </c>
    </row>
    <row r="28" spans="1:16" x14ac:dyDescent="0.2">
      <c r="C28" s="36">
        <v>39689535</v>
      </c>
      <c r="D28" s="36"/>
      <c r="E28" s="36">
        <v>238765.63</v>
      </c>
      <c r="F28" s="36">
        <f t="shared" si="5"/>
        <v>238765.63</v>
      </c>
      <c r="G28" s="3">
        <v>0.21</v>
      </c>
      <c r="H28" s="36">
        <f t="shared" si="6"/>
        <v>50140.782299999999</v>
      </c>
    </row>
    <row r="29" spans="1:16" x14ac:dyDescent="0.2">
      <c r="C29" s="36">
        <v>226548</v>
      </c>
      <c r="D29" s="36"/>
      <c r="E29" s="36">
        <v>1362.88</v>
      </c>
      <c r="F29" s="36">
        <f t="shared" si="5"/>
        <v>1362.88</v>
      </c>
      <c r="G29" s="3">
        <v>0.21</v>
      </c>
      <c r="H29" s="36">
        <f t="shared" si="6"/>
        <v>286.20480000000003</v>
      </c>
    </row>
    <row r="30" spans="1:16" ht="15" x14ac:dyDescent="0.35">
      <c r="C30" s="36">
        <v>19943355</v>
      </c>
      <c r="D30" s="36"/>
      <c r="E30" s="30">
        <f>753352.99+2785.72</f>
        <v>756138.71</v>
      </c>
      <c r="F30" s="30">
        <f t="shared" si="5"/>
        <v>756138.71</v>
      </c>
      <c r="G30" s="3">
        <v>0.21</v>
      </c>
      <c r="H30" s="30">
        <f t="shared" si="6"/>
        <v>158789.12909999999</v>
      </c>
    </row>
    <row r="31" spans="1:16" x14ac:dyDescent="0.2">
      <c r="C31" s="36"/>
      <c r="D31" s="36"/>
      <c r="E31" s="36">
        <f>SUM(E25:E30)</f>
        <v>1027138.33</v>
      </c>
      <c r="F31" s="36">
        <f>SUM(F25:F30)</f>
        <v>809900.33</v>
      </c>
      <c r="G31" s="38" t="s">
        <v>42</v>
      </c>
      <c r="H31" s="36">
        <f>SUM(H25:H30)</f>
        <v>170079.0693</v>
      </c>
    </row>
    <row r="32" spans="1:16" ht="15" x14ac:dyDescent="0.35">
      <c r="E32" s="9"/>
      <c r="F32" s="9"/>
      <c r="G32" s="31" t="s">
        <v>40</v>
      </c>
      <c r="H32" s="30">
        <f>-H42*0.21</f>
        <v>-3474.8204399999995</v>
      </c>
    </row>
    <row r="33" spans="3:8" x14ac:dyDescent="0.2">
      <c r="H33" s="36">
        <f>H31+H32</f>
        <v>166604.24885999999</v>
      </c>
    </row>
    <row r="34" spans="3:8" x14ac:dyDescent="0.2">
      <c r="H34" s="36">
        <f>H33-K15</f>
        <v>-8.3999999333173037E-4</v>
      </c>
    </row>
    <row r="35" spans="3:8" x14ac:dyDescent="0.2">
      <c r="C35" s="15" t="s">
        <v>36</v>
      </c>
      <c r="D35" s="25" t="s">
        <v>31</v>
      </c>
      <c r="E35" s="26" t="s">
        <v>37</v>
      </c>
      <c r="F35" s="15" t="s">
        <v>38</v>
      </c>
      <c r="G35" s="29" t="s">
        <v>24</v>
      </c>
      <c r="H35" s="15" t="s">
        <v>39</v>
      </c>
    </row>
    <row r="36" spans="3:8" x14ac:dyDescent="0.2">
      <c r="C36" s="36">
        <v>4067716.87</v>
      </c>
      <c r="D36" s="36">
        <f>D25</f>
        <v>217238</v>
      </c>
      <c r="E36" s="36">
        <v>17914.900000000001</v>
      </c>
      <c r="F36" s="36">
        <f>E36-D36</f>
        <v>-199323.1</v>
      </c>
      <c r="G36" s="3">
        <v>0.05</v>
      </c>
      <c r="H36" s="36">
        <f>F36*G36</f>
        <v>-9966.1550000000007</v>
      </c>
    </row>
    <row r="37" spans="3:8" x14ac:dyDescent="0.2">
      <c r="C37" s="36">
        <v>8082569</v>
      </c>
      <c r="D37" s="36"/>
      <c r="E37" s="36">
        <v>41605.019999999997</v>
      </c>
      <c r="F37" s="36">
        <f t="shared" ref="F37:F41" si="7">E37-D37</f>
        <v>41605.019999999997</v>
      </c>
      <c r="G37" s="3">
        <v>0.05</v>
      </c>
      <c r="H37" s="36">
        <f t="shared" ref="H37:H41" si="8">F37*G37</f>
        <v>2080.2509999999997</v>
      </c>
    </row>
    <row r="38" spans="3:8" x14ac:dyDescent="0.2">
      <c r="C38" s="36">
        <v>199697</v>
      </c>
      <c r="D38" s="36"/>
      <c r="E38" s="36">
        <v>1111.1500000000001</v>
      </c>
      <c r="F38" s="36">
        <f t="shared" si="7"/>
        <v>1111.1500000000001</v>
      </c>
      <c r="G38" s="3">
        <v>0.05</v>
      </c>
      <c r="H38" s="36">
        <f t="shared" si="8"/>
        <v>55.557500000000005</v>
      </c>
    </row>
    <row r="39" spans="3:8" x14ac:dyDescent="0.2">
      <c r="C39" s="36">
        <v>66149226</v>
      </c>
      <c r="D39" s="36"/>
      <c r="E39" s="36">
        <v>397942.72</v>
      </c>
      <c r="F39" s="36">
        <f t="shared" si="7"/>
        <v>397942.72</v>
      </c>
      <c r="G39" s="3">
        <v>0.05</v>
      </c>
      <c r="H39" s="36">
        <f t="shared" si="8"/>
        <v>19897.135999999999</v>
      </c>
    </row>
    <row r="40" spans="3:8" x14ac:dyDescent="0.2">
      <c r="C40" s="36">
        <v>226548</v>
      </c>
      <c r="D40" s="36"/>
      <c r="E40" s="36">
        <v>1362.88</v>
      </c>
      <c r="F40" s="36">
        <f t="shared" si="7"/>
        <v>1362.88</v>
      </c>
      <c r="G40" s="3">
        <v>0.05</v>
      </c>
      <c r="H40" s="36">
        <f t="shared" si="8"/>
        <v>68.144000000000005</v>
      </c>
    </row>
    <row r="41" spans="3:8" ht="15" x14ac:dyDescent="0.35">
      <c r="C41" s="36">
        <v>28235715</v>
      </c>
      <c r="E41" s="30">
        <v>88236.61</v>
      </c>
      <c r="F41" s="30">
        <f t="shared" si="7"/>
        <v>88236.61</v>
      </c>
      <c r="G41" s="3">
        <v>0.05</v>
      </c>
      <c r="H41" s="30">
        <f t="shared" si="8"/>
        <v>4411.8305</v>
      </c>
    </row>
    <row r="42" spans="3:8" x14ac:dyDescent="0.2">
      <c r="E42" s="9">
        <f>SUM(E36:E41)</f>
        <v>548173.28</v>
      </c>
      <c r="F42" s="9">
        <f>SUM(F36:F41)</f>
        <v>330935.27999999997</v>
      </c>
      <c r="H42" s="9">
        <f>SUM(H36:H41)</f>
        <v>16546.763999999999</v>
      </c>
    </row>
    <row r="43" spans="3:8" x14ac:dyDescent="0.2">
      <c r="H43" s="9">
        <f>H42-L15</f>
        <v>1.3999999999214197E-2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2 of 8
Clements</oddHead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R42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6" t="s">
        <v>9</v>
      </c>
    </row>
    <row r="6" spans="1:18" x14ac:dyDescent="0.2">
      <c r="A6" s="18" t="s">
        <v>13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1454162</v>
      </c>
    </row>
    <row r="10" spans="1:18" x14ac:dyDescent="0.2">
      <c r="A10" s="35">
        <v>43717</v>
      </c>
      <c r="C10" s="12">
        <v>7413755</v>
      </c>
      <c r="D10" s="13">
        <v>19482</v>
      </c>
      <c r="E10" s="13">
        <f>16494.65</f>
        <v>16494.650000000001</v>
      </c>
      <c r="F10" s="13">
        <f>32989.3</f>
        <v>32989.300000000003</v>
      </c>
      <c r="G10" s="14">
        <f t="shared" ref="G10:G15" si="0">E10-D10</f>
        <v>-2987.3499999999985</v>
      </c>
      <c r="H10" s="14">
        <f t="shared" ref="H10:H15" si="1">F10-D10</f>
        <v>13507.300000000003</v>
      </c>
      <c r="I10" s="3">
        <v>0.21</v>
      </c>
      <c r="J10" s="3">
        <v>0.05</v>
      </c>
      <c r="K10" s="9">
        <f t="shared" ref="K10:K15" si="2">G10*I10-L10*I10</f>
        <v>-769.17014999999981</v>
      </c>
      <c r="L10" s="9">
        <f t="shared" ref="L10:L15" si="3">H10*J10</f>
        <v>675.36500000000024</v>
      </c>
      <c r="M10" s="15">
        <f t="shared" ref="M10:M15" si="4">M9+K10+L10</f>
        <v>1454068.1948500001</v>
      </c>
      <c r="N10" s="9">
        <v>0</v>
      </c>
      <c r="O10" s="33"/>
      <c r="Q10" s="9"/>
      <c r="R10" s="23"/>
    </row>
    <row r="11" spans="1:18" x14ac:dyDescent="0.2">
      <c r="A11" s="32">
        <v>43739</v>
      </c>
      <c r="C11" s="12">
        <v>7413755</v>
      </c>
      <c r="D11" s="13">
        <v>19482</v>
      </c>
      <c r="E11" s="13">
        <f>16494.65</f>
        <v>16494.650000000001</v>
      </c>
      <c r="F11" s="13">
        <f>32989.3</f>
        <v>32989.300000000003</v>
      </c>
      <c r="G11" s="14">
        <f t="shared" si="0"/>
        <v>-2987.3499999999985</v>
      </c>
      <c r="H11" s="14">
        <f t="shared" si="1"/>
        <v>13507.300000000003</v>
      </c>
      <c r="I11" s="3">
        <v>0.21</v>
      </c>
      <c r="J11" s="3">
        <v>0.05</v>
      </c>
      <c r="K11" s="9">
        <f t="shared" si="2"/>
        <v>-769.17014999999981</v>
      </c>
      <c r="L11" s="9">
        <f t="shared" si="3"/>
        <v>675.36500000000024</v>
      </c>
      <c r="M11" s="15">
        <f t="shared" si="4"/>
        <v>1453974.3897000002</v>
      </c>
      <c r="N11" s="9">
        <v>0</v>
      </c>
      <c r="O11" s="33"/>
      <c r="Q11" s="9"/>
      <c r="R11" s="23"/>
    </row>
    <row r="12" spans="1:18" x14ac:dyDescent="0.2">
      <c r="A12" s="32">
        <v>43770</v>
      </c>
      <c r="C12" s="12">
        <v>7413755</v>
      </c>
      <c r="D12" s="13">
        <v>19482</v>
      </c>
      <c r="E12" s="13">
        <f>16494.65-2</f>
        <v>16492.650000000001</v>
      </c>
      <c r="F12" s="13">
        <f>32989.3</f>
        <v>32989.300000000003</v>
      </c>
      <c r="G12" s="14">
        <f t="shared" si="0"/>
        <v>-2989.3499999999985</v>
      </c>
      <c r="H12" s="14">
        <f t="shared" si="1"/>
        <v>13507.300000000003</v>
      </c>
      <c r="I12" s="3">
        <v>0.21</v>
      </c>
      <c r="J12" s="3">
        <v>0.05</v>
      </c>
      <c r="K12" s="9">
        <f t="shared" si="2"/>
        <v>-769.59014999999977</v>
      </c>
      <c r="L12" s="9">
        <f t="shared" si="3"/>
        <v>675.36500000000024</v>
      </c>
      <c r="M12" s="15">
        <f t="shared" si="4"/>
        <v>1453880.1645500001</v>
      </c>
      <c r="N12" s="9">
        <v>0</v>
      </c>
      <c r="R12" s="23"/>
    </row>
    <row r="13" spans="1:18" x14ac:dyDescent="0.2">
      <c r="A13" s="32">
        <v>43800</v>
      </c>
      <c r="C13" s="12">
        <v>7413755</v>
      </c>
      <c r="D13" s="13">
        <v>19482</v>
      </c>
      <c r="E13" s="13">
        <f>16494.65-2</f>
        <v>16492.650000000001</v>
      </c>
      <c r="F13" s="13">
        <f>32989.3</f>
        <v>32989.300000000003</v>
      </c>
      <c r="G13" s="14">
        <f t="shared" si="0"/>
        <v>-2989.3499999999985</v>
      </c>
      <c r="H13" s="14">
        <f t="shared" si="1"/>
        <v>13507.300000000003</v>
      </c>
      <c r="I13" s="3">
        <v>0.21</v>
      </c>
      <c r="J13" s="3">
        <v>0.05</v>
      </c>
      <c r="K13" s="9">
        <f t="shared" si="2"/>
        <v>-769.59014999999977</v>
      </c>
      <c r="L13" s="9">
        <f t="shared" si="3"/>
        <v>675.36500000000024</v>
      </c>
      <c r="M13" s="15">
        <f t="shared" si="4"/>
        <v>1453785.9394</v>
      </c>
      <c r="N13" s="9">
        <v>0</v>
      </c>
      <c r="R13" s="23"/>
    </row>
    <row r="14" spans="1:18" x14ac:dyDescent="0.2">
      <c r="A14" s="32">
        <v>43831</v>
      </c>
      <c r="C14" s="12">
        <v>7413755</v>
      </c>
      <c r="D14" s="13">
        <v>19482</v>
      </c>
      <c r="E14" s="13">
        <f>15797.71</f>
        <v>15797.71</v>
      </c>
      <c r="F14" s="13">
        <v>31595.43</v>
      </c>
      <c r="G14" s="14">
        <f t="shared" si="0"/>
        <v>-3684.2900000000009</v>
      </c>
      <c r="H14" s="14">
        <f t="shared" si="1"/>
        <v>12113.43</v>
      </c>
      <c r="I14" s="3">
        <v>0.21</v>
      </c>
      <c r="J14" s="3">
        <v>0.05</v>
      </c>
      <c r="K14" s="9">
        <f t="shared" si="2"/>
        <v>-900.89191500000015</v>
      </c>
      <c r="L14" s="9">
        <f t="shared" si="3"/>
        <v>605.67150000000004</v>
      </c>
      <c r="M14" s="15">
        <f t="shared" si="4"/>
        <v>1453490.7189849999</v>
      </c>
      <c r="N14" s="9">
        <v>0</v>
      </c>
      <c r="R14" s="23"/>
    </row>
    <row r="15" spans="1:18" x14ac:dyDescent="0.2">
      <c r="A15" s="32">
        <v>43862</v>
      </c>
      <c r="C15" s="12">
        <v>7413755</v>
      </c>
      <c r="D15" s="13">
        <v>19482</v>
      </c>
      <c r="E15" s="13">
        <f>15797.71+2</f>
        <v>15799.71</v>
      </c>
      <c r="F15" s="13">
        <v>31595.43</v>
      </c>
      <c r="G15" s="14">
        <f t="shared" si="0"/>
        <v>-3682.2900000000009</v>
      </c>
      <c r="H15" s="14">
        <f t="shared" si="1"/>
        <v>12113.43</v>
      </c>
      <c r="I15" s="3">
        <v>0.21</v>
      </c>
      <c r="J15" s="3">
        <v>0.05</v>
      </c>
      <c r="K15" s="9">
        <f t="shared" si="2"/>
        <v>-900.47191500000019</v>
      </c>
      <c r="L15" s="9">
        <f t="shared" si="3"/>
        <v>605.67150000000004</v>
      </c>
      <c r="M15" s="15">
        <f t="shared" si="4"/>
        <v>1453195.91857</v>
      </c>
      <c r="N15" s="9">
        <v>0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 t="s">
        <v>41</v>
      </c>
      <c r="D19" s="25"/>
      <c r="E19" s="25"/>
      <c r="F19" s="25"/>
      <c r="G19" s="26"/>
      <c r="H19" s="26"/>
    </row>
    <row r="20" spans="1:16" x14ac:dyDescent="0.2">
      <c r="C20" s="24" t="s">
        <v>28</v>
      </c>
      <c r="D20" s="25"/>
      <c r="E20" s="25"/>
      <c r="F20" s="25"/>
      <c r="G20" s="26"/>
      <c r="H20" s="26"/>
    </row>
    <row r="21" spans="1:16" x14ac:dyDescent="0.2">
      <c r="C21" s="24" t="s">
        <v>48</v>
      </c>
      <c r="D21" s="25"/>
      <c r="E21" s="25"/>
      <c r="F21" s="25"/>
      <c r="G21" s="26"/>
      <c r="H21" s="26"/>
    </row>
    <row r="22" spans="1:16" x14ac:dyDescent="0.2">
      <c r="C22" s="15" t="s">
        <v>29</v>
      </c>
      <c r="D22" s="25"/>
      <c r="E22" s="25"/>
      <c r="F22" s="25"/>
      <c r="G22" s="26"/>
      <c r="H22" s="26"/>
    </row>
    <row r="23" spans="1:16" x14ac:dyDescent="0.2">
      <c r="C23" s="27"/>
      <c r="D23" s="25"/>
      <c r="E23" s="25"/>
      <c r="F23" s="25"/>
      <c r="G23" s="25"/>
      <c r="H23" s="25"/>
    </row>
    <row r="24" spans="1:16" x14ac:dyDescent="0.2">
      <c r="C24" s="15" t="s">
        <v>30</v>
      </c>
      <c r="D24" s="28" t="s">
        <v>31</v>
      </c>
      <c r="E24" s="26" t="s">
        <v>32</v>
      </c>
      <c r="F24" s="15" t="s">
        <v>33</v>
      </c>
      <c r="G24" s="29" t="s">
        <v>23</v>
      </c>
      <c r="H24" s="15" t="s">
        <v>34</v>
      </c>
    </row>
    <row r="25" spans="1:16" x14ac:dyDescent="0.2">
      <c r="C25" s="36">
        <v>2318136</v>
      </c>
      <c r="D25" s="36">
        <v>19482</v>
      </c>
      <c r="E25" s="36">
        <v>8619.6</v>
      </c>
      <c r="F25" s="36">
        <f>E25-D25</f>
        <v>-10862.4</v>
      </c>
      <c r="G25" s="3">
        <v>0.21</v>
      </c>
      <c r="H25" s="36">
        <f>F25*G25</f>
        <v>-2281.1039999999998</v>
      </c>
    </row>
    <row r="26" spans="1:16" x14ac:dyDescent="0.2">
      <c r="C26" s="36">
        <v>-39771</v>
      </c>
      <c r="D26" s="36"/>
      <c r="E26" s="36">
        <v>-175.16</v>
      </c>
      <c r="F26" s="36">
        <f t="shared" ref="F26:F28" si="5">E26-D26</f>
        <v>-175.16</v>
      </c>
      <c r="G26" s="3">
        <v>0.21</v>
      </c>
      <c r="H26" s="36">
        <f t="shared" ref="H26:H28" si="6">F26*G26</f>
        <v>-36.7836</v>
      </c>
    </row>
    <row r="27" spans="1:16" x14ac:dyDescent="0.2">
      <c r="C27" s="36">
        <v>1088793</v>
      </c>
      <c r="D27" s="36"/>
      <c r="E27" s="36">
        <v>5604.56</v>
      </c>
      <c r="F27" s="36">
        <f t="shared" si="5"/>
        <v>5604.56</v>
      </c>
      <c r="G27" s="3">
        <v>0.21</v>
      </c>
      <c r="H27" s="36">
        <f t="shared" si="6"/>
        <v>1176.9576</v>
      </c>
    </row>
    <row r="28" spans="1:16" ht="15" x14ac:dyDescent="0.35">
      <c r="C28" s="36">
        <v>339720</v>
      </c>
      <c r="D28" s="36"/>
      <c r="E28" s="30">
        <f>1748.71+1.89</f>
        <v>1750.6000000000001</v>
      </c>
      <c r="F28" s="30">
        <f t="shared" si="5"/>
        <v>1750.6000000000001</v>
      </c>
      <c r="G28" s="3">
        <v>0.21</v>
      </c>
      <c r="H28" s="30">
        <f t="shared" si="6"/>
        <v>367.62600000000003</v>
      </c>
    </row>
    <row r="29" spans="1:16" x14ac:dyDescent="0.2">
      <c r="C29" s="36"/>
      <c r="D29" s="36"/>
      <c r="E29" s="36">
        <f>SUM(E25:E28)</f>
        <v>15799.6</v>
      </c>
      <c r="F29" s="36">
        <f>SUM(F25:F28)</f>
        <v>-3682.3999999999987</v>
      </c>
      <c r="G29" s="38" t="s">
        <v>42</v>
      </c>
      <c r="H29" s="36">
        <f>SUM(H25:H28)</f>
        <v>-773.30400000000009</v>
      </c>
    </row>
    <row r="30" spans="1:16" x14ac:dyDescent="0.2">
      <c r="E30" s="9"/>
      <c r="F30" s="9"/>
      <c r="G30" s="31" t="s">
        <v>40</v>
      </c>
      <c r="H30" s="36">
        <f>-H38*0.21</f>
        <v>-127.19091</v>
      </c>
    </row>
    <row r="31" spans="1:16" x14ac:dyDescent="0.2">
      <c r="H31" s="9">
        <f>H29+H30</f>
        <v>-900.49491000000012</v>
      </c>
    </row>
    <row r="32" spans="1:16" x14ac:dyDescent="0.2">
      <c r="H32" s="9">
        <f>H31-K15</f>
        <v>-2.2994999999923493E-2</v>
      </c>
    </row>
    <row r="33" spans="3:8" x14ac:dyDescent="0.2">
      <c r="C33" s="15" t="s">
        <v>36</v>
      </c>
      <c r="D33" s="25" t="s">
        <v>31</v>
      </c>
      <c r="E33" s="26" t="s">
        <v>37</v>
      </c>
      <c r="F33" s="15" t="s">
        <v>38</v>
      </c>
      <c r="G33" s="29" t="s">
        <v>24</v>
      </c>
      <c r="H33" s="15" t="s">
        <v>39</v>
      </c>
    </row>
    <row r="34" spans="3:8" x14ac:dyDescent="0.2">
      <c r="C34" s="36">
        <v>4636272</v>
      </c>
      <c r="D34" s="36">
        <f>D25</f>
        <v>19482</v>
      </c>
      <c r="E34" s="36">
        <v>17239.2</v>
      </c>
      <c r="F34" s="36">
        <f>E34-D34</f>
        <v>-2242.7999999999993</v>
      </c>
      <c r="G34" s="3">
        <v>0.05</v>
      </c>
      <c r="H34" s="36">
        <f>F34*G34</f>
        <v>-112.13999999999997</v>
      </c>
    </row>
    <row r="35" spans="3:8" x14ac:dyDescent="0.2">
      <c r="C35" s="36">
        <v>-79542</v>
      </c>
      <c r="D35" s="36"/>
      <c r="E35" s="36">
        <v>-350.31</v>
      </c>
      <c r="F35" s="36">
        <f t="shared" ref="F35:F37" si="7">E35-D35</f>
        <v>-350.31</v>
      </c>
      <c r="G35" s="3">
        <v>0.05</v>
      </c>
      <c r="H35" s="36">
        <f t="shared" ref="H35:H37" si="8">F35*G35</f>
        <v>-17.515499999999999</v>
      </c>
    </row>
    <row r="36" spans="3:8" x14ac:dyDescent="0.2">
      <c r="C36" s="36">
        <v>2177586</v>
      </c>
      <c r="D36" s="36"/>
      <c r="E36" s="36">
        <v>11209.12</v>
      </c>
      <c r="F36" s="36">
        <f t="shared" si="7"/>
        <v>11209.12</v>
      </c>
      <c r="G36" s="3">
        <v>0.05</v>
      </c>
      <c r="H36" s="36">
        <f t="shared" si="8"/>
        <v>560.45600000000002</v>
      </c>
    </row>
    <row r="37" spans="3:8" ht="15" x14ac:dyDescent="0.35">
      <c r="C37" s="36">
        <v>679439</v>
      </c>
      <c r="D37" s="36"/>
      <c r="E37" s="30">
        <v>3497.41</v>
      </c>
      <c r="F37" s="30">
        <f t="shared" si="7"/>
        <v>3497.41</v>
      </c>
      <c r="G37" s="3">
        <v>0.05</v>
      </c>
      <c r="H37" s="30">
        <f t="shared" si="8"/>
        <v>174.87049999999999</v>
      </c>
    </row>
    <row r="38" spans="3:8" x14ac:dyDescent="0.2">
      <c r="E38" s="9">
        <f>SUM(E34:E37)</f>
        <v>31595.420000000002</v>
      </c>
      <c r="F38" s="9">
        <f>SUM(F34:F37)</f>
        <v>12113.420000000002</v>
      </c>
      <c r="H38" s="9">
        <f>SUM(H34:H37)</f>
        <v>605.67100000000005</v>
      </c>
    </row>
    <row r="39" spans="3:8" x14ac:dyDescent="0.2">
      <c r="H39" s="9">
        <f>H38-L15</f>
        <v>-4.9999999998817657E-4</v>
      </c>
    </row>
    <row r="40" spans="3:8" ht="15" x14ac:dyDescent="0.35">
      <c r="C40" s="12"/>
      <c r="D40" s="12"/>
      <c r="E40" s="30"/>
      <c r="F40" s="30"/>
      <c r="G40" s="3"/>
      <c r="H40" s="30"/>
    </row>
    <row r="41" spans="3:8" x14ac:dyDescent="0.2">
      <c r="E41" s="9"/>
      <c r="F41" s="9"/>
      <c r="H41" s="9"/>
    </row>
    <row r="42" spans="3:8" x14ac:dyDescent="0.2">
      <c r="H42" s="9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3 of 8
Clements</oddHeader>
    <oddFooter>&amp;L_x000D_&amp;1#&amp;"Calibri"&amp;14&amp;K000000 Business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S93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4" customWidth="1"/>
    <col min="4" max="4" width="12.7109375" customWidth="1"/>
    <col min="5" max="5" width="16.7109375" customWidth="1"/>
    <col min="6" max="6" width="15" customWidth="1"/>
    <col min="7" max="14" width="12.7109375" customWidth="1"/>
    <col min="15" max="15" width="13.5703125" bestFit="1" customWidth="1"/>
    <col min="16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11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242228412</v>
      </c>
    </row>
    <row r="10" spans="1:19" x14ac:dyDescent="0.2">
      <c r="A10" s="35">
        <v>43717</v>
      </c>
      <c r="C10" s="12">
        <v>1036143609</v>
      </c>
      <c r="D10" s="13">
        <v>4386364</v>
      </c>
      <c r="E10" s="13">
        <f>5824521.61+2227.37</f>
        <v>5826748.9800000004</v>
      </c>
      <c r="F10" s="13">
        <f>10415329.94</f>
        <v>10415329.939999999</v>
      </c>
      <c r="G10" s="14">
        <f t="shared" ref="G10:G15" si="0">E10-D10</f>
        <v>1440384.9800000004</v>
      </c>
      <c r="H10" s="14">
        <f t="shared" ref="H10:H15" si="1">F10-D10</f>
        <v>6028965.9399999995</v>
      </c>
      <c r="I10" s="3">
        <v>0.21</v>
      </c>
      <c r="J10" s="3">
        <v>0.05</v>
      </c>
      <c r="K10" s="9">
        <f t="shared" ref="K10:K15" si="2">G10*I10-L10*I10</f>
        <v>239176.70343000008</v>
      </c>
      <c r="L10" s="9">
        <f t="shared" ref="L10:L15" si="3">H10*J10</f>
        <v>301448.29699999996</v>
      </c>
      <c r="M10" s="15">
        <f t="shared" ref="M10:M15" si="4">M9+K10+L10</f>
        <v>242769037.00042999</v>
      </c>
      <c r="N10" s="9">
        <v>7310.97</v>
      </c>
      <c r="O10" s="33"/>
      <c r="S10" s="23"/>
    </row>
    <row r="11" spans="1:19" x14ac:dyDescent="0.2">
      <c r="A11" s="32">
        <v>43739</v>
      </c>
      <c r="C11" s="12">
        <v>1036143609</v>
      </c>
      <c r="D11" s="13">
        <v>4386364</v>
      </c>
      <c r="E11" s="13">
        <f>5824521.61+2227.37+4</f>
        <v>5826752.9800000004</v>
      </c>
      <c r="F11" s="13">
        <f>10415329.94</f>
        <v>10415329.939999999</v>
      </c>
      <c r="G11" s="14">
        <f t="shared" si="0"/>
        <v>1440388.9800000004</v>
      </c>
      <c r="H11" s="14">
        <f t="shared" si="1"/>
        <v>6028965.9399999995</v>
      </c>
      <c r="I11" s="3">
        <v>0.21</v>
      </c>
      <c r="J11" s="3">
        <v>0.05</v>
      </c>
      <c r="K11" s="9">
        <f t="shared" si="2"/>
        <v>239177.54343000011</v>
      </c>
      <c r="L11" s="9">
        <f t="shared" si="3"/>
        <v>301448.29699999996</v>
      </c>
      <c r="M11" s="15">
        <f t="shared" si="4"/>
        <v>243309662.84085998</v>
      </c>
      <c r="N11" s="9">
        <v>7258.02</v>
      </c>
      <c r="O11" s="33"/>
      <c r="Q11" s="9">
        <f>358619-M12</f>
        <v>-243491669.68128997</v>
      </c>
      <c r="S11" s="23"/>
    </row>
    <row r="12" spans="1:19" x14ac:dyDescent="0.2">
      <c r="A12" s="32">
        <v>43770</v>
      </c>
      <c r="C12" s="12">
        <v>1036143609</v>
      </c>
      <c r="D12" s="13">
        <v>4386364</v>
      </c>
      <c r="E12" s="13">
        <f>5824521.61+2227.37+4</f>
        <v>5826752.9800000004</v>
      </c>
      <c r="F12" s="13">
        <f>10415329.94</f>
        <v>10415329.939999999</v>
      </c>
      <c r="G12" s="14">
        <f t="shared" si="0"/>
        <v>1440388.9800000004</v>
      </c>
      <c r="H12" s="14">
        <f t="shared" si="1"/>
        <v>6028965.9399999995</v>
      </c>
      <c r="I12" s="3">
        <v>0.21</v>
      </c>
      <c r="J12" s="3">
        <v>0.05</v>
      </c>
      <c r="K12" s="9">
        <f t="shared" si="2"/>
        <v>239177.54343000011</v>
      </c>
      <c r="L12" s="9">
        <f t="shared" si="3"/>
        <v>301448.29699999996</v>
      </c>
      <c r="M12" s="15">
        <f t="shared" si="4"/>
        <v>243850288.68128997</v>
      </c>
      <c r="N12" s="9">
        <v>7205.06</v>
      </c>
      <c r="Q12">
        <f>+Q11/0.389</f>
        <v>-625942595.58172226</v>
      </c>
      <c r="R12" s="9"/>
      <c r="S12" s="23"/>
    </row>
    <row r="13" spans="1:19" x14ac:dyDescent="0.2">
      <c r="A13" s="32">
        <v>43800</v>
      </c>
      <c r="C13" s="12">
        <v>1036143609</v>
      </c>
      <c r="D13" s="13">
        <v>4386364</v>
      </c>
      <c r="E13" s="13">
        <f>5824521.61+2227.37+2</f>
        <v>5826750.9800000004</v>
      </c>
      <c r="F13" s="13">
        <f>10415329.94</f>
        <v>10415329.939999999</v>
      </c>
      <c r="G13" s="14">
        <f t="shared" si="0"/>
        <v>1440386.9800000004</v>
      </c>
      <c r="H13" s="14">
        <f t="shared" si="1"/>
        <v>6028965.9399999995</v>
      </c>
      <c r="I13" s="3">
        <v>0.21</v>
      </c>
      <c r="J13" s="3">
        <v>0.05</v>
      </c>
      <c r="K13" s="9">
        <f t="shared" si="2"/>
        <v>239177.12343000012</v>
      </c>
      <c r="L13" s="9">
        <f t="shared" si="3"/>
        <v>301448.29699999996</v>
      </c>
      <c r="M13" s="15">
        <f t="shared" si="4"/>
        <v>244390914.10171998</v>
      </c>
      <c r="N13" s="9">
        <v>7152.11</v>
      </c>
      <c r="Q13" s="9">
        <f>374733-M14</f>
        <v>-244065077.91720998</v>
      </c>
      <c r="S13" s="23"/>
    </row>
    <row r="14" spans="1:19" x14ac:dyDescent="0.2">
      <c r="A14" s="32">
        <v>43831</v>
      </c>
      <c r="C14" s="12">
        <v>1036143609</v>
      </c>
      <c r="D14" s="13">
        <v>4386364</v>
      </c>
      <c r="E14" s="13">
        <f>3971297.87-4</f>
        <v>3971293.87</v>
      </c>
      <c r="F14" s="13">
        <v>7830960.0199999996</v>
      </c>
      <c r="G14" s="14">
        <f t="shared" si="0"/>
        <v>-415070.12999999989</v>
      </c>
      <c r="H14" s="14">
        <f t="shared" si="1"/>
        <v>3444596.0199999996</v>
      </c>
      <c r="I14" s="3">
        <v>0.21</v>
      </c>
      <c r="J14" s="3">
        <v>0.05</v>
      </c>
      <c r="K14" s="9">
        <f t="shared" si="2"/>
        <v>-123332.98550999997</v>
      </c>
      <c r="L14" s="9">
        <f t="shared" si="3"/>
        <v>172229.80099999998</v>
      </c>
      <c r="M14" s="15">
        <f t="shared" si="4"/>
        <v>244439810.91720998</v>
      </c>
      <c r="N14" s="9">
        <v>9058.74</v>
      </c>
      <c r="Q14">
        <f>+Q13/0.389</f>
        <v>-627416652.74347043</v>
      </c>
      <c r="R14" s="9"/>
      <c r="S14" s="23"/>
    </row>
    <row r="15" spans="1:19" x14ac:dyDescent="0.2">
      <c r="A15" s="32">
        <v>43862</v>
      </c>
      <c r="C15" s="12">
        <v>1036143609</v>
      </c>
      <c r="D15" s="13">
        <v>4386364</v>
      </c>
      <c r="E15" s="13">
        <f>3971297.87-6</f>
        <v>3971291.87</v>
      </c>
      <c r="F15" s="13">
        <v>7830960.0199999996</v>
      </c>
      <c r="G15" s="14">
        <f t="shared" si="0"/>
        <v>-415072.12999999989</v>
      </c>
      <c r="H15" s="14">
        <f t="shared" si="1"/>
        <v>3444596.0199999996</v>
      </c>
      <c r="I15" s="3">
        <v>0.21</v>
      </c>
      <c r="J15" s="3">
        <v>0.05</v>
      </c>
      <c r="K15" s="9">
        <f t="shared" si="2"/>
        <v>-123333.40550999995</v>
      </c>
      <c r="L15" s="9">
        <f t="shared" si="3"/>
        <v>172229.80099999998</v>
      </c>
      <c r="M15" s="15">
        <f t="shared" si="4"/>
        <v>244488707.31269997</v>
      </c>
      <c r="N15" s="9">
        <v>86961.07</v>
      </c>
      <c r="Q15" s="9">
        <f>+M15-386700</f>
        <v>244102007.31269997</v>
      </c>
      <c r="R15" s="19"/>
      <c r="S15" s="23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627511586.92210793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 t="s">
        <v>43</v>
      </c>
      <c r="D19" s="25"/>
      <c r="E19" s="25"/>
      <c r="F19" s="25"/>
      <c r="G19" s="26"/>
      <c r="H19" s="26"/>
    </row>
    <row r="20" spans="1:16" x14ac:dyDescent="0.2">
      <c r="C20" s="24" t="s">
        <v>28</v>
      </c>
      <c r="D20" s="25"/>
      <c r="E20" s="25"/>
      <c r="F20" s="25"/>
      <c r="G20" s="26"/>
      <c r="H20" s="26"/>
    </row>
    <row r="21" spans="1:16" x14ac:dyDescent="0.2">
      <c r="C21" s="24" t="s">
        <v>48</v>
      </c>
      <c r="D21" s="25"/>
      <c r="E21" s="25"/>
      <c r="F21" s="25"/>
      <c r="G21" s="26"/>
      <c r="H21" s="26"/>
    </row>
    <row r="22" spans="1:16" x14ac:dyDescent="0.2">
      <c r="C22" s="15" t="s">
        <v>29</v>
      </c>
      <c r="D22" s="25"/>
      <c r="E22" s="25"/>
      <c r="F22" s="25"/>
      <c r="G22" s="26"/>
      <c r="H22" s="26"/>
    </row>
    <row r="23" spans="1:16" x14ac:dyDescent="0.2">
      <c r="C23" s="27"/>
      <c r="D23" s="25"/>
      <c r="E23" s="25"/>
      <c r="F23" s="25"/>
      <c r="G23" s="25"/>
      <c r="H23" s="25"/>
    </row>
    <row r="24" spans="1:16" x14ac:dyDescent="0.2">
      <c r="C24" s="15" t="s">
        <v>30</v>
      </c>
      <c r="D24" s="28" t="s">
        <v>31</v>
      </c>
      <c r="E24" s="26" t="s">
        <v>32</v>
      </c>
      <c r="F24" s="15" t="s">
        <v>33</v>
      </c>
      <c r="G24" s="29" t="s">
        <v>23</v>
      </c>
      <c r="H24" s="15" t="s">
        <v>34</v>
      </c>
    </row>
    <row r="25" spans="1:16" x14ac:dyDescent="0.2">
      <c r="C25" s="36">
        <v>360851</v>
      </c>
      <c r="D25" s="36">
        <v>4386364</v>
      </c>
      <c r="E25" s="36">
        <v>0</v>
      </c>
      <c r="F25" s="36">
        <f>E25-D25</f>
        <v>-4386364</v>
      </c>
      <c r="G25" s="3">
        <v>0.21</v>
      </c>
      <c r="H25" s="36">
        <f>F25*G25</f>
        <v>-921136.44</v>
      </c>
    </row>
    <row r="26" spans="1:16" x14ac:dyDescent="0.2">
      <c r="C26" s="36">
        <v>982514</v>
      </c>
      <c r="D26" s="36"/>
      <c r="E26" s="36">
        <v>3653.31</v>
      </c>
      <c r="F26" s="36">
        <f>E26</f>
        <v>3653.31</v>
      </c>
      <c r="G26" s="3">
        <v>0.21</v>
      </c>
      <c r="H26" s="36">
        <f t="shared" ref="H26:H56" si="5">F26*G26</f>
        <v>767.19509999999991</v>
      </c>
    </row>
    <row r="27" spans="1:16" x14ac:dyDescent="0.2">
      <c r="C27" s="36">
        <v>9377.5</v>
      </c>
      <c r="D27" s="36"/>
      <c r="E27" s="36">
        <v>0</v>
      </c>
      <c r="F27" s="36">
        <f t="shared" ref="F27:F56" si="6">E27</f>
        <v>0</v>
      </c>
      <c r="G27" s="3">
        <v>0.21</v>
      </c>
      <c r="H27" s="36">
        <f t="shared" si="5"/>
        <v>0</v>
      </c>
    </row>
    <row r="28" spans="1:16" x14ac:dyDescent="0.2">
      <c r="C28" s="36">
        <v>2975815</v>
      </c>
      <c r="D28" s="36"/>
      <c r="E28" s="36">
        <v>11213.86</v>
      </c>
      <c r="F28" s="36">
        <f t="shared" si="6"/>
        <v>11213.86</v>
      </c>
      <c r="G28" s="3">
        <v>0.21</v>
      </c>
      <c r="H28" s="36">
        <f t="shared" si="5"/>
        <v>2354.9106000000002</v>
      </c>
    </row>
    <row r="29" spans="1:16" x14ac:dyDescent="0.2">
      <c r="C29" s="36">
        <v>-5631.44</v>
      </c>
      <c r="D29" s="36"/>
      <c r="E29" s="36">
        <v>-23.13</v>
      </c>
      <c r="F29" s="36">
        <f t="shared" si="6"/>
        <v>-23.13</v>
      </c>
      <c r="G29" s="3">
        <v>0.21</v>
      </c>
      <c r="H29" s="36">
        <f t="shared" si="5"/>
        <v>-4.8572999999999995</v>
      </c>
    </row>
    <row r="30" spans="1:16" x14ac:dyDescent="0.2">
      <c r="C30" s="36">
        <v>64989652.743999988</v>
      </c>
      <c r="D30" s="36"/>
      <c r="E30" s="36">
        <v>264724.52</v>
      </c>
      <c r="F30" s="36">
        <f t="shared" si="6"/>
        <v>264724.52</v>
      </c>
      <c r="G30" s="3">
        <v>0.21</v>
      </c>
      <c r="H30" s="36">
        <f t="shared" si="5"/>
        <v>55592.1492</v>
      </c>
    </row>
    <row r="31" spans="1:16" x14ac:dyDescent="0.2">
      <c r="C31" s="36">
        <v>97484479.115999967</v>
      </c>
      <c r="D31" s="36"/>
      <c r="E31" s="36">
        <v>1160529.51</v>
      </c>
      <c r="F31" s="36">
        <f t="shared" si="6"/>
        <v>1160529.51</v>
      </c>
      <c r="G31" s="3">
        <v>0.21</v>
      </c>
      <c r="H31" s="36">
        <f t="shared" si="5"/>
        <v>243711.19709999999</v>
      </c>
    </row>
    <row r="32" spans="1:16" x14ac:dyDescent="0.2">
      <c r="C32" s="36">
        <v>3354199.04</v>
      </c>
      <c r="D32" s="36"/>
      <c r="E32" s="36">
        <v>13662.77</v>
      </c>
      <c r="F32" s="36">
        <f t="shared" si="6"/>
        <v>13662.77</v>
      </c>
      <c r="G32" s="3">
        <v>0.21</v>
      </c>
      <c r="H32" s="36">
        <f t="shared" si="5"/>
        <v>2869.1817000000001</v>
      </c>
    </row>
    <row r="33" spans="3:8" x14ac:dyDescent="0.2">
      <c r="C33" s="36">
        <v>2749178.17</v>
      </c>
      <c r="D33" s="36"/>
      <c r="E33" s="36">
        <v>12107.84</v>
      </c>
      <c r="F33" s="36">
        <f t="shared" si="6"/>
        <v>12107.84</v>
      </c>
      <c r="G33" s="3">
        <v>0.21</v>
      </c>
      <c r="H33" s="36">
        <f t="shared" si="5"/>
        <v>2542.6464000000001</v>
      </c>
    </row>
    <row r="34" spans="3:8" x14ac:dyDescent="0.2">
      <c r="C34" s="36">
        <v>4123767.2549999999</v>
      </c>
      <c r="D34" s="36"/>
      <c r="E34" s="36">
        <v>49092.467321428565</v>
      </c>
      <c r="F34" s="36">
        <f t="shared" si="6"/>
        <v>49092.467321428565</v>
      </c>
      <c r="G34" s="3">
        <v>0.21</v>
      </c>
      <c r="H34" s="36">
        <f t="shared" si="5"/>
        <v>10309.418137499999</v>
      </c>
    </row>
    <row r="35" spans="3:8" x14ac:dyDescent="0.2">
      <c r="C35" s="36">
        <v>73250212.46800001</v>
      </c>
      <c r="D35" s="36"/>
      <c r="E35" s="36">
        <v>322606.14</v>
      </c>
      <c r="F35" s="36">
        <f t="shared" si="6"/>
        <v>322606.14</v>
      </c>
      <c r="G35" s="3">
        <v>0.21</v>
      </c>
      <c r="H35" s="36">
        <f t="shared" si="5"/>
        <v>67747.289399999994</v>
      </c>
    </row>
    <row r="36" spans="3:8" x14ac:dyDescent="0.2">
      <c r="C36" s="36">
        <v>109875318.70200001</v>
      </c>
      <c r="D36" s="36"/>
      <c r="E36" s="36">
        <v>610418.43999999994</v>
      </c>
      <c r="F36" s="36">
        <f t="shared" si="6"/>
        <v>610418.43999999994</v>
      </c>
      <c r="G36" s="3">
        <v>0.21</v>
      </c>
      <c r="H36" s="36">
        <f t="shared" si="5"/>
        <v>128187.87239999998</v>
      </c>
    </row>
    <row r="37" spans="3:8" x14ac:dyDescent="0.2">
      <c r="C37" s="36">
        <v>787778.5340000001</v>
      </c>
      <c r="D37" s="36"/>
      <c r="E37" s="36">
        <v>3469.51</v>
      </c>
      <c r="F37" s="36">
        <f t="shared" si="6"/>
        <v>3469.51</v>
      </c>
      <c r="G37" s="3">
        <v>0.21</v>
      </c>
      <c r="H37" s="36">
        <f t="shared" si="5"/>
        <v>728.59710000000007</v>
      </c>
    </row>
    <row r="38" spans="3:8" x14ac:dyDescent="0.2">
      <c r="C38" s="36">
        <v>1181667.801</v>
      </c>
      <c r="D38" s="36"/>
      <c r="E38" s="36">
        <v>14067.47382142857</v>
      </c>
      <c r="F38" s="36">
        <f t="shared" si="6"/>
        <v>14067.47382142857</v>
      </c>
      <c r="G38" s="3">
        <v>0.21</v>
      </c>
      <c r="H38" s="36">
        <f t="shared" si="5"/>
        <v>2954.1695024999995</v>
      </c>
    </row>
    <row r="39" spans="3:8" x14ac:dyDescent="0.2">
      <c r="C39" s="36">
        <v>2965892.7320000008</v>
      </c>
      <c r="D39" s="36"/>
      <c r="E39" s="36">
        <v>13062.29</v>
      </c>
      <c r="F39" s="36">
        <f t="shared" si="6"/>
        <v>13062.29</v>
      </c>
      <c r="G39" s="3">
        <v>0.21</v>
      </c>
      <c r="H39" s="36">
        <f t="shared" si="5"/>
        <v>2743.0808999999999</v>
      </c>
    </row>
    <row r="40" spans="3:8" x14ac:dyDescent="0.2">
      <c r="C40" s="36">
        <v>4448839.0980000012</v>
      </c>
      <c r="D40" s="36"/>
      <c r="E40" s="36">
        <v>49431.55</v>
      </c>
      <c r="F40" s="36">
        <f t="shared" si="6"/>
        <v>49431.55</v>
      </c>
      <c r="G40" s="3">
        <v>0.21</v>
      </c>
      <c r="H40" s="36">
        <f t="shared" si="5"/>
        <v>10380.6255</v>
      </c>
    </row>
    <row r="41" spans="3:8" x14ac:dyDescent="0.2">
      <c r="C41" s="36">
        <v>61477.070000000007</v>
      </c>
      <c r="D41" s="36"/>
      <c r="E41" s="36">
        <v>270.76</v>
      </c>
      <c r="F41" s="36">
        <f t="shared" si="6"/>
        <v>270.76</v>
      </c>
      <c r="G41" s="3">
        <v>0.21</v>
      </c>
      <c r="H41" s="36">
        <f t="shared" si="5"/>
        <v>56.859599999999993</v>
      </c>
    </row>
    <row r="42" spans="3:8" x14ac:dyDescent="0.2">
      <c r="C42" s="36">
        <v>48864.22</v>
      </c>
      <c r="D42" s="36"/>
      <c r="E42" s="36">
        <v>232.63</v>
      </c>
      <c r="F42" s="36">
        <f t="shared" si="6"/>
        <v>232.63</v>
      </c>
      <c r="G42" s="3">
        <v>0.21</v>
      </c>
      <c r="H42" s="36">
        <f t="shared" si="5"/>
        <v>48.8523</v>
      </c>
    </row>
    <row r="43" spans="3:8" x14ac:dyDescent="0.2">
      <c r="C43" s="36">
        <v>59018708.316</v>
      </c>
      <c r="D43" s="36"/>
      <c r="E43" s="36">
        <v>280978.23</v>
      </c>
      <c r="F43" s="36">
        <f t="shared" si="6"/>
        <v>280978.23</v>
      </c>
      <c r="G43" s="3">
        <v>0.21</v>
      </c>
      <c r="H43" s="36">
        <f t="shared" si="5"/>
        <v>59005.428299999992</v>
      </c>
    </row>
    <row r="44" spans="3:8" x14ac:dyDescent="0.2">
      <c r="C44" s="36">
        <v>88528062.473999992</v>
      </c>
      <c r="D44" s="36"/>
      <c r="E44" s="36">
        <v>1053905.5056428572</v>
      </c>
      <c r="F44" s="36">
        <f t="shared" si="6"/>
        <v>1053905.5056428572</v>
      </c>
      <c r="G44" s="3">
        <v>0.21</v>
      </c>
      <c r="H44" s="36">
        <f t="shared" si="5"/>
        <v>221320.156185</v>
      </c>
    </row>
    <row r="45" spans="3:8" x14ac:dyDescent="0.2">
      <c r="C45" s="36">
        <v>2761999.0980000007</v>
      </c>
      <c r="D45" s="36"/>
      <c r="E45" s="36">
        <v>13149.42</v>
      </c>
      <c r="F45" s="36">
        <f t="shared" si="6"/>
        <v>13149.42</v>
      </c>
      <c r="G45" s="3">
        <v>0.21</v>
      </c>
      <c r="H45" s="36">
        <f t="shared" si="5"/>
        <v>2761.3782000000001</v>
      </c>
    </row>
    <row r="46" spans="3:8" x14ac:dyDescent="0.2">
      <c r="C46" s="36">
        <v>1834207.4429999997</v>
      </c>
      <c r="D46" s="36"/>
      <c r="E46" s="36">
        <v>30570.124049999995</v>
      </c>
      <c r="F46" s="36">
        <f t="shared" si="6"/>
        <v>30570.124049999995</v>
      </c>
      <c r="G46" s="3">
        <v>0.21</v>
      </c>
      <c r="H46" s="36">
        <f t="shared" si="5"/>
        <v>6419.7260504999986</v>
      </c>
    </row>
    <row r="47" spans="3:8" x14ac:dyDescent="0.2">
      <c r="C47" s="36">
        <v>2308791.2039999999</v>
      </c>
      <c r="D47" s="36"/>
      <c r="E47" s="37">
        <v>27486</v>
      </c>
      <c r="F47" s="36">
        <f t="shared" si="6"/>
        <v>27486</v>
      </c>
      <c r="G47" s="3">
        <v>0.21</v>
      </c>
      <c r="H47" s="36">
        <f t="shared" si="5"/>
        <v>5772.0599999999995</v>
      </c>
    </row>
    <row r="48" spans="3:8" x14ac:dyDescent="0.2">
      <c r="C48" s="36">
        <v>28925</v>
      </c>
      <c r="D48" s="36"/>
      <c r="E48" s="36">
        <v>148.88999999999999</v>
      </c>
      <c r="F48" s="36">
        <f t="shared" si="6"/>
        <v>148.88999999999999</v>
      </c>
      <c r="G48" s="3">
        <v>0.21</v>
      </c>
      <c r="H48" s="36">
        <f t="shared" si="5"/>
        <v>31.266899999999996</v>
      </c>
    </row>
    <row r="49" spans="3:8" x14ac:dyDescent="0.2">
      <c r="C49" s="36">
        <v>1678783</v>
      </c>
      <c r="D49" s="36"/>
      <c r="E49" s="36">
        <v>8641.5400000000009</v>
      </c>
      <c r="F49" s="36">
        <f t="shared" si="6"/>
        <v>8641.5400000000009</v>
      </c>
      <c r="G49" s="3">
        <v>0.21</v>
      </c>
      <c r="H49" s="36">
        <f t="shared" si="5"/>
        <v>1814.7234000000001</v>
      </c>
    </row>
    <row r="50" spans="3:8" x14ac:dyDescent="0.2">
      <c r="C50" s="36">
        <v>5224318</v>
      </c>
      <c r="D50" s="36"/>
      <c r="E50" s="36"/>
      <c r="F50" s="36">
        <f t="shared" si="6"/>
        <v>0</v>
      </c>
      <c r="G50" s="3">
        <v>0.21</v>
      </c>
      <c r="H50" s="36">
        <f t="shared" si="5"/>
        <v>0</v>
      </c>
    </row>
    <row r="51" spans="3:8" x14ac:dyDescent="0.2">
      <c r="C51" s="36">
        <v>2238219</v>
      </c>
      <c r="D51" s="36"/>
      <c r="E51" s="36">
        <v>12453.82</v>
      </c>
      <c r="F51" s="36">
        <f t="shared" si="6"/>
        <v>12453.82</v>
      </c>
      <c r="G51" s="3">
        <v>0.21</v>
      </c>
      <c r="H51" s="36">
        <f t="shared" si="5"/>
        <v>2615.3021999999996</v>
      </c>
    </row>
    <row r="52" spans="3:8" x14ac:dyDescent="0.2">
      <c r="C52" s="36">
        <v>2433435</v>
      </c>
      <c r="D52" s="36"/>
      <c r="E52" s="36">
        <v>28969.46</v>
      </c>
      <c r="F52" s="36">
        <f t="shared" si="6"/>
        <v>28969.46</v>
      </c>
      <c r="G52" s="3">
        <v>0.21</v>
      </c>
      <c r="H52" s="36">
        <f t="shared" si="5"/>
        <v>6083.5865999999996</v>
      </c>
    </row>
    <row r="53" spans="3:8" x14ac:dyDescent="0.2">
      <c r="C53" s="36">
        <v>923894</v>
      </c>
      <c r="D53" s="36"/>
      <c r="E53" s="36">
        <v>15398.23</v>
      </c>
      <c r="F53" s="36">
        <f t="shared" si="6"/>
        <v>15398.23</v>
      </c>
      <c r="G53" s="38">
        <v>0.21</v>
      </c>
      <c r="H53" s="36">
        <f t="shared" si="5"/>
        <v>3233.6282999999999</v>
      </c>
    </row>
    <row r="54" spans="3:8" x14ac:dyDescent="0.2">
      <c r="C54" s="36">
        <v>2547757</v>
      </c>
      <c r="D54" s="36"/>
      <c r="E54" s="36">
        <v>23868.720000000001</v>
      </c>
      <c r="F54" s="36">
        <f t="shared" si="6"/>
        <v>23868.720000000001</v>
      </c>
      <c r="G54" s="38">
        <v>0.21</v>
      </c>
      <c r="H54" s="36">
        <f t="shared" si="5"/>
        <v>5012.4312</v>
      </c>
    </row>
    <row r="55" spans="3:8" x14ac:dyDescent="0.2">
      <c r="C55" s="36">
        <v>-5508918</v>
      </c>
      <c r="D55" s="36"/>
      <c r="E55" s="36">
        <v>-52829.42</v>
      </c>
      <c r="F55" s="36">
        <f t="shared" si="6"/>
        <v>-52829.42</v>
      </c>
      <c r="G55" s="38">
        <v>0.21</v>
      </c>
      <c r="H55" s="36">
        <f t="shared" si="5"/>
        <v>-11094.178199999998</v>
      </c>
    </row>
    <row r="56" spans="3:8" ht="15" x14ac:dyDescent="0.35">
      <c r="C56" s="36">
        <v>5285</v>
      </c>
      <c r="D56" s="36"/>
      <c r="E56" s="30">
        <v>31.8</v>
      </c>
      <c r="F56" s="30">
        <f t="shared" si="6"/>
        <v>31.8</v>
      </c>
      <c r="G56" s="38">
        <v>0.21</v>
      </c>
      <c r="H56" s="30">
        <f t="shared" si="5"/>
        <v>6.6779999999999999</v>
      </c>
    </row>
    <row r="57" spans="3:8" x14ac:dyDescent="0.2">
      <c r="E57" s="36">
        <f>SUM(E25:E56)</f>
        <v>3971292.2608357142</v>
      </c>
      <c r="F57" s="36">
        <f>SUM(F25:F56)</f>
        <v>-415071.73916428559</v>
      </c>
      <c r="G57" s="31" t="s">
        <v>42</v>
      </c>
      <c r="H57" s="36">
        <f>SUM(H25:H56)</f>
        <v>-87165.065224500111</v>
      </c>
    </row>
    <row r="58" spans="3:8" ht="15" x14ac:dyDescent="0.35">
      <c r="E58" s="9"/>
      <c r="F58" s="9"/>
      <c r="G58" s="31" t="s">
        <v>40</v>
      </c>
      <c r="H58" s="30">
        <f>-H92*0.21</f>
        <v>-36168.25732199999</v>
      </c>
    </row>
    <row r="59" spans="3:8" x14ac:dyDescent="0.2">
      <c r="H59" s="9">
        <f>H57+H58</f>
        <v>-123333.3225465001</v>
      </c>
    </row>
    <row r="60" spans="3:8" x14ac:dyDescent="0.2">
      <c r="H60" s="15">
        <f>H59-K15</f>
        <v>8.2963499851757661E-2</v>
      </c>
    </row>
    <row r="61" spans="3:8" x14ac:dyDescent="0.2">
      <c r="C61" s="15" t="s">
        <v>36</v>
      </c>
      <c r="D61" s="25" t="s">
        <v>31</v>
      </c>
      <c r="E61" s="26" t="s">
        <v>37</v>
      </c>
      <c r="F61" s="15" t="s">
        <v>38</v>
      </c>
      <c r="G61" s="29" t="s">
        <v>24</v>
      </c>
      <c r="H61" s="15" t="s">
        <v>39</v>
      </c>
    </row>
    <row r="62" spans="3:8" x14ac:dyDescent="0.2">
      <c r="C62" s="36">
        <v>360851</v>
      </c>
      <c r="D62" s="36">
        <f>D25</f>
        <v>4386364</v>
      </c>
      <c r="E62" s="36">
        <v>0</v>
      </c>
      <c r="F62" s="36">
        <f>E62-D62</f>
        <v>-4386364</v>
      </c>
      <c r="G62" s="3">
        <v>0.05</v>
      </c>
      <c r="H62" s="36">
        <f>F62*G62</f>
        <v>-219318.2</v>
      </c>
    </row>
    <row r="63" spans="3:8" x14ac:dyDescent="0.2">
      <c r="C63" s="36">
        <v>1965028</v>
      </c>
      <c r="D63" s="36"/>
      <c r="E63" s="36">
        <v>7306.63</v>
      </c>
      <c r="F63" s="36">
        <f>E63</f>
        <v>7306.63</v>
      </c>
      <c r="G63" s="3">
        <v>0.05</v>
      </c>
      <c r="H63" s="36">
        <f t="shared" ref="H63:H91" si="7">F63*G63</f>
        <v>365.33150000000001</v>
      </c>
    </row>
    <row r="64" spans="3:8" x14ac:dyDescent="0.2">
      <c r="C64" s="36">
        <v>18755</v>
      </c>
      <c r="D64" s="36"/>
      <c r="E64" s="36"/>
      <c r="F64" s="36">
        <f t="shared" ref="F64:F91" si="8">E64</f>
        <v>0</v>
      </c>
      <c r="G64" s="3">
        <v>0.05</v>
      </c>
      <c r="H64" s="36">
        <f t="shared" si="7"/>
        <v>0</v>
      </c>
    </row>
    <row r="65" spans="3:8" x14ac:dyDescent="0.2">
      <c r="C65" s="36">
        <v>3107470</v>
      </c>
      <c r="D65" s="36"/>
      <c r="E65" s="36">
        <v>11709.98</v>
      </c>
      <c r="F65" s="36">
        <f t="shared" si="8"/>
        <v>11709.98</v>
      </c>
      <c r="G65" s="3">
        <v>0.05</v>
      </c>
      <c r="H65" s="36">
        <f t="shared" si="7"/>
        <v>585.49900000000002</v>
      </c>
    </row>
    <row r="66" spans="3:8" x14ac:dyDescent="0.2">
      <c r="C66" s="36">
        <v>-5725</v>
      </c>
      <c r="D66" s="36"/>
      <c r="E66" s="36">
        <v>-23.32</v>
      </c>
      <c r="F66" s="36">
        <f t="shared" si="8"/>
        <v>-23.32</v>
      </c>
      <c r="G66" s="3">
        <v>0.05</v>
      </c>
      <c r="H66" s="36">
        <f t="shared" si="7"/>
        <v>-1.1660000000000001</v>
      </c>
    </row>
    <row r="67" spans="3:8" x14ac:dyDescent="0.2">
      <c r="C67" s="36">
        <v>127918333.47199999</v>
      </c>
      <c r="D67" s="36"/>
      <c r="E67" s="36">
        <v>521054.01</v>
      </c>
      <c r="F67" s="36">
        <f t="shared" si="8"/>
        <v>521054.01</v>
      </c>
      <c r="G67" s="3">
        <v>0.05</v>
      </c>
      <c r="H67" s="36">
        <f t="shared" si="7"/>
        <v>26052.700500000003</v>
      </c>
    </row>
    <row r="68" spans="3:8" x14ac:dyDescent="0.2">
      <c r="C68" s="36">
        <v>191877500.20799997</v>
      </c>
      <c r="D68" s="36"/>
      <c r="E68" s="36">
        <v>2284255.9548571426</v>
      </c>
      <c r="F68" s="36">
        <f t="shared" si="8"/>
        <v>2284255.9548571426</v>
      </c>
      <c r="G68" s="3">
        <v>0.05</v>
      </c>
      <c r="H68" s="36">
        <f t="shared" si="7"/>
        <v>114212.79774285713</v>
      </c>
    </row>
    <row r="69" spans="3:8" x14ac:dyDescent="0.2">
      <c r="C69" s="36">
        <v>3354199.04</v>
      </c>
      <c r="D69" s="36"/>
      <c r="E69" s="36">
        <v>13662.77</v>
      </c>
      <c r="F69" s="36">
        <f t="shared" si="8"/>
        <v>13662.77</v>
      </c>
      <c r="G69" s="3">
        <v>0.05</v>
      </c>
      <c r="H69" s="36">
        <f t="shared" si="7"/>
        <v>683.13850000000002</v>
      </c>
    </row>
    <row r="70" spans="3:8" x14ac:dyDescent="0.2">
      <c r="C70" s="36">
        <v>5411173.5480000004</v>
      </c>
      <c r="D70" s="36"/>
      <c r="E70" s="36">
        <v>23831.71</v>
      </c>
      <c r="F70" s="36">
        <f t="shared" si="8"/>
        <v>23831.71</v>
      </c>
      <c r="G70" s="3">
        <v>0.05</v>
      </c>
      <c r="H70" s="36">
        <f t="shared" si="7"/>
        <v>1191.5854999999999</v>
      </c>
    </row>
    <row r="71" spans="3:8" x14ac:dyDescent="0.2">
      <c r="C71" s="36">
        <v>8116760.3219999988</v>
      </c>
      <c r="D71" s="36"/>
      <c r="E71" s="36">
        <v>96628</v>
      </c>
      <c r="F71" s="36">
        <f t="shared" si="8"/>
        <v>96628</v>
      </c>
      <c r="G71" s="3">
        <v>0.05</v>
      </c>
      <c r="H71" s="36">
        <f t="shared" si="7"/>
        <v>4831.4000000000005</v>
      </c>
    </row>
    <row r="72" spans="3:8" x14ac:dyDescent="0.2">
      <c r="C72" s="36">
        <v>143218226.94000003</v>
      </c>
      <c r="D72" s="36"/>
      <c r="E72" s="36">
        <v>630756.93999999994</v>
      </c>
      <c r="F72" s="36">
        <f t="shared" si="8"/>
        <v>630756.93999999994</v>
      </c>
      <c r="G72" s="3">
        <v>0.05</v>
      </c>
      <c r="H72" s="36">
        <f t="shared" si="7"/>
        <v>31537.846999999998</v>
      </c>
    </row>
    <row r="73" spans="3:8" x14ac:dyDescent="0.2">
      <c r="C73" s="36">
        <v>214827340.41</v>
      </c>
      <c r="D73" s="36"/>
      <c r="E73" s="36">
        <v>1193485.23</v>
      </c>
      <c r="F73" s="36">
        <f t="shared" si="8"/>
        <v>1193485.23</v>
      </c>
      <c r="G73" s="3">
        <v>0.05</v>
      </c>
      <c r="H73" s="36">
        <f t="shared" si="7"/>
        <v>59674.261500000001</v>
      </c>
    </row>
    <row r="74" spans="3:8" x14ac:dyDescent="0.2">
      <c r="C74" s="36">
        <v>1550574.7880000002</v>
      </c>
      <c r="D74" s="36"/>
      <c r="E74" s="36">
        <v>6828.99</v>
      </c>
      <c r="F74" s="36">
        <f t="shared" si="8"/>
        <v>6828.99</v>
      </c>
      <c r="G74" s="3">
        <v>0.05</v>
      </c>
      <c r="H74" s="36">
        <f t="shared" si="7"/>
        <v>341.4495</v>
      </c>
    </row>
    <row r="75" spans="3:8" x14ac:dyDescent="0.2">
      <c r="C75" s="36">
        <v>2325862.182</v>
      </c>
      <c r="D75" s="36"/>
      <c r="E75" s="36">
        <v>27688.835500000001</v>
      </c>
      <c r="F75" s="36">
        <f t="shared" si="8"/>
        <v>27688.835500000001</v>
      </c>
      <c r="G75" s="3">
        <v>0.05</v>
      </c>
      <c r="H75" s="36">
        <f t="shared" si="7"/>
        <v>1384.4417750000002</v>
      </c>
    </row>
    <row r="76" spans="3:8" x14ac:dyDescent="0.2">
      <c r="C76" s="36">
        <v>5798889.6400000006</v>
      </c>
      <c r="D76" s="36"/>
      <c r="E76" s="36">
        <v>25539.279999999999</v>
      </c>
      <c r="F76" s="36">
        <f t="shared" si="8"/>
        <v>25539.279999999999</v>
      </c>
      <c r="G76" s="3">
        <v>0.05</v>
      </c>
      <c r="H76" s="36">
        <f t="shared" si="7"/>
        <v>1276.9639999999999</v>
      </c>
    </row>
    <row r="77" spans="3:8" x14ac:dyDescent="0.2">
      <c r="C77" s="36">
        <v>8698334.459999999</v>
      </c>
      <c r="D77" s="36"/>
      <c r="E77" s="36">
        <v>96648.16</v>
      </c>
      <c r="F77" s="36">
        <f t="shared" si="8"/>
        <v>96648.16</v>
      </c>
      <c r="G77" s="3">
        <v>0.05</v>
      </c>
      <c r="H77" s="36">
        <f t="shared" si="7"/>
        <v>4832.4080000000004</v>
      </c>
    </row>
    <row r="78" spans="3:8" x14ac:dyDescent="0.2">
      <c r="C78" s="36">
        <v>61477.070000000007</v>
      </c>
      <c r="D78" s="36"/>
      <c r="E78" s="36">
        <v>270.76</v>
      </c>
      <c r="F78" s="36">
        <f t="shared" si="8"/>
        <v>270.76</v>
      </c>
      <c r="G78" s="3">
        <v>0.05</v>
      </c>
      <c r="H78" s="36">
        <f t="shared" si="7"/>
        <v>13.538</v>
      </c>
    </row>
    <row r="79" spans="3:8" x14ac:dyDescent="0.2">
      <c r="C79" s="36">
        <v>97728.44</v>
      </c>
      <c r="D79" s="36"/>
      <c r="E79" s="36">
        <v>465.27</v>
      </c>
      <c r="F79" s="36">
        <f t="shared" si="8"/>
        <v>465.27</v>
      </c>
      <c r="G79" s="3">
        <v>0.05</v>
      </c>
      <c r="H79" s="36">
        <f t="shared" si="7"/>
        <v>23.263500000000001</v>
      </c>
    </row>
    <row r="80" spans="3:8" x14ac:dyDescent="0.2">
      <c r="C80" s="36">
        <v>113639335.91600001</v>
      </c>
      <c r="D80" s="36"/>
      <c r="E80" s="36">
        <v>541017.93999999994</v>
      </c>
      <c r="F80" s="36">
        <f t="shared" si="8"/>
        <v>541017.93999999994</v>
      </c>
      <c r="G80" s="3">
        <v>0.05</v>
      </c>
      <c r="H80" s="36">
        <f t="shared" si="7"/>
        <v>27050.896999999997</v>
      </c>
    </row>
    <row r="81" spans="3:8" x14ac:dyDescent="0.2">
      <c r="C81" s="36">
        <v>170459003.87400001</v>
      </c>
      <c r="D81" s="36"/>
      <c r="E81" s="36">
        <v>2029273.8556428573</v>
      </c>
      <c r="F81" s="36">
        <f t="shared" si="8"/>
        <v>2029273.8556428573</v>
      </c>
      <c r="G81" s="3">
        <v>0.05</v>
      </c>
      <c r="H81" s="36">
        <f t="shared" si="7"/>
        <v>101463.69278214287</v>
      </c>
    </row>
    <row r="82" spans="3:8" x14ac:dyDescent="0.2">
      <c r="C82" s="36">
        <v>5354505.7920000004</v>
      </c>
      <c r="D82" s="36"/>
      <c r="E82" s="36">
        <v>25491.91</v>
      </c>
      <c r="F82" s="36">
        <f t="shared" si="8"/>
        <v>25491.91</v>
      </c>
      <c r="G82" s="3">
        <v>0.05</v>
      </c>
      <c r="H82" s="36">
        <f t="shared" si="7"/>
        <v>1274.5955000000001</v>
      </c>
    </row>
    <row r="83" spans="3:8" x14ac:dyDescent="0.2">
      <c r="C83" s="36">
        <v>3586227.6599999997</v>
      </c>
      <c r="D83" s="36"/>
      <c r="E83" s="36">
        <v>59770.460999999988</v>
      </c>
      <c r="F83" s="36">
        <f t="shared" si="8"/>
        <v>59770.460999999988</v>
      </c>
      <c r="G83" s="3">
        <v>0.05</v>
      </c>
      <c r="H83" s="36">
        <f t="shared" si="7"/>
        <v>2988.5230499999998</v>
      </c>
    </row>
    <row r="84" spans="3:8" x14ac:dyDescent="0.2">
      <c r="C84" s="36">
        <v>4445531.0279999999</v>
      </c>
      <c r="D84" s="36"/>
      <c r="E84" s="36">
        <v>52922.988428571429</v>
      </c>
      <c r="F84" s="36">
        <f t="shared" si="8"/>
        <v>52922.988428571429</v>
      </c>
      <c r="G84" s="3">
        <v>0.05</v>
      </c>
      <c r="H84" s="36">
        <f t="shared" si="7"/>
        <v>2646.1494214285717</v>
      </c>
    </row>
    <row r="85" spans="3:8" x14ac:dyDescent="0.2">
      <c r="C85" s="36">
        <v>3386491</v>
      </c>
      <c r="D85" s="36"/>
      <c r="E85" s="36">
        <v>17431.96</v>
      </c>
      <c r="F85" s="36">
        <f t="shared" si="8"/>
        <v>17431.96</v>
      </c>
      <c r="G85" s="38">
        <v>0.05</v>
      </c>
      <c r="H85" s="36">
        <f t="shared" si="7"/>
        <v>871.59799999999996</v>
      </c>
    </row>
    <row r="86" spans="3:8" x14ac:dyDescent="0.2">
      <c r="C86" s="37">
        <v>4327946</v>
      </c>
      <c r="D86" s="36"/>
      <c r="E86" s="36">
        <v>24081.41</v>
      </c>
      <c r="F86" s="36">
        <f t="shared" si="8"/>
        <v>24081.41</v>
      </c>
      <c r="G86" s="38">
        <v>0.05</v>
      </c>
      <c r="H86" s="36">
        <f t="shared" si="7"/>
        <v>1204.0705</v>
      </c>
    </row>
    <row r="87" spans="3:8" x14ac:dyDescent="0.2">
      <c r="C87" s="37">
        <v>4685530</v>
      </c>
      <c r="D87" s="36"/>
      <c r="E87" s="36">
        <v>55780.12</v>
      </c>
      <c r="F87" s="36">
        <f t="shared" si="8"/>
        <v>55780.12</v>
      </c>
      <c r="G87" s="38">
        <v>0.05</v>
      </c>
      <c r="H87" s="36">
        <f t="shared" si="7"/>
        <v>2789.0060000000003</v>
      </c>
    </row>
    <row r="88" spans="3:8" x14ac:dyDescent="0.2">
      <c r="C88" s="37">
        <v>1806390</v>
      </c>
      <c r="D88" s="36"/>
      <c r="E88" s="36">
        <v>30106.49</v>
      </c>
      <c r="F88" s="36">
        <f t="shared" si="8"/>
        <v>30106.49</v>
      </c>
      <c r="G88" s="38">
        <v>0.05</v>
      </c>
      <c r="H88" s="36">
        <f t="shared" si="7"/>
        <v>1505.3245000000002</v>
      </c>
    </row>
    <row r="89" spans="3:8" x14ac:dyDescent="0.2">
      <c r="C89" s="37">
        <v>5014718</v>
      </c>
      <c r="D89" s="36"/>
      <c r="E89" s="36">
        <v>46980.51</v>
      </c>
      <c r="F89" s="36">
        <f t="shared" si="8"/>
        <v>46980.51</v>
      </c>
      <c r="G89" s="38">
        <v>0.05</v>
      </c>
      <c r="H89" s="36">
        <f t="shared" si="7"/>
        <v>2349.0255000000002</v>
      </c>
    </row>
    <row r="90" spans="3:8" x14ac:dyDescent="0.2">
      <c r="C90" s="37">
        <v>729864</v>
      </c>
      <c r="D90" s="36"/>
      <c r="E90" s="36">
        <v>7961.29</v>
      </c>
      <c r="F90" s="36">
        <f t="shared" si="8"/>
        <v>7961.29</v>
      </c>
      <c r="G90" s="38">
        <v>0.05</v>
      </c>
      <c r="H90" s="36">
        <f t="shared" si="7"/>
        <v>398.06450000000001</v>
      </c>
    </row>
    <row r="91" spans="3:8" ht="15" x14ac:dyDescent="0.35">
      <c r="C91" s="37">
        <v>5285</v>
      </c>
      <c r="D91" s="36"/>
      <c r="E91" s="30">
        <v>31.8</v>
      </c>
      <c r="F91" s="30">
        <f t="shared" si="8"/>
        <v>31.8</v>
      </c>
      <c r="G91" s="38">
        <v>0.05</v>
      </c>
      <c r="H91" s="30">
        <f t="shared" si="7"/>
        <v>1.59</v>
      </c>
    </row>
    <row r="92" spans="3:8" x14ac:dyDescent="0.2">
      <c r="E92" s="9">
        <f>SUM(E62:E91)</f>
        <v>7830959.935428571</v>
      </c>
      <c r="F92" s="9">
        <f>SUM(F62:F91)</f>
        <v>3444595.935428571</v>
      </c>
      <c r="H92" s="9">
        <f>SUM(H62:H91)</f>
        <v>172229.79677142852</v>
      </c>
    </row>
    <row r="93" spans="3:8" x14ac:dyDescent="0.2">
      <c r="E93" s="9"/>
      <c r="F93" s="9"/>
      <c r="H93" s="9">
        <f>H92-L15</f>
        <v>-4.2285714589525014E-3</v>
      </c>
    </row>
  </sheetData>
  <pageMargins left="0.5" right="0.5" top="1.5" bottom="0.5" header="0.5" footer="0.5"/>
  <pageSetup scale="54" orientation="portrait" r:id="rId1"/>
  <headerFooter alignWithMargins="0">
    <oddHeader>&amp;R&amp;"Times New Roman,Bold"&amp;12Attachment to Response to Question No. 3
Page 4 of 8
Clements</oddHeader>
    <oddFooter>&amp;L_x000D_&amp;1#&amp;"Calibri"&amp;14&amp;K000000 Business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15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22408153</v>
      </c>
    </row>
    <row r="10" spans="1:19" x14ac:dyDescent="0.2">
      <c r="A10" s="35">
        <v>43717</v>
      </c>
      <c r="C10" s="12">
        <v>100993470</v>
      </c>
      <c r="D10" s="13">
        <v>244315</v>
      </c>
      <c r="E10" s="13">
        <f>457026.21+16</f>
        <v>457042.21</v>
      </c>
      <c r="F10" s="13">
        <f>913551.06</f>
        <v>913551.06</v>
      </c>
      <c r="G10" s="14">
        <f t="shared" ref="G10:G15" si="0">E10-D10</f>
        <v>212727.21000000002</v>
      </c>
      <c r="H10" s="14">
        <f t="shared" ref="H10:H15" si="1">F10-D10</f>
        <v>669236.06000000006</v>
      </c>
      <c r="I10" s="3">
        <v>0.21</v>
      </c>
      <c r="J10" s="3">
        <v>0.05</v>
      </c>
      <c r="K10" s="9">
        <f t="shared" ref="K10:K15" si="2">G10*I10-L10*I10</f>
        <v>37645.73547</v>
      </c>
      <c r="L10" s="9">
        <f t="shared" ref="L10:L15" si="3">H10*J10</f>
        <v>33461.803000000007</v>
      </c>
      <c r="M10" s="15">
        <f t="shared" ref="M10:M15" si="4">M9+K10+L10</f>
        <v>22479260.53847</v>
      </c>
      <c r="N10" s="9">
        <v>0</v>
      </c>
      <c r="O10" s="33"/>
      <c r="S10" s="23"/>
    </row>
    <row r="11" spans="1:19" x14ac:dyDescent="0.2">
      <c r="A11" s="32">
        <v>43739</v>
      </c>
      <c r="C11" s="12">
        <v>100993470</v>
      </c>
      <c r="D11" s="13">
        <v>244315</v>
      </c>
      <c r="E11" s="13">
        <f>457026.21+20</f>
        <v>457046.21</v>
      </c>
      <c r="F11" s="13">
        <f>913551.06</f>
        <v>913551.06</v>
      </c>
      <c r="G11" s="14">
        <f t="shared" si="0"/>
        <v>212731.21000000002</v>
      </c>
      <c r="H11" s="14">
        <f t="shared" si="1"/>
        <v>669236.06000000006</v>
      </c>
      <c r="I11" s="3">
        <v>0.21</v>
      </c>
      <c r="J11" s="3">
        <v>0.05</v>
      </c>
      <c r="K11" s="9">
        <f t="shared" si="2"/>
        <v>37646.575469999996</v>
      </c>
      <c r="L11" s="9">
        <f t="shared" si="3"/>
        <v>33461.803000000007</v>
      </c>
      <c r="M11" s="15">
        <f t="shared" si="4"/>
        <v>22550368.91694</v>
      </c>
      <c r="N11" s="9">
        <v>0</v>
      </c>
      <c r="O11" s="33"/>
      <c r="Q11" s="9">
        <f>358619-M12</f>
        <v>-22262858.29541</v>
      </c>
      <c r="R11" s="17"/>
      <c r="S11" s="23"/>
    </row>
    <row r="12" spans="1:19" x14ac:dyDescent="0.2">
      <c r="A12" s="32">
        <v>43770</v>
      </c>
      <c r="C12" s="12">
        <v>100993470</v>
      </c>
      <c r="D12" s="13">
        <v>244315</v>
      </c>
      <c r="E12" s="13">
        <f>457026.21+20</f>
        <v>457046.21</v>
      </c>
      <c r="F12" s="13">
        <f>913551.06</f>
        <v>913551.06</v>
      </c>
      <c r="G12" s="14">
        <f t="shared" si="0"/>
        <v>212731.21000000002</v>
      </c>
      <c r="H12" s="14">
        <f t="shared" si="1"/>
        <v>669236.06000000006</v>
      </c>
      <c r="I12" s="3">
        <v>0.21</v>
      </c>
      <c r="J12" s="3">
        <v>0.05</v>
      </c>
      <c r="K12" s="9">
        <f t="shared" si="2"/>
        <v>37646.575469999996</v>
      </c>
      <c r="L12" s="9">
        <f t="shared" si="3"/>
        <v>33461.803000000007</v>
      </c>
      <c r="M12" s="15">
        <f t="shared" si="4"/>
        <v>22621477.29541</v>
      </c>
      <c r="N12" s="9">
        <v>0</v>
      </c>
      <c r="Q12">
        <f>+Q11/0.389</f>
        <v>-57230998.188714653</v>
      </c>
      <c r="R12" s="9"/>
      <c r="S12" s="23"/>
    </row>
    <row r="13" spans="1:19" x14ac:dyDescent="0.2">
      <c r="A13" s="32">
        <v>43800</v>
      </c>
      <c r="C13" s="12">
        <v>100993470</v>
      </c>
      <c r="D13" s="13">
        <v>244315</v>
      </c>
      <c r="E13" s="13">
        <f>457026.21+20-4</f>
        <v>457042.21</v>
      </c>
      <c r="F13" s="13">
        <f>913551.06</f>
        <v>913551.06</v>
      </c>
      <c r="G13" s="14">
        <f t="shared" si="0"/>
        <v>212727.21000000002</v>
      </c>
      <c r="H13" s="14">
        <f t="shared" si="1"/>
        <v>669236.06000000006</v>
      </c>
      <c r="I13" s="3">
        <v>0.21</v>
      </c>
      <c r="J13" s="3">
        <v>0.05</v>
      </c>
      <c r="K13" s="9">
        <f t="shared" si="2"/>
        <v>37645.73547</v>
      </c>
      <c r="L13" s="9">
        <f t="shared" si="3"/>
        <v>33461.803000000007</v>
      </c>
      <c r="M13" s="15">
        <f t="shared" si="4"/>
        <v>22692584.83388</v>
      </c>
      <c r="N13" s="9">
        <v>0</v>
      </c>
      <c r="Q13" s="9">
        <f>374733-M14</f>
        <v>-22386966.065170001</v>
      </c>
      <c r="S13" s="23"/>
    </row>
    <row r="14" spans="1:19" x14ac:dyDescent="0.2">
      <c r="A14" s="32">
        <v>43831</v>
      </c>
      <c r="C14" s="12">
        <v>100993470</v>
      </c>
      <c r="D14" s="13">
        <v>244315</v>
      </c>
      <c r="E14" s="13">
        <f>450190.07+4</f>
        <v>450194.07</v>
      </c>
      <c r="F14" s="13">
        <v>899495.42</v>
      </c>
      <c r="G14" s="14">
        <f t="shared" si="0"/>
        <v>205879.07</v>
      </c>
      <c r="H14" s="14">
        <f t="shared" si="1"/>
        <v>655180.42000000004</v>
      </c>
      <c r="I14" s="3">
        <v>0.21</v>
      </c>
      <c r="J14" s="3">
        <v>0.05</v>
      </c>
      <c r="K14" s="9">
        <f t="shared" si="2"/>
        <v>36355.210289999995</v>
      </c>
      <c r="L14" s="9">
        <f t="shared" si="3"/>
        <v>32759.021000000004</v>
      </c>
      <c r="M14" s="15">
        <f t="shared" si="4"/>
        <v>22761699.065170001</v>
      </c>
      <c r="N14" s="9">
        <v>0</v>
      </c>
      <c r="Q14">
        <f>+Q13/0.389</f>
        <v>-57550041.298637532</v>
      </c>
      <c r="R14" s="9"/>
      <c r="S14" s="23"/>
    </row>
    <row r="15" spans="1:19" x14ac:dyDescent="0.2">
      <c r="A15" s="32">
        <v>43862</v>
      </c>
      <c r="C15" s="12">
        <v>100993470</v>
      </c>
      <c r="D15" s="13">
        <v>244315</v>
      </c>
      <c r="E15" s="13">
        <f>450190.07</f>
        <v>450190.07</v>
      </c>
      <c r="F15" s="13">
        <v>899495.42</v>
      </c>
      <c r="G15" s="14">
        <f t="shared" si="0"/>
        <v>205875.07</v>
      </c>
      <c r="H15" s="14">
        <f t="shared" si="1"/>
        <v>655180.42000000004</v>
      </c>
      <c r="I15" s="3">
        <v>0.21</v>
      </c>
      <c r="J15" s="3">
        <v>0.05</v>
      </c>
      <c r="K15" s="9">
        <f t="shared" si="2"/>
        <v>36354.370289999999</v>
      </c>
      <c r="L15" s="9">
        <f t="shared" si="3"/>
        <v>32759.021000000004</v>
      </c>
      <c r="M15" s="15">
        <f t="shared" si="4"/>
        <v>22830812.456460003</v>
      </c>
      <c r="N15" s="9">
        <v>0</v>
      </c>
      <c r="Q15" s="9">
        <f>+M15-386700</f>
        <v>22444112.456460003</v>
      </c>
      <c r="R15" s="19"/>
      <c r="S15" s="23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57696947.188843191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 t="s">
        <v>27</v>
      </c>
      <c r="D19" s="25"/>
      <c r="E19" s="25"/>
      <c r="F19" s="25"/>
      <c r="G19" s="26"/>
      <c r="H19" s="26"/>
    </row>
    <row r="20" spans="1:16" x14ac:dyDescent="0.2">
      <c r="C20" s="24" t="s">
        <v>28</v>
      </c>
      <c r="D20" s="25"/>
      <c r="E20" s="25"/>
      <c r="F20" s="25"/>
      <c r="G20" s="26"/>
      <c r="H20" s="26"/>
    </row>
    <row r="21" spans="1:16" x14ac:dyDescent="0.2">
      <c r="C21" s="24" t="s">
        <v>48</v>
      </c>
      <c r="D21" s="25"/>
      <c r="E21" s="25"/>
      <c r="F21" s="25"/>
      <c r="G21" s="26"/>
      <c r="H21" s="26"/>
    </row>
    <row r="22" spans="1:16" x14ac:dyDescent="0.2">
      <c r="C22" s="15" t="s">
        <v>29</v>
      </c>
      <c r="D22" s="25"/>
      <c r="E22" s="25"/>
      <c r="F22" s="25"/>
      <c r="G22" s="26"/>
      <c r="H22" s="26"/>
    </row>
    <row r="23" spans="1:16" x14ac:dyDescent="0.2">
      <c r="C23" s="27"/>
      <c r="D23" s="25"/>
      <c r="E23" s="25"/>
      <c r="F23" s="25"/>
      <c r="G23" s="25"/>
      <c r="H23" s="25"/>
    </row>
    <row r="24" spans="1:16" x14ac:dyDescent="0.2">
      <c r="C24" s="15" t="s">
        <v>30</v>
      </c>
      <c r="D24" s="28" t="s">
        <v>31</v>
      </c>
      <c r="E24" s="26" t="s">
        <v>32</v>
      </c>
      <c r="F24" s="15" t="s">
        <v>33</v>
      </c>
      <c r="G24" s="29" t="s">
        <v>23</v>
      </c>
      <c r="H24" s="15" t="s">
        <v>34</v>
      </c>
    </row>
    <row r="25" spans="1:16" x14ac:dyDescent="0.2">
      <c r="C25" s="36">
        <v>19447093.452</v>
      </c>
      <c r="D25" s="36">
        <v>244315</v>
      </c>
      <c r="E25" s="36">
        <v>85648.24</v>
      </c>
      <c r="F25" s="36">
        <f>E25-D25</f>
        <v>-158666.76</v>
      </c>
      <c r="G25" s="3">
        <v>0.21</v>
      </c>
      <c r="H25" s="36">
        <f>F25*G25</f>
        <v>-33320.0196</v>
      </c>
    </row>
    <row r="26" spans="1:16" x14ac:dyDescent="0.2">
      <c r="C26" s="36">
        <v>29170640.177999996</v>
      </c>
      <c r="D26" s="36"/>
      <c r="E26" s="36">
        <v>347269.53</v>
      </c>
      <c r="F26" s="36">
        <f>E26</f>
        <v>347269.53</v>
      </c>
      <c r="G26" s="3">
        <v>0.21</v>
      </c>
      <c r="H26" s="36">
        <f t="shared" ref="H26:H31" si="5">F26*G26</f>
        <v>72926.601300000009</v>
      </c>
    </row>
    <row r="27" spans="1:16" x14ac:dyDescent="0.2">
      <c r="C27" s="36">
        <v>584700.50199999998</v>
      </c>
      <c r="D27" s="36"/>
      <c r="E27" s="36">
        <v>2783.66</v>
      </c>
      <c r="F27" s="36">
        <f t="shared" ref="F27:F31" si="6">E27</f>
        <v>2783.66</v>
      </c>
      <c r="G27" s="3">
        <v>0.21</v>
      </c>
      <c r="H27" s="36">
        <f t="shared" si="5"/>
        <v>584.56859999999995</v>
      </c>
    </row>
    <row r="28" spans="1:16" x14ac:dyDescent="0.2">
      <c r="C28" s="36">
        <v>877050.75299999991</v>
      </c>
      <c r="D28" s="36"/>
      <c r="E28" s="36">
        <v>10441.080392857142</v>
      </c>
      <c r="F28" s="36">
        <f t="shared" si="6"/>
        <v>10441.080392857142</v>
      </c>
      <c r="G28" s="38">
        <v>0.21</v>
      </c>
      <c r="H28" s="36">
        <f t="shared" si="5"/>
        <v>2192.6268824999997</v>
      </c>
    </row>
    <row r="29" spans="1:16" x14ac:dyDescent="0.2">
      <c r="C29" s="36">
        <v>137487</v>
      </c>
      <c r="D29" s="36"/>
      <c r="E29" s="36">
        <v>707.71</v>
      </c>
      <c r="F29" s="36">
        <f t="shared" si="6"/>
        <v>707.71</v>
      </c>
      <c r="G29" s="38">
        <v>0.21</v>
      </c>
      <c r="H29" s="36">
        <f t="shared" si="5"/>
        <v>148.6191</v>
      </c>
    </row>
    <row r="30" spans="1:16" x14ac:dyDescent="0.2">
      <c r="C30" s="36">
        <v>206231</v>
      </c>
      <c r="D30" s="36"/>
      <c r="E30" s="36">
        <v>2455</v>
      </c>
      <c r="F30" s="36">
        <f t="shared" si="6"/>
        <v>2455</v>
      </c>
      <c r="G30" s="38">
        <v>0.21</v>
      </c>
      <c r="H30" s="36">
        <f t="shared" si="5"/>
        <v>515.54999999999995</v>
      </c>
    </row>
    <row r="31" spans="1:16" ht="15" x14ac:dyDescent="0.35">
      <c r="C31" s="36">
        <v>147065</v>
      </c>
      <c r="D31" s="36"/>
      <c r="E31" s="30">
        <v>884.72</v>
      </c>
      <c r="F31" s="30">
        <f t="shared" si="6"/>
        <v>884.72</v>
      </c>
      <c r="G31" s="38">
        <v>0.21</v>
      </c>
      <c r="H31" s="30">
        <f t="shared" si="5"/>
        <v>185.7912</v>
      </c>
    </row>
    <row r="32" spans="1:16" x14ac:dyDescent="0.2">
      <c r="C32" s="36"/>
      <c r="D32" s="36"/>
      <c r="E32" s="36">
        <f>SUM(E25:E31)</f>
        <v>450189.94039285713</v>
      </c>
      <c r="F32" s="36">
        <f>SUM(F25:F31)</f>
        <v>205874.94039285716</v>
      </c>
      <c r="G32" s="31" t="s">
        <v>42</v>
      </c>
      <c r="H32" s="36">
        <f>SUM(H25:H31)</f>
        <v>43233.737482500015</v>
      </c>
    </row>
    <row r="33" spans="3:8" ht="15" x14ac:dyDescent="0.35">
      <c r="E33" s="9"/>
      <c r="F33" s="9"/>
      <c r="G33" s="31" t="s">
        <v>40</v>
      </c>
      <c r="H33" s="30">
        <f>-H44*0.21</f>
        <v>-6879.394332750001</v>
      </c>
    </row>
    <row r="34" spans="3:8" x14ac:dyDescent="0.2">
      <c r="H34" s="9">
        <f>H32+H33</f>
        <v>36354.343149750013</v>
      </c>
    </row>
    <row r="35" spans="3:8" x14ac:dyDescent="0.2">
      <c r="H35" s="9">
        <f>H34-K15</f>
        <v>-2.7140249985677656E-2</v>
      </c>
    </row>
    <row r="36" spans="3:8" x14ac:dyDescent="0.2">
      <c r="C36" s="15" t="s">
        <v>36</v>
      </c>
      <c r="D36" s="25" t="s">
        <v>31</v>
      </c>
      <c r="E36" s="26" t="s">
        <v>37</v>
      </c>
      <c r="F36" s="15" t="s">
        <v>38</v>
      </c>
      <c r="G36" s="29" t="s">
        <v>24</v>
      </c>
      <c r="H36" s="15" t="s">
        <v>39</v>
      </c>
    </row>
    <row r="37" spans="3:8" x14ac:dyDescent="0.2">
      <c r="C37" s="36">
        <v>38894186.903999999</v>
      </c>
      <c r="D37" s="36">
        <f>D25</f>
        <v>244315</v>
      </c>
      <c r="E37" s="36">
        <v>171296.48</v>
      </c>
      <c r="F37" s="36">
        <f>E37-D37</f>
        <v>-73018.51999999999</v>
      </c>
      <c r="G37" s="3">
        <v>0.05</v>
      </c>
      <c r="H37" s="36">
        <f>F37*G37</f>
        <v>-3650.9259999999995</v>
      </c>
    </row>
    <row r="38" spans="3:8" x14ac:dyDescent="0.2">
      <c r="C38" s="36">
        <v>58341280.355999991</v>
      </c>
      <c r="D38" s="36"/>
      <c r="E38" s="36">
        <v>694539.05185714283</v>
      </c>
      <c r="F38" s="36">
        <f>E38</f>
        <v>694539.05185714283</v>
      </c>
      <c r="G38" s="3">
        <v>0.05</v>
      </c>
      <c r="H38" s="36">
        <f t="shared" ref="H38:H43" si="7">F38*G38</f>
        <v>34726.952592857146</v>
      </c>
    </row>
    <row r="39" spans="3:8" x14ac:dyDescent="0.2">
      <c r="C39" s="36">
        <v>1169401.004</v>
      </c>
      <c r="D39" s="36"/>
      <c r="E39" s="36">
        <v>5567.32</v>
      </c>
      <c r="F39" s="36">
        <f t="shared" ref="F39:F43" si="8">E39</f>
        <v>5567.32</v>
      </c>
      <c r="G39" s="3">
        <v>0.05</v>
      </c>
      <c r="H39" s="36">
        <f t="shared" si="7"/>
        <v>278.36599999999999</v>
      </c>
    </row>
    <row r="40" spans="3:8" x14ac:dyDescent="0.2">
      <c r="C40" s="36">
        <v>1754101.5059999998</v>
      </c>
      <c r="D40" s="36"/>
      <c r="E40" s="36">
        <v>20882.160785714284</v>
      </c>
      <c r="F40" s="36">
        <f t="shared" si="8"/>
        <v>20882.160785714284</v>
      </c>
      <c r="G40" s="3">
        <v>0.05</v>
      </c>
      <c r="H40" s="36">
        <f t="shared" si="7"/>
        <v>1044.1080392857143</v>
      </c>
    </row>
    <row r="41" spans="3:8" x14ac:dyDescent="0.2">
      <c r="C41" s="36">
        <v>274974</v>
      </c>
      <c r="D41" s="36"/>
      <c r="E41" s="36">
        <v>1415.43</v>
      </c>
      <c r="F41" s="36">
        <f t="shared" si="8"/>
        <v>1415.43</v>
      </c>
      <c r="G41" s="3">
        <v>0.05</v>
      </c>
      <c r="H41" s="36">
        <f t="shared" si="7"/>
        <v>70.771500000000003</v>
      </c>
    </row>
    <row r="42" spans="3:8" x14ac:dyDescent="0.2">
      <c r="C42" s="36">
        <v>412461</v>
      </c>
      <c r="D42" s="36"/>
      <c r="E42" s="36">
        <v>4910.25</v>
      </c>
      <c r="F42" s="36">
        <f t="shared" si="8"/>
        <v>4910.25</v>
      </c>
      <c r="G42" s="38">
        <v>0.05</v>
      </c>
      <c r="H42" s="36">
        <f t="shared" si="7"/>
        <v>245.51250000000002</v>
      </c>
    </row>
    <row r="43" spans="3:8" ht="15" x14ac:dyDescent="0.35">
      <c r="C43" s="36">
        <v>147065</v>
      </c>
      <c r="D43" s="36"/>
      <c r="E43" s="30">
        <v>884.72</v>
      </c>
      <c r="F43" s="30">
        <f t="shared" si="8"/>
        <v>884.72</v>
      </c>
      <c r="G43" s="38">
        <v>0.05</v>
      </c>
      <c r="H43" s="30">
        <f t="shared" si="7"/>
        <v>44.236000000000004</v>
      </c>
    </row>
    <row r="44" spans="3:8" x14ac:dyDescent="0.2">
      <c r="E44" s="9">
        <f>SUM(E37:E43)</f>
        <v>899495.41264285706</v>
      </c>
      <c r="F44" s="9">
        <f>SUM(F37:F43)</f>
        <v>655180.41264285706</v>
      </c>
      <c r="H44" s="36">
        <f>SUM(H37:H43)</f>
        <v>32759.020632142863</v>
      </c>
    </row>
    <row r="45" spans="3:8" x14ac:dyDescent="0.2">
      <c r="E45" s="9"/>
      <c r="F45" s="9"/>
      <c r="H45" s="9">
        <f>H44-L15</f>
        <v>-3.6785714110010304E-4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8
Clements</oddHeader>
    <oddFooter>&amp;L_x000D_&amp;1#&amp;"Calibri"&amp;14&amp;K000000 Business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0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16</v>
      </c>
    </row>
    <row r="6" spans="1:19" x14ac:dyDescent="0.2">
      <c r="A6" s="22" t="s">
        <v>17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876628</v>
      </c>
      <c r="O9" s="9" t="s">
        <v>14</v>
      </c>
    </row>
    <row r="10" spans="1:19" x14ac:dyDescent="0.2">
      <c r="A10" s="35">
        <v>43717</v>
      </c>
      <c r="C10" s="12">
        <v>4512896</v>
      </c>
      <c r="D10" s="13">
        <v>20334</v>
      </c>
      <c r="E10" s="13">
        <f>24213.64</f>
        <v>24213.64</v>
      </c>
      <c r="F10" s="13">
        <f>47327.95</f>
        <v>47327.95</v>
      </c>
      <c r="G10" s="14">
        <f t="shared" ref="G10:G13" si="0">E10-D10</f>
        <v>3879.6399999999994</v>
      </c>
      <c r="H10" s="14">
        <f t="shared" ref="H10:H13" si="1">F10-D10</f>
        <v>26993.949999999997</v>
      </c>
      <c r="I10" s="3">
        <v>0.21</v>
      </c>
      <c r="J10" s="3">
        <v>0.05</v>
      </c>
      <c r="K10" s="9">
        <f t="shared" ref="K10:K15" si="2">G10*I10-L10*I10</f>
        <v>531.28792499999986</v>
      </c>
      <c r="L10" s="9">
        <f t="shared" ref="L10:L15" si="3">H10*J10</f>
        <v>1349.6975</v>
      </c>
      <c r="M10" s="15">
        <f t="shared" ref="M10:M15" si="4">M9+K10+L10</f>
        <v>878508.98542499996</v>
      </c>
      <c r="N10" s="9">
        <v>0</v>
      </c>
      <c r="O10" s="33"/>
    </row>
    <row r="11" spans="1:19" x14ac:dyDescent="0.2">
      <c r="A11" s="32">
        <v>43739</v>
      </c>
      <c r="C11" s="12">
        <v>4512896</v>
      </c>
      <c r="D11" s="13">
        <v>20334</v>
      </c>
      <c r="E11" s="13">
        <f>24213.64</f>
        <v>24213.64</v>
      </c>
      <c r="F11" s="13">
        <f>47327.95</f>
        <v>47327.95</v>
      </c>
      <c r="G11" s="14">
        <f t="shared" si="0"/>
        <v>3879.6399999999994</v>
      </c>
      <c r="H11" s="14">
        <f t="shared" si="1"/>
        <v>26993.949999999997</v>
      </c>
      <c r="I11" s="3">
        <v>0.21</v>
      </c>
      <c r="J11" s="3">
        <v>0.05</v>
      </c>
      <c r="K11" s="9">
        <f t="shared" si="2"/>
        <v>531.28792499999986</v>
      </c>
      <c r="L11" s="9">
        <f t="shared" si="3"/>
        <v>1349.6975</v>
      </c>
      <c r="M11" s="15">
        <f t="shared" si="4"/>
        <v>880389.97084999993</v>
      </c>
      <c r="N11" s="9">
        <v>0</v>
      </c>
      <c r="O11" s="33"/>
      <c r="Q11" s="9">
        <f>358619-M12</f>
        <v>-523651.95627499989</v>
      </c>
      <c r="R11" s="17"/>
      <c r="S11" s="9"/>
    </row>
    <row r="12" spans="1:19" x14ac:dyDescent="0.2">
      <c r="A12" s="32">
        <v>43770</v>
      </c>
      <c r="C12" s="12">
        <v>4512896</v>
      </c>
      <c r="D12" s="13">
        <v>20334</v>
      </c>
      <c r="E12" s="13">
        <f>24213.64</f>
        <v>24213.64</v>
      </c>
      <c r="F12" s="13">
        <f>47327.95</f>
        <v>47327.95</v>
      </c>
      <c r="G12" s="14">
        <f t="shared" si="0"/>
        <v>3879.6399999999994</v>
      </c>
      <c r="H12" s="14">
        <f t="shared" si="1"/>
        <v>26993.949999999997</v>
      </c>
      <c r="I12" s="3">
        <v>0.21</v>
      </c>
      <c r="J12" s="3">
        <v>0.05</v>
      </c>
      <c r="K12" s="9">
        <f t="shared" si="2"/>
        <v>531.28792499999986</v>
      </c>
      <c r="L12" s="9">
        <f t="shared" si="3"/>
        <v>1349.6975</v>
      </c>
      <c r="M12" s="15">
        <f t="shared" si="4"/>
        <v>882270.95627499989</v>
      </c>
      <c r="N12" s="9">
        <v>0</v>
      </c>
      <c r="Q12">
        <f>+Q11/0.389</f>
        <v>-1346148.98785347</v>
      </c>
      <c r="R12" s="9"/>
      <c r="S12" s="9"/>
    </row>
    <row r="13" spans="1:19" x14ac:dyDescent="0.2">
      <c r="A13" s="32">
        <v>43800</v>
      </c>
      <c r="C13" s="12">
        <v>4512896</v>
      </c>
      <c r="D13" s="13">
        <v>20334</v>
      </c>
      <c r="E13" s="13">
        <f>24213.64</f>
        <v>24213.64</v>
      </c>
      <c r="F13" s="13">
        <f>47327.95</f>
        <v>47327.95</v>
      </c>
      <c r="G13" s="14">
        <f t="shared" si="0"/>
        <v>3879.6399999999994</v>
      </c>
      <c r="H13" s="14">
        <f t="shared" si="1"/>
        <v>26993.949999999997</v>
      </c>
      <c r="I13" s="3">
        <v>0.21</v>
      </c>
      <c r="J13" s="3">
        <v>0.05</v>
      </c>
      <c r="K13" s="9">
        <f t="shared" si="2"/>
        <v>531.28792499999986</v>
      </c>
      <c r="L13" s="9">
        <f t="shared" si="3"/>
        <v>1349.6975</v>
      </c>
      <c r="M13" s="15">
        <f t="shared" si="4"/>
        <v>884151.94169999985</v>
      </c>
      <c r="N13" s="9">
        <v>0</v>
      </c>
      <c r="Q13" s="9">
        <f>374733-M14</f>
        <v>-511180.3174399999</v>
      </c>
      <c r="S13" s="9"/>
    </row>
    <row r="14" spans="1:19" x14ac:dyDescent="0.2">
      <c r="A14" s="32">
        <v>43831</v>
      </c>
      <c r="C14" s="12">
        <v>4512896</v>
      </c>
      <c r="D14" s="13">
        <v>20334</v>
      </c>
      <c r="E14" s="13">
        <f>23784.47</f>
        <v>23784.47</v>
      </c>
      <c r="F14" s="13">
        <v>46581.52</v>
      </c>
      <c r="G14" s="14">
        <f t="shared" ref="G14" si="5">E14-D14</f>
        <v>3450.4700000000012</v>
      </c>
      <c r="H14" s="14">
        <f t="shared" ref="H14" si="6">F14-D14</f>
        <v>26247.519999999997</v>
      </c>
      <c r="I14" s="3">
        <v>0.21</v>
      </c>
      <c r="J14" s="3">
        <v>0.05</v>
      </c>
      <c r="K14" s="9">
        <f t="shared" si="2"/>
        <v>448.99974000000026</v>
      </c>
      <c r="L14" s="9">
        <f t="shared" si="3"/>
        <v>1312.376</v>
      </c>
      <c r="M14" s="15">
        <f t="shared" si="4"/>
        <v>885913.3174399999</v>
      </c>
      <c r="N14" s="9">
        <v>0</v>
      </c>
      <c r="Q14">
        <f>+Q13/0.389</f>
        <v>-1314088.2196401025</v>
      </c>
      <c r="R14" s="9"/>
      <c r="S14" s="9"/>
    </row>
    <row r="15" spans="1:19" x14ac:dyDescent="0.2">
      <c r="A15" s="32">
        <v>43862</v>
      </c>
      <c r="C15" s="12">
        <v>4512896</v>
      </c>
      <c r="D15" s="13">
        <v>20334</v>
      </c>
      <c r="E15" s="13">
        <f>23784.47-2</f>
        <v>23782.47</v>
      </c>
      <c r="F15" s="13">
        <v>46581.52</v>
      </c>
      <c r="G15" s="14">
        <f t="shared" ref="G15" si="7">E15-D15</f>
        <v>3448.4700000000012</v>
      </c>
      <c r="H15" s="14">
        <f t="shared" ref="H15" si="8">F15-D15</f>
        <v>26247.519999999997</v>
      </c>
      <c r="I15" s="3">
        <v>0.21</v>
      </c>
      <c r="J15" s="3">
        <v>0.05</v>
      </c>
      <c r="K15" s="9">
        <f t="shared" si="2"/>
        <v>448.57974000000019</v>
      </c>
      <c r="L15" s="9">
        <f t="shared" si="3"/>
        <v>1312.376</v>
      </c>
      <c r="M15" s="15">
        <f t="shared" si="4"/>
        <v>887674.2731799999</v>
      </c>
      <c r="N15" s="9">
        <v>0</v>
      </c>
      <c r="Q15" s="9">
        <f>+M15-386700</f>
        <v>500974.2731799999</v>
      </c>
      <c r="R15" s="19"/>
      <c r="S15" s="9"/>
    </row>
    <row r="16" spans="1:19" x14ac:dyDescent="0.2">
      <c r="A16" s="16"/>
      <c r="C16" s="12"/>
      <c r="D16" s="13"/>
      <c r="E16" s="13"/>
      <c r="F16" s="13"/>
      <c r="G16" s="14"/>
      <c r="H16" s="14"/>
      <c r="I16" s="3"/>
      <c r="J16" s="3"/>
      <c r="K16" s="9"/>
      <c r="L16" s="9"/>
      <c r="M16" s="15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3"/>
      <c r="J17" s="3"/>
      <c r="K17" s="9"/>
      <c r="L17" s="9"/>
      <c r="M17" s="15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3"/>
      <c r="J18" s="3"/>
      <c r="K18" s="9"/>
      <c r="L18" s="9"/>
      <c r="M18" s="15"/>
      <c r="N18" s="9"/>
      <c r="O18" s="15"/>
      <c r="P18" s="9"/>
    </row>
    <row r="19" spans="1:16" x14ac:dyDescent="0.2">
      <c r="A19" s="16"/>
      <c r="C19" s="12"/>
      <c r="D19" s="13"/>
      <c r="E19" s="13"/>
      <c r="F19" s="13"/>
      <c r="G19" s="14"/>
      <c r="H19" s="14"/>
      <c r="I19" s="3"/>
      <c r="J19" s="3"/>
      <c r="K19" s="9"/>
      <c r="L19" s="9"/>
      <c r="M19" s="15"/>
      <c r="N19" s="9"/>
      <c r="O19" s="15"/>
      <c r="P19" s="9"/>
    </row>
    <row r="20" spans="1:16" x14ac:dyDescent="0.2">
      <c r="A20" s="16"/>
      <c r="C20" s="12"/>
      <c r="D20" s="13"/>
      <c r="E20" s="13"/>
      <c r="F20" s="13"/>
      <c r="G20" s="14"/>
      <c r="H20" s="14"/>
      <c r="I20" s="14"/>
      <c r="J20" s="12"/>
      <c r="K20" s="12"/>
      <c r="L20" s="3"/>
      <c r="M20" s="3"/>
      <c r="N20" s="9"/>
      <c r="O20" s="15"/>
      <c r="P20" s="9"/>
    </row>
    <row r="21" spans="1:16" x14ac:dyDescent="0.2">
      <c r="C21" s="24" t="s">
        <v>44</v>
      </c>
      <c r="D21" s="25"/>
      <c r="E21" s="25"/>
      <c r="F21" s="25"/>
      <c r="G21" s="26"/>
      <c r="H21" s="26"/>
    </row>
    <row r="22" spans="1:16" x14ac:dyDescent="0.2">
      <c r="C22" s="24" t="s">
        <v>28</v>
      </c>
      <c r="D22" s="25"/>
      <c r="E22" s="25"/>
      <c r="F22" s="25"/>
      <c r="G22" s="26"/>
      <c r="H22" s="26"/>
    </row>
    <row r="23" spans="1:16" x14ac:dyDescent="0.2">
      <c r="C23" s="24" t="s">
        <v>48</v>
      </c>
      <c r="D23" s="25"/>
      <c r="E23" s="25"/>
      <c r="F23" s="25"/>
      <c r="G23" s="26"/>
      <c r="H23" s="26"/>
    </row>
    <row r="24" spans="1:16" x14ac:dyDescent="0.2">
      <c r="C24" s="15" t="s">
        <v>29</v>
      </c>
      <c r="D24" s="25"/>
      <c r="E24" s="25"/>
      <c r="F24" s="25"/>
      <c r="G24" s="26"/>
      <c r="H24" s="26"/>
    </row>
    <row r="25" spans="1:16" x14ac:dyDescent="0.2">
      <c r="C25" s="27"/>
      <c r="D25" s="25"/>
      <c r="E25" s="25"/>
      <c r="F25" s="25"/>
      <c r="G25" s="25"/>
      <c r="H25" s="25"/>
    </row>
    <row r="26" spans="1:16" x14ac:dyDescent="0.2">
      <c r="C26" s="15" t="s">
        <v>30</v>
      </c>
      <c r="D26" s="28" t="s">
        <v>31</v>
      </c>
      <c r="E26" s="26" t="s">
        <v>32</v>
      </c>
      <c r="F26" s="15" t="s">
        <v>33</v>
      </c>
      <c r="G26" s="29" t="s">
        <v>23</v>
      </c>
      <c r="H26" s="15" t="s">
        <v>34</v>
      </c>
    </row>
    <row r="27" spans="1:16" x14ac:dyDescent="0.2">
      <c r="C27" s="36">
        <v>234559.42400000003</v>
      </c>
      <c r="D27" s="36">
        <v>20334</v>
      </c>
      <c r="E27" s="36">
        <v>1116.7</v>
      </c>
      <c r="F27" s="36">
        <f>E27-D27</f>
        <v>-19217.3</v>
      </c>
      <c r="G27" s="3">
        <v>0.21</v>
      </c>
      <c r="H27" s="36">
        <f>F27*G27</f>
        <v>-4035.6329999999998</v>
      </c>
    </row>
    <row r="28" spans="1:16" x14ac:dyDescent="0.2">
      <c r="C28" s="36">
        <v>351839.136</v>
      </c>
      <c r="D28" s="36"/>
      <c r="E28" s="36">
        <v>4188.5611428571428</v>
      </c>
      <c r="F28" s="36">
        <f>E28</f>
        <v>4188.5611428571428</v>
      </c>
      <c r="G28" s="38">
        <v>0.21</v>
      </c>
      <c r="H28" s="36">
        <f>F28*G28</f>
        <v>879.59784000000002</v>
      </c>
    </row>
    <row r="29" spans="1:16" x14ac:dyDescent="0.2">
      <c r="C29" s="36">
        <v>2765</v>
      </c>
      <c r="D29" s="36"/>
      <c r="E29" s="36">
        <v>14.23</v>
      </c>
      <c r="F29" s="36">
        <f t="shared" ref="F29:F40" si="9">E29</f>
        <v>14.23</v>
      </c>
      <c r="G29" s="38">
        <v>0.21</v>
      </c>
      <c r="H29" s="36">
        <f t="shared" ref="H29:H36" si="10">F29*G29</f>
        <v>2.9883000000000002</v>
      </c>
    </row>
    <row r="30" spans="1:16" x14ac:dyDescent="0.2">
      <c r="C30" s="36">
        <v>4147</v>
      </c>
      <c r="D30" s="36"/>
      <c r="E30" s="36">
        <v>49.37</v>
      </c>
      <c r="F30" s="36">
        <f t="shared" si="9"/>
        <v>49.37</v>
      </c>
      <c r="G30" s="38">
        <v>0.21</v>
      </c>
      <c r="H30" s="36">
        <f t="shared" si="10"/>
        <v>10.367699999999999</v>
      </c>
    </row>
    <row r="31" spans="1:16" x14ac:dyDescent="0.2">
      <c r="C31" s="36">
        <v>363607</v>
      </c>
      <c r="D31" s="36"/>
      <c r="E31" s="36">
        <v>1871.67</v>
      </c>
      <c r="F31" s="36">
        <f t="shared" si="9"/>
        <v>1871.67</v>
      </c>
      <c r="G31" s="38">
        <v>0.21</v>
      </c>
      <c r="H31" s="36">
        <f t="shared" si="10"/>
        <v>393.05070000000001</v>
      </c>
    </row>
    <row r="32" spans="1:16" x14ac:dyDescent="0.2">
      <c r="C32" s="36">
        <v>545411</v>
      </c>
      <c r="D32" s="36"/>
      <c r="E32" s="36">
        <v>9090.18</v>
      </c>
      <c r="F32" s="36">
        <f t="shared" si="9"/>
        <v>9090.18</v>
      </c>
      <c r="G32" s="38">
        <v>0.21</v>
      </c>
      <c r="H32" s="36">
        <f t="shared" si="10"/>
        <v>1908.9377999999999</v>
      </c>
    </row>
    <row r="33" spans="3:8" x14ac:dyDescent="0.2">
      <c r="C33" s="36">
        <v>195243</v>
      </c>
      <c r="D33" s="36"/>
      <c r="E33" s="36">
        <v>1005.02</v>
      </c>
      <c r="F33" s="36">
        <f t="shared" si="9"/>
        <v>1005.02</v>
      </c>
      <c r="G33" s="38">
        <v>0.21</v>
      </c>
      <c r="H33" s="36">
        <f t="shared" si="10"/>
        <v>211.05419999999998</v>
      </c>
    </row>
    <row r="34" spans="3:8" x14ac:dyDescent="0.2">
      <c r="C34" s="36">
        <v>292865</v>
      </c>
      <c r="D34" s="36"/>
      <c r="E34" s="37">
        <v>3486.49</v>
      </c>
      <c r="F34" s="36">
        <f t="shared" si="9"/>
        <v>3486.49</v>
      </c>
      <c r="G34" s="38">
        <v>0.21</v>
      </c>
      <c r="H34" s="36">
        <f t="shared" si="10"/>
        <v>732.16289999999992</v>
      </c>
    </row>
    <row r="35" spans="3:8" x14ac:dyDescent="0.2">
      <c r="C35" s="36">
        <v>210220</v>
      </c>
      <c r="D35" s="36"/>
      <c r="E35" s="36">
        <v>0</v>
      </c>
      <c r="F35" s="36">
        <f t="shared" si="9"/>
        <v>0</v>
      </c>
      <c r="G35" s="38">
        <v>0.21</v>
      </c>
      <c r="H35" s="36">
        <f t="shared" si="10"/>
        <v>0</v>
      </c>
    </row>
    <row r="36" spans="3:8" x14ac:dyDescent="0.2">
      <c r="C36" s="36">
        <v>126132</v>
      </c>
      <c r="D36" s="36"/>
      <c r="E36" s="36">
        <v>701.82</v>
      </c>
      <c r="F36" s="36">
        <f t="shared" si="9"/>
        <v>701.82</v>
      </c>
      <c r="G36" s="38">
        <v>0.21</v>
      </c>
      <c r="H36" s="36">
        <f t="shared" si="10"/>
        <v>147.38220000000001</v>
      </c>
    </row>
    <row r="37" spans="3:8" x14ac:dyDescent="0.2">
      <c r="C37" s="36">
        <v>189198</v>
      </c>
      <c r="D37" s="36"/>
      <c r="E37" s="36">
        <v>2252.36</v>
      </c>
      <c r="F37" s="36">
        <f t="shared" si="9"/>
        <v>2252.36</v>
      </c>
      <c r="G37" s="38">
        <v>0.21</v>
      </c>
      <c r="H37" s="36">
        <f>F37*G37</f>
        <v>472.99560000000002</v>
      </c>
    </row>
    <row r="38" spans="3:8" x14ac:dyDescent="0.2">
      <c r="C38" s="36">
        <v>6472</v>
      </c>
      <c r="D38" s="36"/>
      <c r="E38" s="36">
        <f>8.08-2</f>
        <v>6.08</v>
      </c>
      <c r="F38" s="36">
        <f t="shared" si="9"/>
        <v>6.08</v>
      </c>
      <c r="G38" s="38">
        <v>0.21</v>
      </c>
      <c r="H38" s="36">
        <f t="shared" ref="H38:H39" si="11">F38*G38</f>
        <v>1.2767999999999999</v>
      </c>
    </row>
    <row r="39" spans="3:8" x14ac:dyDescent="0.2">
      <c r="C39" s="36">
        <v>-4163</v>
      </c>
      <c r="D39" s="36"/>
      <c r="E39" s="36">
        <v>-39.76</v>
      </c>
      <c r="F39" s="36">
        <f t="shared" si="9"/>
        <v>-39.76</v>
      </c>
      <c r="G39" s="38">
        <v>0.21</v>
      </c>
      <c r="H39" s="36">
        <f t="shared" si="11"/>
        <v>-8.3495999999999988</v>
      </c>
    </row>
    <row r="40" spans="3:8" ht="15" x14ac:dyDescent="0.35">
      <c r="C40" s="36">
        <v>4163</v>
      </c>
      <c r="D40" s="36"/>
      <c r="E40" s="30">
        <v>39.76</v>
      </c>
      <c r="F40" s="30">
        <f t="shared" si="9"/>
        <v>39.76</v>
      </c>
      <c r="G40" s="38">
        <v>0.21</v>
      </c>
      <c r="H40" s="30">
        <f>F40*G40</f>
        <v>8.3495999999999988</v>
      </c>
    </row>
    <row r="41" spans="3:8" x14ac:dyDescent="0.2">
      <c r="C41" s="36"/>
      <c r="D41" s="36"/>
      <c r="E41" s="36">
        <f>SUM(E27:E40)</f>
        <v>23782.481142857141</v>
      </c>
      <c r="F41" s="36">
        <f>SUM(F27:F40)</f>
        <v>3448.4811428571443</v>
      </c>
      <c r="G41" s="31" t="s">
        <v>42</v>
      </c>
      <c r="H41" s="36">
        <f>SUM(H27:H40)</f>
        <v>724.18104000000005</v>
      </c>
    </row>
    <row r="42" spans="3:8" x14ac:dyDescent="0.2">
      <c r="E42" s="9"/>
      <c r="F42" s="9"/>
      <c r="G42" s="31" t="s">
        <v>40</v>
      </c>
      <c r="H42" s="39">
        <f>-H59*0.21</f>
        <v>-275.59887900000007</v>
      </c>
    </row>
    <row r="43" spans="3:8" x14ac:dyDescent="0.2">
      <c r="H43" s="9">
        <f>H41+H42</f>
        <v>448.58216099999999</v>
      </c>
    </row>
    <row r="44" spans="3:8" x14ac:dyDescent="0.2">
      <c r="H44" s="15">
        <f>H43-K15</f>
        <v>2.4209999997992782E-3</v>
      </c>
    </row>
    <row r="45" spans="3:8" x14ac:dyDescent="0.2">
      <c r="C45" s="15" t="s">
        <v>36</v>
      </c>
      <c r="D45" s="25" t="s">
        <v>31</v>
      </c>
      <c r="E45" s="26" t="s">
        <v>37</v>
      </c>
      <c r="F45" s="15" t="s">
        <v>38</v>
      </c>
      <c r="G45" s="29" t="s">
        <v>24</v>
      </c>
      <c r="H45" s="15" t="s">
        <v>39</v>
      </c>
    </row>
    <row r="46" spans="3:8" x14ac:dyDescent="0.2">
      <c r="C46" s="36">
        <v>469118.84800000006</v>
      </c>
      <c r="D46" s="36">
        <f>D27</f>
        <v>20334</v>
      </c>
      <c r="E46" s="36">
        <v>2233.4</v>
      </c>
      <c r="F46" s="36">
        <f>E46-D46</f>
        <v>-18100.599999999999</v>
      </c>
      <c r="G46" s="3">
        <v>0.05</v>
      </c>
      <c r="H46" s="36">
        <f>F46*G46</f>
        <v>-905.03</v>
      </c>
    </row>
    <row r="47" spans="3:8" x14ac:dyDescent="0.2">
      <c r="C47" s="36">
        <v>703678.272</v>
      </c>
      <c r="D47" s="36"/>
      <c r="E47" s="36">
        <f>8377.12228571429</f>
        <v>8377.1222857142893</v>
      </c>
      <c r="F47" s="36">
        <f>E47</f>
        <v>8377.1222857142893</v>
      </c>
      <c r="G47" s="3">
        <v>0.05</v>
      </c>
      <c r="H47" s="36">
        <f>F47*G47</f>
        <v>418.85611428571451</v>
      </c>
    </row>
    <row r="48" spans="3:8" x14ac:dyDescent="0.2">
      <c r="C48" s="36">
        <v>5529</v>
      </c>
      <c r="D48" s="36"/>
      <c r="E48" s="36">
        <v>28.46</v>
      </c>
      <c r="F48" s="36">
        <f t="shared" ref="F48:F58" si="12">E48</f>
        <v>28.46</v>
      </c>
      <c r="G48" s="3">
        <v>0.05</v>
      </c>
      <c r="H48" s="36">
        <f t="shared" ref="H48:H54" si="13">F48*G48</f>
        <v>1.423</v>
      </c>
    </row>
    <row r="49" spans="3:8" x14ac:dyDescent="0.2">
      <c r="C49" s="36">
        <v>8294</v>
      </c>
      <c r="D49" s="36"/>
      <c r="E49" s="36">
        <v>98.73</v>
      </c>
      <c r="F49" s="36">
        <f t="shared" si="12"/>
        <v>98.73</v>
      </c>
      <c r="G49" s="3">
        <v>0.05</v>
      </c>
      <c r="H49" s="36">
        <f t="shared" si="13"/>
        <v>4.9365000000000006</v>
      </c>
    </row>
    <row r="50" spans="3:8" x14ac:dyDescent="0.2">
      <c r="C50" s="36">
        <v>727215</v>
      </c>
      <c r="D50" s="36"/>
      <c r="E50" s="36">
        <v>3743.34</v>
      </c>
      <c r="F50" s="36">
        <f t="shared" si="12"/>
        <v>3743.34</v>
      </c>
      <c r="G50" s="3">
        <v>0.05</v>
      </c>
      <c r="H50" s="36">
        <f t="shared" si="13"/>
        <v>187.16700000000003</v>
      </c>
    </row>
    <row r="51" spans="3:8" x14ac:dyDescent="0.2">
      <c r="C51" s="36">
        <v>1090822</v>
      </c>
      <c r="D51" s="36"/>
      <c r="E51" s="36">
        <v>18180.36</v>
      </c>
      <c r="F51" s="36">
        <f t="shared" si="12"/>
        <v>18180.36</v>
      </c>
      <c r="G51" s="3">
        <v>0.05</v>
      </c>
      <c r="H51" s="36">
        <f t="shared" si="13"/>
        <v>909.01800000000003</v>
      </c>
    </row>
    <row r="52" spans="3:8" x14ac:dyDescent="0.2">
      <c r="C52" s="36">
        <v>390487</v>
      </c>
      <c r="D52" s="36"/>
      <c r="E52" s="36">
        <v>2010.03</v>
      </c>
      <c r="F52" s="36">
        <f t="shared" si="12"/>
        <v>2010.03</v>
      </c>
      <c r="G52" s="3">
        <v>0.05</v>
      </c>
      <c r="H52" s="36">
        <f t="shared" si="13"/>
        <v>100.50150000000001</v>
      </c>
    </row>
    <row r="53" spans="3:8" x14ac:dyDescent="0.2">
      <c r="C53" s="36">
        <v>585730</v>
      </c>
      <c r="D53" s="36"/>
      <c r="E53" s="36">
        <v>6972.98</v>
      </c>
      <c r="F53" s="36">
        <f t="shared" si="12"/>
        <v>6972.98</v>
      </c>
      <c r="G53" s="3">
        <v>0.05</v>
      </c>
      <c r="H53" s="36">
        <f t="shared" si="13"/>
        <v>348.649</v>
      </c>
    </row>
    <row r="54" spans="3:8" x14ac:dyDescent="0.2">
      <c r="C54" s="36">
        <v>210220</v>
      </c>
      <c r="D54" s="36"/>
      <c r="E54" s="36">
        <v>1169.7</v>
      </c>
      <c r="F54" s="36">
        <f t="shared" si="12"/>
        <v>1169.7</v>
      </c>
      <c r="G54" s="3">
        <v>0.05</v>
      </c>
      <c r="H54" s="36">
        <f t="shared" si="13"/>
        <v>58.485000000000007</v>
      </c>
    </row>
    <row r="55" spans="3:8" x14ac:dyDescent="0.2">
      <c r="C55" s="36">
        <v>315330</v>
      </c>
      <c r="D55" s="36"/>
      <c r="E55" s="36">
        <v>3753.93</v>
      </c>
      <c r="F55" s="36">
        <f t="shared" si="12"/>
        <v>3753.93</v>
      </c>
      <c r="G55" s="38">
        <v>0.05</v>
      </c>
      <c r="H55" s="36">
        <f>F55*G55</f>
        <v>187.69650000000001</v>
      </c>
    </row>
    <row r="56" spans="3:8" x14ac:dyDescent="0.2">
      <c r="C56" s="36">
        <v>6472</v>
      </c>
      <c r="D56" s="36"/>
      <c r="E56" s="36">
        <v>13.46</v>
      </c>
      <c r="F56" s="36">
        <f t="shared" si="12"/>
        <v>13.46</v>
      </c>
      <c r="G56" s="38">
        <v>0.05</v>
      </c>
      <c r="H56" s="36">
        <f t="shared" ref="H56:H57" si="14">F56*G56</f>
        <v>0.67300000000000004</v>
      </c>
    </row>
    <row r="57" spans="3:8" x14ac:dyDescent="0.2">
      <c r="C57" s="36">
        <v>-6939</v>
      </c>
      <c r="D57" s="36"/>
      <c r="E57" s="36">
        <v>-66.260000000000005</v>
      </c>
      <c r="F57" s="36">
        <f t="shared" si="12"/>
        <v>-66.260000000000005</v>
      </c>
      <c r="G57" s="38">
        <v>0.05</v>
      </c>
      <c r="H57" s="36">
        <f t="shared" si="14"/>
        <v>-3.3130000000000006</v>
      </c>
    </row>
    <row r="58" spans="3:8" ht="15" x14ac:dyDescent="0.35">
      <c r="C58" s="36">
        <v>6939</v>
      </c>
      <c r="D58" s="36"/>
      <c r="E58" s="30">
        <v>66.260000000000005</v>
      </c>
      <c r="F58" s="30">
        <f t="shared" si="12"/>
        <v>66.260000000000005</v>
      </c>
      <c r="G58" s="38">
        <v>0.05</v>
      </c>
      <c r="H58" s="30">
        <f>F58*G58</f>
        <v>3.3130000000000006</v>
      </c>
    </row>
    <row r="59" spans="3:8" x14ac:dyDescent="0.2">
      <c r="C59" s="36"/>
      <c r="D59" s="36"/>
      <c r="E59" s="36">
        <f>SUM(E46:E58)</f>
        <v>46581.512285714285</v>
      </c>
      <c r="F59" s="36">
        <f>SUM(F46:F58)</f>
        <v>26247.512285714289</v>
      </c>
      <c r="H59" s="36">
        <f>SUM(H46:H58)</f>
        <v>1312.3756142857146</v>
      </c>
    </row>
    <row r="60" spans="3:8" x14ac:dyDescent="0.2">
      <c r="E60" s="9"/>
      <c r="F60" s="9"/>
      <c r="H60" s="9">
        <f>H59-L15</f>
        <v>-3.8571428535760788E-4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6 of 8
Clements</oddHeader>
    <oddFooter>&amp;L_x000D_&amp;1#&amp;"Calibri"&amp;14&amp;K000000 Business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9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7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6" t="s">
        <v>16</v>
      </c>
    </row>
    <row r="6" spans="1:17" x14ac:dyDescent="0.2">
      <c r="A6" s="22" t="s">
        <v>47</v>
      </c>
    </row>
    <row r="8" spans="1:17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7" x14ac:dyDescent="0.2">
      <c r="A9" s="8" t="s">
        <v>8</v>
      </c>
      <c r="M9" s="10">
        <v>2045098</v>
      </c>
    </row>
    <row r="10" spans="1:17" x14ac:dyDescent="0.2">
      <c r="A10" s="35">
        <v>43717</v>
      </c>
      <c r="C10" s="12">
        <v>12894358</v>
      </c>
      <c r="D10" s="13">
        <v>37985</v>
      </c>
      <c r="E10" s="14">
        <f>55234.63+2643.9</f>
        <v>57878.53</v>
      </c>
      <c r="F10" s="14">
        <f>105032.07</f>
        <v>105032.07</v>
      </c>
      <c r="G10" s="12">
        <f t="shared" ref="G10:G15" si="0">E10-D10</f>
        <v>19893.53</v>
      </c>
      <c r="H10" s="12">
        <f t="shared" ref="H10:H15" si="1">F10-D10</f>
        <v>67047.070000000007</v>
      </c>
      <c r="I10" s="3">
        <v>0.21</v>
      </c>
      <c r="J10" s="3">
        <v>0.05</v>
      </c>
      <c r="K10" s="9">
        <f t="shared" ref="K10:K15" si="2">G10*I10-L10*I10</f>
        <v>3473.6470649999992</v>
      </c>
      <c r="L10" s="9">
        <f t="shared" ref="L10:L15" si="3">H10*J10</f>
        <v>3352.3535000000006</v>
      </c>
      <c r="M10" s="15">
        <f t="shared" ref="M10:M15" si="4">M9+K10+L10</f>
        <v>2051924.0005649999</v>
      </c>
      <c r="N10" s="9">
        <f t="shared" ref="N10:N11" si="5">40400.24+104428.02</f>
        <v>144828.26</v>
      </c>
      <c r="O10" s="33"/>
      <c r="Q10" s="23"/>
    </row>
    <row r="11" spans="1:17" x14ac:dyDescent="0.2">
      <c r="A11" s="32">
        <v>43739</v>
      </c>
      <c r="C11" s="12">
        <v>12894358</v>
      </c>
      <c r="D11" s="13">
        <v>35018</v>
      </c>
      <c r="E11" s="14">
        <f>55234.63-881.18</f>
        <v>54353.45</v>
      </c>
      <c r="F11" s="14">
        <v>105032.07</v>
      </c>
      <c r="G11" s="12">
        <f t="shared" si="0"/>
        <v>19335.449999999997</v>
      </c>
      <c r="H11" s="12">
        <f t="shared" si="1"/>
        <v>70014.070000000007</v>
      </c>
      <c r="I11" s="3">
        <v>0.21</v>
      </c>
      <c r="J11" s="3">
        <v>0.05</v>
      </c>
      <c r="K11" s="9">
        <f t="shared" si="2"/>
        <v>3325.2967649999991</v>
      </c>
      <c r="L11" s="9">
        <f t="shared" si="3"/>
        <v>3500.7035000000005</v>
      </c>
      <c r="M11" s="15">
        <f t="shared" si="4"/>
        <v>2058750.00083</v>
      </c>
      <c r="N11" s="9">
        <f t="shared" si="5"/>
        <v>144828.26</v>
      </c>
      <c r="O11" s="33"/>
      <c r="Q11" s="9"/>
    </row>
    <row r="12" spans="1:17" x14ac:dyDescent="0.2">
      <c r="A12" s="32">
        <v>43770</v>
      </c>
      <c r="C12" s="12">
        <v>197852044</v>
      </c>
      <c r="D12" s="13">
        <v>313225</v>
      </c>
      <c r="E12" s="14">
        <f>38780750.24-166148.82</f>
        <v>38614601.420000002</v>
      </c>
      <c r="F12" s="14">
        <v>2994995.92</v>
      </c>
      <c r="G12" s="12">
        <f>E12-D12</f>
        <v>38301376.420000002</v>
      </c>
      <c r="H12" s="12">
        <f>F12-D12</f>
        <v>2681770.92</v>
      </c>
      <c r="I12" s="3">
        <v>0.21</v>
      </c>
      <c r="J12" s="3">
        <v>0.05</v>
      </c>
      <c r="K12" s="9">
        <f t="shared" si="2"/>
        <v>8015130.4535400001</v>
      </c>
      <c r="L12" s="9">
        <f t="shared" si="3"/>
        <v>134088.546</v>
      </c>
      <c r="M12" s="15">
        <f t="shared" si="4"/>
        <v>10207969.00037</v>
      </c>
      <c r="N12" s="9">
        <f>40400.24+104428.02+418827.15</f>
        <v>563655.41</v>
      </c>
      <c r="Q12" s="9"/>
    </row>
    <row r="13" spans="1:17" x14ac:dyDescent="0.2">
      <c r="A13" s="32">
        <v>43800</v>
      </c>
      <c r="C13" s="12">
        <v>197852044</v>
      </c>
      <c r="D13" s="13">
        <v>591432</v>
      </c>
      <c r="E13" s="14">
        <f>38780750.24+164382.83</f>
        <v>38945133.07</v>
      </c>
      <c r="F13" s="14">
        <f>2994995.92</f>
        <v>2994995.92</v>
      </c>
      <c r="G13" s="12">
        <f t="shared" si="0"/>
        <v>38353701.07</v>
      </c>
      <c r="H13" s="12">
        <f t="shared" si="1"/>
        <v>2403563.92</v>
      </c>
      <c r="I13" s="3">
        <v>0.21</v>
      </c>
      <c r="J13" s="3">
        <v>0.05</v>
      </c>
      <c r="K13" s="9">
        <f t="shared" si="2"/>
        <v>8029039.8035399998</v>
      </c>
      <c r="L13" s="9">
        <f t="shared" si="3"/>
        <v>120178.196</v>
      </c>
      <c r="M13" s="15">
        <f t="shared" si="4"/>
        <v>18357186.999909997</v>
      </c>
      <c r="N13" s="9">
        <f>40400.24+104428.02+418827.15-3831.25</f>
        <v>559824.16</v>
      </c>
      <c r="Q13" s="12"/>
    </row>
    <row r="14" spans="1:17" x14ac:dyDescent="0.2">
      <c r="A14" s="32">
        <v>43831</v>
      </c>
      <c r="C14" s="12">
        <v>197852044</v>
      </c>
      <c r="D14" s="13">
        <v>591432</v>
      </c>
      <c r="E14" s="14">
        <f>1075200.79</f>
        <v>1075200.79</v>
      </c>
      <c r="F14" s="14">
        <v>1804812.97</v>
      </c>
      <c r="G14" s="12">
        <f>E14-D14</f>
        <v>483768.79000000004</v>
      </c>
      <c r="H14" s="12">
        <f>F14-D14</f>
        <v>1213380.97</v>
      </c>
      <c r="I14" s="3">
        <v>0.21</v>
      </c>
      <c r="J14" s="3">
        <v>0.05</v>
      </c>
      <c r="K14" s="9">
        <f t="shared" si="2"/>
        <v>88850.945715000009</v>
      </c>
      <c r="L14" s="9">
        <f t="shared" si="3"/>
        <v>60669.048500000004</v>
      </c>
      <c r="M14" s="15">
        <f t="shared" si="4"/>
        <v>18506706.994124997</v>
      </c>
      <c r="N14" s="9">
        <f>40400.24+104428.02+418827.15-3831.25+12731.5</f>
        <v>572555.66</v>
      </c>
      <c r="P14" s="12"/>
      <c r="Q14" s="9"/>
    </row>
    <row r="15" spans="1:17" x14ac:dyDescent="0.2">
      <c r="A15" s="32">
        <v>43862</v>
      </c>
      <c r="C15" s="12">
        <v>197852044</v>
      </c>
      <c r="D15" s="13">
        <v>591432</v>
      </c>
      <c r="E15" s="14">
        <f>1075200.79</f>
        <v>1075200.79</v>
      </c>
      <c r="F15" s="14">
        <v>1804812.97</v>
      </c>
      <c r="G15" s="12">
        <f t="shared" si="0"/>
        <v>483768.79000000004</v>
      </c>
      <c r="H15" s="12">
        <f t="shared" si="1"/>
        <v>1213380.97</v>
      </c>
      <c r="I15" s="3">
        <v>0.21</v>
      </c>
      <c r="J15" s="3">
        <v>0.05</v>
      </c>
      <c r="K15" s="9">
        <f t="shared" si="2"/>
        <v>88850.945715000009</v>
      </c>
      <c r="L15" s="9">
        <f t="shared" si="3"/>
        <v>60669.048500000004</v>
      </c>
      <c r="M15" s="15">
        <f t="shared" si="4"/>
        <v>18656226.988339998</v>
      </c>
      <c r="N15" s="9">
        <f>40400.24+104428.02+418827.15-3831.25+12731.5-3831.25</f>
        <v>568724.41</v>
      </c>
      <c r="Q15" s="9"/>
    </row>
    <row r="16" spans="1:17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 t="s">
        <v>49</v>
      </c>
    </row>
    <row r="20" spans="1:16" x14ac:dyDescent="0.2">
      <c r="C20" s="24" t="s">
        <v>28</v>
      </c>
    </row>
    <row r="21" spans="1:16" x14ac:dyDescent="0.2">
      <c r="C21" s="24" t="s">
        <v>48</v>
      </c>
    </row>
    <row r="22" spans="1:16" x14ac:dyDescent="0.2">
      <c r="C22" s="15" t="s">
        <v>29</v>
      </c>
    </row>
    <row r="24" spans="1:16" x14ac:dyDescent="0.2">
      <c r="C24" s="15" t="s">
        <v>30</v>
      </c>
      <c r="D24" s="28" t="s">
        <v>31</v>
      </c>
      <c r="E24" s="26" t="s">
        <v>32</v>
      </c>
      <c r="F24" s="15" t="s">
        <v>33</v>
      </c>
      <c r="G24" s="29" t="s">
        <v>23</v>
      </c>
      <c r="H24" s="15" t="s">
        <v>34</v>
      </c>
    </row>
    <row r="25" spans="1:16" x14ac:dyDescent="0.2">
      <c r="C25" s="12">
        <v>4378287</v>
      </c>
      <c r="D25" s="12">
        <v>591432</v>
      </c>
      <c r="E25" s="12">
        <v>37667.5</v>
      </c>
      <c r="F25" s="12">
        <f>E25-D25</f>
        <v>-553764.5</v>
      </c>
      <c r="G25" s="3">
        <v>0.21</v>
      </c>
      <c r="H25" s="12">
        <f>F25*G25</f>
        <v>-116290.545</v>
      </c>
    </row>
    <row r="26" spans="1:16" x14ac:dyDescent="0.2">
      <c r="C26" s="12">
        <v>1178248</v>
      </c>
      <c r="D26" s="12"/>
      <c r="E26" s="12">
        <v>10480.42</v>
      </c>
      <c r="F26" s="12">
        <f t="shared" ref="F26:F28" si="6">E26-D26</f>
        <v>10480.42</v>
      </c>
      <c r="G26" s="3">
        <v>0.21</v>
      </c>
      <c r="H26" s="12">
        <f t="shared" ref="H26:H28" si="7">F26*G26</f>
        <v>2200.8881999999999</v>
      </c>
    </row>
    <row r="27" spans="1:16" x14ac:dyDescent="0.2">
      <c r="C27" s="12">
        <v>527243</v>
      </c>
      <c r="D27" s="12"/>
      <c r="E27" s="12">
        <v>4856.4799999999996</v>
      </c>
      <c r="F27" s="12">
        <f t="shared" si="6"/>
        <v>4856.4799999999996</v>
      </c>
      <c r="G27" s="3">
        <v>0.21</v>
      </c>
      <c r="H27" s="12">
        <f t="shared" si="7"/>
        <v>1019.8607999999999</v>
      </c>
    </row>
    <row r="28" spans="1:16" ht="15" x14ac:dyDescent="0.35">
      <c r="C28" s="12">
        <v>110974612</v>
      </c>
      <c r="D28" s="12"/>
      <c r="E28" s="30">
        <v>1022196.4</v>
      </c>
      <c r="F28" s="30">
        <f t="shared" si="6"/>
        <v>1022196.4</v>
      </c>
      <c r="G28" s="3">
        <v>0.21</v>
      </c>
      <c r="H28" s="30">
        <f t="shared" si="7"/>
        <v>214661.24400000001</v>
      </c>
    </row>
    <row r="29" spans="1:16" x14ac:dyDescent="0.2">
      <c r="E29" s="9">
        <f>SUM(E25:E28)</f>
        <v>1075200.8</v>
      </c>
      <c r="F29" s="9">
        <f>SUM(F25:F28)</f>
        <v>483768.80000000005</v>
      </c>
      <c r="G29" s="31" t="s">
        <v>42</v>
      </c>
      <c r="H29" s="9">
        <f>SUM(H25:H28)</f>
        <v>101591.448</v>
      </c>
    </row>
    <row r="30" spans="1:16" ht="15" x14ac:dyDescent="0.35">
      <c r="G30" s="31" t="s">
        <v>40</v>
      </c>
      <c r="H30" s="30">
        <f>-H38*0.21</f>
        <v>-12740.500184999997</v>
      </c>
    </row>
    <row r="31" spans="1:16" x14ac:dyDescent="0.2">
      <c r="H31" s="9">
        <f>H29+H30</f>
        <v>88850.947815000007</v>
      </c>
    </row>
    <row r="32" spans="1:16" x14ac:dyDescent="0.2">
      <c r="H32" s="9">
        <f>H31-K15</f>
        <v>2.0999999978812411E-3</v>
      </c>
    </row>
    <row r="33" spans="3:8" x14ac:dyDescent="0.2">
      <c r="C33" s="15" t="s">
        <v>36</v>
      </c>
      <c r="D33" s="25" t="s">
        <v>31</v>
      </c>
      <c r="E33" s="26" t="s">
        <v>37</v>
      </c>
      <c r="F33" s="15" t="s">
        <v>38</v>
      </c>
      <c r="G33" s="29" t="s">
        <v>24</v>
      </c>
      <c r="H33" s="15" t="s">
        <v>39</v>
      </c>
    </row>
    <row r="34" spans="3:8" x14ac:dyDescent="0.2">
      <c r="C34" s="12">
        <v>8756574</v>
      </c>
      <c r="D34" s="9">
        <f>D25</f>
        <v>591432</v>
      </c>
      <c r="E34" s="9">
        <v>75335</v>
      </c>
      <c r="F34" s="9">
        <f>E34-D34</f>
        <v>-516097</v>
      </c>
      <c r="G34" s="3">
        <v>0.05</v>
      </c>
      <c r="H34" s="9">
        <f>F34*G34</f>
        <v>-25804.850000000002</v>
      </c>
    </row>
    <row r="35" spans="3:8" x14ac:dyDescent="0.2">
      <c r="C35" s="12">
        <v>2356496</v>
      </c>
      <c r="E35" s="9">
        <v>20960.830000000002</v>
      </c>
      <c r="F35" s="9">
        <f t="shared" ref="F35:F37" si="8">E35-D35</f>
        <v>20960.830000000002</v>
      </c>
      <c r="G35" s="3">
        <v>0.05</v>
      </c>
      <c r="H35" s="9">
        <f t="shared" ref="H35:H37" si="9">F35*G35</f>
        <v>1048.0415</v>
      </c>
    </row>
    <row r="36" spans="3:8" x14ac:dyDescent="0.2">
      <c r="C36" s="12">
        <v>527243</v>
      </c>
      <c r="E36" s="9">
        <v>4856.4799999999996</v>
      </c>
      <c r="F36" s="9">
        <f t="shared" si="8"/>
        <v>4856.4799999999996</v>
      </c>
      <c r="G36" s="3">
        <v>0.05</v>
      </c>
      <c r="H36" s="9">
        <f t="shared" si="9"/>
        <v>242.82399999999998</v>
      </c>
    </row>
    <row r="37" spans="3:8" ht="15" x14ac:dyDescent="0.35">
      <c r="C37" s="12">
        <v>184957686</v>
      </c>
      <c r="E37" s="30">
        <v>1703660.66</v>
      </c>
      <c r="F37" s="30">
        <f t="shared" si="8"/>
        <v>1703660.66</v>
      </c>
      <c r="G37" s="3">
        <v>0.05</v>
      </c>
      <c r="H37" s="30">
        <f t="shared" si="9"/>
        <v>85183.032999999996</v>
      </c>
    </row>
    <row r="38" spans="3:8" x14ac:dyDescent="0.2">
      <c r="E38" s="9">
        <f>SUM(E34:E37)</f>
        <v>1804812.97</v>
      </c>
      <c r="F38" s="9">
        <f>SUM(F34:F37)</f>
        <v>1213380.97</v>
      </c>
      <c r="H38" s="9">
        <f>SUM(H34:H37)</f>
        <v>60669.04849999999</v>
      </c>
    </row>
    <row r="39" spans="3:8" x14ac:dyDescent="0.2">
      <c r="H39" s="9">
        <f>H38-L15</f>
        <v>0</v>
      </c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7 of 8
Clements</oddHeader>
    <oddFooter>&amp;L_x000D_&amp;1#&amp;"Calibri"&amp;14&amp;K000000 Business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6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14</v>
      </c>
      <c r="N4" s="4"/>
      <c r="O4" s="4"/>
      <c r="P4" s="4"/>
    </row>
    <row r="5" spans="1:20" x14ac:dyDescent="0.2">
      <c r="A5" s="6" t="s">
        <v>16</v>
      </c>
    </row>
    <row r="6" spans="1:20" x14ac:dyDescent="0.2">
      <c r="A6" s="22" t="s">
        <v>18</v>
      </c>
    </row>
    <row r="8" spans="1:20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20" x14ac:dyDescent="0.2">
      <c r="A9" s="8" t="s">
        <v>8</v>
      </c>
      <c r="M9" s="10">
        <v>67906</v>
      </c>
    </row>
    <row r="10" spans="1:20" x14ac:dyDescent="0.2">
      <c r="A10" s="35">
        <v>43717</v>
      </c>
      <c r="C10" s="12">
        <v>379213</v>
      </c>
      <c r="D10" s="13">
        <v>755</v>
      </c>
      <c r="E10" s="13">
        <f>1055-2</f>
        <v>1053</v>
      </c>
      <c r="F10" s="13">
        <f>2110</f>
        <v>2110</v>
      </c>
      <c r="G10" s="14">
        <f t="shared" ref="G10:G13" si="0">E10-D10</f>
        <v>298</v>
      </c>
      <c r="H10" s="14">
        <f t="shared" ref="H10:H13" si="1">F10-D10</f>
        <v>1355</v>
      </c>
      <c r="I10" s="3">
        <v>0.21</v>
      </c>
      <c r="J10" s="3">
        <v>0.05</v>
      </c>
      <c r="K10" s="9">
        <f t="shared" ref="K10:K13" si="2">G10*I10-L10*I10</f>
        <v>48.352499999999999</v>
      </c>
      <c r="L10" s="9">
        <f t="shared" ref="L10:L13" si="3">H10*J10</f>
        <v>67.75</v>
      </c>
      <c r="M10" s="15">
        <f t="shared" ref="M10:M15" si="4">M9+K10+L10</f>
        <v>68022.102499999994</v>
      </c>
      <c r="N10" s="9">
        <v>0</v>
      </c>
      <c r="O10" s="33"/>
    </row>
    <row r="11" spans="1:20" x14ac:dyDescent="0.2">
      <c r="A11" s="32">
        <v>43739</v>
      </c>
      <c r="C11" s="12">
        <v>44037947</v>
      </c>
      <c r="D11" s="13">
        <v>44232</v>
      </c>
      <c r="E11" s="13">
        <f>5655446.97-34432.99</f>
        <v>5621013.9799999995</v>
      </c>
      <c r="F11" s="13">
        <v>547844.18000000005</v>
      </c>
      <c r="G11" s="14">
        <f t="shared" si="0"/>
        <v>5576781.9799999995</v>
      </c>
      <c r="H11" s="14">
        <f t="shared" si="1"/>
        <v>503612.18000000005</v>
      </c>
      <c r="I11" s="3">
        <v>0.21</v>
      </c>
      <c r="J11" s="3">
        <v>0.05</v>
      </c>
      <c r="K11" s="9">
        <f t="shared" si="2"/>
        <v>1165836.28791</v>
      </c>
      <c r="L11" s="9">
        <f t="shared" si="3"/>
        <v>25180.609000000004</v>
      </c>
      <c r="M11" s="15">
        <f t="shared" si="4"/>
        <v>1259038.9994099999</v>
      </c>
      <c r="N11" s="9">
        <v>0</v>
      </c>
      <c r="O11" s="33"/>
      <c r="Q11" s="9">
        <f>358619-M12</f>
        <v>-2091436.0003200001</v>
      </c>
      <c r="R11" s="17" t="s">
        <v>14</v>
      </c>
    </row>
    <row r="12" spans="1:20" x14ac:dyDescent="0.2">
      <c r="A12" s="32">
        <v>43770</v>
      </c>
      <c r="C12" s="12">
        <v>44037947</v>
      </c>
      <c r="D12" s="13">
        <v>87709</v>
      </c>
      <c r="E12" s="13">
        <f>5655446.97+17217.56</f>
        <v>5672664.5299999993</v>
      </c>
      <c r="F12" s="13">
        <v>547844.18000000005</v>
      </c>
      <c r="G12" s="14">
        <f t="shared" si="0"/>
        <v>5584955.5299999993</v>
      </c>
      <c r="H12" s="14">
        <f t="shared" si="1"/>
        <v>460135.18000000005</v>
      </c>
      <c r="I12" s="3">
        <v>0.21</v>
      </c>
      <c r="J12" s="3">
        <v>0.05</v>
      </c>
      <c r="K12" s="9">
        <f t="shared" si="2"/>
        <v>1168009.2419099999</v>
      </c>
      <c r="L12" s="9">
        <f t="shared" si="3"/>
        <v>23006.759000000005</v>
      </c>
      <c r="M12" s="15">
        <f t="shared" si="4"/>
        <v>2450055.0003200001</v>
      </c>
      <c r="N12" s="9">
        <v>0</v>
      </c>
      <c r="Q12">
        <f>+Q11/0.389</f>
        <v>-5376442.1602056557</v>
      </c>
      <c r="R12" s="9"/>
    </row>
    <row r="13" spans="1:20" x14ac:dyDescent="0.2">
      <c r="A13" s="32">
        <v>43800</v>
      </c>
      <c r="C13" s="12">
        <v>44037947</v>
      </c>
      <c r="D13" s="13">
        <v>87709</v>
      </c>
      <c r="E13" s="13">
        <f>5655446.97+17217.56</f>
        <v>5672664.5299999993</v>
      </c>
      <c r="F13" s="13">
        <v>547844.18000000005</v>
      </c>
      <c r="G13" s="14">
        <f t="shared" si="0"/>
        <v>5584955.5299999993</v>
      </c>
      <c r="H13" s="14">
        <f t="shared" si="1"/>
        <v>460135.18000000005</v>
      </c>
      <c r="I13" s="3">
        <v>0.21</v>
      </c>
      <c r="J13" s="3">
        <v>0.05</v>
      </c>
      <c r="K13" s="9">
        <f t="shared" si="2"/>
        <v>1168009.2419099999</v>
      </c>
      <c r="L13" s="9">
        <f t="shared" si="3"/>
        <v>23006.759000000005</v>
      </c>
      <c r="M13" s="15">
        <f t="shared" si="4"/>
        <v>3641071.0012300001</v>
      </c>
      <c r="N13" s="9">
        <v>0</v>
      </c>
      <c r="Q13" s="9">
        <f>374733-M14</f>
        <v>-3290150.2288950002</v>
      </c>
    </row>
    <row r="14" spans="1:20" x14ac:dyDescent="0.2">
      <c r="A14" s="32">
        <v>43831</v>
      </c>
      <c r="C14" s="12">
        <v>44037947</v>
      </c>
      <c r="D14" s="13">
        <v>87709</v>
      </c>
      <c r="E14" s="13">
        <f>167829.02</f>
        <v>167829.02</v>
      </c>
      <c r="F14" s="13">
        <v>264595.67</v>
      </c>
      <c r="G14" s="14">
        <f>E14-D14</f>
        <v>80120.01999999999</v>
      </c>
      <c r="H14" s="14">
        <f>F14-D14</f>
        <v>176886.66999999998</v>
      </c>
      <c r="I14" s="3">
        <v>0.21</v>
      </c>
      <c r="J14" s="3">
        <v>0.05</v>
      </c>
      <c r="K14" s="9">
        <f>G14*I14-L14*I14</f>
        <v>14967.894164999996</v>
      </c>
      <c r="L14" s="9">
        <f>H14*J14</f>
        <v>8844.3334999999988</v>
      </c>
      <c r="M14" s="15">
        <f t="shared" si="4"/>
        <v>3664883.2288950002</v>
      </c>
      <c r="N14" s="9">
        <v>0</v>
      </c>
      <c r="Q14">
        <f>+Q13/0.389</f>
        <v>-8457969.7400899753</v>
      </c>
      <c r="R14" s="9"/>
      <c r="S14" s="9"/>
      <c r="T14" s="9"/>
    </row>
    <row r="15" spans="1:20" x14ac:dyDescent="0.2">
      <c r="A15" s="32">
        <v>43862</v>
      </c>
      <c r="C15" s="12">
        <v>44037947</v>
      </c>
      <c r="D15" s="13">
        <v>87709</v>
      </c>
      <c r="E15" s="13">
        <f>167829.02</f>
        <v>167829.02</v>
      </c>
      <c r="F15" s="13">
        <v>264595.67</v>
      </c>
      <c r="G15" s="14">
        <f>E15-D15</f>
        <v>80120.01999999999</v>
      </c>
      <c r="H15" s="14">
        <f>F15-D15</f>
        <v>176886.66999999998</v>
      </c>
      <c r="I15" s="3">
        <v>0.21</v>
      </c>
      <c r="J15" s="3">
        <v>0.05</v>
      </c>
      <c r="K15" s="9">
        <f>G15*I15-L15*I15</f>
        <v>14967.894164999996</v>
      </c>
      <c r="L15" s="9">
        <f>H15*J15</f>
        <v>8844.3334999999988</v>
      </c>
      <c r="M15" s="15">
        <f t="shared" si="4"/>
        <v>3688695.4565600003</v>
      </c>
      <c r="N15" s="9">
        <v>0</v>
      </c>
      <c r="Q15" s="9">
        <f>+M15-386700</f>
        <v>3301995.4565600003</v>
      </c>
      <c r="R15" s="19"/>
      <c r="T15" s="9"/>
    </row>
    <row r="16" spans="1:20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8488420.1968123391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 t="s">
        <v>45</v>
      </c>
      <c r="D19" s="25"/>
      <c r="E19" s="25"/>
      <c r="F19" s="25"/>
      <c r="G19" s="26"/>
      <c r="H19" s="26"/>
    </row>
    <row r="20" spans="1:16" x14ac:dyDescent="0.2">
      <c r="C20" s="24" t="s">
        <v>28</v>
      </c>
      <c r="D20" s="25"/>
      <c r="E20" s="25"/>
      <c r="F20" s="25"/>
      <c r="G20" s="26"/>
      <c r="H20" s="26"/>
    </row>
    <row r="21" spans="1:16" x14ac:dyDescent="0.2">
      <c r="C21" s="24" t="s">
        <v>48</v>
      </c>
      <c r="D21" s="25"/>
      <c r="E21" s="25"/>
      <c r="F21" s="25"/>
      <c r="G21" s="26"/>
      <c r="H21" s="26"/>
    </row>
    <row r="22" spans="1:16" x14ac:dyDescent="0.2">
      <c r="C22" s="15" t="s">
        <v>29</v>
      </c>
      <c r="D22" s="25"/>
      <c r="E22" s="25"/>
      <c r="F22" s="25"/>
      <c r="G22" s="26"/>
      <c r="H22" s="26"/>
    </row>
    <row r="23" spans="1:16" x14ac:dyDescent="0.2">
      <c r="C23" s="27"/>
      <c r="D23" s="25"/>
      <c r="E23" s="25"/>
      <c r="F23" s="25"/>
      <c r="G23" s="25"/>
      <c r="H23" s="25"/>
    </row>
    <row r="24" spans="1:16" x14ac:dyDescent="0.2">
      <c r="C24" s="15" t="s">
        <v>30</v>
      </c>
      <c r="D24" s="28" t="s">
        <v>31</v>
      </c>
      <c r="E24" s="26" t="s">
        <v>32</v>
      </c>
      <c r="F24" s="15" t="s">
        <v>33</v>
      </c>
      <c r="G24" s="29" t="s">
        <v>23</v>
      </c>
      <c r="H24" s="15" t="s">
        <v>34</v>
      </c>
    </row>
    <row r="25" spans="1:16" x14ac:dyDescent="0.2">
      <c r="C25" s="36">
        <v>189606.505</v>
      </c>
      <c r="D25" s="36">
        <v>87709</v>
      </c>
      <c r="E25" s="36">
        <v>976</v>
      </c>
      <c r="F25" s="36">
        <f>E25-D25</f>
        <v>-86733</v>
      </c>
      <c r="G25" s="3">
        <v>0.21</v>
      </c>
      <c r="H25" s="36">
        <f>F25*G25</f>
        <v>-18213.93</v>
      </c>
    </row>
    <row r="26" spans="1:16" ht="15" x14ac:dyDescent="0.35">
      <c r="C26" s="36">
        <v>27735645</v>
      </c>
      <c r="D26" s="36"/>
      <c r="E26" s="30">
        <v>166853.01999999999</v>
      </c>
      <c r="F26" s="30">
        <f>E26-D26</f>
        <v>166853.01999999999</v>
      </c>
      <c r="G26" s="3">
        <v>0.21</v>
      </c>
      <c r="H26" s="30">
        <f>F26*G26</f>
        <v>35039.134199999993</v>
      </c>
    </row>
    <row r="27" spans="1:16" x14ac:dyDescent="0.2">
      <c r="C27" s="36"/>
      <c r="D27" s="36"/>
      <c r="E27" s="36">
        <f>SUM(E25:E26)</f>
        <v>167829.02</v>
      </c>
      <c r="F27" s="36">
        <f>SUM(F25:F26)</f>
        <v>80120.01999999999</v>
      </c>
      <c r="G27" s="38" t="s">
        <v>42</v>
      </c>
      <c r="H27" s="36">
        <f>SUM(H25:H26)</f>
        <v>16825.204199999993</v>
      </c>
    </row>
    <row r="28" spans="1:16" ht="15" x14ac:dyDescent="0.35">
      <c r="C28" s="36"/>
      <c r="D28" s="36"/>
      <c r="E28" s="36"/>
      <c r="F28" s="36"/>
      <c r="G28" s="31" t="s">
        <v>40</v>
      </c>
      <c r="H28" s="30">
        <f>-H34*0.21</f>
        <v>-1857.3100349999997</v>
      </c>
    </row>
    <row r="29" spans="1:16" x14ac:dyDescent="0.2">
      <c r="H29" s="36">
        <f>H27+H28</f>
        <v>14967.894164999992</v>
      </c>
    </row>
    <row r="30" spans="1:16" x14ac:dyDescent="0.2">
      <c r="H30" s="36">
        <f>H29-K15</f>
        <v>0</v>
      </c>
    </row>
    <row r="31" spans="1:16" x14ac:dyDescent="0.2">
      <c r="C31" s="15" t="s">
        <v>36</v>
      </c>
      <c r="D31" s="25" t="s">
        <v>31</v>
      </c>
      <c r="E31" s="26" t="s">
        <v>37</v>
      </c>
      <c r="F31" s="15" t="s">
        <v>38</v>
      </c>
      <c r="G31" s="29" t="s">
        <v>24</v>
      </c>
      <c r="H31" s="15" t="s">
        <v>39</v>
      </c>
    </row>
    <row r="32" spans="1:16" x14ac:dyDescent="0.2">
      <c r="C32" s="36">
        <v>379213.01</v>
      </c>
      <c r="D32" s="36">
        <f>D25</f>
        <v>87709</v>
      </c>
      <c r="E32" s="36">
        <v>1952</v>
      </c>
      <c r="F32" s="36">
        <f>E32-D32</f>
        <v>-85757</v>
      </c>
      <c r="G32" s="3">
        <v>0.05</v>
      </c>
      <c r="H32" s="36">
        <f>F32*G32</f>
        <v>-4287.8500000000004</v>
      </c>
    </row>
    <row r="33" spans="3:8" ht="15" x14ac:dyDescent="0.35">
      <c r="C33" s="36">
        <v>43658734</v>
      </c>
      <c r="D33" s="36"/>
      <c r="E33" s="30">
        <v>262643.67</v>
      </c>
      <c r="F33" s="30">
        <f>E33-D33</f>
        <v>262643.67</v>
      </c>
      <c r="G33" s="3">
        <v>0.05</v>
      </c>
      <c r="H33" s="30">
        <f>F33*G33</f>
        <v>13132.183499999999</v>
      </c>
    </row>
    <row r="34" spans="3:8" x14ac:dyDescent="0.2">
      <c r="C34" s="36"/>
      <c r="D34" s="36"/>
      <c r="E34" s="36">
        <f>SUM(E32:E33)</f>
        <v>264595.67</v>
      </c>
      <c r="F34" s="36">
        <f>SUM(F32:F33)</f>
        <v>176886.66999999998</v>
      </c>
      <c r="H34" s="36">
        <f>SUM(H32:H33)</f>
        <v>8844.3334999999988</v>
      </c>
    </row>
    <row r="35" spans="3:8" x14ac:dyDescent="0.2">
      <c r="C35" s="12"/>
      <c r="D35" s="12"/>
      <c r="E35" s="12"/>
      <c r="F35" s="12"/>
      <c r="G35" s="3"/>
      <c r="H35" s="12">
        <f>H34-L15</f>
        <v>0</v>
      </c>
    </row>
    <row r="36" spans="3:8" x14ac:dyDescent="0.2">
      <c r="C36" s="12"/>
      <c r="D36" s="12"/>
      <c r="E36" s="12"/>
      <c r="F36" s="12"/>
      <c r="H36" s="12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8 of 8
Clements</oddHead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5AE97-EE5A-4E36-9C18-32A3F55004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1E8B9D-1250-4B1E-8B77-50022E3C6689}">
  <ds:schemaRefs>
    <ds:schemaRef ds:uri="65bfb563-8fe2-4d34-a09f-38a217d8feea"/>
    <ds:schemaRef ds:uri="http://schemas.microsoft.com/sharepoint/v3"/>
    <ds:schemaRef ds:uri="http://schemas.microsoft.com/sharepoint/v4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C46C8C-2C95-4FEC-83B8-B99A34AB3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Project 23</vt:lpstr>
      <vt:lpstr>Project 24</vt:lpstr>
      <vt:lpstr>Project 25</vt:lpstr>
      <vt:lpstr>Project 26</vt:lpstr>
      <vt:lpstr>Project 27</vt:lpstr>
      <vt:lpstr>Project 28</vt:lpstr>
      <vt:lpstr>Project 29</vt:lpstr>
      <vt:lpstr>Project 30</vt:lpstr>
      <vt:lpstr>'Project 23'!Print_Area</vt:lpstr>
      <vt:lpstr>'Project 24'!Print_Area</vt:lpstr>
      <vt:lpstr>'Project 25'!Print_Area</vt:lpstr>
      <vt:lpstr>'Project 26'!Print_Area</vt:lpstr>
      <vt:lpstr>'Project 27'!Print_Area</vt:lpstr>
      <vt:lpstr>'Project 28'!Print_Area</vt:lpstr>
      <vt:lpstr>'Project 29'!Print_Area</vt:lpstr>
      <vt:lpstr>'Project 30'!Print_Area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N093419</dc:creator>
  <cp:lastModifiedBy>Fackler, Andrea</cp:lastModifiedBy>
  <cp:lastPrinted>2017-07-07T18:49:23Z</cp:lastPrinted>
  <dcterms:created xsi:type="dcterms:W3CDTF">2006-06-09T14:23:56Z</dcterms:created>
  <dcterms:modified xsi:type="dcterms:W3CDTF">2024-02-14T20:18:33Z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2024-01-22T20:48:38Z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697d3935-d8d6-4c5d-86df-d738b4178e38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2024-02-14T20:17:58Z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dd213e7a-5a46-4d8f-a9dc-91d67d31aaf0</vt:lpwstr>
  </property>
  <property fmtid="{D5CDD505-2E9C-101B-9397-08002B2CF9AE}" pid="16" name="MSIP_Label_d662fcd2-3ff9-4261-9b26-9dd5808d0bb4_ContentBits">
    <vt:lpwstr>0</vt:lpwstr>
  </property>
</Properties>
</file>