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x-19\home\Gerald.Wuetcher\EstillCountyWaterDistrict\ApplicationForRateAdjustment_2024\001_RequestForInformation\Final Documents\Spreadsheets\"/>
    </mc:Choice>
  </mc:AlternateContent>
  <xr:revisionPtr revIDLastSave="0" documentId="8_{5A826935-E066-4A4E-9587-EE96F1D70B11}" xr6:coauthVersionLast="47" xr6:coauthVersionMax="47" xr10:uidLastSave="{00000000-0000-0000-0000-000000000000}"/>
  <bookViews>
    <workbookView xWindow="32340" yWindow="1950" windowWidth="21600" windowHeight="11385" activeTab="5" xr2:uid="{85B3FBBF-41D0-44BE-9235-5594E6A0F587}"/>
  </bookViews>
  <sheets>
    <sheet name="Proforma" sheetId="1" r:id="rId1"/>
    <sheet name="BillingAnalysisExisting" sheetId="2" r:id="rId2"/>
    <sheet name="BillingAnalysisProposed" sheetId="6" r:id="rId3"/>
    <sheet name="Salaries" sheetId="3" r:id="rId4"/>
    <sheet name="WaterLoss" sheetId="4" r:id="rId5"/>
    <sheet name="Amortization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2" l="1"/>
  <c r="G71" i="6"/>
  <c r="H71" i="6" s="1"/>
  <c r="H70" i="6"/>
  <c r="H73" i="6" s="1"/>
  <c r="K10" i="6" s="1"/>
  <c r="G70" i="6"/>
  <c r="G56" i="6"/>
  <c r="M56" i="6" s="1"/>
  <c r="G55" i="6"/>
  <c r="M55" i="6" s="1"/>
  <c r="G54" i="6"/>
  <c r="H54" i="6" s="1"/>
  <c r="M38" i="6"/>
  <c r="H38" i="6"/>
  <c r="G38" i="6"/>
  <c r="G37" i="6"/>
  <c r="M37" i="6" s="1"/>
  <c r="G36" i="6"/>
  <c r="M36" i="6" s="1"/>
  <c r="G35" i="6"/>
  <c r="H35" i="6" s="1"/>
  <c r="J10" i="6"/>
  <c r="J12" i="6" s="1"/>
  <c r="I10" i="6"/>
  <c r="J9" i="6"/>
  <c r="I9" i="6"/>
  <c r="J8" i="6"/>
  <c r="I8" i="6"/>
  <c r="I12" i="6" s="1"/>
  <c r="J43" i="1"/>
  <c r="J42" i="1"/>
  <c r="N42" i="1" s="1"/>
  <c r="D6" i="5"/>
  <c r="J25" i="1"/>
  <c r="D12" i="4"/>
  <c r="J24" i="1"/>
  <c r="N24" i="1" s="1"/>
  <c r="D6" i="4"/>
  <c r="D3" i="4"/>
  <c r="D13" i="4" s="1"/>
  <c r="J23" i="1"/>
  <c r="N23" i="1" s="1"/>
  <c r="U19" i="3"/>
  <c r="J21" i="1"/>
  <c r="J40" i="1" s="1"/>
  <c r="P14" i="3"/>
  <c r="U20" i="3"/>
  <c r="U22" i="3" s="1"/>
  <c r="W19" i="3"/>
  <c r="W22" i="3" s="1"/>
  <c r="U23" i="3" s="1"/>
  <c r="N11" i="3"/>
  <c r="M11" i="3"/>
  <c r="P11" i="3" s="1"/>
  <c r="K11" i="3"/>
  <c r="J11" i="3"/>
  <c r="N10" i="3"/>
  <c r="M10" i="3"/>
  <c r="P10" i="3" s="1"/>
  <c r="K10" i="3"/>
  <c r="J10" i="3"/>
  <c r="N9" i="3"/>
  <c r="M9" i="3"/>
  <c r="J9" i="3"/>
  <c r="K9" i="3" s="1"/>
  <c r="P9" i="3" s="1"/>
  <c r="M8" i="3"/>
  <c r="J8" i="3"/>
  <c r="M7" i="3"/>
  <c r="J7" i="3"/>
  <c r="N6" i="3"/>
  <c r="M6" i="3"/>
  <c r="P6" i="3" s="1"/>
  <c r="K6" i="3"/>
  <c r="J6" i="3"/>
  <c r="N5" i="3"/>
  <c r="M5" i="3"/>
  <c r="J5" i="3"/>
  <c r="N4" i="3"/>
  <c r="M4" i="3"/>
  <c r="J4" i="3"/>
  <c r="K4" i="3" s="1"/>
  <c r="P4" i="3" s="1"/>
  <c r="P3" i="3"/>
  <c r="J6" i="1"/>
  <c r="T10" i="2"/>
  <c r="K10" i="2"/>
  <c r="K12" i="2" s="1"/>
  <c r="K15" i="2" s="1"/>
  <c r="T9" i="2" s="1"/>
  <c r="J10" i="2"/>
  <c r="J12" i="2" s="1"/>
  <c r="I10" i="2"/>
  <c r="I12" i="2" s="1"/>
  <c r="N9" i="2"/>
  <c r="N12" i="2" s="1"/>
  <c r="K9" i="2"/>
  <c r="J9" i="2"/>
  <c r="I9" i="2"/>
  <c r="K8" i="2"/>
  <c r="J8" i="2"/>
  <c r="I8" i="2"/>
  <c r="N44" i="1"/>
  <c r="N43" i="1"/>
  <c r="N41" i="1"/>
  <c r="N39" i="1"/>
  <c r="N38" i="1"/>
  <c r="N37" i="1"/>
  <c r="N36" i="1"/>
  <c r="H35" i="1"/>
  <c r="H40" i="1" s="1"/>
  <c r="H45" i="1" s="1"/>
  <c r="N34" i="1"/>
  <c r="N33" i="1"/>
  <c r="N32" i="1"/>
  <c r="N31" i="1"/>
  <c r="N30" i="1"/>
  <c r="N29" i="1"/>
  <c r="N28" i="1"/>
  <c r="N27" i="1"/>
  <c r="N26" i="1"/>
  <c r="N25" i="1"/>
  <c r="N22" i="1"/>
  <c r="J16" i="1"/>
  <c r="H16" i="1"/>
  <c r="H17" i="1" s="1"/>
  <c r="N15" i="1"/>
  <c r="N14" i="1"/>
  <c r="N13" i="1"/>
  <c r="N16" i="1" s="1"/>
  <c r="N12" i="1"/>
  <c r="H10" i="1"/>
  <c r="N9" i="1"/>
  <c r="N8" i="1"/>
  <c r="N7" i="1"/>
  <c r="J10" i="1"/>
  <c r="J17" i="1" s="1"/>
  <c r="H56" i="6" l="1"/>
  <c r="H36" i="6"/>
  <c r="H40" i="6" s="1"/>
  <c r="K8" i="6" s="1"/>
  <c r="H37" i="6"/>
  <c r="H55" i="6"/>
  <c r="H58" i="6" s="1"/>
  <c r="K9" i="6" s="1"/>
  <c r="J45" i="1"/>
  <c r="J46" i="1" s="1"/>
  <c r="D15" i="4"/>
  <c r="D7" i="4"/>
  <c r="D9" i="4" s="1"/>
  <c r="U25" i="3"/>
  <c r="K7" i="3"/>
  <c r="P7" i="3" s="1"/>
  <c r="K5" i="3"/>
  <c r="P5" i="3" s="1"/>
  <c r="K8" i="3"/>
  <c r="P8" i="3" s="1"/>
  <c r="H46" i="1"/>
  <c r="N35" i="1"/>
  <c r="N21" i="1"/>
  <c r="N40" i="1" s="1"/>
  <c r="N45" i="1" s="1"/>
  <c r="N6" i="1"/>
  <c r="N10" i="1" s="1"/>
  <c r="N17" i="1" s="1"/>
  <c r="K12" i="6" l="1"/>
  <c r="N46" i="1"/>
  <c r="P13" i="3"/>
  <c r="P16" i="3" s="1"/>
  <c r="N12" i="6" l="1"/>
  <c r="K15" i="6"/>
  <c r="U12" i="3"/>
  <c r="U15" i="3" s="1"/>
  <c r="U4" i="3"/>
  <c r="U7" i="3" s="1"/>
</calcChain>
</file>

<file path=xl/sharedStrings.xml><?xml version="1.0" encoding="utf-8"?>
<sst xmlns="http://schemas.openxmlformats.org/spreadsheetml/2006/main" count="289" uniqueCount="137">
  <si>
    <t>SCHEDULE OF ADJUSTED OPERATIONS - WATER UTILITY - ESTILL COUNTY WATER DISTRICT - 2022</t>
  </si>
  <si>
    <t>Test Year</t>
  </si>
  <si>
    <t>Adjustment</t>
  </si>
  <si>
    <t>Ref.</t>
  </si>
  <si>
    <t>Pro Forma</t>
  </si>
  <si>
    <t>Operating Revenues</t>
  </si>
  <si>
    <t>Sales of Water</t>
  </si>
  <si>
    <t>Metered Water Sales</t>
  </si>
  <si>
    <t>Bulk Loading Satations</t>
  </si>
  <si>
    <t>Fire Protection Revenue</t>
  </si>
  <si>
    <t>Sales for Resale</t>
  </si>
  <si>
    <t>Total Sales of Water</t>
  </si>
  <si>
    <t>Other Water revenues</t>
  </si>
  <si>
    <t>Forfeited Discounts</t>
  </si>
  <si>
    <t>Miscellaneous Revenues</t>
  </si>
  <si>
    <t>Rents from Water Property</t>
  </si>
  <si>
    <t>Other Water Revenues</t>
  </si>
  <si>
    <t>Total Other Water Revenues</t>
  </si>
  <si>
    <t>Total Operating Revenues</t>
  </si>
  <si>
    <t>Operating Expenses</t>
  </si>
  <si>
    <t>Operation and Maintenance Expenses</t>
  </si>
  <si>
    <t>Salaries and Wages - Employees</t>
  </si>
  <si>
    <t>Salaries and Wages Officers</t>
  </si>
  <si>
    <t>Employees Pensions and Benefits</t>
  </si>
  <si>
    <t>Purchased Water</t>
  </si>
  <si>
    <t>Purchased Power</t>
  </si>
  <si>
    <t>Fuel for Power Production</t>
  </si>
  <si>
    <t>Chemicals</t>
  </si>
  <si>
    <t>Materials and Supplies</t>
  </si>
  <si>
    <t>Contractual Services - Acct.</t>
  </si>
  <si>
    <t>Contractual Services - Legal</t>
  </si>
  <si>
    <t>Contractual Services - Other</t>
  </si>
  <si>
    <t>Water Testing</t>
  </si>
  <si>
    <t>Rents</t>
  </si>
  <si>
    <t>Transportation Expenses</t>
  </si>
  <si>
    <t>Insurance</t>
  </si>
  <si>
    <t>Advertising Expenses</t>
  </si>
  <si>
    <t>Regulatory Commission Expenses</t>
  </si>
  <si>
    <t>Bad Debt Expense</t>
  </si>
  <si>
    <t>Miscellaneous Expenses</t>
  </si>
  <si>
    <t>Total Operation and Maintenance Expenses</t>
  </si>
  <si>
    <t>Depreciation Expense</t>
  </si>
  <si>
    <t>Amortization Expense</t>
  </si>
  <si>
    <t>Taxes Other Than Income</t>
  </si>
  <si>
    <t>Income Tax Expense</t>
  </si>
  <si>
    <t>Total Operating Expenses</t>
  </si>
  <si>
    <t>Utility Operating Income</t>
  </si>
  <si>
    <t>Gallons</t>
  </si>
  <si>
    <t>Summary</t>
  </si>
  <si>
    <t>No. of Bills</t>
  </si>
  <si>
    <t>Sold</t>
  </si>
  <si>
    <t>Revenue</t>
  </si>
  <si>
    <t>Billing Analysis Adjustment</t>
  </si>
  <si>
    <t>5/8" X 3/4" Meters</t>
  </si>
  <si>
    <t>1" Meters</t>
  </si>
  <si>
    <t>Pro Forma Sales Revenue</t>
  </si>
  <si>
    <t>2" Meters</t>
  </si>
  <si>
    <t>Annual Report Sales Revenue</t>
  </si>
  <si>
    <t>Totals</t>
  </si>
  <si>
    <t>Less: Billing Adjustments</t>
  </si>
  <si>
    <t>Pro Forma Retail Sales Revenues</t>
  </si>
  <si>
    <t>5/8 Meters</t>
  </si>
  <si>
    <t>First</t>
  </si>
  <si>
    <t>Next</t>
  </si>
  <si>
    <t>Over</t>
  </si>
  <si>
    <t/>
  </si>
  <si>
    <t>Usage</t>
  </si>
  <si>
    <t>Bills</t>
  </si>
  <si>
    <t>Total</t>
  </si>
  <si>
    <t>5/8 REVENUE BY RATE INCREMENT</t>
  </si>
  <si>
    <t>Rate</t>
  </si>
  <si>
    <t>1" REVENUE BY RATE INCREMENT</t>
  </si>
  <si>
    <t>2" REVENUE BY RATE INCREMENT</t>
  </si>
  <si>
    <t>(A)</t>
  </si>
  <si>
    <t>(B)</t>
  </si>
  <si>
    <t>(C)</t>
  </si>
  <si>
    <t>(D)</t>
  </si>
  <si>
    <t>(E)</t>
  </si>
  <si>
    <t>(F)</t>
  </si>
  <si>
    <t>Water Loss Surcharge Collection</t>
  </si>
  <si>
    <t>2023 Wages</t>
  </si>
  <si>
    <t>2022 Hours</t>
  </si>
  <si>
    <t>Position/Title</t>
  </si>
  <si>
    <t>Regular</t>
  </si>
  <si>
    <t>Overtime</t>
  </si>
  <si>
    <t>Salaries</t>
  </si>
  <si>
    <t>FICA Tax</t>
  </si>
  <si>
    <t>Manager</t>
  </si>
  <si>
    <t>Field Employee</t>
  </si>
  <si>
    <t xml:space="preserve">Total Increase in Wages </t>
  </si>
  <si>
    <t>FICA Rate</t>
  </si>
  <si>
    <t>Office Clerk</t>
  </si>
  <si>
    <t>Tax Increase</t>
  </si>
  <si>
    <t>Pension Adjustment</t>
  </si>
  <si>
    <t>Change in Salaries</t>
  </si>
  <si>
    <t>Proforma Salaries</t>
  </si>
  <si>
    <t>CERS Rate</t>
  </si>
  <si>
    <t>Less: Test Year Wages</t>
  </si>
  <si>
    <t>PSC Method</t>
  </si>
  <si>
    <t>Proforma Test Year Salaries and Wages</t>
  </si>
  <si>
    <t>Current Contribution Percentage</t>
  </si>
  <si>
    <t>Test Year Rate</t>
  </si>
  <si>
    <t>CERS Retirement-Employer Contribution</t>
  </si>
  <si>
    <t>Less: Test Year Pension/OPEB Expense</t>
  </si>
  <si>
    <t>Employee Pensions and Benefits Adjustment</t>
  </si>
  <si>
    <t>CURRENT HRLY RATE OF PAY</t>
  </si>
  <si>
    <t>NEW HRLY RATE OF PAY</t>
  </si>
  <si>
    <t>Employee Name</t>
  </si>
  <si>
    <t>DEBRA RISON</t>
  </si>
  <si>
    <t>Audrea Miller</t>
  </si>
  <si>
    <t>LUCIANA COX</t>
  </si>
  <si>
    <t>Brandon Chaney</t>
  </si>
  <si>
    <t>WILLIAM MURPHY</t>
  </si>
  <si>
    <t>Brian Darbyshire</t>
  </si>
  <si>
    <t>BRIAN DARBYSHIRE</t>
  </si>
  <si>
    <t>Colby Lynch</t>
  </si>
  <si>
    <t>WILLIAM PATRICK</t>
  </si>
  <si>
    <t>Debra Rison</t>
  </si>
  <si>
    <t>COLBY LYNCH</t>
  </si>
  <si>
    <t>Hunter Cole</t>
  </si>
  <si>
    <t>BRANDON CHANEY</t>
  </si>
  <si>
    <t>Luciana Cox</t>
  </si>
  <si>
    <t>HUNTER COLE</t>
  </si>
  <si>
    <t>William Murphy</t>
  </si>
  <si>
    <t xml:space="preserve">CURRENT SALARY </t>
  </si>
  <si>
    <t>NEW SALARY</t>
  </si>
  <si>
    <t>William Patrick</t>
  </si>
  <si>
    <t>AUDREA MILLER</t>
  </si>
  <si>
    <t>Allowable Water Loss</t>
  </si>
  <si>
    <t>Estill Reported Water Loss</t>
  </si>
  <si>
    <t>Excess Water Loss</t>
  </si>
  <si>
    <t>Purchased Water Expense</t>
  </si>
  <si>
    <t>Water Loss Not Allowed</t>
  </si>
  <si>
    <t>Purchased Power Expense</t>
  </si>
  <si>
    <t>Rate Case Expense Amortized over Three Years</t>
  </si>
  <si>
    <t>Rate Case Expense</t>
  </si>
  <si>
    <t>3-Year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</si>
</sst>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;\(#,##0\)"/>
    <numFmt numFmtId="167" formatCode="_(&quot;$&quot;* #,##0.00000_);_(&quot;$&quot;* \(#,##0.0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164" fontId="0" fillId="0" borderId="0" xfId="2" applyNumberFormat="1" applyFont="1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2" xfId="0" applyNumberFormat="1" applyBorder="1"/>
    <xf numFmtId="165" fontId="0" fillId="0" borderId="2" xfId="1" applyNumberFormat="1" applyFont="1" applyBorder="1"/>
    <xf numFmtId="165" fontId="0" fillId="0" borderId="1" xfId="1" applyNumberFormat="1" applyFont="1" applyBorder="1"/>
    <xf numFmtId="165" fontId="0" fillId="2" borderId="0" xfId="1" applyNumberFormat="1" applyFont="1" applyFill="1"/>
    <xf numFmtId="165" fontId="0" fillId="2" borderId="0" xfId="0" applyNumberFormat="1" applyFill="1"/>
    <xf numFmtId="165" fontId="0" fillId="0" borderId="0" xfId="0" applyNumberFormat="1"/>
    <xf numFmtId="165" fontId="0" fillId="0" borderId="1" xfId="0" applyNumberFormat="1" applyBorder="1"/>
    <xf numFmtId="6" fontId="0" fillId="0" borderId="0" xfId="0" applyNumberFormat="1"/>
    <xf numFmtId="0" fontId="3" fillId="0" borderId="0" xfId="0" applyFont="1"/>
    <xf numFmtId="4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166" fontId="0" fillId="0" borderId="0" xfId="0" applyNumberFormat="1"/>
    <xf numFmtId="166" fontId="0" fillId="0" borderId="1" xfId="0" applyNumberFormat="1" applyBorder="1"/>
    <xf numFmtId="164" fontId="0" fillId="0" borderId="1" xfId="0" applyNumberForma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/>
    <xf numFmtId="0" fontId="0" fillId="0" borderId="4" xfId="0" quotePrefix="1" applyBorder="1" applyAlignment="1">
      <alignment vertical="center"/>
    </xf>
    <xf numFmtId="165" fontId="0" fillId="0" borderId="4" xfId="1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165" fontId="5" fillId="0" borderId="4" xfId="1" applyNumberFormat="1" applyFont="1" applyBorder="1"/>
    <xf numFmtId="165" fontId="0" fillId="0" borderId="4" xfId="1" applyNumberFormat="1" applyFont="1" applyBorder="1" applyAlignment="1">
      <alignment vertical="center"/>
    </xf>
    <xf numFmtId="166" fontId="0" fillId="0" borderId="4" xfId="0" applyNumberFormat="1" applyBorder="1" applyAlignment="1">
      <alignment vertical="center"/>
    </xf>
    <xf numFmtId="0" fontId="4" fillId="0" borderId="4" xfId="0" applyFont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4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/>
    <xf numFmtId="165" fontId="4" fillId="0" borderId="4" xfId="1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44" fontId="0" fillId="0" borderId="4" xfId="2" applyFont="1" applyBorder="1" applyAlignment="1">
      <alignment vertical="center"/>
    </xf>
    <xf numFmtId="44" fontId="0" fillId="0" borderId="4" xfId="0" applyNumberForma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0" fillId="0" borderId="4" xfId="0" applyNumberFormat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4" xfId="1" applyNumberFormat="1" applyFont="1" applyBorder="1"/>
    <xf numFmtId="166" fontId="0" fillId="0" borderId="4" xfId="0" applyNumberFormat="1" applyBorder="1"/>
    <xf numFmtId="165" fontId="0" fillId="0" borderId="4" xfId="0" applyNumberFormat="1" applyBorder="1"/>
    <xf numFmtId="44" fontId="0" fillId="0" borderId="4" xfId="2" applyFont="1" applyBorder="1"/>
    <xf numFmtId="44" fontId="0" fillId="0" borderId="4" xfId="0" applyNumberFormat="1" applyBorder="1"/>
    <xf numFmtId="43" fontId="0" fillId="0" borderId="4" xfId="1" applyFont="1" applyBorder="1"/>
    <xf numFmtId="43" fontId="0" fillId="0" borderId="4" xfId="0" applyNumberFormat="1" applyBorder="1"/>
    <xf numFmtId="0" fontId="3" fillId="0" borderId="1" xfId="0" applyFont="1" applyBorder="1"/>
    <xf numFmtId="44" fontId="0" fillId="0" borderId="0" xfId="2" applyFont="1"/>
    <xf numFmtId="43" fontId="0" fillId="0" borderId="0" xfId="1" applyFont="1"/>
    <xf numFmtId="164" fontId="0" fillId="0" borderId="5" xfId="2" applyNumberFormat="1" applyFont="1" applyBorder="1"/>
    <xf numFmtId="44" fontId="0" fillId="0" borderId="1" xfId="0" applyNumberFormat="1" applyBorder="1"/>
    <xf numFmtId="10" fontId="0" fillId="0" borderId="1" xfId="0" applyNumberFormat="1" applyBorder="1"/>
    <xf numFmtId="43" fontId="0" fillId="0" borderId="1" xfId="1" applyFont="1" applyBorder="1"/>
    <xf numFmtId="44" fontId="0" fillId="0" borderId="5" xfId="0" applyNumberFormat="1" applyBorder="1"/>
    <xf numFmtId="164" fontId="0" fillId="0" borderId="5" xfId="0" applyNumberFormat="1" applyBorder="1"/>
    <xf numFmtId="165" fontId="0" fillId="0" borderId="5" xfId="0" applyNumberFormat="1" applyBorder="1"/>
    <xf numFmtId="0" fontId="4" fillId="0" borderId="0" xfId="0" applyFont="1"/>
    <xf numFmtId="2" fontId="4" fillId="0" borderId="0" xfId="0" applyNumberFormat="1" applyFont="1"/>
    <xf numFmtId="2" fontId="0" fillId="0" borderId="0" xfId="0" applyNumberFormat="1"/>
    <xf numFmtId="0" fontId="0" fillId="3" borderId="0" xfId="0" applyFill="1"/>
    <xf numFmtId="4" fontId="0" fillId="0" borderId="0" xfId="0" applyNumberFormat="1"/>
    <xf numFmtId="0" fontId="4" fillId="3" borderId="0" xfId="0" applyFont="1" applyFill="1"/>
    <xf numFmtId="9" fontId="0" fillId="0" borderId="0" xfId="0" applyNumberFormat="1"/>
    <xf numFmtId="10" fontId="0" fillId="0" borderId="0" xfId="0" applyNumberFormat="1"/>
    <xf numFmtId="164" fontId="0" fillId="0" borderId="0" xfId="2" applyNumberFormat="1" applyFont="1" applyBorder="1"/>
    <xf numFmtId="6" fontId="0" fillId="0" borderId="5" xfId="0" applyNumberFormat="1" applyBorder="1"/>
    <xf numFmtId="167" fontId="0" fillId="0" borderId="0" xfId="0" applyNumberFormat="1"/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Estill%20WD%20-%202021%20Rate%20Review\2022%20Test%20Year\Estill%20-%20Workpapers,%202022%20Test%20Y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O"/>
      <sheetName val="RR-DC"/>
      <sheetName val="Amortization"/>
      <sheetName val="Depreciation"/>
      <sheetName val="Salaries"/>
      <sheetName val="EmployeeHours"/>
      <sheetName val="Healthcare"/>
      <sheetName val="AvgDebt"/>
      <sheetName val="CitizensBank"/>
      <sheetName val="RD-Refinance"/>
      <sheetName val="KIA-F20-013"/>
      <sheetName val="WaterLoss"/>
      <sheetName val="BillingAnalysisExisting"/>
      <sheetName val="BillingAnalysisProposed"/>
      <sheetName val="Customer Notice"/>
      <sheetName val="2-Inch"/>
      <sheetName val="1-Inch"/>
      <sheetName val="5|8-Inch"/>
      <sheetName val="CurrentProposedRates"/>
    </sheetNames>
    <sheetDataSet>
      <sheetData sheetId="0">
        <row r="6">
          <cell r="H6">
            <v>1917600</v>
          </cell>
        </row>
        <row r="21">
          <cell r="H21">
            <v>332108</v>
          </cell>
        </row>
      </sheetData>
      <sheetData sheetId="1"/>
      <sheetData sheetId="2"/>
      <sheetData sheetId="3"/>
      <sheetData sheetId="4"/>
      <sheetData sheetId="5">
        <row r="23">
          <cell r="K23">
            <v>2080</v>
          </cell>
          <cell r="Q23">
            <v>2080</v>
          </cell>
          <cell r="W23">
            <v>2080</v>
          </cell>
          <cell r="AI23">
            <v>2238</v>
          </cell>
          <cell r="AO23">
            <v>688</v>
          </cell>
          <cell r="BA23">
            <v>2075.5</v>
          </cell>
          <cell r="BM23">
            <v>2080</v>
          </cell>
          <cell r="BS23">
            <v>2080</v>
          </cell>
        </row>
        <row r="24">
          <cell r="K24">
            <v>291</v>
          </cell>
          <cell r="Q24">
            <v>377.5</v>
          </cell>
          <cell r="W24">
            <v>358</v>
          </cell>
          <cell r="BA24">
            <v>38</v>
          </cell>
          <cell r="BM24">
            <v>326.5</v>
          </cell>
          <cell r="BS24">
            <v>392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2">
          <cell r="K12">
            <v>1904629.9103999999</v>
          </cell>
        </row>
      </sheetData>
      <sheetData sheetId="13"/>
      <sheetData sheetId="14">
        <row r="5">
          <cell r="I5">
            <v>25.64</v>
          </cell>
        </row>
        <row r="6">
          <cell r="I6">
            <v>12.51</v>
          </cell>
        </row>
        <row r="7">
          <cell r="I7">
            <v>12.25</v>
          </cell>
        </row>
        <row r="8">
          <cell r="I8">
            <v>9.74</v>
          </cell>
        </row>
        <row r="11">
          <cell r="I11">
            <v>63.17</v>
          </cell>
        </row>
        <row r="12">
          <cell r="I12">
            <v>12.25</v>
          </cell>
        </row>
        <row r="13">
          <cell r="I13">
            <v>9.74</v>
          </cell>
        </row>
        <row r="16">
          <cell r="I16">
            <v>182.88</v>
          </cell>
        </row>
        <row r="17">
          <cell r="I17">
            <v>9.74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141D5-7F45-4B0D-8C46-8F41C03CBD95}">
  <dimension ref="B1:P46"/>
  <sheetViews>
    <sheetView showGridLines="0" workbookViewId="0">
      <selection activeCell="AB38" sqref="AB38"/>
    </sheetView>
  </sheetViews>
  <sheetFormatPr defaultRowHeight="15" x14ac:dyDescent="0.25"/>
  <cols>
    <col min="2" max="3" width="2.28515625" customWidth="1"/>
    <col min="8" max="8" width="11.5703125" bestFit="1" customWidth="1"/>
    <col min="9" max="9" width="2.28515625" customWidth="1"/>
    <col min="10" max="10" width="11.42578125" bestFit="1" customWidth="1"/>
    <col min="11" max="11" width="2.28515625" customWidth="1"/>
    <col min="12" max="12" width="9.140625" style="17"/>
    <col min="13" max="13" width="2.28515625" customWidth="1"/>
    <col min="14" max="14" width="11.5703125" bestFit="1" customWidth="1"/>
  </cols>
  <sheetData>
    <row r="1" spans="2:16" ht="15.75" x14ac:dyDescent="0.25">
      <c r="B1" s="1" t="s">
        <v>0</v>
      </c>
    </row>
    <row r="3" spans="2:16" x14ac:dyDescent="0.25">
      <c r="H3" s="2" t="s">
        <v>1</v>
      </c>
      <c r="J3" s="2" t="s">
        <v>2</v>
      </c>
      <c r="L3" s="2" t="s">
        <v>3</v>
      </c>
      <c r="N3" s="2" t="s">
        <v>4</v>
      </c>
    </row>
    <row r="4" spans="2:16" ht="15.75" x14ac:dyDescent="0.25">
      <c r="B4" s="1" t="s">
        <v>5</v>
      </c>
    </row>
    <row r="5" spans="2:16" x14ac:dyDescent="0.25">
      <c r="C5" t="s">
        <v>6</v>
      </c>
    </row>
    <row r="6" spans="2:16" x14ac:dyDescent="0.25">
      <c r="D6" t="s">
        <v>7</v>
      </c>
      <c r="H6" s="3">
        <v>1917600</v>
      </c>
      <c r="J6" s="4">
        <f>BillingAnalysisExisting!T12</f>
        <v>-27103.089600000065</v>
      </c>
      <c r="L6" s="17" t="s">
        <v>73</v>
      </c>
      <c r="N6" s="5">
        <f>SUM(H6,J6)</f>
        <v>1890496.9103999999</v>
      </c>
    </row>
    <row r="7" spans="2:16" x14ac:dyDescent="0.25">
      <c r="D7" t="s">
        <v>8</v>
      </c>
      <c r="N7" s="4">
        <f>SUM(H7,J7)</f>
        <v>0</v>
      </c>
    </row>
    <row r="8" spans="2:16" x14ac:dyDescent="0.25">
      <c r="D8" t="s">
        <v>9</v>
      </c>
      <c r="N8" s="4">
        <f t="shared" ref="N8:N9" si="0">SUM(H8,J8)</f>
        <v>0</v>
      </c>
    </row>
    <row r="9" spans="2:16" x14ac:dyDescent="0.25">
      <c r="D9" t="s">
        <v>10</v>
      </c>
      <c r="H9" s="6"/>
      <c r="J9" s="6"/>
      <c r="N9" s="4">
        <f t="shared" si="0"/>
        <v>0</v>
      </c>
    </row>
    <row r="10" spans="2:16" x14ac:dyDescent="0.25">
      <c r="C10" t="s">
        <v>11</v>
      </c>
      <c r="H10" s="7">
        <f>SUM(H6:H9)</f>
        <v>1917600</v>
      </c>
      <c r="J10" s="8">
        <f>SUM(J6:J9)</f>
        <v>-27103.089600000065</v>
      </c>
      <c r="N10" s="8">
        <f>SUM(N6:N9)</f>
        <v>1890496.9103999999</v>
      </c>
    </row>
    <row r="11" spans="2:16" x14ac:dyDescent="0.25">
      <c r="C11" t="s">
        <v>12</v>
      </c>
    </row>
    <row r="12" spans="2:16" x14ac:dyDescent="0.25">
      <c r="D12" t="s">
        <v>13</v>
      </c>
      <c r="N12" s="4">
        <f>SUM(H12,J12)</f>
        <v>0</v>
      </c>
    </row>
    <row r="13" spans="2:16" x14ac:dyDescent="0.25">
      <c r="D13" t="s">
        <v>14</v>
      </c>
      <c r="H13" s="4"/>
      <c r="N13" s="4">
        <f t="shared" ref="N13:N15" si="1">SUM(H13,J13)</f>
        <v>0</v>
      </c>
    </row>
    <row r="14" spans="2:16" x14ac:dyDescent="0.25">
      <c r="D14" t="s">
        <v>15</v>
      </c>
      <c r="N14" s="4">
        <f t="shared" si="1"/>
        <v>0</v>
      </c>
    </row>
    <row r="15" spans="2:16" x14ac:dyDescent="0.25">
      <c r="D15" t="s">
        <v>16</v>
      </c>
      <c r="H15" s="9">
        <v>254809</v>
      </c>
      <c r="J15" s="9">
        <v>-160553</v>
      </c>
      <c r="L15" s="17" t="s">
        <v>74</v>
      </c>
      <c r="N15" s="4">
        <f t="shared" si="1"/>
        <v>94256</v>
      </c>
      <c r="P15" t="s">
        <v>79</v>
      </c>
    </row>
    <row r="16" spans="2:16" x14ac:dyDescent="0.25">
      <c r="C16" t="s">
        <v>17</v>
      </c>
      <c r="H16" s="8">
        <f>SUM(H12:H15)</f>
        <v>254809</v>
      </c>
      <c r="J16" s="8">
        <f>SUM(J12:J15)</f>
        <v>-160553</v>
      </c>
      <c r="N16" s="8">
        <f>SUM(N12:N15)</f>
        <v>94256</v>
      </c>
    </row>
    <row r="17" spans="2:14" ht="15.75" x14ac:dyDescent="0.25">
      <c r="B17" s="1" t="s">
        <v>18</v>
      </c>
      <c r="H17" s="7">
        <f>H10+H16</f>
        <v>2172409</v>
      </c>
      <c r="J17" s="8">
        <f>J10+J16</f>
        <v>-187656.08960000006</v>
      </c>
      <c r="N17" s="8">
        <f>N10+N16</f>
        <v>1984752.9103999999</v>
      </c>
    </row>
    <row r="19" spans="2:14" ht="15.75" x14ac:dyDescent="0.25">
      <c r="B19" s="1" t="s">
        <v>19</v>
      </c>
    </row>
    <row r="20" spans="2:14" x14ac:dyDescent="0.25">
      <c r="C20" t="s">
        <v>20</v>
      </c>
    </row>
    <row r="21" spans="2:14" x14ac:dyDescent="0.25">
      <c r="D21" t="s">
        <v>21</v>
      </c>
      <c r="H21" s="10">
        <v>332108</v>
      </c>
      <c r="J21" s="4">
        <f>Salaries!P16</f>
        <v>127768.25</v>
      </c>
      <c r="L21" s="17" t="s">
        <v>75</v>
      </c>
      <c r="N21" s="11">
        <f>SUM(H21,J21)</f>
        <v>459876.25</v>
      </c>
    </row>
    <row r="22" spans="2:14" x14ac:dyDescent="0.25">
      <c r="D22" t="s">
        <v>22</v>
      </c>
      <c r="H22" s="10">
        <v>18000</v>
      </c>
      <c r="N22" s="11">
        <f t="shared" ref="N22:N39" si="2">SUM(H22,J22)</f>
        <v>18000</v>
      </c>
    </row>
    <row r="23" spans="2:14" x14ac:dyDescent="0.25">
      <c r="D23" t="s">
        <v>23</v>
      </c>
      <c r="H23" s="10">
        <v>263936</v>
      </c>
      <c r="J23" s="4">
        <f>Salaries!U25</f>
        <v>17832.010750000001</v>
      </c>
      <c r="L23" s="17" t="s">
        <v>76</v>
      </c>
      <c r="N23" s="12">
        <f t="shared" si="2"/>
        <v>281768.01075000002</v>
      </c>
    </row>
    <row r="24" spans="2:14" x14ac:dyDescent="0.25">
      <c r="D24" t="s">
        <v>24</v>
      </c>
      <c r="H24" s="10">
        <v>890552</v>
      </c>
      <c r="J24" s="4">
        <f>-WaterLoss!D9</f>
        <v>-221743.88579200002</v>
      </c>
      <c r="L24" s="17" t="s">
        <v>77</v>
      </c>
      <c r="N24" s="12">
        <f t="shared" si="2"/>
        <v>668808.11420800001</v>
      </c>
    </row>
    <row r="25" spans="2:14" x14ac:dyDescent="0.25">
      <c r="D25" t="s">
        <v>25</v>
      </c>
      <c r="H25" s="10">
        <v>84756</v>
      </c>
      <c r="J25" s="4">
        <f>-WaterLoss!D15</f>
        <v>-21103.904976000002</v>
      </c>
      <c r="L25" s="17" t="s">
        <v>77</v>
      </c>
      <c r="N25" s="12">
        <f t="shared" si="2"/>
        <v>63652.095023999995</v>
      </c>
    </row>
    <row r="26" spans="2:14" x14ac:dyDescent="0.25">
      <c r="D26" t="s">
        <v>26</v>
      </c>
      <c r="H26" s="10"/>
      <c r="N26" s="12">
        <f t="shared" si="2"/>
        <v>0</v>
      </c>
    </row>
    <row r="27" spans="2:14" x14ac:dyDescent="0.25">
      <c r="D27" t="s">
        <v>27</v>
      </c>
      <c r="H27" s="10"/>
      <c r="N27" s="12">
        <f t="shared" si="2"/>
        <v>0</v>
      </c>
    </row>
    <row r="28" spans="2:14" x14ac:dyDescent="0.25">
      <c r="D28" t="s">
        <v>28</v>
      </c>
      <c r="H28" s="10">
        <v>61805</v>
      </c>
      <c r="N28" s="12">
        <f t="shared" si="2"/>
        <v>61805</v>
      </c>
    </row>
    <row r="29" spans="2:14" x14ac:dyDescent="0.25">
      <c r="D29" t="s">
        <v>29</v>
      </c>
      <c r="H29" s="10">
        <v>18500</v>
      </c>
      <c r="N29" s="12">
        <f t="shared" si="2"/>
        <v>18500</v>
      </c>
    </row>
    <row r="30" spans="2:14" x14ac:dyDescent="0.25">
      <c r="D30" t="s">
        <v>30</v>
      </c>
      <c r="H30" s="10">
        <v>1433</v>
      </c>
      <c r="N30" s="12">
        <f t="shared" si="2"/>
        <v>1433</v>
      </c>
    </row>
    <row r="31" spans="2:14" x14ac:dyDescent="0.25">
      <c r="D31" t="s">
        <v>31</v>
      </c>
      <c r="H31" s="10">
        <v>42329</v>
      </c>
      <c r="N31" s="12">
        <f t="shared" si="2"/>
        <v>42329</v>
      </c>
    </row>
    <row r="32" spans="2:14" x14ac:dyDescent="0.25">
      <c r="D32" t="s">
        <v>32</v>
      </c>
      <c r="H32" s="10">
        <v>5285</v>
      </c>
      <c r="N32" s="12">
        <f t="shared" si="2"/>
        <v>5285</v>
      </c>
    </row>
    <row r="33" spans="2:14" x14ac:dyDescent="0.25">
      <c r="D33" t="s">
        <v>33</v>
      </c>
      <c r="H33" s="10"/>
      <c r="N33" s="12">
        <f t="shared" si="2"/>
        <v>0</v>
      </c>
    </row>
    <row r="34" spans="2:14" x14ac:dyDescent="0.25">
      <c r="D34" t="s">
        <v>34</v>
      </c>
      <c r="H34" s="10">
        <v>24928</v>
      </c>
      <c r="N34" s="12">
        <f t="shared" si="2"/>
        <v>24928</v>
      </c>
    </row>
    <row r="35" spans="2:14" x14ac:dyDescent="0.25">
      <c r="D35" t="s">
        <v>35</v>
      </c>
      <c r="H35" s="10">
        <f>19491+4453+407</f>
        <v>24351</v>
      </c>
      <c r="N35" s="12">
        <f t="shared" si="2"/>
        <v>24351</v>
      </c>
    </row>
    <row r="36" spans="2:14" x14ac:dyDescent="0.25">
      <c r="D36" t="s">
        <v>36</v>
      </c>
      <c r="H36" s="10">
        <v>38</v>
      </c>
      <c r="N36" s="12">
        <f t="shared" si="2"/>
        <v>38</v>
      </c>
    </row>
    <row r="37" spans="2:14" x14ac:dyDescent="0.25">
      <c r="D37" t="s">
        <v>37</v>
      </c>
      <c r="H37" s="10"/>
      <c r="N37" s="12">
        <f t="shared" si="2"/>
        <v>0</v>
      </c>
    </row>
    <row r="38" spans="2:14" x14ac:dyDescent="0.25">
      <c r="D38" t="s">
        <v>38</v>
      </c>
      <c r="H38" s="10"/>
      <c r="N38" s="12">
        <f t="shared" si="2"/>
        <v>0</v>
      </c>
    </row>
    <row r="39" spans="2:14" x14ac:dyDescent="0.25">
      <c r="D39" t="s">
        <v>39</v>
      </c>
      <c r="H39" s="9">
        <v>56583</v>
      </c>
      <c r="J39" s="6"/>
      <c r="N39" s="13">
        <f t="shared" si="2"/>
        <v>56583</v>
      </c>
    </row>
    <row r="40" spans="2:14" x14ac:dyDescent="0.25">
      <c r="C40" t="s">
        <v>40</v>
      </c>
      <c r="H40" s="12">
        <f>SUM(H21:H39)</f>
        <v>1824604</v>
      </c>
      <c r="J40" s="4">
        <f>SUM(J21:J39)</f>
        <v>-97247.530018000005</v>
      </c>
      <c r="N40" s="4">
        <f>SUM(N21:N39)</f>
        <v>1727356.4699820001</v>
      </c>
    </row>
    <row r="41" spans="2:14" x14ac:dyDescent="0.25">
      <c r="C41" t="s">
        <v>41</v>
      </c>
      <c r="H41" s="4">
        <v>279693</v>
      </c>
      <c r="N41" s="12">
        <f>SUM(H41,J41)</f>
        <v>279693</v>
      </c>
    </row>
    <row r="42" spans="2:14" x14ac:dyDescent="0.25">
      <c r="C42" t="s">
        <v>42</v>
      </c>
      <c r="H42" s="4">
        <v>3801</v>
      </c>
      <c r="J42" s="14">
        <f>Amortization!D6</f>
        <v>5000</v>
      </c>
      <c r="L42" s="17" t="s">
        <v>78</v>
      </c>
      <c r="N42" s="12">
        <f t="shared" ref="N42:N44" si="3">SUM(H42,J42)</f>
        <v>8801</v>
      </c>
    </row>
    <row r="43" spans="2:14" x14ac:dyDescent="0.25">
      <c r="C43" t="s">
        <v>43</v>
      </c>
      <c r="H43" s="4">
        <v>28846</v>
      </c>
      <c r="J43" s="4">
        <f>Salaries!U7</f>
        <v>9774.2711249999993</v>
      </c>
      <c r="L43" s="17" t="s">
        <v>77</v>
      </c>
      <c r="N43" s="12">
        <f>SUM(H43,J43)</f>
        <v>38620.271124999999</v>
      </c>
    </row>
    <row r="44" spans="2:14" x14ac:dyDescent="0.25">
      <c r="C44" t="s">
        <v>44</v>
      </c>
      <c r="H44" s="9"/>
      <c r="J44" s="6"/>
      <c r="N44" s="12">
        <f t="shared" si="3"/>
        <v>0</v>
      </c>
    </row>
    <row r="45" spans="2:14" ht="15.75" x14ac:dyDescent="0.25">
      <c r="B45" s="15" t="s">
        <v>45</v>
      </c>
      <c r="H45" s="7">
        <f>SUM(H40:H44)</f>
        <v>2136944</v>
      </c>
      <c r="J45" s="8">
        <f>SUM(J40:J44)</f>
        <v>-82473.258893000006</v>
      </c>
      <c r="N45" s="8">
        <f>SUM(N40:N44)</f>
        <v>2054470.741107</v>
      </c>
    </row>
    <row r="46" spans="2:14" ht="15.75" x14ac:dyDescent="0.25">
      <c r="B46" s="15" t="s">
        <v>46</v>
      </c>
      <c r="H46" s="7">
        <f>H17-H45</f>
        <v>35465</v>
      </c>
      <c r="J46" s="9">
        <f>J17-J45</f>
        <v>-105182.83070700006</v>
      </c>
      <c r="N46" s="8">
        <f>N17-N45</f>
        <v>-69717.830707000103</v>
      </c>
    </row>
  </sheetData>
  <pageMargins left="0.7" right="0.7" top="0.75" bottom="0.75" header="0.3" footer="0.3"/>
  <ignoredErrors>
    <ignoredError sqref="N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2132-224B-41F7-8F69-09F1E268E101}">
  <dimension ref="B1:T73"/>
  <sheetViews>
    <sheetView topLeftCell="A4" workbookViewId="0">
      <selection activeCell="T28" sqref="T28"/>
    </sheetView>
  </sheetViews>
  <sheetFormatPr defaultRowHeight="15" x14ac:dyDescent="0.25"/>
  <cols>
    <col min="2" max="2" width="15.7109375" bestFit="1" customWidth="1"/>
    <col min="6" max="6" width="12.7109375" bestFit="1" customWidth="1"/>
    <col min="7" max="7" width="12.85546875" customWidth="1"/>
    <col min="8" max="8" width="15.7109375" bestFit="1" customWidth="1"/>
    <col min="9" max="9" width="13.42578125" bestFit="1" customWidth="1"/>
    <col min="10" max="10" width="16.140625" customWidth="1"/>
    <col min="11" max="11" width="15.7109375" bestFit="1" customWidth="1"/>
    <col min="20" max="20" width="14.42578125" bestFit="1" customWidth="1"/>
  </cols>
  <sheetData>
    <row r="1" spans="2:20" x14ac:dyDescent="0.25">
      <c r="B1" s="16"/>
    </row>
    <row r="4" spans="2:20" ht="15.75" x14ac:dyDescent="0.25">
      <c r="I4" s="17"/>
      <c r="J4" s="18" t="s">
        <v>47</v>
      </c>
      <c r="K4" s="17"/>
    </row>
    <row r="5" spans="2:20" ht="16.5" thickBot="1" x14ac:dyDescent="0.3">
      <c r="E5" s="19" t="s">
        <v>48</v>
      </c>
      <c r="F5" s="20"/>
      <c r="G5" s="20"/>
      <c r="H5" s="20"/>
      <c r="I5" s="21" t="s">
        <v>49</v>
      </c>
      <c r="J5" s="21" t="s">
        <v>50</v>
      </c>
      <c r="K5" s="21" t="s">
        <v>51</v>
      </c>
    </row>
    <row r="7" spans="2:20" x14ac:dyDescent="0.25">
      <c r="N7">
        <v>1904630</v>
      </c>
      <c r="P7" s="6" t="s">
        <v>52</v>
      </c>
      <c r="Q7" s="6"/>
      <c r="R7" s="6"/>
    </row>
    <row r="8" spans="2:20" x14ac:dyDescent="0.25">
      <c r="E8" t="s">
        <v>53</v>
      </c>
      <c r="I8" s="22">
        <f>E30</f>
        <v>51484</v>
      </c>
      <c r="J8" s="22">
        <f>F30</f>
        <v>158324070</v>
      </c>
      <c r="K8" s="5">
        <f>H40</f>
        <v>1839889.5807</v>
      </c>
    </row>
    <row r="9" spans="2:20" x14ac:dyDescent="0.25">
      <c r="E9" t="s">
        <v>54</v>
      </c>
      <c r="I9" s="22">
        <f>E49</f>
        <v>163</v>
      </c>
      <c r="J9" s="22">
        <f>F49</f>
        <v>2504500</v>
      </c>
      <c r="K9" s="5">
        <f>H58</f>
        <v>25232.697700000001</v>
      </c>
      <c r="N9">
        <f>[1]SAO!H6</f>
        <v>1917600</v>
      </c>
      <c r="P9" t="s">
        <v>55</v>
      </c>
      <c r="T9" s="5">
        <f>K15</f>
        <v>1890496.9103999999</v>
      </c>
    </row>
    <row r="10" spans="2:20" x14ac:dyDescent="0.25">
      <c r="E10" t="s">
        <v>56</v>
      </c>
      <c r="I10" s="23">
        <f>E66</f>
        <v>133</v>
      </c>
      <c r="J10" s="23">
        <f>F66</f>
        <v>3843750</v>
      </c>
      <c r="K10" s="24">
        <f>H73</f>
        <v>39507.631999999998</v>
      </c>
      <c r="P10" t="s">
        <v>57</v>
      </c>
      <c r="T10" s="9">
        <f>Proforma!H6</f>
        <v>1917600</v>
      </c>
    </row>
    <row r="12" spans="2:20" x14ac:dyDescent="0.25">
      <c r="E12" t="s">
        <v>58</v>
      </c>
      <c r="I12" s="22">
        <f>SUM(I8:I11)</f>
        <v>51780</v>
      </c>
      <c r="J12" s="22">
        <f>SUM(J8:J11)</f>
        <v>164672320</v>
      </c>
      <c r="K12" s="3">
        <f>SUM(K8:K11)</f>
        <v>1904629.9103999999</v>
      </c>
      <c r="N12">
        <f>N9-N7</f>
        <v>12970</v>
      </c>
      <c r="P12" t="s">
        <v>2</v>
      </c>
      <c r="T12" s="5">
        <f>T9-T10</f>
        <v>-27103.089600000065</v>
      </c>
    </row>
    <row r="14" spans="2:20" x14ac:dyDescent="0.25">
      <c r="I14" t="s">
        <v>59</v>
      </c>
      <c r="K14" s="9">
        <v>-14133</v>
      </c>
    </row>
    <row r="15" spans="2:20" x14ac:dyDescent="0.25">
      <c r="I15" t="s">
        <v>60</v>
      </c>
      <c r="K15" s="5">
        <f>SUM(K12:K14)</f>
        <v>1890496.9103999999</v>
      </c>
    </row>
    <row r="22" spans="3:11" ht="15.75" x14ac:dyDescent="0.25">
      <c r="C22" s="25" t="s">
        <v>61</v>
      </c>
      <c r="D22" s="26"/>
      <c r="E22" s="26"/>
      <c r="F22" s="26"/>
      <c r="G22" s="26"/>
      <c r="H22" s="26"/>
      <c r="I22" s="26"/>
      <c r="J22" s="27"/>
      <c r="K22" s="28"/>
    </row>
    <row r="23" spans="3:11" ht="15.75" x14ac:dyDescent="0.25">
      <c r="C23" s="29"/>
      <c r="D23" s="30"/>
      <c r="E23" s="30"/>
      <c r="F23" s="30"/>
      <c r="G23" s="30" t="s">
        <v>62</v>
      </c>
      <c r="H23" s="31" t="s">
        <v>63</v>
      </c>
      <c r="I23" s="30" t="s">
        <v>63</v>
      </c>
      <c r="J23" s="32" t="s">
        <v>64</v>
      </c>
      <c r="K23" s="30"/>
    </row>
    <row r="24" spans="3:11" ht="15.75" x14ac:dyDescent="0.25">
      <c r="C24" s="33" t="s">
        <v>65</v>
      </c>
      <c r="D24" s="30" t="s">
        <v>66</v>
      </c>
      <c r="E24" s="30" t="s">
        <v>67</v>
      </c>
      <c r="F24" s="30" t="s">
        <v>47</v>
      </c>
      <c r="G24" s="34">
        <v>2000</v>
      </c>
      <c r="H24" s="35">
        <v>3000</v>
      </c>
      <c r="I24" s="34">
        <v>5000</v>
      </c>
      <c r="J24" s="36">
        <v>10000</v>
      </c>
      <c r="K24" s="30" t="s">
        <v>68</v>
      </c>
    </row>
    <row r="25" spans="3:11" ht="15.75" x14ac:dyDescent="0.25">
      <c r="C25" s="29" t="s">
        <v>62</v>
      </c>
      <c r="D25" s="37">
        <v>2000</v>
      </c>
      <c r="E25" s="38">
        <v>17464</v>
      </c>
      <c r="F25" s="38">
        <v>17262930</v>
      </c>
      <c r="G25" s="37">
        <v>17262930</v>
      </c>
      <c r="H25" s="31"/>
      <c r="I25" s="29"/>
      <c r="J25" s="32"/>
      <c r="K25" s="38">
        <v>17262930</v>
      </c>
    </row>
    <row r="26" spans="3:11" ht="15.75" x14ac:dyDescent="0.25">
      <c r="C26" s="39" t="s">
        <v>63</v>
      </c>
      <c r="D26" s="37">
        <v>3000</v>
      </c>
      <c r="E26" s="38">
        <v>19762</v>
      </c>
      <c r="F26" s="38">
        <v>64581660</v>
      </c>
      <c r="G26" s="40">
        <v>39524000</v>
      </c>
      <c r="H26" s="41">
        <v>25057660</v>
      </c>
      <c r="I26" s="40"/>
      <c r="J26" s="32"/>
      <c r="K26" s="38">
        <v>64581660</v>
      </c>
    </row>
    <row r="27" spans="3:11" ht="15.75" x14ac:dyDescent="0.25">
      <c r="C27" s="29" t="s">
        <v>63</v>
      </c>
      <c r="D27" s="37">
        <v>5000</v>
      </c>
      <c r="E27" s="38">
        <v>12626</v>
      </c>
      <c r="F27" s="38">
        <v>41720590</v>
      </c>
      <c r="G27" s="40">
        <v>25252000</v>
      </c>
      <c r="H27" s="41">
        <v>37878000</v>
      </c>
      <c r="I27" s="40">
        <v>-21409410</v>
      </c>
      <c r="J27" s="32"/>
      <c r="K27" s="38">
        <v>41720590</v>
      </c>
    </row>
    <row r="28" spans="3:11" ht="15.75" x14ac:dyDescent="0.25">
      <c r="C28" s="29" t="s">
        <v>64</v>
      </c>
      <c r="D28" s="37">
        <v>10000</v>
      </c>
      <c r="E28" s="38">
        <v>1632</v>
      </c>
      <c r="F28" s="38">
        <v>34758890</v>
      </c>
      <c r="G28" s="40">
        <v>3264000</v>
      </c>
      <c r="H28" s="41">
        <v>4896000</v>
      </c>
      <c r="I28" s="40">
        <v>8160000</v>
      </c>
      <c r="J28" s="42">
        <v>18438890</v>
      </c>
      <c r="K28" s="38">
        <v>34758890</v>
      </c>
    </row>
    <row r="29" spans="3:11" ht="15.75" x14ac:dyDescent="0.25">
      <c r="C29" s="29"/>
      <c r="D29" s="29"/>
      <c r="E29" s="29"/>
      <c r="F29" s="29"/>
      <c r="G29" s="29"/>
      <c r="H29" s="31"/>
      <c r="I29" s="29"/>
      <c r="J29" s="32"/>
      <c r="K29" s="29"/>
    </row>
    <row r="30" spans="3:11" ht="15.75" x14ac:dyDescent="0.25">
      <c r="C30" s="29" t="s">
        <v>58</v>
      </c>
      <c r="D30" s="29"/>
      <c r="E30" s="38">
        <v>51484</v>
      </c>
      <c r="F30" s="38">
        <v>158324070</v>
      </c>
      <c r="G30" s="38">
        <v>85302930</v>
      </c>
      <c r="H30" s="43">
        <v>67831660</v>
      </c>
      <c r="I30" s="38">
        <v>-13249410</v>
      </c>
      <c r="J30" s="36">
        <v>18438890</v>
      </c>
      <c r="K30" s="38">
        <v>158324070</v>
      </c>
    </row>
    <row r="31" spans="3:11" ht="15.75" x14ac:dyDescent="0.25">
      <c r="C31" s="26"/>
      <c r="D31" s="26"/>
      <c r="E31" s="44"/>
      <c r="F31" s="44"/>
      <c r="G31" s="44"/>
      <c r="H31" s="44"/>
      <c r="I31" s="44"/>
      <c r="J31" s="27"/>
      <c r="K31" s="28"/>
    </row>
    <row r="32" spans="3:11" ht="15.75" x14ac:dyDescent="0.25">
      <c r="C32" s="26"/>
      <c r="D32" s="26"/>
      <c r="E32" s="26"/>
      <c r="F32" s="26"/>
      <c r="G32" s="26"/>
      <c r="H32" s="26"/>
      <c r="I32" s="26"/>
      <c r="J32" s="27"/>
      <c r="K32" s="28"/>
    </row>
    <row r="33" spans="3:11" ht="15.75" x14ac:dyDescent="0.25">
      <c r="C33" s="25" t="s">
        <v>69</v>
      </c>
      <c r="D33" s="26"/>
      <c r="E33" s="26"/>
      <c r="F33" s="26"/>
      <c r="G33" s="26"/>
      <c r="H33" s="26"/>
      <c r="I33" s="26"/>
      <c r="J33" s="27"/>
      <c r="K33" s="28"/>
    </row>
    <row r="34" spans="3:11" ht="15.75" x14ac:dyDescent="0.25">
      <c r="C34" s="33" t="s">
        <v>65</v>
      </c>
      <c r="D34" s="30" t="s">
        <v>66</v>
      </c>
      <c r="E34" s="30" t="s">
        <v>67</v>
      </c>
      <c r="F34" s="30" t="s">
        <v>47</v>
      </c>
      <c r="G34" s="30" t="s">
        <v>70</v>
      </c>
      <c r="H34" s="30" t="s">
        <v>51</v>
      </c>
      <c r="I34" s="26"/>
      <c r="J34" s="27"/>
      <c r="K34" s="28"/>
    </row>
    <row r="35" spans="3:11" ht="15.75" x14ac:dyDescent="0.25">
      <c r="C35" s="29" t="s">
        <v>62</v>
      </c>
      <c r="D35" s="37">
        <v>2000</v>
      </c>
      <c r="E35" s="38">
        <v>51484</v>
      </c>
      <c r="F35" s="38">
        <v>85302930</v>
      </c>
      <c r="G35" s="45">
        <v>21.58</v>
      </c>
      <c r="H35" s="46">
        <v>1111024.72</v>
      </c>
      <c r="I35" s="26"/>
      <c r="J35" s="27"/>
      <c r="K35" s="28"/>
    </row>
    <row r="36" spans="3:11" ht="15.75" x14ac:dyDescent="0.25">
      <c r="C36" s="39" t="s">
        <v>63</v>
      </c>
      <c r="D36" s="37">
        <v>3000</v>
      </c>
      <c r="E36" s="29"/>
      <c r="F36" s="38">
        <v>67831660</v>
      </c>
      <c r="G36" s="47">
        <v>10.53</v>
      </c>
      <c r="H36" s="48">
        <v>714267.3798</v>
      </c>
      <c r="I36" s="26"/>
      <c r="J36" s="27"/>
      <c r="K36" s="28"/>
    </row>
    <row r="37" spans="3:11" ht="15.75" x14ac:dyDescent="0.25">
      <c r="C37" s="29" t="s">
        <v>63</v>
      </c>
      <c r="D37" s="37">
        <v>5000</v>
      </c>
      <c r="E37" s="29"/>
      <c r="F37" s="38">
        <v>-13249410</v>
      </c>
      <c r="G37" s="47">
        <v>10.31</v>
      </c>
      <c r="H37" s="48">
        <v>-136601.41709999999</v>
      </c>
      <c r="I37" s="26"/>
      <c r="J37" s="27"/>
      <c r="K37" s="28"/>
    </row>
    <row r="38" spans="3:11" ht="15.75" x14ac:dyDescent="0.25">
      <c r="C38" s="29" t="s">
        <v>64</v>
      </c>
      <c r="D38" s="37">
        <v>10000</v>
      </c>
      <c r="E38" s="29"/>
      <c r="F38" s="40">
        <v>18438890</v>
      </c>
      <c r="G38" s="47">
        <v>8.1999999999999993</v>
      </c>
      <c r="H38" s="37">
        <v>151198.89799999999</v>
      </c>
      <c r="I38" s="26"/>
      <c r="J38" s="27"/>
      <c r="K38" s="28"/>
    </row>
    <row r="39" spans="3:11" ht="15.75" x14ac:dyDescent="0.25">
      <c r="C39" s="29"/>
      <c r="D39" s="37"/>
      <c r="E39" s="29"/>
      <c r="F39" s="29"/>
      <c r="G39" s="29"/>
      <c r="H39" s="29"/>
      <c r="I39" s="26"/>
      <c r="J39" s="27"/>
      <c r="K39" s="28"/>
    </row>
    <row r="40" spans="3:11" ht="15.75" x14ac:dyDescent="0.25">
      <c r="C40" s="29" t="s">
        <v>58</v>
      </c>
      <c r="D40" s="29"/>
      <c r="E40" s="29"/>
      <c r="F40" s="38">
        <v>158324070</v>
      </c>
      <c r="G40" s="29"/>
      <c r="H40" s="46">
        <v>1839889.5807</v>
      </c>
      <c r="I40" s="26"/>
      <c r="J40" s="27"/>
      <c r="K40" s="28"/>
    </row>
    <row r="42" spans="3:11" ht="15.75" x14ac:dyDescent="0.25">
      <c r="C42" s="25" t="s">
        <v>54</v>
      </c>
      <c r="D42" s="26"/>
      <c r="E42" s="26"/>
      <c r="F42" s="26"/>
      <c r="G42" s="26"/>
      <c r="H42" s="26"/>
      <c r="I42" s="26"/>
      <c r="J42" s="27"/>
    </row>
    <row r="43" spans="3:11" ht="15.75" x14ac:dyDescent="0.25">
      <c r="C43" s="29"/>
      <c r="D43" s="30"/>
      <c r="E43" s="30"/>
      <c r="F43" s="30"/>
      <c r="G43" s="30" t="s">
        <v>62</v>
      </c>
      <c r="H43" s="31" t="s">
        <v>63</v>
      </c>
      <c r="I43" s="30" t="s">
        <v>64</v>
      </c>
      <c r="J43" s="30"/>
    </row>
    <row r="44" spans="3:11" ht="15.75" x14ac:dyDescent="0.25">
      <c r="C44" s="29"/>
      <c r="D44" s="30" t="s">
        <v>66</v>
      </c>
      <c r="E44" s="30" t="s">
        <v>67</v>
      </c>
      <c r="F44" s="30" t="s">
        <v>47</v>
      </c>
      <c r="G44" s="34">
        <v>5000</v>
      </c>
      <c r="H44" s="35">
        <v>5000</v>
      </c>
      <c r="I44" s="34">
        <v>10000</v>
      </c>
      <c r="J44" s="30" t="s">
        <v>68</v>
      </c>
    </row>
    <row r="45" spans="3:11" ht="15.75" x14ac:dyDescent="0.25">
      <c r="C45" s="29" t="s">
        <v>62</v>
      </c>
      <c r="D45" s="37">
        <v>5000</v>
      </c>
      <c r="E45" s="38">
        <v>66</v>
      </c>
      <c r="F45" s="38">
        <v>115370</v>
      </c>
      <c r="G45" s="37">
        <v>115370</v>
      </c>
      <c r="H45" s="31"/>
      <c r="I45" s="29"/>
      <c r="J45" s="38">
        <v>115370</v>
      </c>
    </row>
    <row r="46" spans="3:11" ht="15.75" x14ac:dyDescent="0.25">
      <c r="C46" s="39" t="s">
        <v>63</v>
      </c>
      <c r="D46" s="37">
        <v>5000</v>
      </c>
      <c r="E46" s="38">
        <v>16</v>
      </c>
      <c r="F46" s="38">
        <v>125470</v>
      </c>
      <c r="G46" s="40">
        <v>80000</v>
      </c>
      <c r="H46" s="41">
        <v>45470</v>
      </c>
      <c r="I46" s="40"/>
      <c r="J46" s="38">
        <v>125470</v>
      </c>
    </row>
    <row r="47" spans="3:11" ht="15.75" x14ac:dyDescent="0.25">
      <c r="C47" s="29" t="s">
        <v>64</v>
      </c>
      <c r="D47" s="37">
        <v>10000</v>
      </c>
      <c r="E47" s="38">
        <v>81</v>
      </c>
      <c r="F47" s="38">
        <v>2263660</v>
      </c>
      <c r="G47" s="40">
        <v>405000</v>
      </c>
      <c r="H47" s="41">
        <v>405000</v>
      </c>
      <c r="I47" s="40">
        <v>1453660</v>
      </c>
      <c r="J47" s="38">
        <v>2263660</v>
      </c>
    </row>
    <row r="48" spans="3:11" ht="15.75" x14ac:dyDescent="0.25">
      <c r="C48" s="29"/>
      <c r="D48" s="29"/>
      <c r="E48" s="29"/>
      <c r="F48" s="29"/>
      <c r="G48" s="29"/>
      <c r="H48" s="31"/>
      <c r="I48" s="29"/>
      <c r="J48" s="29"/>
    </row>
    <row r="49" spans="3:10" ht="15.75" x14ac:dyDescent="0.25">
      <c r="C49" s="29" t="s">
        <v>58</v>
      </c>
      <c r="D49" s="29"/>
      <c r="E49" s="38">
        <v>163</v>
      </c>
      <c r="F49" s="38">
        <v>2504500</v>
      </c>
      <c r="G49" s="38">
        <v>600370</v>
      </c>
      <c r="H49" s="43">
        <v>450470</v>
      </c>
      <c r="I49" s="38">
        <v>1453660</v>
      </c>
      <c r="J49" s="38">
        <v>2504500</v>
      </c>
    </row>
    <row r="50" spans="3:10" ht="15.75" x14ac:dyDescent="0.25">
      <c r="C50" s="26"/>
      <c r="D50" s="26"/>
      <c r="E50" s="44"/>
      <c r="F50" s="44"/>
      <c r="G50" s="44"/>
      <c r="H50" s="44"/>
      <c r="I50" s="44"/>
      <c r="J50" s="27"/>
    </row>
    <row r="51" spans="3:10" ht="15.75" x14ac:dyDescent="0.25">
      <c r="C51" s="26"/>
      <c r="D51" s="26"/>
      <c r="E51" s="26"/>
      <c r="F51" s="26"/>
      <c r="G51" s="26"/>
      <c r="H51" s="26"/>
      <c r="I51" s="26"/>
      <c r="J51" s="27"/>
    </row>
    <row r="52" spans="3:10" ht="15.75" x14ac:dyDescent="0.25">
      <c r="C52" s="25" t="s">
        <v>71</v>
      </c>
      <c r="D52" s="26"/>
      <c r="E52" s="26"/>
      <c r="F52" s="26"/>
      <c r="G52" s="26"/>
      <c r="H52" s="26"/>
      <c r="I52" s="26"/>
      <c r="J52" s="27"/>
    </row>
    <row r="53" spans="3:10" ht="15.75" x14ac:dyDescent="0.25">
      <c r="C53" s="29"/>
      <c r="D53" s="30" t="s">
        <v>66</v>
      </c>
      <c r="E53" s="30" t="s">
        <v>67</v>
      </c>
      <c r="F53" s="30" t="s">
        <v>47</v>
      </c>
      <c r="G53" s="30" t="s">
        <v>70</v>
      </c>
      <c r="H53" s="30" t="s">
        <v>51</v>
      </c>
      <c r="I53" s="26"/>
      <c r="J53" s="27"/>
    </row>
    <row r="54" spans="3:10" ht="15.75" x14ac:dyDescent="0.25">
      <c r="C54" s="29" t="s">
        <v>62</v>
      </c>
      <c r="D54" s="37">
        <v>5000</v>
      </c>
      <c r="E54" s="38">
        <v>163</v>
      </c>
      <c r="F54" s="38">
        <v>600370</v>
      </c>
      <c r="G54" s="45">
        <v>53.18</v>
      </c>
      <c r="H54" s="46">
        <v>8668.34</v>
      </c>
      <c r="I54" s="26"/>
      <c r="J54" s="27"/>
    </row>
    <row r="55" spans="3:10" ht="15.75" x14ac:dyDescent="0.25">
      <c r="C55" s="39" t="s">
        <v>63</v>
      </c>
      <c r="D55" s="37">
        <v>5000</v>
      </c>
      <c r="E55" s="29"/>
      <c r="F55" s="38">
        <v>450470</v>
      </c>
      <c r="G55" s="47">
        <v>10.31</v>
      </c>
      <c r="H55" s="48">
        <v>4644.3457000000008</v>
      </c>
      <c r="I55" s="26"/>
      <c r="J55" s="27"/>
    </row>
    <row r="56" spans="3:10" ht="15.75" x14ac:dyDescent="0.25">
      <c r="C56" s="29" t="s">
        <v>64</v>
      </c>
      <c r="D56" s="37">
        <v>10000</v>
      </c>
      <c r="E56" s="29"/>
      <c r="F56" s="38">
        <v>1453660</v>
      </c>
      <c r="G56" s="47">
        <v>8.1999999999999993</v>
      </c>
      <c r="H56" s="48">
        <v>11920.011999999999</v>
      </c>
      <c r="I56" s="26"/>
      <c r="J56" s="27"/>
    </row>
    <row r="57" spans="3:10" ht="15.75" x14ac:dyDescent="0.25">
      <c r="C57" s="29"/>
      <c r="D57" s="29"/>
      <c r="E57" s="29"/>
      <c r="F57" s="29"/>
      <c r="G57" s="29"/>
      <c r="H57" s="29"/>
      <c r="I57" s="26"/>
      <c r="J57" s="27"/>
    </row>
    <row r="58" spans="3:10" ht="15.75" x14ac:dyDescent="0.25">
      <c r="C58" s="29" t="s">
        <v>58</v>
      </c>
      <c r="D58" s="29"/>
      <c r="E58" s="29"/>
      <c r="F58" s="38">
        <v>2504500</v>
      </c>
      <c r="G58" s="29"/>
      <c r="H58" s="46">
        <v>25232.697700000001</v>
      </c>
      <c r="I58" s="26"/>
      <c r="J58" s="27"/>
    </row>
    <row r="60" spans="3:10" ht="15.75" x14ac:dyDescent="0.25">
      <c r="C60" s="15" t="s">
        <v>56</v>
      </c>
    </row>
    <row r="61" spans="3:10" x14ac:dyDescent="0.25">
      <c r="C61" s="49"/>
      <c r="D61" s="50"/>
      <c r="E61" s="50"/>
      <c r="F61" s="50"/>
      <c r="G61" s="50" t="s">
        <v>62</v>
      </c>
      <c r="H61" s="50" t="s">
        <v>64</v>
      </c>
      <c r="I61" s="50"/>
    </row>
    <row r="62" spans="3:10" x14ac:dyDescent="0.25">
      <c r="C62" s="49"/>
      <c r="D62" s="50" t="s">
        <v>66</v>
      </c>
      <c r="E62" s="50" t="s">
        <v>67</v>
      </c>
      <c r="F62" s="50" t="s">
        <v>47</v>
      </c>
      <c r="G62" s="51">
        <v>16000</v>
      </c>
      <c r="H62" s="51">
        <v>16000</v>
      </c>
      <c r="I62" s="50" t="s">
        <v>68</v>
      </c>
    </row>
    <row r="63" spans="3:10" x14ac:dyDescent="0.25">
      <c r="C63" s="49" t="s">
        <v>62</v>
      </c>
      <c r="D63" s="52">
        <v>16000</v>
      </c>
      <c r="E63" s="53">
        <v>60</v>
      </c>
      <c r="F63" s="53">
        <v>354740</v>
      </c>
      <c r="G63" s="52">
        <v>354740</v>
      </c>
      <c r="H63" s="49"/>
      <c r="I63" s="53">
        <v>354740</v>
      </c>
    </row>
    <row r="64" spans="3:10" x14ac:dyDescent="0.25">
      <c r="C64" s="49" t="s">
        <v>64</v>
      </c>
      <c r="D64" s="52">
        <v>16000</v>
      </c>
      <c r="E64" s="53">
        <v>73</v>
      </c>
      <c r="F64" s="53">
        <v>3489010</v>
      </c>
      <c r="G64" s="54">
        <v>1168000</v>
      </c>
      <c r="H64" s="54">
        <v>2321010</v>
      </c>
      <c r="I64" s="53">
        <v>3489010</v>
      </c>
    </row>
    <row r="65" spans="3:9" x14ac:dyDescent="0.25">
      <c r="C65" s="49"/>
      <c r="D65" s="49"/>
      <c r="E65" s="49"/>
      <c r="F65" s="49"/>
      <c r="G65" s="49"/>
      <c r="H65" s="49"/>
      <c r="I65" s="49"/>
    </row>
    <row r="66" spans="3:9" x14ac:dyDescent="0.25">
      <c r="C66" s="49" t="s">
        <v>58</v>
      </c>
      <c r="D66" s="49"/>
      <c r="E66" s="53">
        <v>133</v>
      </c>
      <c r="F66" s="53">
        <v>3843750</v>
      </c>
      <c r="G66" s="53">
        <v>1522740</v>
      </c>
      <c r="H66" s="53">
        <v>2321010</v>
      </c>
      <c r="I66" s="53">
        <v>3843750</v>
      </c>
    </row>
    <row r="68" spans="3:9" ht="15.75" x14ac:dyDescent="0.25">
      <c r="C68" s="15" t="s">
        <v>72</v>
      </c>
    </row>
    <row r="69" spans="3:9" x14ac:dyDescent="0.25">
      <c r="C69" s="49"/>
      <c r="D69" s="50" t="s">
        <v>66</v>
      </c>
      <c r="E69" s="50" t="s">
        <v>67</v>
      </c>
      <c r="F69" s="50" t="s">
        <v>47</v>
      </c>
      <c r="G69" s="50" t="s">
        <v>70</v>
      </c>
      <c r="H69" s="50" t="s">
        <v>51</v>
      </c>
    </row>
    <row r="70" spans="3:9" x14ac:dyDescent="0.25">
      <c r="C70" s="49" t="s">
        <v>62</v>
      </c>
      <c r="D70" s="52">
        <v>16000</v>
      </c>
      <c r="E70" s="53">
        <v>133</v>
      </c>
      <c r="F70" s="53">
        <v>1522740</v>
      </c>
      <c r="G70" s="55">
        <v>153.94999999999999</v>
      </c>
      <c r="H70" s="56">
        <v>20475.349999999999</v>
      </c>
    </row>
    <row r="71" spans="3:9" x14ac:dyDescent="0.25">
      <c r="C71" s="49" t="s">
        <v>64</v>
      </c>
      <c r="D71" s="52">
        <v>16000</v>
      </c>
      <c r="E71" s="49"/>
      <c r="F71" s="53">
        <v>2321010</v>
      </c>
      <c r="G71" s="57">
        <v>8.1999999999999993</v>
      </c>
      <c r="H71" s="58">
        <v>19032.281999999999</v>
      </c>
    </row>
    <row r="72" spans="3:9" x14ac:dyDescent="0.25">
      <c r="C72" s="49"/>
      <c r="D72" s="49"/>
      <c r="E72" s="49"/>
      <c r="F72" s="49"/>
      <c r="G72" s="49"/>
      <c r="H72" s="49"/>
    </row>
    <row r="73" spans="3:9" x14ac:dyDescent="0.25">
      <c r="C73" s="49" t="s">
        <v>58</v>
      </c>
      <c r="D73" s="49"/>
      <c r="E73" s="49"/>
      <c r="F73" s="53">
        <v>3843750</v>
      </c>
      <c r="G73" s="49"/>
      <c r="H73" s="56">
        <v>39507.631999999998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71850-09F3-4BDB-B210-EBD3E119A439}">
  <dimension ref="C4:N73"/>
  <sheetViews>
    <sheetView workbookViewId="0">
      <selection activeCell="R25" sqref="R25"/>
    </sheetView>
  </sheetViews>
  <sheetFormatPr defaultRowHeight="15" x14ac:dyDescent="0.25"/>
  <cols>
    <col min="3" max="5" width="10.28515625" customWidth="1"/>
    <col min="6" max="7" width="12.7109375" bestFit="1" customWidth="1"/>
    <col min="8" max="8" width="15.5703125" customWidth="1"/>
    <col min="9" max="9" width="13.42578125" customWidth="1"/>
    <col min="10" max="10" width="16.140625" customWidth="1"/>
    <col min="11" max="11" width="15.7109375" customWidth="1"/>
    <col min="13" max="14" width="11" bestFit="1" customWidth="1"/>
  </cols>
  <sheetData>
    <row r="4" spans="5:14" ht="15.75" x14ac:dyDescent="0.25">
      <c r="I4" s="17"/>
      <c r="J4" s="18" t="s">
        <v>47</v>
      </c>
      <c r="K4" s="17"/>
    </row>
    <row r="5" spans="5:14" ht="16.5" thickBot="1" x14ac:dyDescent="0.3">
      <c r="E5" s="19" t="s">
        <v>48</v>
      </c>
      <c r="F5" s="20"/>
      <c r="G5" s="20"/>
      <c r="H5" s="20"/>
      <c r="I5" s="21" t="s">
        <v>49</v>
      </c>
      <c r="J5" s="21" t="s">
        <v>50</v>
      </c>
      <c r="K5" s="21" t="s">
        <v>51</v>
      </c>
    </row>
    <row r="8" spans="5:14" x14ac:dyDescent="0.25">
      <c r="E8" t="s">
        <v>53</v>
      </c>
      <c r="I8" s="22">
        <f>E30</f>
        <v>51484</v>
      </c>
      <c r="J8" s="22">
        <f>F30</f>
        <v>158324070</v>
      </c>
      <c r="K8" s="5">
        <f>H40</f>
        <v>2185913.3427000004</v>
      </c>
    </row>
    <row r="9" spans="5:14" x14ac:dyDescent="0.25">
      <c r="E9" t="s">
        <v>54</v>
      </c>
      <c r="I9" s="22">
        <f>E49</f>
        <v>163</v>
      </c>
      <c r="J9" s="22">
        <f>F49</f>
        <v>2504500</v>
      </c>
      <c r="K9" s="5">
        <f>H58</f>
        <v>29973.615900000004</v>
      </c>
    </row>
    <row r="10" spans="5:14" x14ac:dyDescent="0.25">
      <c r="E10" t="s">
        <v>56</v>
      </c>
      <c r="I10" s="23">
        <f>E66</f>
        <v>133</v>
      </c>
      <c r="J10" s="23">
        <f>F66</f>
        <v>3843750</v>
      </c>
      <c r="K10" s="24">
        <f>H73</f>
        <v>46929.6774</v>
      </c>
    </row>
    <row r="12" spans="5:14" x14ac:dyDescent="0.25">
      <c r="E12" t="s">
        <v>58</v>
      </c>
      <c r="I12" s="22">
        <f>SUM(I8:I11)</f>
        <v>51780</v>
      </c>
      <c r="J12" s="22">
        <f>SUM(J8:J11)</f>
        <v>164672320</v>
      </c>
      <c r="K12" s="3">
        <f>SUM(K8:K11)</f>
        <v>2262816.6360000004</v>
      </c>
      <c r="N12" s="5">
        <f>K12-[1]BillingAnalysisExisting!K12</f>
        <v>358186.72560000047</v>
      </c>
    </row>
    <row r="14" spans="5:14" x14ac:dyDescent="0.25">
      <c r="I14" t="s">
        <v>59</v>
      </c>
      <c r="K14" s="9">
        <v>-14133</v>
      </c>
    </row>
    <row r="15" spans="5:14" x14ac:dyDescent="0.25">
      <c r="I15" t="s">
        <v>60</v>
      </c>
      <c r="K15" s="5">
        <f>SUM(K12:K14)</f>
        <v>2248683.6360000004</v>
      </c>
    </row>
    <row r="22" spans="3:11" ht="15.75" x14ac:dyDescent="0.25">
      <c r="C22" s="25" t="s">
        <v>61</v>
      </c>
      <c r="D22" s="26"/>
      <c r="E22" s="26"/>
      <c r="F22" s="26"/>
      <c r="G22" s="26"/>
      <c r="H22" s="26"/>
      <c r="I22" s="26"/>
      <c r="J22" s="27"/>
      <c r="K22" s="28"/>
    </row>
    <row r="23" spans="3:11" ht="15.75" x14ac:dyDescent="0.25">
      <c r="C23" s="29"/>
      <c r="D23" s="30"/>
      <c r="E23" s="30"/>
      <c r="F23" s="30"/>
      <c r="G23" s="30" t="s">
        <v>62</v>
      </c>
      <c r="H23" s="31" t="s">
        <v>63</v>
      </c>
      <c r="I23" s="30" t="s">
        <v>63</v>
      </c>
      <c r="J23" s="32" t="s">
        <v>64</v>
      </c>
      <c r="K23" s="30"/>
    </row>
    <row r="24" spans="3:11" ht="15.75" x14ac:dyDescent="0.25">
      <c r="C24" s="33" t="s">
        <v>65</v>
      </c>
      <c r="D24" s="30" t="s">
        <v>66</v>
      </c>
      <c r="E24" s="30" t="s">
        <v>67</v>
      </c>
      <c r="F24" s="30" t="s">
        <v>47</v>
      </c>
      <c r="G24" s="34">
        <v>2000</v>
      </c>
      <c r="H24" s="35">
        <v>3000</v>
      </c>
      <c r="I24" s="34">
        <v>5000</v>
      </c>
      <c r="J24" s="36">
        <v>10000</v>
      </c>
      <c r="K24" s="30" t="s">
        <v>68</v>
      </c>
    </row>
    <row r="25" spans="3:11" ht="15.75" x14ac:dyDescent="0.25">
      <c r="C25" s="29" t="s">
        <v>62</v>
      </c>
      <c r="D25" s="37">
        <v>2000</v>
      </c>
      <c r="E25" s="38">
        <v>17464</v>
      </c>
      <c r="F25" s="38">
        <v>17262930</v>
      </c>
      <c r="G25" s="37">
        <v>17262930</v>
      </c>
      <c r="H25" s="31"/>
      <c r="I25" s="29"/>
      <c r="J25" s="32"/>
      <c r="K25" s="38">
        <v>17262930</v>
      </c>
    </row>
    <row r="26" spans="3:11" ht="15.75" x14ac:dyDescent="0.25">
      <c r="C26" s="39" t="s">
        <v>63</v>
      </c>
      <c r="D26" s="37">
        <v>3000</v>
      </c>
      <c r="E26" s="38">
        <v>19762</v>
      </c>
      <c r="F26" s="38">
        <v>64581660</v>
      </c>
      <c r="G26" s="40">
        <v>39524000</v>
      </c>
      <c r="H26" s="41">
        <v>25057660</v>
      </c>
      <c r="I26" s="40"/>
      <c r="J26" s="32"/>
      <c r="K26" s="38">
        <v>64581660</v>
      </c>
    </row>
    <row r="27" spans="3:11" ht="15.75" x14ac:dyDescent="0.25">
      <c r="C27" s="29" t="s">
        <v>63</v>
      </c>
      <c r="D27" s="37">
        <v>5000</v>
      </c>
      <c r="E27" s="38">
        <v>12626</v>
      </c>
      <c r="F27" s="38">
        <v>41720590</v>
      </c>
      <c r="G27" s="40">
        <v>25252000</v>
      </c>
      <c r="H27" s="41">
        <v>37878000</v>
      </c>
      <c r="I27" s="40">
        <v>-21409410</v>
      </c>
      <c r="J27" s="32"/>
      <c r="K27" s="38">
        <v>41720590</v>
      </c>
    </row>
    <row r="28" spans="3:11" ht="15.75" x14ac:dyDescent="0.25">
      <c r="C28" s="29" t="s">
        <v>64</v>
      </c>
      <c r="D28" s="37">
        <v>10000</v>
      </c>
      <c r="E28" s="38">
        <v>1632</v>
      </c>
      <c r="F28" s="38">
        <v>34758890</v>
      </c>
      <c r="G28" s="40">
        <v>3264000</v>
      </c>
      <c r="H28" s="41">
        <v>4896000</v>
      </c>
      <c r="I28" s="40">
        <v>8160000</v>
      </c>
      <c r="J28" s="42">
        <v>18438890</v>
      </c>
      <c r="K28" s="38">
        <v>34758890</v>
      </c>
    </row>
    <row r="29" spans="3:11" ht="15.75" x14ac:dyDescent="0.25">
      <c r="C29" s="29"/>
      <c r="D29" s="29"/>
      <c r="E29" s="29"/>
      <c r="F29" s="29"/>
      <c r="G29" s="29"/>
      <c r="H29" s="31"/>
      <c r="I29" s="29"/>
      <c r="J29" s="32"/>
      <c r="K29" s="29"/>
    </row>
    <row r="30" spans="3:11" ht="15.75" x14ac:dyDescent="0.25">
      <c r="C30" s="29" t="s">
        <v>58</v>
      </c>
      <c r="D30" s="29"/>
      <c r="E30" s="38">
        <v>51484</v>
      </c>
      <c r="F30" s="38">
        <v>158324070</v>
      </c>
      <c r="G30" s="38">
        <v>85302930</v>
      </c>
      <c r="H30" s="43">
        <v>67831660</v>
      </c>
      <c r="I30" s="38">
        <v>-13249410</v>
      </c>
      <c r="J30" s="36">
        <v>18438890</v>
      </c>
      <c r="K30" s="38">
        <v>158324070</v>
      </c>
    </row>
    <row r="31" spans="3:11" ht="15.75" x14ac:dyDescent="0.25">
      <c r="C31" s="26"/>
      <c r="D31" s="26"/>
      <c r="E31" s="44"/>
      <c r="F31" s="44"/>
      <c r="G31" s="44"/>
      <c r="H31" s="44"/>
      <c r="I31" s="44"/>
      <c r="J31" s="27"/>
      <c r="K31" s="28"/>
    </row>
    <row r="32" spans="3:11" ht="15.75" x14ac:dyDescent="0.25">
      <c r="C32" s="26"/>
      <c r="D32" s="26"/>
      <c r="E32" s="26"/>
      <c r="F32" s="26"/>
      <c r="G32" s="26"/>
      <c r="H32" s="26"/>
      <c r="I32" s="26"/>
      <c r="J32" s="27"/>
      <c r="K32" s="28"/>
    </row>
    <row r="33" spans="3:13" ht="15.75" x14ac:dyDescent="0.25">
      <c r="C33" s="25" t="s">
        <v>69</v>
      </c>
      <c r="D33" s="26"/>
      <c r="E33" s="26"/>
      <c r="F33" s="26"/>
      <c r="G33" s="26"/>
      <c r="H33" s="26"/>
      <c r="I33" s="26"/>
      <c r="J33" s="27"/>
      <c r="K33" s="28"/>
    </row>
    <row r="34" spans="3:13" ht="15.75" x14ac:dyDescent="0.25">
      <c r="C34" s="33" t="s">
        <v>65</v>
      </c>
      <c r="D34" s="30" t="s">
        <v>66</v>
      </c>
      <c r="E34" s="30" t="s">
        <v>67</v>
      </c>
      <c r="F34" s="30" t="s">
        <v>47</v>
      </c>
      <c r="G34" s="30" t="s">
        <v>70</v>
      </c>
      <c r="H34" s="30" t="s">
        <v>51</v>
      </c>
      <c r="I34" s="26"/>
      <c r="J34" s="27"/>
      <c r="K34" s="28"/>
    </row>
    <row r="35" spans="3:13" ht="15.75" x14ac:dyDescent="0.25">
      <c r="C35" s="29" t="s">
        <v>62</v>
      </c>
      <c r="D35" s="37">
        <v>2000</v>
      </c>
      <c r="E35" s="38">
        <v>51484</v>
      </c>
      <c r="F35" s="38">
        <v>85302930</v>
      </c>
      <c r="G35" s="45">
        <f>'[1]Customer Notice'!I5</f>
        <v>25.64</v>
      </c>
      <c r="H35" s="46">
        <f>G35*E35</f>
        <v>1320049.76</v>
      </c>
      <c r="I35" s="26"/>
      <c r="J35" s="27"/>
      <c r="K35" s="28"/>
    </row>
    <row r="36" spans="3:13" ht="15.75" x14ac:dyDescent="0.25">
      <c r="C36" s="39" t="s">
        <v>63</v>
      </c>
      <c r="D36" s="37">
        <v>3000</v>
      </c>
      <c r="E36" s="29"/>
      <c r="F36" s="38">
        <v>67831660</v>
      </c>
      <c r="G36" s="45">
        <f>'[1]Customer Notice'!I6</f>
        <v>12.51</v>
      </c>
      <c r="H36" s="48">
        <f>G36*(F36/1000)</f>
        <v>848574.06660000002</v>
      </c>
      <c r="I36" s="26"/>
      <c r="J36" s="27"/>
      <c r="K36" s="28"/>
      <c r="M36" s="79">
        <f>G36/1000</f>
        <v>1.251E-2</v>
      </c>
    </row>
    <row r="37" spans="3:13" ht="15.75" x14ac:dyDescent="0.25">
      <c r="C37" s="29" t="s">
        <v>63</v>
      </c>
      <c r="D37" s="37">
        <v>5000</v>
      </c>
      <c r="E37" s="29"/>
      <c r="F37" s="38">
        <v>-13249410</v>
      </c>
      <c r="G37" s="45">
        <f>'[1]Customer Notice'!I7</f>
        <v>12.25</v>
      </c>
      <c r="H37" s="48">
        <f t="shared" ref="H37:H38" si="0">G37*(F37/1000)</f>
        <v>-162305.27249999999</v>
      </c>
      <c r="I37" s="26"/>
      <c r="J37" s="27"/>
      <c r="K37" s="28"/>
      <c r="M37" s="79">
        <f t="shared" ref="M37:M38" si="1">G37/1000</f>
        <v>1.225E-2</v>
      </c>
    </row>
    <row r="38" spans="3:13" ht="15.75" x14ac:dyDescent="0.25">
      <c r="C38" s="29" t="s">
        <v>64</v>
      </c>
      <c r="D38" s="37">
        <v>10000</v>
      </c>
      <c r="E38" s="29"/>
      <c r="F38" s="40">
        <v>18438890</v>
      </c>
      <c r="G38" s="45">
        <f>'[1]Customer Notice'!I8</f>
        <v>9.74</v>
      </c>
      <c r="H38" s="48">
        <f t="shared" si="0"/>
        <v>179594.7886</v>
      </c>
      <c r="I38" s="26"/>
      <c r="J38" s="27"/>
      <c r="K38" s="28"/>
      <c r="M38" s="79">
        <f t="shared" si="1"/>
        <v>9.7400000000000004E-3</v>
      </c>
    </row>
    <row r="39" spans="3:13" ht="15.75" x14ac:dyDescent="0.25">
      <c r="C39" s="29"/>
      <c r="D39" s="37"/>
      <c r="E39" s="29"/>
      <c r="F39" s="29"/>
      <c r="G39" s="29"/>
      <c r="H39" s="29"/>
      <c r="I39" s="26"/>
      <c r="J39" s="27"/>
      <c r="K39" s="28"/>
    </row>
    <row r="40" spans="3:13" ht="15.75" x14ac:dyDescent="0.25">
      <c r="C40" s="29" t="s">
        <v>58</v>
      </c>
      <c r="D40" s="29"/>
      <c r="E40" s="29"/>
      <c r="F40" s="38">
        <v>158324070</v>
      </c>
      <c r="G40" s="29"/>
      <c r="H40" s="46">
        <f>SUM(H35:H38)</f>
        <v>2185913.3427000004</v>
      </c>
      <c r="I40" s="26"/>
      <c r="J40" s="27"/>
      <c r="K40" s="28"/>
    </row>
    <row r="42" spans="3:13" ht="15.75" x14ac:dyDescent="0.25">
      <c r="C42" s="25" t="s">
        <v>54</v>
      </c>
      <c r="D42" s="26"/>
      <c r="E42" s="26"/>
      <c r="F42" s="26"/>
      <c r="G42" s="26"/>
      <c r="H42" s="26"/>
      <c r="I42" s="26"/>
      <c r="J42" s="27"/>
    </row>
    <row r="43" spans="3:13" ht="15.75" x14ac:dyDescent="0.25">
      <c r="C43" s="29"/>
      <c r="D43" s="30"/>
      <c r="E43" s="30"/>
      <c r="F43" s="30"/>
      <c r="G43" s="30" t="s">
        <v>62</v>
      </c>
      <c r="H43" s="31" t="s">
        <v>63</v>
      </c>
      <c r="I43" s="30" t="s">
        <v>64</v>
      </c>
      <c r="J43" s="30"/>
    </row>
    <row r="44" spans="3:13" ht="15.75" x14ac:dyDescent="0.25">
      <c r="C44" s="29"/>
      <c r="D44" s="30" t="s">
        <v>66</v>
      </c>
      <c r="E44" s="30" t="s">
        <v>67</v>
      </c>
      <c r="F44" s="30" t="s">
        <v>47</v>
      </c>
      <c r="G44" s="34">
        <v>5000</v>
      </c>
      <c r="H44" s="35">
        <v>5000</v>
      </c>
      <c r="I44" s="34">
        <v>10000</v>
      </c>
      <c r="J44" s="30" t="s">
        <v>68</v>
      </c>
    </row>
    <row r="45" spans="3:13" ht="15.75" x14ac:dyDescent="0.25">
      <c r="C45" s="29" t="s">
        <v>62</v>
      </c>
      <c r="D45" s="37">
        <v>5000</v>
      </c>
      <c r="E45" s="38">
        <v>66</v>
      </c>
      <c r="F45" s="38">
        <v>115370</v>
      </c>
      <c r="G45" s="37">
        <v>115370</v>
      </c>
      <c r="H45" s="31"/>
      <c r="I45" s="29"/>
      <c r="J45" s="38">
        <v>115370</v>
      </c>
    </row>
    <row r="46" spans="3:13" ht="15.75" x14ac:dyDescent="0.25">
      <c r="C46" s="39" t="s">
        <v>63</v>
      </c>
      <c r="D46" s="37">
        <v>5000</v>
      </c>
      <c r="E46" s="38">
        <v>16</v>
      </c>
      <c r="F46" s="38">
        <v>125470</v>
      </c>
      <c r="G46" s="40">
        <v>80000</v>
      </c>
      <c r="H46" s="41">
        <v>45470</v>
      </c>
      <c r="I46" s="40"/>
      <c r="J46" s="38">
        <v>125470</v>
      </c>
    </row>
    <row r="47" spans="3:13" ht="15.75" x14ac:dyDescent="0.25">
      <c r="C47" s="29" t="s">
        <v>64</v>
      </c>
      <c r="D47" s="37">
        <v>10000</v>
      </c>
      <c r="E47" s="38">
        <v>81</v>
      </c>
      <c r="F47" s="38">
        <v>2263660</v>
      </c>
      <c r="G47" s="40">
        <v>405000</v>
      </c>
      <c r="H47" s="41">
        <v>405000</v>
      </c>
      <c r="I47" s="40">
        <v>1453660</v>
      </c>
      <c r="J47" s="38">
        <v>2263660</v>
      </c>
    </row>
    <row r="48" spans="3:13" ht="15.75" x14ac:dyDescent="0.25">
      <c r="C48" s="29"/>
      <c r="D48" s="29"/>
      <c r="E48" s="29"/>
      <c r="F48" s="29"/>
      <c r="G48" s="29"/>
      <c r="H48" s="31"/>
      <c r="I48" s="29"/>
      <c r="J48" s="29"/>
    </row>
    <row r="49" spans="3:13" ht="15.75" x14ac:dyDescent="0.25">
      <c r="C49" s="29" t="s">
        <v>58</v>
      </c>
      <c r="D49" s="29"/>
      <c r="E49" s="38">
        <v>163</v>
      </c>
      <c r="F49" s="38">
        <v>2504500</v>
      </c>
      <c r="G49" s="38">
        <v>600370</v>
      </c>
      <c r="H49" s="43">
        <v>450470</v>
      </c>
      <c r="I49" s="38">
        <v>1453660</v>
      </c>
      <c r="J49" s="38">
        <v>2504500</v>
      </c>
    </row>
    <row r="50" spans="3:13" ht="15.75" x14ac:dyDescent="0.25">
      <c r="C50" s="26"/>
      <c r="D50" s="26"/>
      <c r="E50" s="44"/>
      <c r="F50" s="44"/>
      <c r="G50" s="44"/>
      <c r="H50" s="44"/>
      <c r="I50" s="44"/>
      <c r="J50" s="27"/>
    </row>
    <row r="51" spans="3:13" ht="15.75" x14ac:dyDescent="0.25">
      <c r="C51" s="26"/>
      <c r="D51" s="26"/>
      <c r="E51" s="26"/>
      <c r="F51" s="26"/>
      <c r="G51" s="26"/>
      <c r="H51" s="26"/>
      <c r="I51" s="26"/>
      <c r="J51" s="27"/>
    </row>
    <row r="52" spans="3:13" ht="15.75" x14ac:dyDescent="0.25">
      <c r="C52" s="25" t="s">
        <v>71</v>
      </c>
      <c r="D52" s="26"/>
      <c r="E52" s="26"/>
      <c r="F52" s="26"/>
      <c r="G52" s="26"/>
      <c r="H52" s="26"/>
      <c r="I52" s="26"/>
      <c r="J52" s="27"/>
    </row>
    <row r="53" spans="3:13" ht="15.75" x14ac:dyDescent="0.25">
      <c r="C53" s="29"/>
      <c r="D53" s="30" t="s">
        <v>66</v>
      </c>
      <c r="E53" s="30" t="s">
        <v>67</v>
      </c>
      <c r="F53" s="30" t="s">
        <v>47</v>
      </c>
      <c r="G53" s="30" t="s">
        <v>70</v>
      </c>
      <c r="H53" s="30" t="s">
        <v>51</v>
      </c>
      <c r="I53" s="26"/>
      <c r="J53" s="27"/>
    </row>
    <row r="54" spans="3:13" ht="15.75" x14ac:dyDescent="0.25">
      <c r="C54" s="29" t="s">
        <v>62</v>
      </c>
      <c r="D54" s="37">
        <v>5000</v>
      </c>
      <c r="E54" s="38">
        <v>163</v>
      </c>
      <c r="F54" s="38">
        <v>600370</v>
      </c>
      <c r="G54" s="45">
        <f>'[1]Customer Notice'!I11</f>
        <v>63.17</v>
      </c>
      <c r="H54" s="46">
        <f>E54*G54</f>
        <v>10296.710000000001</v>
      </c>
      <c r="I54" s="26"/>
      <c r="J54" s="27"/>
    </row>
    <row r="55" spans="3:13" ht="15.75" x14ac:dyDescent="0.25">
      <c r="C55" s="39" t="s">
        <v>63</v>
      </c>
      <c r="D55" s="37">
        <v>5000</v>
      </c>
      <c r="E55" s="29"/>
      <c r="F55" s="38">
        <v>450470</v>
      </c>
      <c r="G55" s="45">
        <f>'[1]Customer Notice'!I12</f>
        <v>12.25</v>
      </c>
      <c r="H55" s="48">
        <f>G55*(F55/1000)</f>
        <v>5518.2575000000006</v>
      </c>
      <c r="I55" s="26"/>
      <c r="J55" s="27"/>
      <c r="M55" s="79">
        <f>G55/1000</f>
        <v>1.225E-2</v>
      </c>
    </row>
    <row r="56" spans="3:13" ht="15.75" x14ac:dyDescent="0.25">
      <c r="C56" s="29" t="s">
        <v>64</v>
      </c>
      <c r="D56" s="37">
        <v>10000</v>
      </c>
      <c r="E56" s="29"/>
      <c r="F56" s="38">
        <v>1453660</v>
      </c>
      <c r="G56" s="45">
        <f>'[1]Customer Notice'!I13</f>
        <v>9.74</v>
      </c>
      <c r="H56" s="48">
        <f>G56*(F56/1000)</f>
        <v>14158.648400000002</v>
      </c>
      <c r="I56" s="26"/>
      <c r="J56" s="27"/>
      <c r="M56" s="79">
        <f>G56/1000</f>
        <v>9.7400000000000004E-3</v>
      </c>
    </row>
    <row r="57" spans="3:13" ht="15.75" x14ac:dyDescent="0.25">
      <c r="C57" s="29"/>
      <c r="D57" s="29"/>
      <c r="E57" s="29"/>
      <c r="F57" s="29"/>
      <c r="G57" s="29"/>
      <c r="H57" s="29"/>
      <c r="I57" s="26"/>
      <c r="J57" s="27"/>
    </row>
    <row r="58" spans="3:13" ht="15.75" x14ac:dyDescent="0.25">
      <c r="C58" s="29" t="s">
        <v>58</v>
      </c>
      <c r="D58" s="29"/>
      <c r="E58" s="29"/>
      <c r="F58" s="38">
        <v>2504500</v>
      </c>
      <c r="G58" s="29"/>
      <c r="H58" s="46">
        <f>SUM(H54:H56)</f>
        <v>29973.615900000004</v>
      </c>
      <c r="I58" s="26"/>
      <c r="J58" s="27"/>
    </row>
    <row r="60" spans="3:13" ht="15.75" x14ac:dyDescent="0.25">
      <c r="C60" s="15" t="s">
        <v>56</v>
      </c>
    </row>
    <row r="61" spans="3:13" x14ac:dyDescent="0.25">
      <c r="C61" s="49"/>
      <c r="D61" s="50"/>
      <c r="E61" s="50"/>
      <c r="F61" s="50"/>
      <c r="G61" s="50" t="s">
        <v>62</v>
      </c>
      <c r="H61" s="50" t="s">
        <v>64</v>
      </c>
      <c r="I61" s="50"/>
    </row>
    <row r="62" spans="3:13" x14ac:dyDescent="0.25">
      <c r="C62" s="49"/>
      <c r="D62" s="50" t="s">
        <v>66</v>
      </c>
      <c r="E62" s="50" t="s">
        <v>67</v>
      </c>
      <c r="F62" s="50" t="s">
        <v>47</v>
      </c>
      <c r="G62" s="51">
        <v>16000</v>
      </c>
      <c r="H62" s="51">
        <v>16000</v>
      </c>
      <c r="I62" s="50" t="s">
        <v>68</v>
      </c>
    </row>
    <row r="63" spans="3:13" x14ac:dyDescent="0.25">
      <c r="C63" s="49" t="s">
        <v>62</v>
      </c>
      <c r="D63" s="52">
        <v>16000</v>
      </c>
      <c r="E63" s="53">
        <v>60</v>
      </c>
      <c r="F63" s="53">
        <v>354740</v>
      </c>
      <c r="G63" s="52">
        <v>354740</v>
      </c>
      <c r="H63" s="49"/>
      <c r="I63" s="53">
        <v>354740</v>
      </c>
    </row>
    <row r="64" spans="3:13" x14ac:dyDescent="0.25">
      <c r="C64" s="49" t="s">
        <v>64</v>
      </c>
      <c r="D64" s="52">
        <v>16000</v>
      </c>
      <c r="E64" s="53">
        <v>73</v>
      </c>
      <c r="F64" s="53">
        <v>3489010</v>
      </c>
      <c r="G64" s="54">
        <v>1168000</v>
      </c>
      <c r="H64" s="54">
        <v>2321010</v>
      </c>
      <c r="I64" s="53">
        <v>3489010</v>
      </c>
    </row>
    <row r="65" spans="3:9" x14ac:dyDescent="0.25">
      <c r="C65" s="49"/>
      <c r="D65" s="49"/>
      <c r="E65" s="49"/>
      <c r="F65" s="49"/>
      <c r="G65" s="49"/>
      <c r="H65" s="49"/>
      <c r="I65" s="49"/>
    </row>
    <row r="66" spans="3:9" x14ac:dyDescent="0.25">
      <c r="C66" s="49" t="s">
        <v>58</v>
      </c>
      <c r="D66" s="49"/>
      <c r="E66" s="53">
        <v>133</v>
      </c>
      <c r="F66" s="53">
        <v>3843750</v>
      </c>
      <c r="G66" s="53">
        <v>1522740</v>
      </c>
      <c r="H66" s="53">
        <v>2321010</v>
      </c>
      <c r="I66" s="53">
        <v>3843750</v>
      </c>
    </row>
    <row r="68" spans="3:9" ht="15.75" x14ac:dyDescent="0.25">
      <c r="C68" s="15" t="s">
        <v>72</v>
      </c>
    </row>
    <row r="69" spans="3:9" x14ac:dyDescent="0.25">
      <c r="C69" s="49"/>
      <c r="D69" s="50" t="s">
        <v>66</v>
      </c>
      <c r="E69" s="50" t="s">
        <v>67</v>
      </c>
      <c r="F69" s="50" t="s">
        <v>47</v>
      </c>
      <c r="G69" s="50" t="s">
        <v>70</v>
      </c>
      <c r="H69" s="50" t="s">
        <v>51</v>
      </c>
    </row>
    <row r="70" spans="3:9" x14ac:dyDescent="0.25">
      <c r="C70" s="49" t="s">
        <v>62</v>
      </c>
      <c r="D70" s="52">
        <v>16000</v>
      </c>
      <c r="E70" s="53">
        <v>133</v>
      </c>
      <c r="F70" s="53">
        <v>1522740</v>
      </c>
      <c r="G70" s="55">
        <f>'[1]Customer Notice'!I16</f>
        <v>182.88</v>
      </c>
      <c r="H70" s="56">
        <f>G70*E70</f>
        <v>24323.040000000001</v>
      </c>
    </row>
    <row r="71" spans="3:9" x14ac:dyDescent="0.25">
      <c r="C71" s="49" t="s">
        <v>64</v>
      </c>
      <c r="D71" s="52">
        <v>16000</v>
      </c>
      <c r="E71" s="49"/>
      <c r="F71" s="53">
        <v>2321010</v>
      </c>
      <c r="G71" s="55">
        <f>'[1]Customer Notice'!I17</f>
        <v>9.74</v>
      </c>
      <c r="H71" s="58">
        <f>G71*(F71/1000)</f>
        <v>22606.637400000003</v>
      </c>
    </row>
    <row r="72" spans="3:9" x14ac:dyDescent="0.25">
      <c r="C72" s="49"/>
      <c r="D72" s="49"/>
      <c r="E72" s="49"/>
      <c r="F72" s="49"/>
      <c r="G72" s="49"/>
      <c r="H72" s="49"/>
    </row>
    <row r="73" spans="3:9" x14ac:dyDescent="0.25">
      <c r="C73" s="49" t="s">
        <v>58</v>
      </c>
      <c r="D73" s="49"/>
      <c r="E73" s="49"/>
      <c r="F73" s="53">
        <v>3843750</v>
      </c>
      <c r="G73" s="49"/>
      <c r="H73" s="56">
        <f>SUM(H70:H71)</f>
        <v>46929.6774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80EE-8D55-41CD-A0D3-BEC9B82D3171}">
  <dimension ref="A1:X26"/>
  <sheetViews>
    <sheetView topLeftCell="E1" workbookViewId="0">
      <selection activeCell="V30" sqref="V30"/>
    </sheetView>
  </sheetViews>
  <sheetFormatPr defaultRowHeight="15" x14ac:dyDescent="0.25"/>
  <cols>
    <col min="1" max="1" width="19.28515625" bestFit="1" customWidth="1"/>
    <col min="2" max="2" width="28.5703125" bestFit="1" customWidth="1"/>
    <col min="3" max="3" width="24" bestFit="1" customWidth="1"/>
    <col min="6" max="6" width="17" bestFit="1" customWidth="1"/>
    <col min="7" max="7" width="2.42578125" customWidth="1"/>
    <col min="8" max="8" width="15.140625" bestFit="1" customWidth="1"/>
    <col min="9" max="9" width="2.42578125" customWidth="1"/>
    <col min="10" max="10" width="8.7109375" bestFit="1" customWidth="1"/>
    <col min="11" max="11" width="10.140625" bestFit="1" customWidth="1"/>
    <col min="12" max="12" width="2.42578125" customWidth="1"/>
    <col min="13" max="13" width="22.28515625" bestFit="1" customWidth="1"/>
    <col min="14" max="14" width="10.140625" bestFit="1" customWidth="1"/>
    <col min="15" max="15" width="2.42578125" customWidth="1"/>
    <col min="16" max="16" width="13.42578125" bestFit="1" customWidth="1"/>
    <col min="18" max="18" width="24.42578125" bestFit="1" customWidth="1"/>
    <col min="21" max="21" width="13.85546875" bestFit="1" customWidth="1"/>
    <col min="23" max="23" width="13.85546875" bestFit="1" customWidth="1"/>
  </cols>
  <sheetData>
    <row r="1" spans="1:21" ht="15.75" x14ac:dyDescent="0.25">
      <c r="J1" s="80" t="s">
        <v>80</v>
      </c>
      <c r="K1" s="80"/>
      <c r="M1" s="80" t="s">
        <v>81</v>
      </c>
      <c r="N1" s="80"/>
    </row>
    <row r="2" spans="1:21" ht="16.5" thickBot="1" x14ac:dyDescent="0.3">
      <c r="A2" s="69"/>
      <c r="B2" s="69" t="s">
        <v>105</v>
      </c>
      <c r="C2" s="70" t="s">
        <v>106</v>
      </c>
      <c r="F2" s="21" t="s">
        <v>107</v>
      </c>
      <c r="G2" s="17"/>
      <c r="H2" s="21" t="s">
        <v>82</v>
      </c>
      <c r="I2" s="17"/>
      <c r="J2" s="21" t="s">
        <v>83</v>
      </c>
      <c r="K2" s="21" t="s">
        <v>84</v>
      </c>
      <c r="L2" s="17"/>
      <c r="M2" s="21" t="s">
        <v>83</v>
      </c>
      <c r="N2" s="21" t="s">
        <v>84</v>
      </c>
      <c r="O2" s="17"/>
      <c r="P2" s="21" t="s">
        <v>85</v>
      </c>
      <c r="R2" s="59" t="s">
        <v>86</v>
      </c>
    </row>
    <row r="3" spans="1:21" ht="15.75" x14ac:dyDescent="0.25">
      <c r="A3" s="74" t="s">
        <v>108</v>
      </c>
      <c r="B3" s="71">
        <v>15.75</v>
      </c>
      <c r="C3" s="71">
        <v>18</v>
      </c>
      <c r="F3" s="72" t="s">
        <v>109</v>
      </c>
      <c r="H3" t="s">
        <v>87</v>
      </c>
      <c r="P3" s="3">
        <f>C12</f>
        <v>69992</v>
      </c>
    </row>
    <row r="4" spans="1:21" ht="15.75" x14ac:dyDescent="0.25">
      <c r="A4" s="74" t="s">
        <v>110</v>
      </c>
      <c r="B4" s="71">
        <v>18.5</v>
      </c>
      <c r="C4" s="71">
        <v>26</v>
      </c>
      <c r="F4" s="72" t="s">
        <v>111</v>
      </c>
      <c r="H4" t="s">
        <v>88</v>
      </c>
      <c r="J4" s="60">
        <f>C9</f>
        <v>22</v>
      </c>
      <c r="K4" s="60">
        <f>(J4*1.5)</f>
        <v>33</v>
      </c>
      <c r="M4">
        <f>[1]EmployeeHours!K23</f>
        <v>2080</v>
      </c>
      <c r="N4">
        <f>[1]EmployeeHours!K24</f>
        <v>291</v>
      </c>
      <c r="P4" s="16">
        <f t="shared" ref="P4:P11" si="0">(J4*M4)+(K4*N4)</f>
        <v>55363</v>
      </c>
      <c r="R4" t="s">
        <v>89</v>
      </c>
      <c r="U4" s="5">
        <f>P16</f>
        <v>127768.25</v>
      </c>
    </row>
    <row r="5" spans="1:21" ht="15.75" x14ac:dyDescent="0.25">
      <c r="A5" s="74" t="s">
        <v>112</v>
      </c>
      <c r="B5" s="71">
        <v>18.5</v>
      </c>
      <c r="C5" s="71">
        <v>26</v>
      </c>
      <c r="F5" s="72" t="s">
        <v>113</v>
      </c>
      <c r="H5" t="s">
        <v>88</v>
      </c>
      <c r="J5" s="61">
        <f>C6</f>
        <v>19</v>
      </c>
      <c r="K5" s="61">
        <f t="shared" ref="K5:K11" si="1">(J5*1.5)</f>
        <v>28.5</v>
      </c>
      <c r="M5">
        <f>[1]EmployeeHours!Q23</f>
        <v>2080</v>
      </c>
      <c r="N5">
        <f>[1]EmployeeHours!Q24</f>
        <v>377.5</v>
      </c>
      <c r="P5" s="16">
        <f t="shared" si="0"/>
        <v>50278.75</v>
      </c>
      <c r="R5" t="s">
        <v>90</v>
      </c>
      <c r="U5" s="6">
        <v>7.6499999999999999E-2</v>
      </c>
    </row>
    <row r="6" spans="1:21" ht="15.75" x14ac:dyDescent="0.25">
      <c r="A6" s="74" t="s">
        <v>114</v>
      </c>
      <c r="B6" s="71">
        <v>14.25</v>
      </c>
      <c r="C6" s="71">
        <v>19</v>
      </c>
      <c r="F6" s="72" t="s">
        <v>115</v>
      </c>
      <c r="H6" t="s">
        <v>88</v>
      </c>
      <c r="J6" s="61">
        <f>C8</f>
        <v>20</v>
      </c>
      <c r="K6" s="61">
        <f t="shared" si="1"/>
        <v>30</v>
      </c>
      <c r="M6">
        <f>[1]EmployeeHours!W23</f>
        <v>2080</v>
      </c>
      <c r="N6">
        <f>[1]EmployeeHours!W24</f>
        <v>358</v>
      </c>
      <c r="P6" s="16">
        <f t="shared" si="0"/>
        <v>52340</v>
      </c>
    </row>
    <row r="7" spans="1:21" ht="16.5" thickBot="1" x14ac:dyDescent="0.3">
      <c r="A7" s="74" t="s">
        <v>116</v>
      </c>
      <c r="B7" s="71">
        <v>15.25</v>
      </c>
      <c r="C7" s="71">
        <v>22</v>
      </c>
      <c r="F7" s="72" t="s">
        <v>117</v>
      </c>
      <c r="H7" t="s">
        <v>91</v>
      </c>
      <c r="J7" s="61">
        <f>C3</f>
        <v>18</v>
      </c>
      <c r="K7" s="61">
        <f t="shared" si="1"/>
        <v>27</v>
      </c>
      <c r="M7">
        <f>[1]EmployeeHours!AI23</f>
        <v>2238</v>
      </c>
      <c r="P7" s="16">
        <f t="shared" si="0"/>
        <v>40284</v>
      </c>
      <c r="R7" t="s">
        <v>92</v>
      </c>
      <c r="U7" s="62">
        <f>U4*U5</f>
        <v>9774.2711249999993</v>
      </c>
    </row>
    <row r="8" spans="1:21" ht="16.5" thickTop="1" x14ac:dyDescent="0.25">
      <c r="A8" s="74" t="s">
        <v>118</v>
      </c>
      <c r="B8" s="71">
        <v>15.25</v>
      </c>
      <c r="C8" s="71">
        <v>20</v>
      </c>
      <c r="F8" s="72" t="s">
        <v>119</v>
      </c>
      <c r="H8" t="s">
        <v>88</v>
      </c>
      <c r="J8" s="61">
        <f>C10</f>
        <v>15.5</v>
      </c>
      <c r="K8" s="61">
        <f t="shared" si="1"/>
        <v>23.25</v>
      </c>
      <c r="M8">
        <f>[1]EmployeeHours!AO23</f>
        <v>688</v>
      </c>
      <c r="P8" s="16">
        <f t="shared" si="0"/>
        <v>10664</v>
      </c>
    </row>
    <row r="9" spans="1:21" ht="15.75" x14ac:dyDescent="0.25">
      <c r="A9" s="74" t="s">
        <v>120</v>
      </c>
      <c r="B9" s="71">
        <v>16</v>
      </c>
      <c r="C9" s="71">
        <v>22</v>
      </c>
      <c r="F9" s="72" t="s">
        <v>121</v>
      </c>
      <c r="H9" t="s">
        <v>91</v>
      </c>
      <c r="J9" s="61">
        <f>C4</f>
        <v>26</v>
      </c>
      <c r="K9" s="61">
        <f t="shared" si="1"/>
        <v>39</v>
      </c>
      <c r="M9">
        <f>[1]EmployeeHours!BA23</f>
        <v>2075.5</v>
      </c>
      <c r="N9">
        <f>[1]EmployeeHours!BA24</f>
        <v>38</v>
      </c>
      <c r="P9" s="16">
        <f t="shared" si="0"/>
        <v>55445</v>
      </c>
    </row>
    <row r="10" spans="1:21" ht="15.75" x14ac:dyDescent="0.25">
      <c r="A10" s="74" t="s">
        <v>122</v>
      </c>
      <c r="B10" s="71">
        <v>13.75</v>
      </c>
      <c r="C10" s="71">
        <v>15.5</v>
      </c>
      <c r="F10" s="72" t="s">
        <v>123</v>
      </c>
      <c r="H10" t="s">
        <v>88</v>
      </c>
      <c r="J10" s="61">
        <f>C5</f>
        <v>26</v>
      </c>
      <c r="K10" s="61">
        <f t="shared" si="1"/>
        <v>39</v>
      </c>
      <c r="M10">
        <f>[1]EmployeeHours!BM23</f>
        <v>2080</v>
      </c>
      <c r="N10">
        <f>[1]EmployeeHours!BM24</f>
        <v>326.5</v>
      </c>
      <c r="P10" s="16">
        <f t="shared" si="0"/>
        <v>66813.5</v>
      </c>
      <c r="R10" s="59" t="s">
        <v>93</v>
      </c>
    </row>
    <row r="11" spans="1:21" ht="15.75" x14ac:dyDescent="0.25">
      <c r="A11" s="74"/>
      <c r="B11" s="69" t="s">
        <v>124</v>
      </c>
      <c r="C11" s="70" t="s">
        <v>125</v>
      </c>
      <c r="F11" s="72" t="s">
        <v>126</v>
      </c>
      <c r="H11" t="s">
        <v>88</v>
      </c>
      <c r="J11" s="61">
        <f>C7</f>
        <v>22</v>
      </c>
      <c r="K11" s="61">
        <f t="shared" si="1"/>
        <v>33</v>
      </c>
      <c r="M11">
        <f>[1]EmployeeHours!BS23</f>
        <v>2080</v>
      </c>
      <c r="N11">
        <f>[1]EmployeeHours!BS24</f>
        <v>392</v>
      </c>
      <c r="P11" s="63">
        <f t="shared" si="0"/>
        <v>58696</v>
      </c>
    </row>
    <row r="12" spans="1:21" ht="15.75" x14ac:dyDescent="0.25">
      <c r="A12" s="74" t="s">
        <v>127</v>
      </c>
      <c r="B12" s="73">
        <v>50398.400000000001</v>
      </c>
      <c r="C12" s="73">
        <v>69992</v>
      </c>
      <c r="R12" t="s">
        <v>94</v>
      </c>
      <c r="U12" s="5">
        <f>P16</f>
        <v>127768.25</v>
      </c>
    </row>
    <row r="13" spans="1:21" x14ac:dyDescent="0.25">
      <c r="M13" t="s">
        <v>95</v>
      </c>
      <c r="P13" s="5">
        <f>SUM(P3:P11)</f>
        <v>459876.25</v>
      </c>
      <c r="R13" t="s">
        <v>96</v>
      </c>
      <c r="U13" s="64">
        <v>0.2334</v>
      </c>
    </row>
    <row r="14" spans="1:21" x14ac:dyDescent="0.25">
      <c r="M14" t="s">
        <v>97</v>
      </c>
      <c r="P14" s="65">
        <f>-Proforma!H21</f>
        <v>-332108</v>
      </c>
    </row>
    <row r="15" spans="1:21" ht="15.75" thickBot="1" x14ac:dyDescent="0.3">
      <c r="R15" t="s">
        <v>93</v>
      </c>
      <c r="U15" s="66">
        <f>U12*U13</f>
        <v>29821.109550000001</v>
      </c>
    </row>
    <row r="16" spans="1:21" ht="16.5" thickTop="1" thickBot="1" x14ac:dyDescent="0.3">
      <c r="M16" t="s">
        <v>2</v>
      </c>
      <c r="P16" s="67">
        <f>SUM(P13:P14)</f>
        <v>127768.25</v>
      </c>
    </row>
    <row r="17" spans="18:24" ht="16.5" thickTop="1" x14ac:dyDescent="0.25">
      <c r="R17" s="59" t="s">
        <v>98</v>
      </c>
    </row>
    <row r="19" spans="18:24" x14ac:dyDescent="0.25">
      <c r="R19" t="s">
        <v>99</v>
      </c>
      <c r="U19" s="3">
        <f>Proforma!N21</f>
        <v>459876.25</v>
      </c>
      <c r="W19" s="3">
        <f>[1]SAO!H21</f>
        <v>332108</v>
      </c>
    </row>
    <row r="20" spans="18:24" x14ac:dyDescent="0.25">
      <c r="R20" t="s">
        <v>100</v>
      </c>
      <c r="U20" s="64">
        <f>U13</f>
        <v>0.2334</v>
      </c>
      <c r="W20" s="64">
        <v>0.26950000000000002</v>
      </c>
      <c r="X20" t="s">
        <v>101</v>
      </c>
    </row>
    <row r="22" spans="18:24" x14ac:dyDescent="0.25">
      <c r="R22" t="s">
        <v>102</v>
      </c>
      <c r="U22" s="4">
        <f>U19*U20</f>
        <v>107335.11675</v>
      </c>
      <c r="W22" s="4">
        <f>W19*W20</f>
        <v>89503.106</v>
      </c>
    </row>
    <row r="23" spans="18:24" x14ac:dyDescent="0.25">
      <c r="R23" t="s">
        <v>103</v>
      </c>
      <c r="U23" s="13">
        <f>-W22</f>
        <v>-89503.106</v>
      </c>
    </row>
    <row r="25" spans="18:24" ht="15.75" thickBot="1" x14ac:dyDescent="0.3">
      <c r="R25" t="s">
        <v>104</v>
      </c>
      <c r="U25" s="68">
        <f>SUM(U22:U23)</f>
        <v>17832.010750000001</v>
      </c>
    </row>
    <row r="26" spans="18:24" ht="15.75" thickTop="1" x14ac:dyDescent="0.25"/>
  </sheetData>
  <mergeCells count="2">
    <mergeCell ref="J1:K1"/>
    <mergeCell ref="M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7B5E-39D0-4A01-884B-25FA7BA6D69C}">
  <dimension ref="A1:D16"/>
  <sheetViews>
    <sheetView workbookViewId="0">
      <selection activeCell="D15" sqref="D15"/>
    </sheetView>
  </sheetViews>
  <sheetFormatPr defaultRowHeight="15" x14ac:dyDescent="0.25"/>
  <cols>
    <col min="4" max="4" width="13.85546875" bestFit="1" customWidth="1"/>
  </cols>
  <sheetData>
    <row r="1" spans="1:4" x14ac:dyDescent="0.25">
      <c r="A1" t="s">
        <v>128</v>
      </c>
      <c r="D1" s="75">
        <v>0.15</v>
      </c>
    </row>
    <row r="2" spans="1:4" x14ac:dyDescent="0.25">
      <c r="A2" t="s">
        <v>129</v>
      </c>
      <c r="D2" s="76">
        <v>0.39899600000000002</v>
      </c>
    </row>
    <row r="3" spans="1:4" x14ac:dyDescent="0.25">
      <c r="A3" t="s">
        <v>130</v>
      </c>
      <c r="D3" s="76">
        <f>D2-D1</f>
        <v>0.24899600000000002</v>
      </c>
    </row>
    <row r="6" spans="1:4" x14ac:dyDescent="0.25">
      <c r="A6" t="s">
        <v>131</v>
      </c>
      <c r="D6" s="3">
        <f>Proforma!H24</f>
        <v>890552</v>
      </c>
    </row>
    <row r="7" spans="1:4" x14ac:dyDescent="0.25">
      <c r="A7" t="s">
        <v>132</v>
      </c>
      <c r="D7" s="64">
        <f>D3</f>
        <v>0.24899600000000002</v>
      </c>
    </row>
    <row r="9" spans="1:4" ht="15.75" thickBot="1" x14ac:dyDescent="0.3">
      <c r="A9" t="s">
        <v>2</v>
      </c>
      <c r="D9" s="62">
        <f>D6*D7</f>
        <v>221743.88579200002</v>
      </c>
    </row>
    <row r="10" spans="1:4" ht="15.75" thickTop="1" x14ac:dyDescent="0.25">
      <c r="D10" s="77"/>
    </row>
    <row r="12" spans="1:4" x14ac:dyDescent="0.25">
      <c r="A12" t="s">
        <v>133</v>
      </c>
      <c r="D12" s="3">
        <f>Proforma!H25</f>
        <v>84756</v>
      </c>
    </row>
    <row r="13" spans="1:4" x14ac:dyDescent="0.25">
      <c r="A13" t="s">
        <v>132</v>
      </c>
      <c r="D13" s="64">
        <f>D3</f>
        <v>0.24899600000000002</v>
      </c>
    </row>
    <row r="15" spans="1:4" ht="15.75" thickBot="1" x14ac:dyDescent="0.3">
      <c r="A15" t="s">
        <v>2</v>
      </c>
      <c r="D15" s="66">
        <f>D12*D13</f>
        <v>21103.904976000002</v>
      </c>
    </row>
    <row r="16" spans="1:4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3FD6-9F1F-4545-B742-A28EA496F9C7}">
  <dimension ref="A1:D7"/>
  <sheetViews>
    <sheetView tabSelected="1" topLeftCell="A4" workbookViewId="0">
      <selection activeCell="D6" sqref="D6"/>
    </sheetView>
  </sheetViews>
  <sheetFormatPr defaultRowHeight="15" x14ac:dyDescent="0.25"/>
  <sheetData>
    <row r="1" spans="1:4" x14ac:dyDescent="0.25">
      <c r="A1" t="s">
        <v>134</v>
      </c>
    </row>
    <row r="3" spans="1:4" x14ac:dyDescent="0.25">
      <c r="A3" t="s">
        <v>135</v>
      </c>
      <c r="D3" s="14">
        <v>15000</v>
      </c>
    </row>
    <row r="4" spans="1:4" x14ac:dyDescent="0.25">
      <c r="A4" t="s">
        <v>136</v>
      </c>
      <c r="D4" s="9">
        <v>3</v>
      </c>
    </row>
    <row r="6" spans="1:4" ht="15.75" thickBot="1" x14ac:dyDescent="0.3">
      <c r="A6" t="s">
        <v>2</v>
      </c>
      <c r="D6" s="78">
        <f>D3/D4</f>
        <v>5000</v>
      </c>
    </row>
    <row r="7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Proforma</vt:lpstr>
      <vt:lpstr>BillingAnalysisExisting</vt:lpstr>
      <vt:lpstr>BillingAnalysisProposed</vt:lpstr>
      <vt:lpstr>Salaries</vt:lpstr>
      <vt:lpstr>WaterLoss</vt:lpstr>
      <vt:lpstr>Amortization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P. Foster</dc:creator>
  <cp:lastModifiedBy>Stoll Keenon Ogden</cp:lastModifiedBy>
  <dcterms:created xsi:type="dcterms:W3CDTF">2024-01-23T11:40:16Z</dcterms:created>
  <dcterms:modified xsi:type="dcterms:W3CDTF">2024-01-24T12:03:28Z</dcterms:modified>
</cp:coreProperties>
</file>