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ft12909696-my.sharepoint.com/personal/ariel_miller_clearwatercky_com/Documents/Lyon County Water District/Response to RFI1/"/>
    </mc:Choice>
  </mc:AlternateContent>
  <xr:revisionPtr revIDLastSave="0" documentId="8_{81C4C598-CC7C-4ED9-A623-B436F8C0AED0}" xr6:coauthVersionLast="47" xr6:coauthVersionMax="47" xr10:uidLastSave="{00000000-0000-0000-0000-000000000000}"/>
  <bookViews>
    <workbookView xWindow="38280" yWindow="-120" windowWidth="29040" windowHeight="15720" xr2:uid="{F765FA49-964A-4F34-AB33-4C5CF4FBE6A8}"/>
  </bookViews>
  <sheets>
    <sheet name="SAOw" sheetId="3" r:id="rId1"/>
    <sheet name="SAOs" sheetId="23" r:id="rId2"/>
    <sheet name="ATB to AR" sheetId="33" r:id="rId3"/>
    <sheet name="NRCs" sheetId="36" r:id="rId4"/>
    <sheet name="Allocations" sheetId="34" r:id="rId5"/>
    <sheet name="Wages" sheetId="29" r:id="rId6"/>
    <sheet name="Water Loss" sheetId="31" r:id="rId7"/>
    <sheet name="Depreciation" sheetId="1" r:id="rId8"/>
    <sheet name="United Upgrade" sheetId="35" r:id="rId9"/>
    <sheet name="Debt Service" sheetId="5" r:id="rId10"/>
    <sheet name="ExBAw" sheetId="10" r:id="rId11"/>
    <sheet name="ExBAs" sheetId="25" r:id="rId12"/>
    <sheet name="RatesW" sheetId="2" r:id="rId13"/>
    <sheet name="RatesS" sheetId="26" r:id="rId14"/>
    <sheet name="Bills" sheetId="21" r:id="rId15"/>
    <sheet name="PropBAw" sheetId="15" r:id="rId16"/>
    <sheet name="PropBAs" sheetId="24" r:id="rId17"/>
  </sheets>
  <definedNames>
    <definedName name="_xlnm.Print_Area" localSheetId="2">'ATB to AR'!$A$1:$E$60</definedName>
    <definedName name="_xlnm.Print_Area" localSheetId="14">Bills!$B$2:$H$65</definedName>
    <definedName name="_xlnm.Print_Area" localSheetId="9">'Debt Service'!$B$2:$N$35</definedName>
    <definedName name="_xlnm.Print_Area" localSheetId="7">Depreciation!$B$2:$L$50</definedName>
    <definedName name="_xlnm.Print_Area" localSheetId="11">ExBAs!$A$1:$G$25</definedName>
    <definedName name="_xlnm.Print_Area" localSheetId="10">ExBAw!$A$1:$K$98</definedName>
    <definedName name="_xlnm.Print_Area" localSheetId="15">PropBAw!$A$1:$K$67</definedName>
    <definedName name="_xlnm.Print_Area" localSheetId="13">RatesS!$A$1:$P$16</definedName>
    <definedName name="_xlnm.Print_Area" localSheetId="12">RatesW!$A$1:$P$34</definedName>
    <definedName name="_xlnm.Print_Area" localSheetId="1">SAOs!$A$1:$H$50</definedName>
    <definedName name="_xlnm.Print_Area" localSheetId="0">SAOw!$A$1:$L$52</definedName>
    <definedName name="_xlnm.Print_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33" l="1"/>
  <c r="D86" i="33"/>
  <c r="D89" i="33" s="1"/>
  <c r="D62" i="33"/>
  <c r="D90" i="33" s="1"/>
  <c r="L24" i="33"/>
  <c r="F41" i="33"/>
  <c r="L36" i="33"/>
  <c r="L31" i="33"/>
  <c r="L9" i="33"/>
  <c r="D33" i="33"/>
  <c r="D44" i="33" s="1"/>
  <c r="D50" i="33" s="1"/>
  <c r="D13" i="33"/>
  <c r="D91" i="10"/>
  <c r="F84" i="10"/>
  <c r="D78" i="10"/>
  <c r="D77" i="10"/>
  <c r="D64" i="10"/>
  <c r="D26" i="10"/>
  <c r="D28" i="10"/>
  <c r="D27" i="10"/>
  <c r="D25" i="10"/>
  <c r="D24" i="10"/>
  <c r="G13" i="10"/>
  <c r="G13" i="15"/>
  <c r="E110" i="15"/>
  <c r="E109" i="15"/>
  <c r="D104" i="15"/>
  <c r="D103" i="15"/>
  <c r="C104" i="15"/>
  <c r="C103" i="15"/>
  <c r="D91" i="15"/>
  <c r="D90" i="15"/>
  <c r="C91" i="15"/>
  <c r="C90" i="15"/>
  <c r="D78" i="15"/>
  <c r="D77" i="15"/>
  <c r="C78" i="15"/>
  <c r="C77" i="15"/>
  <c r="D63" i="15"/>
  <c r="D64" i="15"/>
  <c r="D62" i="15"/>
  <c r="C63" i="15"/>
  <c r="C64" i="15"/>
  <c r="C62" i="15"/>
  <c r="D25" i="15"/>
  <c r="D26" i="15"/>
  <c r="D27" i="15"/>
  <c r="D28" i="15"/>
  <c r="D24" i="15"/>
  <c r="C25" i="15"/>
  <c r="C26" i="15"/>
  <c r="C27" i="15"/>
  <c r="C28" i="15"/>
  <c r="C24" i="15"/>
  <c r="F37" i="3"/>
  <c r="F28" i="34"/>
  <c r="F27" i="34"/>
  <c r="D51" i="33" l="1"/>
  <c r="N26" i="3"/>
  <c r="N29" i="3" s="1"/>
  <c r="E21" i="29"/>
  <c r="G29" i="3"/>
  <c r="G36" i="3"/>
  <c r="F36" i="3"/>
  <c r="H48" i="3"/>
  <c r="D5" i="29"/>
  <c r="D4" i="29"/>
  <c r="D3" i="29"/>
  <c r="F36" i="23"/>
  <c r="H64" i="1"/>
  <c r="H62" i="1"/>
  <c r="H17" i="1"/>
  <c r="H15" i="1"/>
  <c r="F15" i="1"/>
  <c r="H42" i="1"/>
  <c r="F42" i="1"/>
  <c r="F17" i="1"/>
  <c r="H14" i="1"/>
  <c r="F14" i="1"/>
  <c r="P28" i="1"/>
  <c r="F32" i="1"/>
  <c r="H38" i="1"/>
  <c r="F38" i="1"/>
  <c r="J38" i="1" s="1"/>
  <c r="K38" i="1" s="1"/>
  <c r="F11" i="3"/>
  <c r="F8" i="3" s="1"/>
  <c r="G15" i="10" s="1"/>
  <c r="D11" i="36"/>
  <c r="D8" i="36"/>
  <c r="D7" i="36"/>
  <c r="D6" i="36"/>
  <c r="D18" i="25"/>
  <c r="D17" i="25"/>
  <c r="C18" i="25"/>
  <c r="C17" i="25"/>
  <c r="D104" i="10"/>
  <c r="D79" i="10"/>
  <c r="E63" i="10"/>
  <c r="D63" i="10"/>
  <c r="H32" i="3"/>
  <c r="H31" i="3"/>
  <c r="H30" i="3"/>
  <c r="H25" i="3"/>
  <c r="H26" i="3"/>
  <c r="H27" i="3"/>
  <c r="H24" i="3"/>
  <c r="E10" i="29"/>
  <c r="F29" i="34"/>
  <c r="F26" i="34"/>
  <c r="D28" i="3"/>
  <c r="D19" i="21"/>
  <c r="D18" i="21"/>
  <c r="D17" i="21"/>
  <c r="D16" i="21"/>
  <c r="D15" i="21"/>
  <c r="D14" i="21"/>
  <c r="D13" i="21"/>
  <c r="D12" i="21"/>
  <c r="D11" i="21"/>
  <c r="D55" i="21"/>
  <c r="D54" i="21"/>
  <c r="D61" i="21"/>
  <c r="D60" i="21"/>
  <c r="D59" i="21"/>
  <c r="D58" i="21"/>
  <c r="D57" i="21"/>
  <c r="D56" i="21"/>
  <c r="B110" i="15"/>
  <c r="B109" i="15"/>
  <c r="D105" i="15"/>
  <c r="F11" i="15" s="1"/>
  <c r="C105" i="15"/>
  <c r="C109" i="15" s="1"/>
  <c r="E104" i="15"/>
  <c r="E103" i="15"/>
  <c r="G103" i="15" s="1"/>
  <c r="F102" i="15"/>
  <c r="E102" i="15"/>
  <c r="B97" i="15"/>
  <c r="B96" i="15"/>
  <c r="C92" i="15"/>
  <c r="C96" i="15" s="1"/>
  <c r="E90" i="15"/>
  <c r="F89" i="15"/>
  <c r="E89" i="15"/>
  <c r="E91" i="15" s="1"/>
  <c r="B84" i="15"/>
  <c r="B83" i="15"/>
  <c r="C79" i="15"/>
  <c r="C83" i="15" s="1"/>
  <c r="E78" i="15"/>
  <c r="F78" i="15"/>
  <c r="F79" i="15" s="1"/>
  <c r="D84" i="15" s="1"/>
  <c r="E77" i="15"/>
  <c r="G77" i="15" s="1"/>
  <c r="F76" i="15"/>
  <c r="E76" i="15"/>
  <c r="B71" i="15"/>
  <c r="B69" i="15"/>
  <c r="C65" i="15"/>
  <c r="C69" i="15" s="1"/>
  <c r="F64" i="15"/>
  <c r="E64" i="15"/>
  <c r="E63" i="15"/>
  <c r="D65" i="15"/>
  <c r="F8" i="15" s="1"/>
  <c r="H62" i="15"/>
  <c r="E62" i="15"/>
  <c r="G61" i="15"/>
  <c r="F61" i="15"/>
  <c r="E61" i="15"/>
  <c r="B56" i="15"/>
  <c r="B54" i="15"/>
  <c r="B53" i="15"/>
  <c r="B52" i="15"/>
  <c r="D48" i="15"/>
  <c r="F7" i="15" s="1"/>
  <c r="C48" i="15"/>
  <c r="C52" i="15" s="1"/>
  <c r="E44" i="15"/>
  <c r="F44" i="15" s="1"/>
  <c r="E43" i="15"/>
  <c r="J43" i="15" s="1"/>
  <c r="I42" i="15"/>
  <c r="H42" i="15"/>
  <c r="H47" i="15" s="1"/>
  <c r="G42" i="15"/>
  <c r="G46" i="15" s="1"/>
  <c r="F42" i="15"/>
  <c r="E42" i="15"/>
  <c r="Q37" i="15"/>
  <c r="B37" i="15"/>
  <c r="B35" i="15"/>
  <c r="B34" i="15"/>
  <c r="B33" i="15"/>
  <c r="C29" i="15"/>
  <c r="E6" i="15" s="1"/>
  <c r="H28" i="15"/>
  <c r="G28" i="15"/>
  <c r="F28" i="15"/>
  <c r="E28" i="15"/>
  <c r="I28" i="15" s="1"/>
  <c r="I29" i="15" s="1"/>
  <c r="D37" i="15" s="1"/>
  <c r="G27" i="15"/>
  <c r="F27" i="15"/>
  <c r="E27" i="15"/>
  <c r="D29" i="15"/>
  <c r="F6" i="15" s="1"/>
  <c r="E24" i="15"/>
  <c r="J24" i="15" s="1"/>
  <c r="I23" i="15"/>
  <c r="H23" i="15"/>
  <c r="G23" i="15"/>
  <c r="G47" i="15" s="1"/>
  <c r="F23" i="15"/>
  <c r="F46" i="15" s="1"/>
  <c r="E23" i="15"/>
  <c r="E26" i="15" s="1"/>
  <c r="E11" i="15"/>
  <c r="J17" i="1"/>
  <c r="K17" i="1" s="1"/>
  <c r="J15" i="1"/>
  <c r="K15" i="1" s="1"/>
  <c r="K36" i="1"/>
  <c r="J36" i="1"/>
  <c r="H54" i="1"/>
  <c r="G37" i="23"/>
  <c r="G30" i="23"/>
  <c r="G29" i="23"/>
  <c r="G35" i="3"/>
  <c r="F28" i="3"/>
  <c r="F17" i="35"/>
  <c r="F35" i="3"/>
  <c r="H35" i="3" s="1"/>
  <c r="F10" i="35"/>
  <c r="H10" i="3"/>
  <c r="G38" i="3"/>
  <c r="D19" i="5"/>
  <c r="E19" i="5"/>
  <c r="F19" i="5"/>
  <c r="G19" i="5"/>
  <c r="H19" i="5"/>
  <c r="I19" i="5"/>
  <c r="J19" i="5"/>
  <c r="K19" i="5"/>
  <c r="L19" i="5"/>
  <c r="C19" i="5"/>
  <c r="G28" i="34"/>
  <c r="G23" i="3"/>
  <c r="G20" i="3"/>
  <c r="F13" i="34"/>
  <c r="G10" i="34" s="1"/>
  <c r="E10" i="15" l="1"/>
  <c r="G78" i="15"/>
  <c r="E9" i="15"/>
  <c r="G64" i="15"/>
  <c r="G65" i="15" s="1"/>
  <c r="D71" i="15" s="1"/>
  <c r="M19" i="5"/>
  <c r="H11" i="3"/>
  <c r="H28" i="3"/>
  <c r="J28" i="15"/>
  <c r="C72" i="15"/>
  <c r="G79" i="15"/>
  <c r="C85" i="15"/>
  <c r="E92" i="15"/>
  <c r="D96" i="15" s="1"/>
  <c r="F91" i="15"/>
  <c r="F92" i="15" s="1"/>
  <c r="D97" i="15" s="1"/>
  <c r="F52" i="15"/>
  <c r="C57" i="15"/>
  <c r="F109" i="15"/>
  <c r="C111" i="15"/>
  <c r="G26" i="15"/>
  <c r="G29" i="15" s="1"/>
  <c r="D35" i="15" s="1"/>
  <c r="D79" i="15"/>
  <c r="F9" i="15" s="1"/>
  <c r="C98" i="15"/>
  <c r="F104" i="15"/>
  <c r="F105" i="15" s="1"/>
  <c r="D110" i="15" s="1"/>
  <c r="F110" i="15" s="1"/>
  <c r="J44" i="15"/>
  <c r="E105" i="15"/>
  <c r="D109" i="15" s="1"/>
  <c r="E25" i="15"/>
  <c r="F25" i="15" s="1"/>
  <c r="F29" i="15" s="1"/>
  <c r="D34" i="15" s="1"/>
  <c r="H27" i="15"/>
  <c r="H29" i="15" s="1"/>
  <c r="D36" i="15" s="1"/>
  <c r="E79" i="15"/>
  <c r="D83" i="15" s="1"/>
  <c r="D85" i="15" s="1"/>
  <c r="E65" i="15"/>
  <c r="D69" i="15" s="1"/>
  <c r="E45" i="15"/>
  <c r="C33" i="15"/>
  <c r="E7" i="15"/>
  <c r="E47" i="15"/>
  <c r="D92" i="15"/>
  <c r="F10" i="15" s="1"/>
  <c r="F63" i="15"/>
  <c r="F65" i="15" s="1"/>
  <c r="D70" i="15" s="1"/>
  <c r="G90" i="15"/>
  <c r="E8" i="15"/>
  <c r="F47" i="15"/>
  <c r="F26" i="15"/>
  <c r="F45" i="15"/>
  <c r="G45" i="15" s="1"/>
  <c r="G48" i="15" s="1"/>
  <c r="D54" i="15" s="1"/>
  <c r="F54" i="15" s="1"/>
  <c r="E46" i="15"/>
  <c r="G26" i="34"/>
  <c r="G29" i="34"/>
  <c r="G25" i="34"/>
  <c r="G27" i="34"/>
  <c r="G11" i="34"/>
  <c r="G13" i="34" s="1"/>
  <c r="G7" i="10"/>
  <c r="F7" i="10"/>
  <c r="E7" i="10"/>
  <c r="B56" i="10"/>
  <c r="B54" i="10"/>
  <c r="B53" i="10"/>
  <c r="B52" i="10"/>
  <c r="C48" i="10"/>
  <c r="C52" i="10" s="1"/>
  <c r="E43" i="10"/>
  <c r="J43" i="10" s="1"/>
  <c r="I42" i="10"/>
  <c r="H42" i="10"/>
  <c r="H47" i="10" s="1"/>
  <c r="G42" i="10"/>
  <c r="G46" i="10" s="1"/>
  <c r="F42" i="10"/>
  <c r="E42" i="10"/>
  <c r="B110" i="10"/>
  <c r="B109" i="10"/>
  <c r="D105" i="10"/>
  <c r="F11" i="10" s="1"/>
  <c r="C105" i="10"/>
  <c r="C109" i="10" s="1"/>
  <c r="E103" i="10"/>
  <c r="G103" i="10" s="1"/>
  <c r="F102" i="10"/>
  <c r="E102" i="10"/>
  <c r="B84" i="10"/>
  <c r="B83" i="10"/>
  <c r="C79" i="10"/>
  <c r="C83" i="10" s="1"/>
  <c r="E77" i="10"/>
  <c r="G77" i="10" s="1"/>
  <c r="F76" i="10"/>
  <c r="E76" i="10"/>
  <c r="E78" i="10" s="1"/>
  <c r="C65" i="10"/>
  <c r="F12" i="15" l="1"/>
  <c r="H64" i="15"/>
  <c r="E12" i="15"/>
  <c r="J26" i="15"/>
  <c r="J27" i="15"/>
  <c r="E11" i="10"/>
  <c r="E9" i="10"/>
  <c r="H46" i="15"/>
  <c r="H48" i="15" s="1"/>
  <c r="D55" i="15" s="1"/>
  <c r="F55" i="15" s="1"/>
  <c r="I47" i="15"/>
  <c r="I48" i="15" s="1"/>
  <c r="D56" i="15" s="1"/>
  <c r="F56" i="15" s="1"/>
  <c r="F48" i="15"/>
  <c r="D53" i="15" s="1"/>
  <c r="F53" i="15" s="1"/>
  <c r="F57" i="15" s="1"/>
  <c r="G7" i="15" s="1"/>
  <c r="H63" i="15"/>
  <c r="D98" i="15"/>
  <c r="C38" i="15"/>
  <c r="E48" i="15"/>
  <c r="D52" i="15" s="1"/>
  <c r="D57" i="15" s="1"/>
  <c r="J45" i="15"/>
  <c r="J25" i="15"/>
  <c r="E29" i="15"/>
  <c r="D33" i="15" s="1"/>
  <c r="D38" i="15" s="1"/>
  <c r="G91" i="15"/>
  <c r="G92" i="15" s="1"/>
  <c r="F111" i="15"/>
  <c r="G11" i="15" s="1"/>
  <c r="G104" i="15"/>
  <c r="G105" i="15" s="1"/>
  <c r="D72" i="15"/>
  <c r="D111" i="15"/>
  <c r="C57" i="10"/>
  <c r="F52" i="10"/>
  <c r="D48" i="10"/>
  <c r="C111" i="10"/>
  <c r="F109" i="10"/>
  <c r="F9" i="10"/>
  <c r="C85" i="10"/>
  <c r="F83" i="10"/>
  <c r="H65" i="15" l="1"/>
  <c r="J29" i="15"/>
  <c r="J47" i="15"/>
  <c r="J48" i="15" s="1"/>
  <c r="J46" i="15"/>
  <c r="H20" i="23"/>
  <c r="H26" i="34" l="1"/>
  <c r="F20" i="3" s="1"/>
  <c r="H20" i="3" s="1"/>
  <c r="H29" i="34"/>
  <c r="F29" i="23" l="1"/>
  <c r="F29" i="3"/>
  <c r="H29" i="3" s="1"/>
  <c r="H34" i="23"/>
  <c r="D35" i="23"/>
  <c r="D33" i="3"/>
  <c r="D39" i="3" s="1"/>
  <c r="H9" i="23" l="1"/>
  <c r="H10" i="23"/>
  <c r="D11" i="23"/>
  <c r="H45" i="23" l="1"/>
  <c r="F6" i="29" l="1"/>
  <c r="G5" i="29" l="1"/>
  <c r="E5" i="29"/>
  <c r="G4" i="29"/>
  <c r="E4" i="29"/>
  <c r="H4" i="29" s="1"/>
  <c r="G3" i="29"/>
  <c r="E3" i="29"/>
  <c r="H3" i="29" s="1"/>
  <c r="H5" i="29" l="1"/>
  <c r="G6" i="29"/>
  <c r="E6" i="29"/>
  <c r="D6" i="29"/>
  <c r="C20" i="31"/>
  <c r="C13" i="31"/>
  <c r="C4" i="31"/>
  <c r="H56" i="1"/>
  <c r="F56" i="1"/>
  <c r="J54" i="1"/>
  <c r="K54" i="1" s="1"/>
  <c r="J42" i="1"/>
  <c r="K42" i="1" s="1"/>
  <c r="J37" i="1"/>
  <c r="K37" i="1" s="1"/>
  <c r="J33" i="1"/>
  <c r="K33" i="1" s="1"/>
  <c r="J32" i="1"/>
  <c r="K32" i="1" s="1"/>
  <c r="J31" i="1"/>
  <c r="K31" i="1" s="1"/>
  <c r="J16" i="1"/>
  <c r="K16" i="1" s="1"/>
  <c r="J14" i="1"/>
  <c r="K14" i="1" s="1"/>
  <c r="H48" i="1"/>
  <c r="F48" i="1"/>
  <c r="D40" i="21"/>
  <c r="D39" i="21"/>
  <c r="D38" i="21"/>
  <c r="D37" i="21"/>
  <c r="D36" i="21"/>
  <c r="D35" i="21"/>
  <c r="D34" i="21"/>
  <c r="D33" i="21"/>
  <c r="D32" i="21"/>
  <c r="D49" i="21"/>
  <c r="D50" i="21"/>
  <c r="D48" i="21"/>
  <c r="D47" i="21"/>
  <c r="D46" i="21"/>
  <c r="D45" i="21"/>
  <c r="D44" i="21"/>
  <c r="D43" i="21"/>
  <c r="D26" i="21"/>
  <c r="D29" i="21"/>
  <c r="D28" i="21"/>
  <c r="D27" i="21"/>
  <c r="D25" i="21"/>
  <c r="D23" i="21"/>
  <c r="D22" i="21"/>
  <c r="M18" i="5"/>
  <c r="D18" i="24"/>
  <c r="C18" i="24"/>
  <c r="E18" i="24" s="1"/>
  <c r="D17" i="24"/>
  <c r="C17" i="24"/>
  <c r="B24" i="24"/>
  <c r="B23" i="24"/>
  <c r="F16" i="24"/>
  <c r="E16" i="24"/>
  <c r="F10" i="25"/>
  <c r="E8" i="10"/>
  <c r="F61" i="10"/>
  <c r="F64" i="10" s="1"/>
  <c r="H23" i="10"/>
  <c r="C21" i="31" l="1"/>
  <c r="D24" i="31" s="1"/>
  <c r="D26" i="31" s="1"/>
  <c r="D19" i="24"/>
  <c r="E6" i="24" s="1"/>
  <c r="E17" i="24"/>
  <c r="G17" i="24" s="1"/>
  <c r="K56" i="1"/>
  <c r="J56" i="1"/>
  <c r="H6" i="29"/>
  <c r="E9" i="29" s="1"/>
  <c r="J48" i="1"/>
  <c r="K48" i="1"/>
  <c r="F34" i="3" s="1"/>
  <c r="H34" i="3" s="1"/>
  <c r="P31" i="5"/>
  <c r="M17" i="5"/>
  <c r="C19" i="24"/>
  <c r="D6" i="24" s="1"/>
  <c r="F18" i="24"/>
  <c r="F19" i="24" s="1"/>
  <c r="D24" i="24" s="1"/>
  <c r="H28" i="10"/>
  <c r="D24" i="21"/>
  <c r="H32" i="23"/>
  <c r="H29" i="23"/>
  <c r="H28" i="23"/>
  <c r="H27" i="23"/>
  <c r="H24" i="23"/>
  <c r="H23" i="23"/>
  <c r="H16" i="23"/>
  <c r="H15" i="23"/>
  <c r="E19" i="24" l="1"/>
  <c r="D23" i="24" s="1"/>
  <c r="D25" i="24" s="1"/>
  <c r="F25" i="34"/>
  <c r="H25" i="34" s="1"/>
  <c r="E11" i="29"/>
  <c r="F17" i="3" s="1"/>
  <c r="E19" i="29"/>
  <c r="C23" i="24"/>
  <c r="G18" i="24"/>
  <c r="G19" i="24" s="1"/>
  <c r="F26" i="23" l="1"/>
  <c r="F18" i="3"/>
  <c r="H18" i="3" s="1"/>
  <c r="E13" i="29"/>
  <c r="E15" i="29" s="1"/>
  <c r="H28" i="34" s="1"/>
  <c r="C25" i="24"/>
  <c r="D53" i="21"/>
  <c r="J14" i="26"/>
  <c r="J13" i="26"/>
  <c r="F38" i="3" l="1"/>
  <c r="F37" i="23"/>
  <c r="H37" i="23" s="1"/>
  <c r="E17" i="29"/>
  <c r="H38" i="3" s="1"/>
  <c r="H26" i="23"/>
  <c r="H18" i="23"/>
  <c r="E16" i="25"/>
  <c r="F16" i="25"/>
  <c r="E17" i="25"/>
  <c r="B23" i="25"/>
  <c r="B24" i="25"/>
  <c r="D19" i="25" l="1"/>
  <c r="E6" i="25" s="1"/>
  <c r="E18" i="25"/>
  <c r="C19" i="25"/>
  <c r="G17" i="25"/>
  <c r="H12" i="3"/>
  <c r="D6" i="25" l="1"/>
  <c r="C23" i="25"/>
  <c r="C25" i="25" s="1"/>
  <c r="E19" i="25"/>
  <c r="D23" i="25" s="1"/>
  <c r="F18" i="25"/>
  <c r="F19" i="25" s="1"/>
  <c r="D24" i="25" s="1"/>
  <c r="F24" i="25" s="1"/>
  <c r="G18" i="25" l="1"/>
  <c r="G19" i="25" s="1"/>
  <c r="D25" i="25"/>
  <c r="F23" i="25"/>
  <c r="F25" i="25" s="1"/>
  <c r="F6" i="25" s="1"/>
  <c r="F7" i="25" s="1"/>
  <c r="M14" i="5"/>
  <c r="M15" i="5"/>
  <c r="M12" i="5"/>
  <c r="F9" i="25" l="1"/>
  <c r="F11" i="25" s="1"/>
  <c r="F7" i="23" s="1"/>
  <c r="M16" i="5"/>
  <c r="M13" i="5"/>
  <c r="P19" i="5" s="1"/>
  <c r="M21" i="5" l="1"/>
  <c r="F11" i="23"/>
  <c r="G11" i="25"/>
  <c r="H36" i="23"/>
  <c r="H7" i="23" l="1"/>
  <c r="H11" i="23" s="1"/>
  <c r="M22" i="5"/>
  <c r="H44" i="3"/>
  <c r="H48" i="23" l="1"/>
  <c r="P22" i="5"/>
  <c r="H45" i="3"/>
  <c r="D13" i="3" l="1"/>
  <c r="B71" i="10" l="1"/>
  <c r="B69" i="10"/>
  <c r="E62" i="10"/>
  <c r="H62" i="10" s="1"/>
  <c r="G61" i="10"/>
  <c r="E61" i="10"/>
  <c r="I23" i="10"/>
  <c r="E64" i="10" l="1"/>
  <c r="G64" i="10" s="1"/>
  <c r="D65" i="10"/>
  <c r="F8" i="10" s="1"/>
  <c r="C69" i="10"/>
  <c r="F63" i="10" l="1"/>
  <c r="F65" i="10" s="1"/>
  <c r="D70" i="10" s="1"/>
  <c r="F70" i="10" s="1"/>
  <c r="F69" i="10"/>
  <c r="H63" i="10" l="1"/>
  <c r="C72" i="10"/>
  <c r="Q37" i="10" l="1"/>
  <c r="E24" i="10" l="1"/>
  <c r="D21" i="21" l="1"/>
  <c r="B97" i="10"/>
  <c r="B96" i="10"/>
  <c r="E90" i="10"/>
  <c r="G90" i="10" s="1"/>
  <c r="F89" i="10"/>
  <c r="E89" i="10"/>
  <c r="E104" i="10" s="1"/>
  <c r="E23" i="10"/>
  <c r="F23" i="10"/>
  <c r="G23" i="10"/>
  <c r="G47" i="10" s="1"/>
  <c r="B33" i="10"/>
  <c r="B34" i="10"/>
  <c r="B35" i="10"/>
  <c r="B37" i="10"/>
  <c r="D92" i="10"/>
  <c r="F10" i="10" s="1"/>
  <c r="C92" i="10"/>
  <c r="C29" i="10"/>
  <c r="E6" i="10" s="1"/>
  <c r="F45" i="10" l="1"/>
  <c r="F47" i="10"/>
  <c r="F46" i="10"/>
  <c r="E44" i="10"/>
  <c r="E47" i="10"/>
  <c r="E46" i="10"/>
  <c r="E45" i="10"/>
  <c r="E105" i="10"/>
  <c r="D109" i="10" s="1"/>
  <c r="F104" i="10"/>
  <c r="F78" i="10"/>
  <c r="F79" i="10" s="1"/>
  <c r="D84" i="10" s="1"/>
  <c r="F85" i="10" s="1"/>
  <c r="G9" i="10" s="1"/>
  <c r="E79" i="10"/>
  <c r="D83" i="10" s="1"/>
  <c r="C96" i="10"/>
  <c r="F96" i="10" s="1"/>
  <c r="E10" i="10"/>
  <c r="E12" i="10" s="1"/>
  <c r="E27" i="10"/>
  <c r="G27" i="10"/>
  <c r="F27" i="10"/>
  <c r="H47" i="3"/>
  <c r="C33" i="10"/>
  <c r="F33" i="10" s="1"/>
  <c r="E91" i="10"/>
  <c r="F26" i="10"/>
  <c r="E25" i="10"/>
  <c r="F25" i="10" s="1"/>
  <c r="E26" i="10"/>
  <c r="E28" i="10"/>
  <c r="G28" i="10"/>
  <c r="D29" i="10"/>
  <c r="F6" i="10" s="1"/>
  <c r="F12" i="10" s="1"/>
  <c r="F28" i="10"/>
  <c r="J24" i="10"/>
  <c r="D40" i="3"/>
  <c r="I47" i="10" l="1"/>
  <c r="I48" i="10" s="1"/>
  <c r="D56" i="10" s="1"/>
  <c r="F56" i="10" s="1"/>
  <c r="H46" i="10"/>
  <c r="H48" i="10" s="1"/>
  <c r="D55" i="10" s="1"/>
  <c r="F55" i="10" s="1"/>
  <c r="E48" i="10"/>
  <c r="D52" i="10" s="1"/>
  <c r="F44" i="10"/>
  <c r="F48" i="10" s="1"/>
  <c r="D53" i="10" s="1"/>
  <c r="F53" i="10" s="1"/>
  <c r="G45" i="10"/>
  <c r="G48" i="10" s="1"/>
  <c r="D54" i="10" s="1"/>
  <c r="F54" i="10" s="1"/>
  <c r="G78" i="10"/>
  <c r="G79" i="10" s="1"/>
  <c r="G104" i="10"/>
  <c r="G105" i="10" s="1"/>
  <c r="F105" i="10"/>
  <c r="D110" i="10" s="1"/>
  <c r="F110" i="10" s="1"/>
  <c r="F111" i="10" s="1"/>
  <c r="G11" i="10" s="1"/>
  <c r="D85" i="10"/>
  <c r="I28" i="10"/>
  <c r="I29" i="10" s="1"/>
  <c r="D37" i="10" s="1"/>
  <c r="F37" i="10" s="1"/>
  <c r="H27" i="10"/>
  <c r="H29" i="10" s="1"/>
  <c r="D36" i="10" s="1"/>
  <c r="F36" i="10" s="1"/>
  <c r="C38" i="10"/>
  <c r="C98" i="10"/>
  <c r="F91" i="10"/>
  <c r="G91" i="10" s="1"/>
  <c r="G65" i="10"/>
  <c r="E65" i="10"/>
  <c r="D69" i="10" s="1"/>
  <c r="E92" i="10"/>
  <c r="D96" i="10" s="1"/>
  <c r="G26" i="10"/>
  <c r="G29" i="10" s="1"/>
  <c r="D35" i="10" s="1"/>
  <c r="F35" i="10" s="1"/>
  <c r="F29" i="10"/>
  <c r="D34" i="10" s="1"/>
  <c r="F34" i="10" s="1"/>
  <c r="J25" i="10"/>
  <c r="E29" i="10"/>
  <c r="D33" i="10" s="1"/>
  <c r="F57" i="10" l="1"/>
  <c r="J46" i="10"/>
  <c r="D57" i="10"/>
  <c r="J47" i="10"/>
  <c r="J44" i="10"/>
  <c r="J45" i="10"/>
  <c r="D111" i="10"/>
  <c r="D71" i="10"/>
  <c r="F71" i="10" s="1"/>
  <c r="F72" i="10" s="1"/>
  <c r="J27" i="10"/>
  <c r="F92" i="10"/>
  <c r="H64" i="10"/>
  <c r="J26" i="10"/>
  <c r="J28" i="10"/>
  <c r="F38" i="10"/>
  <c r="G92" i="10"/>
  <c r="D38" i="10"/>
  <c r="J48" i="10" l="1"/>
  <c r="G6" i="10"/>
  <c r="G8" i="10"/>
  <c r="D97" i="10"/>
  <c r="F97" i="10" s="1"/>
  <c r="F98" i="10" s="1"/>
  <c r="D72" i="10"/>
  <c r="H65" i="10"/>
  <c r="J29" i="10"/>
  <c r="G10" i="10" l="1"/>
  <c r="G12" i="10" s="1"/>
  <c r="D98" i="10"/>
  <c r="G14" i="10" l="1"/>
  <c r="G16" i="10" s="1"/>
  <c r="F7" i="3" s="1"/>
  <c r="H8" i="3" s="1"/>
  <c r="H50" i="3" s="1"/>
  <c r="D38" i="23"/>
  <c r="D39" i="23" s="1"/>
  <c r="H16" i="10" l="1"/>
  <c r="F13" i="3"/>
  <c r="H13" i="3"/>
  <c r="H27" i="34" l="1"/>
  <c r="H31" i="34" l="1"/>
  <c r="F30" i="23"/>
  <c r="F23" i="3"/>
  <c r="H23" i="3" s="1"/>
  <c r="H31" i="23" l="1"/>
  <c r="H35" i="23" s="1"/>
  <c r="H38" i="23" s="1"/>
  <c r="F35" i="23"/>
  <c r="F38" i="23" s="1"/>
  <c r="F39" i="23" s="1"/>
  <c r="F33" i="3"/>
  <c r="H33" i="3"/>
  <c r="H39" i="3" s="1"/>
  <c r="F39" i="3" l="1"/>
  <c r="F40" i="3" s="1"/>
  <c r="H42" i="23"/>
  <c r="H44" i="23" s="1"/>
  <c r="H47" i="23" s="1"/>
  <c r="H39" i="23"/>
  <c r="H40" i="3"/>
  <c r="H43" i="3"/>
  <c r="H46" i="3" s="1"/>
  <c r="H49" i="3" s="1"/>
  <c r="G15" i="15" s="1"/>
  <c r="F10" i="24" l="1"/>
  <c r="H49" i="23"/>
  <c r="H50" i="23" s="1"/>
  <c r="H51" i="3"/>
  <c r="H52" i="3" s="1"/>
  <c r="L14" i="26" l="1"/>
  <c r="L13" i="26"/>
  <c r="L13" i="2"/>
  <c r="L14" i="2"/>
  <c r="E34" i="15" s="1"/>
  <c r="F34" i="15" s="1"/>
  <c r="L15" i="2"/>
  <c r="E35" i="15" s="1"/>
  <c r="F35" i="15" s="1"/>
  <c r="L16" i="2"/>
  <c r="E36" i="15" s="1"/>
  <c r="F36" i="15" s="1"/>
  <c r="L17" i="2"/>
  <c r="E37" i="15" s="1"/>
  <c r="F37" i="15" s="1"/>
  <c r="L22" i="2"/>
  <c r="E71" i="15" s="1"/>
  <c r="F71" i="15" s="1"/>
  <c r="L30" i="2"/>
  <c r="E96" i="15" s="1"/>
  <c r="F96" i="15" s="1"/>
  <c r="L20" i="2"/>
  <c r="E69" i="15" s="1"/>
  <c r="F69" i="15" s="1"/>
  <c r="L21" i="2"/>
  <c r="E70" i="15" s="1"/>
  <c r="F70" i="15" s="1"/>
  <c r="L25" i="2"/>
  <c r="L31" i="2"/>
  <c r="E97" i="15" s="1"/>
  <c r="F97" i="15" s="1"/>
  <c r="L26" i="2"/>
  <c r="E33" i="15" l="1"/>
  <c r="F33" i="15" s="1"/>
  <c r="F38" i="15" s="1"/>
  <c r="G6" i="15" s="1"/>
  <c r="E19" i="21"/>
  <c r="F19" i="21" s="1"/>
  <c r="G19" i="21" s="1"/>
  <c r="E16" i="21"/>
  <c r="F16" i="21" s="1"/>
  <c r="G16" i="21" s="1"/>
  <c r="E15" i="21"/>
  <c r="F15" i="21" s="1"/>
  <c r="G15" i="21" s="1"/>
  <c r="E14" i="21"/>
  <c r="F14" i="21" s="1"/>
  <c r="G14" i="21" s="1"/>
  <c r="E13" i="21"/>
  <c r="F13" i="21" s="1"/>
  <c r="G13" i="21" s="1"/>
  <c r="E12" i="21"/>
  <c r="F12" i="21" s="1"/>
  <c r="G12" i="21" s="1"/>
  <c r="E11" i="21"/>
  <c r="F11" i="21" s="1"/>
  <c r="G11" i="21" s="1"/>
  <c r="E17" i="21"/>
  <c r="F17" i="21" s="1"/>
  <c r="G17" i="21" s="1"/>
  <c r="E18" i="21"/>
  <c r="F18" i="21" s="1"/>
  <c r="G18" i="21" s="1"/>
  <c r="E59" i="21"/>
  <c r="F59" i="21" s="1"/>
  <c r="G59" i="21" s="1"/>
  <c r="E56" i="21"/>
  <c r="F56" i="21" s="1"/>
  <c r="G56" i="21" s="1"/>
  <c r="E55" i="21"/>
  <c r="F55" i="21" s="1"/>
  <c r="G55" i="21" s="1"/>
  <c r="E61" i="21"/>
  <c r="F61" i="21" s="1"/>
  <c r="G61" i="21" s="1"/>
  <c r="E54" i="21"/>
  <c r="F54" i="21" s="1"/>
  <c r="G54" i="21" s="1"/>
  <c r="E58" i="21"/>
  <c r="F58" i="21" s="1"/>
  <c r="G58" i="21" s="1"/>
  <c r="E60" i="21"/>
  <c r="F60" i="21" s="1"/>
  <c r="G60" i="21" s="1"/>
  <c r="E57" i="21"/>
  <c r="F57" i="21" s="1"/>
  <c r="G57" i="21" s="1"/>
  <c r="F98" i="15"/>
  <c r="G10" i="15" s="1"/>
  <c r="N26" i="2"/>
  <c r="O26" i="2" s="1"/>
  <c r="E84" i="15"/>
  <c r="F84" i="15" s="1"/>
  <c r="N25" i="2"/>
  <c r="O25" i="2" s="1"/>
  <c r="E83" i="15"/>
  <c r="F83" i="15" s="1"/>
  <c r="F72" i="15"/>
  <c r="G8" i="15" s="1"/>
  <c r="N13" i="26"/>
  <c r="O13" i="26" s="1"/>
  <c r="E23" i="24"/>
  <c r="F23" i="24" s="1"/>
  <c r="E53" i="21"/>
  <c r="F53" i="21" s="1"/>
  <c r="G53" i="21" s="1"/>
  <c r="E24" i="24"/>
  <c r="F24" i="24" s="1"/>
  <c r="N14" i="26"/>
  <c r="O14" i="26" s="1"/>
  <c r="N16" i="2"/>
  <c r="O16" i="2" s="1"/>
  <c r="N14" i="2"/>
  <c r="O14" i="2" s="1"/>
  <c r="N31" i="2"/>
  <c r="O31" i="2" s="1"/>
  <c r="E23" i="21"/>
  <c r="F23" i="21" s="1"/>
  <c r="G23" i="21" s="1"/>
  <c r="E24" i="21"/>
  <c r="F24" i="21" s="1"/>
  <c r="G24" i="21" s="1"/>
  <c r="N13" i="2"/>
  <c r="O13" i="2" s="1"/>
  <c r="E29" i="21"/>
  <c r="F29" i="21" s="1"/>
  <c r="G29" i="21" s="1"/>
  <c r="E28" i="21"/>
  <c r="F28" i="21" s="1"/>
  <c r="G28" i="21" s="1"/>
  <c r="E22" i="21"/>
  <c r="F22" i="21" s="1"/>
  <c r="G22" i="21" s="1"/>
  <c r="E21" i="21"/>
  <c r="F21" i="21" s="1"/>
  <c r="G21" i="21" s="1"/>
  <c r="E25" i="21"/>
  <c r="F25" i="21" s="1"/>
  <c r="G25" i="21" s="1"/>
  <c r="E27" i="21"/>
  <c r="F27" i="21" s="1"/>
  <c r="G27" i="21" s="1"/>
  <c r="E26" i="21"/>
  <c r="F26" i="21" s="1"/>
  <c r="G26" i="21" s="1"/>
  <c r="N22" i="2"/>
  <c r="O22" i="2" s="1"/>
  <c r="N21" i="2"/>
  <c r="O21" i="2" s="1"/>
  <c r="N17" i="2"/>
  <c r="O17" i="2" s="1"/>
  <c r="N20" i="2"/>
  <c r="O20" i="2" s="1"/>
  <c r="E34" i="21"/>
  <c r="F34" i="21" s="1"/>
  <c r="G34" i="21" s="1"/>
  <c r="E36" i="21"/>
  <c r="F36" i="21" s="1"/>
  <c r="G36" i="21" s="1"/>
  <c r="E35" i="21"/>
  <c r="F35" i="21" s="1"/>
  <c r="G35" i="21" s="1"/>
  <c r="E32" i="21"/>
  <c r="F32" i="21" s="1"/>
  <c r="G32" i="21" s="1"/>
  <c r="E40" i="21"/>
  <c r="F40" i="21" s="1"/>
  <c r="G40" i="21" s="1"/>
  <c r="E38" i="21"/>
  <c r="F38" i="21" s="1"/>
  <c r="G38" i="21" s="1"/>
  <c r="E33" i="21"/>
  <c r="F33" i="21" s="1"/>
  <c r="G33" i="21" s="1"/>
  <c r="E37" i="21"/>
  <c r="F37" i="21" s="1"/>
  <c r="G37" i="21" s="1"/>
  <c r="E39" i="21"/>
  <c r="F39" i="21" s="1"/>
  <c r="G39" i="21" s="1"/>
  <c r="E50" i="21"/>
  <c r="F50" i="21" s="1"/>
  <c r="G50" i="21" s="1"/>
  <c r="E43" i="21"/>
  <c r="F43" i="21" s="1"/>
  <c r="G43" i="21" s="1"/>
  <c r="N30" i="2"/>
  <c r="O30" i="2" s="1"/>
  <c r="E44" i="21"/>
  <c r="F44" i="21" s="1"/>
  <c r="G44" i="21" s="1"/>
  <c r="E49" i="21"/>
  <c r="F49" i="21" s="1"/>
  <c r="G49" i="21" s="1"/>
  <c r="E46" i="21"/>
  <c r="F46" i="21" s="1"/>
  <c r="G46" i="21" s="1"/>
  <c r="E48" i="21"/>
  <c r="F48" i="21" s="1"/>
  <c r="G48" i="21" s="1"/>
  <c r="E47" i="21"/>
  <c r="F47" i="21" s="1"/>
  <c r="G47" i="21" s="1"/>
  <c r="E45" i="21"/>
  <c r="F45" i="21" s="1"/>
  <c r="G45" i="21" s="1"/>
  <c r="N15" i="2"/>
  <c r="O15" i="2" s="1"/>
  <c r="F85" i="15" l="1"/>
  <c r="G9" i="15" s="1"/>
  <c r="G12" i="15" s="1"/>
  <c r="G14" i="15" s="1"/>
  <c r="G16" i="15" s="1"/>
  <c r="F25" i="24"/>
  <c r="F6" i="24" s="1"/>
  <c r="F7" i="24" s="1"/>
  <c r="F9" i="24" s="1"/>
  <c r="F11" i="24" s="1"/>
  <c r="G11" i="24" s="1"/>
</calcChain>
</file>

<file path=xl/sharedStrings.xml><?xml version="1.0" encoding="utf-8"?>
<sst xmlns="http://schemas.openxmlformats.org/spreadsheetml/2006/main" count="857" uniqueCount="321">
  <si>
    <t>SCHEDULE OF ADJUSTED OPERATIONS</t>
  </si>
  <si>
    <t>Lyon County Water District</t>
  </si>
  <si>
    <t>Water Division</t>
  </si>
  <si>
    <t>Pro Forma</t>
  </si>
  <si>
    <t>Annual Report</t>
  </si>
  <si>
    <t>Adjustments</t>
  </si>
  <si>
    <t>Ref.</t>
  </si>
  <si>
    <t>Operating Revenues</t>
  </si>
  <si>
    <t>Metered Sales to Retail Customers</t>
  </si>
  <si>
    <t>(A)</t>
  </si>
  <si>
    <t>(B)</t>
  </si>
  <si>
    <t>Other Water Revenues:</t>
  </si>
  <si>
    <t>Forfeited Discounts</t>
  </si>
  <si>
    <t>Misc. Service Revenue</t>
  </si>
  <si>
    <t>Other Water Revenue</t>
  </si>
  <si>
    <t>Total Operating Revenues</t>
  </si>
  <si>
    <t>Operating Expenses</t>
  </si>
  <si>
    <t>Operation and Maintenance</t>
  </si>
  <si>
    <t>Salaries and Wages - Employees</t>
  </si>
  <si>
    <t>(C)</t>
  </si>
  <si>
    <t>(D)</t>
  </si>
  <si>
    <t>Salaries and Wages - Officers</t>
  </si>
  <si>
    <t>Employee Pensions and Benefits</t>
  </si>
  <si>
    <t>(E)</t>
  </si>
  <si>
    <t>(F)</t>
  </si>
  <si>
    <t>Purchased Water</t>
  </si>
  <si>
    <t>Purchased Power</t>
  </si>
  <si>
    <t>Chemicals</t>
  </si>
  <si>
    <t>Materials and Supplies</t>
  </si>
  <si>
    <t>Contractual Services</t>
  </si>
  <si>
    <t>(G)</t>
  </si>
  <si>
    <t>Insurance - General Liability &amp; Other</t>
  </si>
  <si>
    <t>Insurance - Workers Comp</t>
  </si>
  <si>
    <t>Bad Debt</t>
  </si>
  <si>
    <t>Miscellaneous Expenses</t>
  </si>
  <si>
    <t>Total Operation and Mnt. Expenses</t>
  </si>
  <si>
    <t>Depreciation Expense</t>
  </si>
  <si>
    <t>(H)</t>
  </si>
  <si>
    <t>Amortization</t>
  </si>
  <si>
    <t>Taxes Other Than Income</t>
  </si>
  <si>
    <t>Total Operating Expenses</t>
  </si>
  <si>
    <t>Net Utility Operating Income</t>
  </si>
  <si>
    <t>REVENUE REQUIREMENTS - WATER DIVISION</t>
  </si>
  <si>
    <t>Pro Forma Operating Expenses</t>
  </si>
  <si>
    <t xml:space="preserve">   Plus:</t>
  </si>
  <si>
    <t>Avg. Annual Principal and Interest Payments</t>
  </si>
  <si>
    <t>Additional Working Capital</t>
  </si>
  <si>
    <t>Total Revenue Requirement</t>
  </si>
  <si>
    <t xml:space="preserve">   Less:</t>
  </si>
  <si>
    <t>Other Operating Revenue</t>
  </si>
  <si>
    <t>Interest Income</t>
  </si>
  <si>
    <t>Revenue Required From Water Sales</t>
  </si>
  <si>
    <t>Revenue from Sales at Present Rates</t>
  </si>
  <si>
    <t>Required Revenue Increase</t>
  </si>
  <si>
    <t>Percent Increase</t>
  </si>
  <si>
    <t>Sewer Division</t>
  </si>
  <si>
    <t>Test Year</t>
  </si>
  <si>
    <t>Total Sewer Sales</t>
  </si>
  <si>
    <t>Other Sewer Revenues</t>
  </si>
  <si>
    <t>Operation Expenses</t>
  </si>
  <si>
    <t>Management Fee</t>
  </si>
  <si>
    <t>Collection - Labor, Materials and Expenses</t>
  </si>
  <si>
    <t>Maintenance Expenses</t>
  </si>
  <si>
    <t>Maintenance of Collection Sewer System</t>
  </si>
  <si>
    <t>Miscellaneous Supplies and Expenses</t>
  </si>
  <si>
    <t>Pumping System</t>
  </si>
  <si>
    <t>Customer Account Expenses</t>
  </si>
  <si>
    <t>Flat Rate Inspections</t>
  </si>
  <si>
    <t>Uncollectable Accounts</t>
  </si>
  <si>
    <t>Administrative and General Expenses</t>
  </si>
  <si>
    <t>Salaries</t>
  </si>
  <si>
    <t>Office Supplies and Other Expenses</t>
  </si>
  <si>
    <t>Outside Services Employed</t>
  </si>
  <si>
    <t>Insurance</t>
  </si>
  <si>
    <t>Transportation Expense</t>
  </si>
  <si>
    <t>Miscellaneous General Expenses</t>
  </si>
  <si>
    <t>Total Sewer Operation and Mnt. Expenses</t>
  </si>
  <si>
    <t>REVENUE REQUIREMENTS - SEWER DIVISION</t>
  </si>
  <si>
    <t xml:space="preserve">   Divide:</t>
  </si>
  <si>
    <t xml:space="preserve">   88% Operating Ratio</t>
  </si>
  <si>
    <t>Interest &amp; Investment Income</t>
  </si>
  <si>
    <t>Revenue Required From Sewer Sales</t>
  </si>
  <si>
    <t>Comparison of Annual Report to Adjusted Trial Balance</t>
  </si>
  <si>
    <t>Residential Water Sales</t>
  </si>
  <si>
    <t>Commercial Water Sales</t>
  </si>
  <si>
    <t>Employee Dental Insurance</t>
  </si>
  <si>
    <t>Payroll Tax Expense</t>
  </si>
  <si>
    <t>Office Supplies</t>
  </si>
  <si>
    <t>Contract Services</t>
  </si>
  <si>
    <t>Contract Labor</t>
  </si>
  <si>
    <t>Professional Fees - Legal</t>
  </si>
  <si>
    <t>Professional Fees - Accounting</t>
  </si>
  <si>
    <t>Depreciation</t>
  </si>
  <si>
    <t>Field Collection Charge</t>
  </si>
  <si>
    <t>Returned Check Charge</t>
  </si>
  <si>
    <t>Reconnect Fee</t>
  </si>
  <si>
    <t>Meter Readout Charge</t>
  </si>
  <si>
    <t>Reread Charge</t>
  </si>
  <si>
    <t>Miscellaneous Adjustments</t>
  </si>
  <si>
    <t>Total Sewer Customers</t>
  </si>
  <si>
    <t>Total Water Customers</t>
  </si>
  <si>
    <t>Total Combined Customers</t>
  </si>
  <si>
    <t>Total</t>
  </si>
  <si>
    <t>Sewer</t>
  </si>
  <si>
    <t>Expense</t>
  </si>
  <si>
    <t>Allocation</t>
  </si>
  <si>
    <t>Pro Forma Salaries and Wages</t>
  </si>
  <si>
    <t>Commissioner's Salaries</t>
  </si>
  <si>
    <t>Payroll Taxes</t>
  </si>
  <si>
    <t>Employee ID</t>
  </si>
  <si>
    <t>Hourly Rate</t>
  </si>
  <si>
    <t>Job Title</t>
  </si>
  <si>
    <t>Regular Hours</t>
  </si>
  <si>
    <t>Regular Pay</t>
  </si>
  <si>
    <t>Overtime Hours</t>
  </si>
  <si>
    <t>Overtime Pay</t>
  </si>
  <si>
    <t>Total        Pay</t>
  </si>
  <si>
    <t>1</t>
  </si>
  <si>
    <t>Salary</t>
  </si>
  <si>
    <t>Superintendent</t>
  </si>
  <si>
    <t>2</t>
  </si>
  <si>
    <t>Water Distribution Operator</t>
  </si>
  <si>
    <t>3</t>
  </si>
  <si>
    <t>4</t>
  </si>
  <si>
    <t>Pro Forma Salaries &amp; Wages Expense</t>
  </si>
  <si>
    <t>Less: Test Year Salaries &amp; Wages Exp</t>
  </si>
  <si>
    <t>Salaries and Wages Adjustment</t>
  </si>
  <si>
    <t>C</t>
  </si>
  <si>
    <t>Pro Forma Salaries and Wages Expense</t>
  </si>
  <si>
    <t>Times: 7.65 Percent FICA Rate</t>
  </si>
  <si>
    <t>Pro Forma Payroll Taxes</t>
  </si>
  <si>
    <t>Less: Test Year Payroll Taxes</t>
  </si>
  <si>
    <t>From ATB</t>
  </si>
  <si>
    <t>Payroll Tax Adjustment</t>
  </si>
  <si>
    <t>Times: 23.34 poercent pension Contribution rate</t>
  </si>
  <si>
    <t>Pro Forma Pension Contribution</t>
  </si>
  <si>
    <t>Water Loss Adjustment</t>
  </si>
  <si>
    <t>Produced</t>
  </si>
  <si>
    <t>Purchased</t>
  </si>
  <si>
    <t>Total Produced and Purchased</t>
  </si>
  <si>
    <t>Sold</t>
  </si>
  <si>
    <t>Uses:</t>
  </si>
  <si>
    <t xml:space="preserve">   WTP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</si>
  <si>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</si>
  <si>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</si>
  <si>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</si>
  <si>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</si>
  <si>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</si>
  <si>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Overflows</t>
  </si>
  <si>
    <t xml:space="preserve">   Line Breaks</t>
  </si>
  <si>
    <t xml:space="preserve">   Line Leaks</t>
  </si>
  <si>
    <t xml:space="preserve">   Unknown</t>
  </si>
  <si>
    <t>Total Losses:</t>
  </si>
  <si>
    <t>Sold, Used, and Lost</t>
  </si>
  <si>
    <t xml:space="preserve">  water loss percentage</t>
  </si>
  <si>
    <t xml:space="preserve">  allowable in rates</t>
  </si>
  <si>
    <t xml:space="preserve">  adjustment percentage</t>
  </si>
  <si>
    <t>Table A</t>
  </si>
  <si>
    <t>DEPRECIATION EXPENSE ADJUSTMENTS</t>
  </si>
  <si>
    <t>Date in</t>
  </si>
  <si>
    <t>Original</t>
  </si>
  <si>
    <t>Reported</t>
  </si>
  <si>
    <t>Proforma</t>
  </si>
  <si>
    <t>Asset</t>
  </si>
  <si>
    <t>Service</t>
  </si>
  <si>
    <t>Cost *</t>
  </si>
  <si>
    <t>Life</t>
  </si>
  <si>
    <t>Depr. Exp.</t>
  </si>
  <si>
    <t>Adjustment</t>
  </si>
  <si>
    <t>WATER DIVISION</t>
  </si>
  <si>
    <t>General Plant</t>
  </si>
  <si>
    <t>Structures &amp; Improvements</t>
  </si>
  <si>
    <t>various</t>
  </si>
  <si>
    <t xml:space="preserve"> varies </t>
  </si>
  <si>
    <t>Communication &amp; Computer Eqmt.</t>
  </si>
  <si>
    <t>Office Furniture &amp; Equipment</t>
  </si>
  <si>
    <t>Power Operated Equipment</t>
  </si>
  <si>
    <t>varies</t>
  </si>
  <si>
    <t>Tools, Shop, &amp; Garage Equipment</t>
  </si>
  <si>
    <t>Tank Repairs &amp; Painting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</si>
  <si>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</si>
  <si>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</si>
  <si>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</si>
  <si>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</si>
  <si>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</si>
  <si>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</si>
  <si>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</si>
  <si>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</si>
  <si>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</si>
  <si>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</si>
  <si>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</si>
  <si>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</si>
  <si>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</si>
  <si>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</si>
  <si>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</si>
  <si>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</si>
  <si>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Transportation Equipment</t>
  </si>
  <si>
    <t>Entire Group</t>
  </si>
  <si>
    <t>Water Treatment Plant</t>
  </si>
  <si>
    <t>Structures and Improvements</t>
  </si>
  <si>
    <t>Water Treatment Equipment</t>
  </si>
  <si>
    <t>TOTALS - WATER SYSTEM</t>
  </si>
  <si>
    <t>SEWER DIVISION</t>
  </si>
  <si>
    <t>Sewer Lines</t>
  </si>
  <si>
    <t>Collection Sewers - Force</t>
  </si>
  <si>
    <t>TOTALS - SEWER SYSTEM</t>
  </si>
  <si>
    <t>*  Includes only costs associated with assets that contributed to depreciation expense in the test year.</t>
  </si>
  <si>
    <t>Items Fully Depreciated in Test Year</t>
  </si>
  <si>
    <t>United Systems Upgrade Fee</t>
  </si>
  <si>
    <t>Amortize: 5 Years</t>
  </si>
  <si>
    <t>Annual Amortization</t>
  </si>
  <si>
    <t>Monthly Fees</t>
  </si>
  <si>
    <t>Times: 12 Months</t>
  </si>
  <si>
    <t>Annual Cost</t>
  </si>
  <si>
    <t>Table B</t>
  </si>
  <si>
    <t>DEBT SERVICE SCHEDULE</t>
  </si>
  <si>
    <t>CY 2024 - 2028</t>
  </si>
  <si>
    <t>CY 2024</t>
  </si>
  <si>
    <t>CY 2025</t>
  </si>
  <si>
    <t>CY 2026</t>
  </si>
  <si>
    <t>CY 2027</t>
  </si>
  <si>
    <t>CY 2028</t>
  </si>
  <si>
    <t>Principal</t>
  </si>
  <si>
    <t>Interest</t>
  </si>
  <si>
    <t>TOTALS</t>
  </si>
  <si>
    <t>Regions - Series 2013C</t>
  </si>
  <si>
    <t>USDA RD - Series 2016</t>
  </si>
  <si>
    <t>KIA</t>
  </si>
  <si>
    <t>Totals</t>
  </si>
  <si>
    <t>Average Annual Principal &amp; Interest - Water</t>
  </si>
  <si>
    <t>Average Annual Debt Service Coverage</t>
  </si>
  <si>
    <t>CURRENT BILLING ANALYSIS - CURRENT USAGE &amp; EXISTING RATES</t>
  </si>
  <si>
    <t>Lyon County Water District - Water Division</t>
  </si>
  <si>
    <t xml:space="preserve">  SUMMARY  </t>
  </si>
  <si>
    <t>No. of Bills</t>
  </si>
  <si>
    <t>Gallons Sold</t>
  </si>
  <si>
    <t>Revenue</t>
  </si>
  <si>
    <t xml:space="preserve">     5/8" X 3/4" Meters</t>
  </si>
  <si>
    <t xml:space="preserve">     3/4" Meters</t>
  </si>
  <si>
    <t xml:space="preserve">     1" Meters</t>
  </si>
  <si>
    <t xml:space="preserve"> </t>
  </si>
  <si>
    <t xml:space="preserve">     1 1/2" Meters</t>
  </si>
  <si>
    <t xml:space="preserve">     2" Meters</t>
  </si>
  <si>
    <t xml:space="preserve">    Fire Hydrant</t>
  </si>
  <si>
    <t>Less Billing Adjustments</t>
  </si>
  <si>
    <t>Net Total</t>
  </si>
  <si>
    <t>Less PSC Annual Report</t>
  </si>
  <si>
    <t>SAO Adjustment</t>
  </si>
  <si>
    <t>5/8" x 3/4" METERS</t>
  </si>
  <si>
    <t>FIRST</t>
  </si>
  <si>
    <t>NEXT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</si>
  <si>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</si>
  <si>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</si>
  <si>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</si>
  <si>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</si>
  <si>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</si>
  <si>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</si>
  <si>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</si>
  <si>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</si>
  <si>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>3/4" METERS</t>
  </si>
  <si>
    <t>1" METERS</t>
  </si>
  <si>
    <t>1 1/2" METERS</t>
  </si>
  <si>
    <t>2" METERS</t>
  </si>
  <si>
    <t>``</t>
  </si>
  <si>
    <t>FIRE HYDRANT</t>
  </si>
  <si>
    <t xml:space="preserve">Lyon County Water District - Sewer Division </t>
  </si>
  <si>
    <t xml:space="preserve">     All Sewer Customers</t>
  </si>
  <si>
    <t>All Sewer Customers</t>
  </si>
  <si>
    <t>TABLE C</t>
  </si>
  <si>
    <t>CURRENT AND PROPOSED MONTHLY RATES</t>
  </si>
  <si>
    <t>CURRENT RATE SCHEDULE</t>
  </si>
  <si>
    <t>PROPOSED RATE SCHEDULE</t>
  </si>
  <si>
    <t>DIFFERENCE</t>
  </si>
  <si>
    <t>PERCENT</t>
  </si>
  <si>
    <t>5/8" x 3/4" Meters</t>
  </si>
  <si>
    <t>First</t>
  </si>
  <si>
    <t>gallons</t>
  </si>
  <si>
    <t>Minimum Bill</t>
  </si>
  <si>
    <t>Next</t>
  </si>
  <si>
    <t>per 1,000 gallons</t>
  </si>
  <si>
    <t>Over</t>
  </si>
  <si>
    <t>1" Meters</t>
  </si>
  <si>
    <t>1 1/2" Meters</t>
  </si>
  <si>
    <t>2" Meters</t>
  </si>
  <si>
    <t>TABLE D</t>
  </si>
  <si>
    <t>CURRENT AND PROPOSED RATES</t>
  </si>
  <si>
    <t>All Customers</t>
  </si>
  <si>
    <t>Table E</t>
  </si>
  <si>
    <t>COMPARISION OF EXISTING AND PROPOSED BILLS</t>
  </si>
  <si>
    <t>Jessamine-South Elkhorn Water District</t>
  </si>
  <si>
    <t>Gallons</t>
  </si>
  <si>
    <t>Existing</t>
  </si>
  <si>
    <t>Proposed</t>
  </si>
  <si>
    <t>per Month*</t>
  </si>
  <si>
    <t>Bill</t>
  </si>
  <si>
    <t>$ Change</t>
  </si>
  <si>
    <t>% Change</t>
  </si>
  <si>
    <t>WATER BILLS</t>
  </si>
  <si>
    <t>WATER BILLS 5/8" x 3/4" METERS**</t>
  </si>
  <si>
    <t>WATER BILLS 1" METERS**</t>
  </si>
  <si>
    <t>WATER BILLS 2" METERS**</t>
  </si>
  <si>
    <t>SEWER BILLS</t>
  </si>
  <si>
    <t>* Highlighted usage represents the average residential bill.</t>
  </si>
  <si>
    <t>PROPOSED BILLING ANALYSIS - CURRENT USAGE &amp; PROPOSED RATES</t>
  </si>
  <si>
    <t>Less Revenue Requirement</t>
  </si>
  <si>
    <t>Over/Under</t>
  </si>
  <si>
    <t>Lyon County Water District - Sewer Division</t>
  </si>
  <si>
    <t>Difference</t>
  </si>
  <si>
    <t>Refunders</t>
  </si>
  <si>
    <t>Flat Rate Revenues - General Residential</t>
  </si>
  <si>
    <t>Customers</t>
  </si>
  <si>
    <t>Employee Pension Plan</t>
  </si>
  <si>
    <t>Employee Health Insurance</t>
  </si>
  <si>
    <t>Utilities and Phone</t>
  </si>
  <si>
    <t>Insurance and Bonds</t>
  </si>
  <si>
    <t>Miscelleneous</t>
  </si>
  <si>
    <t>Miscellaneous Supplies and Expense</t>
  </si>
  <si>
    <t>PSC Assessment</t>
  </si>
  <si>
    <t>Account #</t>
  </si>
  <si>
    <t>Account Name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</si>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</sst>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[$$-409]* #,##0_);_([$$-409]* \(#,##0\);_([$$-409]* &quot;-&quot;??_);_(@_)"/>
    <numFmt numFmtId="167" formatCode="_(* #,##0_);_(* \(#,##0\);_(* &quot;-&quot;??_);_(@_)"/>
    <numFmt numFmtId="168" formatCode="0.0%"/>
    <numFmt numFmtId="169" formatCode="_(* #,##0.0_);_(* \(#,##0.0\);_(* &quot;-&quot;??_);_(@_)"/>
    <numFmt numFmtId="170" formatCode="0.00_);\(0.00\)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u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sz val="8"/>
      <name val="Tahoma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7" fontId="4" fillId="0" borderId="0" xfId="1" applyNumberFormat="1" applyFont="1"/>
    <xf numFmtId="164" fontId="4" fillId="0" borderId="0" xfId="2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/>
    </xf>
    <xf numFmtId="164" fontId="4" fillId="0" borderId="0" xfId="4" applyNumberFormat="1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37" fontId="4" fillId="0" borderId="0" xfId="0" applyNumberFormat="1" applyFont="1"/>
    <xf numFmtId="167" fontId="4" fillId="0" borderId="0" xfId="5" applyNumberFormat="1" applyFont="1"/>
    <xf numFmtId="37" fontId="4" fillId="0" borderId="1" xfId="0" applyNumberFormat="1" applyFont="1" applyBorder="1"/>
    <xf numFmtId="167" fontId="4" fillId="0" borderId="1" xfId="5" applyNumberFormat="1" applyFont="1" applyBorder="1"/>
    <xf numFmtId="0" fontId="3" fillId="0" borderId="0" xfId="0" applyFont="1" applyAlignment="1">
      <alignment horizontal="left"/>
    </xf>
    <xf numFmtId="44" fontId="4" fillId="0" borderId="0" xfId="4" applyFont="1"/>
    <xf numFmtId="0" fontId="4" fillId="0" borderId="1" xfId="0" applyFont="1" applyBorder="1"/>
    <xf numFmtId="3" fontId="4" fillId="0" borderId="0" xfId="0" applyNumberFormat="1" applyFont="1"/>
    <xf numFmtId="3" fontId="10" fillId="0" borderId="0" xfId="0" applyNumberFormat="1" applyFont="1" applyAlignment="1">
      <alignment horizontal="centerContinuous"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/>
    <xf numFmtId="0" fontId="10" fillId="0" borderId="0" xfId="0" applyFont="1"/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7" fontId="4" fillId="0" borderId="0" xfId="1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7" fontId="4" fillId="0" borderId="0" xfId="1" applyNumberFormat="1" applyFont="1" applyAlignment="1"/>
    <xf numFmtId="168" fontId="4" fillId="0" borderId="0" xfId="0" applyNumberFormat="1" applyFont="1" applyAlignment="1">
      <alignment vertical="center"/>
    </xf>
    <xf numFmtId="167" fontId="14" fillId="0" borderId="0" xfId="1" applyNumberFormat="1" applyFont="1" applyAlignment="1">
      <alignment vertical="center"/>
    </xf>
    <xf numFmtId="3" fontId="5" fillId="0" borderId="0" xfId="0" applyNumberFormat="1" applyFont="1"/>
    <xf numFmtId="165" fontId="4" fillId="0" borderId="0" xfId="0" applyNumberFormat="1" applyFont="1" applyAlignment="1">
      <alignment horizontal="center"/>
    </xf>
    <xf numFmtId="167" fontId="4" fillId="0" borderId="0" xfId="0" applyNumberFormat="1" applyFont="1"/>
    <xf numFmtId="3" fontId="3" fillId="0" borderId="0" xfId="0" applyNumberFormat="1" applyFont="1"/>
    <xf numFmtId="166" fontId="3" fillId="0" borderId="0" xfId="0" applyNumberFormat="1" applyFont="1"/>
    <xf numFmtId="3" fontId="9" fillId="0" borderId="0" xfId="0" applyNumberFormat="1" applyFont="1"/>
    <xf numFmtId="0" fontId="4" fillId="0" borderId="3" xfId="0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0" fontId="4" fillId="0" borderId="2" xfId="0" applyFont="1" applyBorder="1"/>
    <xf numFmtId="3" fontId="5" fillId="0" borderId="0" xfId="0" applyNumberFormat="1" applyFont="1" applyAlignment="1">
      <alignment horizontal="centerContinuous"/>
    </xf>
    <xf numFmtId="3" fontId="4" fillId="0" borderId="6" xfId="0" applyNumberFormat="1" applyFont="1" applyBorder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7" xfId="0" applyFont="1" applyBorder="1"/>
    <xf numFmtId="3" fontId="4" fillId="0" borderId="1" xfId="0" applyNumberFormat="1" applyFont="1" applyBorder="1"/>
    <xf numFmtId="4" fontId="4" fillId="0" borderId="1" xfId="0" applyNumberFormat="1" applyFont="1" applyBorder="1"/>
    <xf numFmtId="3" fontId="4" fillId="0" borderId="8" xfId="0" applyNumberFormat="1" applyFont="1" applyBorder="1"/>
    <xf numFmtId="4" fontId="4" fillId="0" borderId="0" xfId="0" applyNumberFormat="1" applyFont="1"/>
    <xf numFmtId="169" fontId="4" fillId="0" borderId="0" xfId="1" applyNumberFormat="1" applyFont="1" applyBorder="1"/>
    <xf numFmtId="169" fontId="4" fillId="0" borderId="0" xfId="1" applyNumberFormat="1" applyFont="1" applyAlignment="1"/>
    <xf numFmtId="169" fontId="4" fillId="0" borderId="4" xfId="1" applyNumberFormat="1" applyFont="1" applyBorder="1"/>
    <xf numFmtId="169" fontId="4" fillId="0" borderId="0" xfId="1" applyNumberFormat="1" applyFont="1" applyBorder="1" applyAlignment="1"/>
    <xf numFmtId="169" fontId="5" fillId="0" borderId="0" xfId="1" applyNumberFormat="1" applyFont="1" applyBorder="1" applyAlignment="1">
      <alignment horizontal="centerContinuous"/>
    </xf>
    <xf numFmtId="169" fontId="5" fillId="0" borderId="0" xfId="1" applyNumberFormat="1" applyFont="1" applyBorder="1" applyAlignment="1">
      <alignment horizontal="center"/>
    </xf>
    <xf numFmtId="169" fontId="4" fillId="0" borderId="1" xfId="1" applyNumberFormat="1" applyFont="1" applyBorder="1" applyAlignment="1"/>
    <xf numFmtId="169" fontId="3" fillId="0" borderId="0" xfId="1" applyNumberFormat="1" applyFont="1" applyBorder="1" applyAlignment="1"/>
    <xf numFmtId="3" fontId="11" fillId="0" borderId="0" xfId="0" applyNumberFormat="1" applyFont="1" applyAlignment="1">
      <alignment horizontal="left" vertical="center"/>
    </xf>
    <xf numFmtId="167" fontId="7" fillId="0" borderId="0" xfId="1" applyNumberFormat="1" applyFont="1"/>
    <xf numFmtId="10" fontId="4" fillId="0" borderId="0" xfId="3" applyNumberFormat="1" applyFont="1" applyAlignment="1">
      <alignment vertical="center"/>
    </xf>
    <xf numFmtId="167" fontId="4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/>
    </xf>
    <xf numFmtId="43" fontId="4" fillId="0" borderId="0" xfId="0" applyNumberFormat="1" applyFont="1"/>
    <xf numFmtId="164" fontId="4" fillId="0" borderId="0" xfId="2" applyNumberFormat="1" applyFont="1"/>
    <xf numFmtId="167" fontId="16" fillId="0" borderId="0" xfId="1" applyNumberFormat="1" applyFont="1" applyAlignment="1">
      <alignment vertical="center"/>
    </xf>
    <xf numFmtId="0" fontId="8" fillId="0" borderId="0" xfId="0" applyFont="1" applyAlignment="1">
      <alignment horizontal="centerContinuous"/>
    </xf>
    <xf numFmtId="164" fontId="4" fillId="0" borderId="0" xfId="0" applyNumberFormat="1" applyFont="1"/>
    <xf numFmtId="167" fontId="4" fillId="0" borderId="0" xfId="5" applyNumberFormat="1" applyFont="1" applyFill="1"/>
    <xf numFmtId="167" fontId="4" fillId="0" borderId="1" xfId="5" applyNumberFormat="1" applyFont="1" applyFill="1" applyBorder="1"/>
    <xf numFmtId="167" fontId="4" fillId="0" borderId="0" xfId="5" applyNumberFormat="1" applyFont="1" applyBorder="1"/>
    <xf numFmtId="0" fontId="5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167" fontId="4" fillId="0" borderId="1" xfId="1" applyNumberFormat="1" applyFont="1" applyBorder="1"/>
    <xf numFmtId="167" fontId="4" fillId="0" borderId="4" xfId="5" applyNumberFormat="1" applyFont="1" applyBorder="1"/>
    <xf numFmtId="167" fontId="4" fillId="0" borderId="5" xfId="5" applyNumberFormat="1" applyFont="1" applyBorder="1"/>
    <xf numFmtId="167" fontId="4" fillId="0" borderId="6" xfId="5" applyNumberFormat="1" applyFont="1" applyBorder="1"/>
    <xf numFmtId="167" fontId="3" fillId="0" borderId="0" xfId="5" applyNumberFormat="1" applyFont="1" applyBorder="1"/>
    <xf numFmtId="167" fontId="4" fillId="0" borderId="8" xfId="5" applyNumberFormat="1" applyFont="1" applyBorder="1"/>
    <xf numFmtId="167" fontId="10" fillId="0" borderId="0" xfId="1" applyNumberFormat="1" applyFont="1" applyAlignment="1"/>
    <xf numFmtId="167" fontId="3" fillId="0" borderId="0" xfId="5" applyNumberFormat="1" applyFont="1" applyBorder="1" applyAlignment="1">
      <alignment horizontal="right"/>
    </xf>
    <xf numFmtId="0" fontId="4" fillId="0" borderId="6" xfId="0" applyFont="1" applyBorder="1"/>
    <xf numFmtId="167" fontId="4" fillId="0" borderId="0" xfId="1" applyNumberFormat="1" applyFont="1" applyBorder="1" applyAlignment="1"/>
    <xf numFmtId="44" fontId="4" fillId="0" borderId="0" xfId="2" applyFont="1" applyBorder="1" applyAlignment="1"/>
    <xf numFmtId="43" fontId="4" fillId="0" borderId="0" xfId="1" applyFont="1" applyBorder="1" applyAlignment="1"/>
    <xf numFmtId="167" fontId="4" fillId="0" borderId="1" xfId="1" applyNumberFormat="1" applyFont="1" applyBorder="1" applyAlignment="1"/>
    <xf numFmtId="0" fontId="4" fillId="0" borderId="8" xfId="0" applyFont="1" applyBorder="1"/>
    <xf numFmtId="0" fontId="13" fillId="0" borderId="0" xfId="0" applyFont="1" applyAlignment="1">
      <alignment horizontal="center"/>
    </xf>
    <xf numFmtId="44" fontId="4" fillId="0" borderId="0" xfId="0" applyNumberFormat="1" applyFont="1"/>
    <xf numFmtId="168" fontId="4" fillId="0" borderId="0" xfId="3" applyNumberFormat="1" applyFont="1" applyAlignment="1"/>
    <xf numFmtId="167" fontId="5" fillId="0" borderId="0" xfId="5" applyNumberFormat="1" applyFont="1" applyAlignment="1">
      <alignment horizontal="centerContinuous"/>
    </xf>
    <xf numFmtId="167" fontId="4" fillId="0" borderId="0" xfId="5" applyNumberFormat="1" applyFont="1" applyAlignment="1">
      <alignment horizontal="centerContinuous"/>
    </xf>
    <xf numFmtId="167" fontId="4" fillId="0" borderId="3" xfId="5" applyNumberFormat="1" applyFont="1" applyBorder="1" applyAlignment="1">
      <alignment horizontal="left"/>
    </xf>
    <xf numFmtId="167" fontId="6" fillId="0" borderId="2" xfId="5" applyNumberFormat="1" applyFont="1" applyBorder="1" applyAlignment="1">
      <alignment horizontal="center" vertical="center"/>
    </xf>
    <xf numFmtId="164" fontId="4" fillId="0" borderId="2" xfId="4" quotePrefix="1" applyNumberFormat="1" applyFont="1" applyBorder="1" applyAlignment="1">
      <alignment horizontal="center"/>
    </xf>
    <xf numFmtId="167" fontId="4" fillId="0" borderId="2" xfId="5" applyNumberFormat="1" applyFont="1" applyBorder="1" applyAlignment="1">
      <alignment horizontal="center"/>
    </xf>
    <xf numFmtId="167" fontId="4" fillId="0" borderId="0" xfId="5" applyNumberFormat="1" applyFont="1" applyAlignment="1">
      <alignment horizontal="center"/>
    </xf>
    <xf numFmtId="167" fontId="4" fillId="0" borderId="2" xfId="5" quotePrefix="1" applyNumberFormat="1" applyFont="1" applyBorder="1" applyAlignment="1">
      <alignment horizontal="left"/>
    </xf>
    <xf numFmtId="167" fontId="3" fillId="0" borderId="0" xfId="5" applyNumberFormat="1" applyFont="1" applyAlignment="1">
      <alignment horizontal="right"/>
    </xf>
    <xf numFmtId="167" fontId="3" fillId="0" borderId="0" xfId="5" applyNumberFormat="1" applyFont="1"/>
    <xf numFmtId="164" fontId="3" fillId="0" borderId="0" xfId="4" applyNumberFormat="1" applyFont="1"/>
    <xf numFmtId="0" fontId="12" fillId="0" borderId="0" xfId="0" applyFont="1"/>
    <xf numFmtId="3" fontId="8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3" fontId="4" fillId="0" borderId="0" xfId="0" applyNumberFormat="1" applyFont="1" applyAlignment="1">
      <alignment horizontal="right"/>
    </xf>
    <xf numFmtId="167" fontId="7" fillId="0" borderId="0" xfId="1" applyNumberFormat="1" applyFont="1" applyFill="1"/>
    <xf numFmtId="0" fontId="4" fillId="0" borderId="1" xfId="0" applyFont="1" applyBorder="1" applyAlignment="1">
      <alignment horizontal="left"/>
    </xf>
    <xf numFmtId="167" fontId="4" fillId="0" borderId="4" xfId="5" applyNumberFormat="1" applyFont="1" applyBorder="1" applyAlignment="1">
      <alignment horizontal="left"/>
    </xf>
    <xf numFmtId="167" fontId="4" fillId="0" borderId="5" xfId="5" applyNumberFormat="1" applyFont="1" applyBorder="1" applyAlignment="1">
      <alignment horizontal="left"/>
    </xf>
    <xf numFmtId="167" fontId="5" fillId="0" borderId="2" xfId="5" applyNumberFormat="1" applyFont="1" applyBorder="1" applyAlignment="1">
      <alignment horizontal="centerContinuous"/>
    </xf>
    <xf numFmtId="167" fontId="6" fillId="0" borderId="0" xfId="5" applyNumberFormat="1" applyFont="1" applyBorder="1" applyAlignment="1">
      <alignment horizontal="center" vertical="center"/>
    </xf>
    <xf numFmtId="164" fontId="4" fillId="0" borderId="0" xfId="4" quotePrefix="1" applyNumberFormat="1" applyFont="1" applyBorder="1" applyAlignment="1">
      <alignment horizontal="center"/>
    </xf>
    <xf numFmtId="43" fontId="4" fillId="0" borderId="0" xfId="1" applyFont="1"/>
    <xf numFmtId="167" fontId="4" fillId="0" borderId="0" xfId="5" quotePrefix="1" applyNumberFormat="1" applyFont="1"/>
    <xf numFmtId="43" fontId="4" fillId="0" borderId="0" xfId="1" applyFont="1" applyAlignment="1"/>
    <xf numFmtId="167" fontId="7" fillId="0" borderId="0" xfId="1" applyNumberFormat="1" applyFont="1" applyAlignment="1">
      <alignment vertical="center"/>
    </xf>
    <xf numFmtId="167" fontId="4" fillId="0" borderId="0" xfId="1" quotePrefix="1" applyNumberFormat="1" applyFont="1" applyAlignment="1">
      <alignment vertical="center"/>
    </xf>
    <xf numFmtId="165" fontId="4" fillId="0" borderId="0" xfId="0" quotePrefix="1" applyNumberFormat="1" applyFont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44" fontId="10" fillId="0" borderId="0" xfId="0" applyNumberFormat="1" applyFont="1"/>
    <xf numFmtId="0" fontId="17" fillId="0" borderId="0" xfId="0" applyFont="1"/>
    <xf numFmtId="167" fontId="5" fillId="0" borderId="0" xfId="1" applyNumberFormat="1" applyFont="1" applyAlignment="1">
      <alignment horizontal="center" vertical="center"/>
    </xf>
    <xf numFmtId="167" fontId="1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9" fontId="4" fillId="0" borderId="0" xfId="1" applyNumberFormat="1" applyFont="1"/>
    <xf numFmtId="167" fontId="4" fillId="0" borderId="9" xfId="5" applyNumberFormat="1" applyFont="1" applyBorder="1" applyAlignment="1">
      <alignment horizontal="left"/>
    </xf>
    <xf numFmtId="167" fontId="5" fillId="0" borderId="6" xfId="5" applyNumberFormat="1" applyFont="1" applyBorder="1" applyAlignment="1">
      <alignment horizontal="centerContinuous"/>
    </xf>
    <xf numFmtId="167" fontId="6" fillId="0" borderId="0" xfId="5" applyNumberFormat="1" applyFont="1" applyAlignment="1">
      <alignment horizontal="center" vertical="center"/>
    </xf>
    <xf numFmtId="167" fontId="6" fillId="0" borderId="6" xfId="5" applyNumberFormat="1" applyFont="1" applyBorder="1" applyAlignment="1">
      <alignment horizontal="center" vertical="center"/>
    </xf>
    <xf numFmtId="167" fontId="4" fillId="0" borderId="10" xfId="5" applyNumberFormat="1" applyFont="1" applyBorder="1" applyAlignment="1">
      <alignment horizontal="left"/>
    </xf>
    <xf numFmtId="164" fontId="4" fillId="0" borderId="0" xfId="4" quotePrefix="1" applyNumberFormat="1" applyFont="1" applyAlignment="1">
      <alignment horizontal="center"/>
    </xf>
    <xf numFmtId="167" fontId="4" fillId="0" borderId="6" xfId="5" applyNumberFormat="1" applyFont="1" applyBorder="1" applyAlignment="1">
      <alignment horizontal="center"/>
    </xf>
    <xf numFmtId="167" fontId="4" fillId="0" borderId="0" xfId="5" quotePrefix="1" applyNumberFormat="1" applyFont="1" applyBorder="1" applyAlignment="1">
      <alignment horizontal="center"/>
    </xf>
    <xf numFmtId="167" fontId="4" fillId="0" borderId="0" xfId="5" quotePrefix="1" applyNumberFormat="1" applyFont="1" applyAlignment="1">
      <alignment horizontal="left"/>
    </xf>
    <xf numFmtId="167" fontId="4" fillId="0" borderId="6" xfId="5" quotePrefix="1" applyNumberFormat="1" applyFont="1" applyBorder="1" applyAlignment="1">
      <alignment horizontal="left"/>
    </xf>
    <xf numFmtId="164" fontId="3" fillId="0" borderId="0" xfId="4" applyNumberFormat="1" applyFont="1" applyBorder="1"/>
    <xf numFmtId="167" fontId="4" fillId="0" borderId="7" xfId="5" quotePrefix="1" applyNumberFormat="1" applyFont="1" applyBorder="1" applyAlignment="1">
      <alignment horizontal="left"/>
    </xf>
    <xf numFmtId="167" fontId="4" fillId="0" borderId="1" xfId="5" quotePrefix="1" applyNumberFormat="1" applyFont="1" applyBorder="1" applyAlignment="1">
      <alignment horizontal="left"/>
    </xf>
    <xf numFmtId="167" fontId="4" fillId="0" borderId="8" xfId="5" quotePrefix="1" applyNumberFormat="1" applyFont="1" applyBorder="1" applyAlignment="1">
      <alignment horizontal="left"/>
    </xf>
    <xf numFmtId="164" fontId="4" fillId="0" borderId="1" xfId="4" quotePrefix="1" applyNumberFormat="1" applyFont="1" applyBorder="1" applyAlignment="1">
      <alignment horizontal="left"/>
    </xf>
    <xf numFmtId="166" fontId="3" fillId="0" borderId="4" xfId="0" applyNumberFormat="1" applyFont="1" applyBorder="1"/>
    <xf numFmtId="169" fontId="3" fillId="0" borderId="4" xfId="1" applyNumberFormat="1" applyFont="1" applyBorder="1" applyAlignment="1"/>
    <xf numFmtId="3" fontId="5" fillId="0" borderId="4" xfId="0" applyNumberFormat="1" applyFont="1" applyBorder="1" applyAlignment="1">
      <alignment horizontal="center"/>
    </xf>
    <xf numFmtId="169" fontId="5" fillId="0" borderId="4" xfId="1" applyNumberFormat="1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7" fontId="4" fillId="0" borderId="0" xfId="1" applyNumberFormat="1" applyFont="1" applyFill="1" applyBorder="1"/>
    <xf numFmtId="164" fontId="4" fillId="0" borderId="1" xfId="2" applyNumberFormat="1" applyFont="1" applyBorder="1"/>
    <xf numFmtId="168" fontId="4" fillId="0" borderId="0" xfId="3" applyNumberFormat="1" applyFont="1"/>
    <xf numFmtId="0" fontId="8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8" fillId="0" borderId="6" xfId="0" applyNumberFormat="1" applyFont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43" fontId="10" fillId="0" borderId="0" xfId="1" applyFont="1" applyAlignment="1"/>
    <xf numFmtId="167" fontId="4" fillId="0" borderId="0" xfId="5" applyNumberFormat="1" applyFont="1" applyBorder="1" applyAlignment="1"/>
    <xf numFmtId="44" fontId="4" fillId="0" borderId="0" xfId="4" applyFont="1" applyBorder="1" applyAlignment="1"/>
    <xf numFmtId="10" fontId="10" fillId="0" borderId="0" xfId="6" applyNumberFormat="1" applyFont="1" applyAlignment="1"/>
    <xf numFmtId="167" fontId="4" fillId="0" borderId="1" xfId="5" applyNumberFormat="1" applyFont="1" applyBorder="1" applyAlignment="1"/>
    <xf numFmtId="167" fontId="10" fillId="0" borderId="0" xfId="5" applyNumberFormat="1" applyFont="1" applyAlignment="1"/>
    <xf numFmtId="167" fontId="3" fillId="0" borderId="0" xfId="1" applyNumberFormat="1" applyFont="1" applyAlignment="1">
      <alignment horizontal="center"/>
    </xf>
    <xf numFmtId="167" fontId="18" fillId="0" borderId="0" xfId="1" applyNumberFormat="1" applyFont="1"/>
    <xf numFmtId="167" fontId="4" fillId="0" borderId="0" xfId="1" applyNumberFormat="1" applyFont="1" applyFill="1"/>
    <xf numFmtId="3" fontId="13" fillId="0" borderId="0" xfId="0" applyNumberFormat="1" applyFont="1"/>
    <xf numFmtId="3" fontId="20" fillId="0" borderId="0" xfId="0" applyNumberFormat="1" applyFont="1"/>
    <xf numFmtId="44" fontId="20" fillId="0" borderId="0" xfId="2" applyFont="1" applyAlignment="1"/>
    <xf numFmtId="10" fontId="10" fillId="0" borderId="0" xfId="3" applyNumberFormat="1" applyFont="1"/>
    <xf numFmtId="167" fontId="4" fillId="0" borderId="0" xfId="5" applyNumberFormat="1" applyFont="1" applyBorder="1" applyAlignment="1">
      <alignment horizontal="left"/>
    </xf>
    <xf numFmtId="167" fontId="21" fillId="0" borderId="0" xfId="1" applyNumberFormat="1" applyFont="1" applyAlignment="1">
      <alignment vertical="center"/>
    </xf>
    <xf numFmtId="167" fontId="10" fillId="0" borderId="0" xfId="1" applyNumberFormat="1" applyFont="1" applyAlignment="1">
      <alignment horizontal="centerContinuous" vertical="center"/>
    </xf>
    <xf numFmtId="167" fontId="12" fillId="0" borderId="0" xfId="1" applyNumberFormat="1" applyFont="1" applyAlignment="1">
      <alignment horizontal="center" vertical="center"/>
    </xf>
    <xf numFmtId="167" fontId="19" fillId="0" borderId="0" xfId="1" applyNumberFormat="1" applyFont="1" applyAlignment="1">
      <alignment horizontal="center" vertical="center"/>
    </xf>
    <xf numFmtId="167" fontId="20" fillId="0" borderId="0" xfId="1" applyNumberFormat="1" applyFont="1" applyAlignment="1"/>
    <xf numFmtId="167" fontId="3" fillId="0" borderId="0" xfId="1" applyNumberFormat="1" applyFont="1" applyFill="1"/>
    <xf numFmtId="44" fontId="4" fillId="0" borderId="1" xfId="4" applyFont="1" applyBorder="1"/>
    <xf numFmtId="168" fontId="4" fillId="0" borderId="0" xfId="3" applyNumberFormat="1" applyFont="1" applyFill="1"/>
    <xf numFmtId="43" fontId="4" fillId="0" borderId="0" xfId="1" applyFont="1" applyFill="1"/>
    <xf numFmtId="44" fontId="0" fillId="0" borderId="0" xfId="4" applyFont="1" applyFill="1"/>
    <xf numFmtId="0" fontId="1" fillId="0" borderId="0" xfId="0" applyFont="1"/>
    <xf numFmtId="43" fontId="4" fillId="0" borderId="0" xfId="2" applyNumberFormat="1" applyFont="1" applyBorder="1" applyAlignment="1"/>
    <xf numFmtId="167" fontId="4" fillId="0" borderId="1" xfId="0" applyNumberFormat="1" applyFont="1" applyBorder="1"/>
    <xf numFmtId="37" fontId="4" fillId="0" borderId="0" xfId="0" applyNumberFormat="1" applyFont="1" applyAlignment="1">
      <alignment horizontal="center"/>
    </xf>
    <xf numFmtId="167" fontId="4" fillId="0" borderId="0" xfId="5" applyNumberFormat="1" applyFont="1" applyFill="1" applyBorder="1"/>
    <xf numFmtId="44" fontId="4" fillId="0" borderId="0" xfId="4" applyFont="1" applyBorder="1"/>
    <xf numFmtId="164" fontId="4" fillId="0" borderId="0" xfId="4" applyNumberFormat="1" applyFont="1" applyBorder="1"/>
    <xf numFmtId="3" fontId="4" fillId="0" borderId="0" xfId="5" applyNumberFormat="1" applyFont="1" applyFill="1"/>
    <xf numFmtId="3" fontId="4" fillId="0" borderId="1" xfId="5" applyNumberFormat="1" applyFont="1" applyFill="1" applyBorder="1"/>
    <xf numFmtId="167" fontId="4" fillId="0" borderId="1" xfId="1" applyNumberFormat="1" applyFont="1" applyBorder="1" applyAlignment="1">
      <alignment horizontal="right"/>
    </xf>
    <xf numFmtId="167" fontId="4" fillId="0" borderId="0" xfId="1" applyNumberFormat="1" applyFont="1" applyAlignment="1">
      <alignment horizontal="centerContinuous"/>
    </xf>
    <xf numFmtId="167" fontId="4" fillId="0" borderId="1" xfId="1" applyNumberFormat="1" applyFont="1" applyBorder="1" applyAlignment="1">
      <alignment horizontal="center"/>
    </xf>
    <xf numFmtId="167" fontId="4" fillId="0" borderId="1" xfId="1" applyNumberFormat="1" applyFont="1" applyFill="1" applyBorder="1"/>
    <xf numFmtId="167" fontId="4" fillId="0" borderId="0" xfId="1" applyNumberFormat="1" applyFont="1" applyBorder="1" applyAlignment="1">
      <alignment horizontal="center"/>
    </xf>
    <xf numFmtId="164" fontId="4" fillId="0" borderId="1" xfId="0" applyNumberFormat="1" applyFont="1" applyBorder="1"/>
    <xf numFmtId="164" fontId="4" fillId="0" borderId="11" xfId="2" applyNumberFormat="1" applyFont="1" applyBorder="1"/>
    <xf numFmtId="10" fontId="4" fillId="0" borderId="0" xfId="3" applyNumberFormat="1" applyFont="1"/>
    <xf numFmtId="43" fontId="4" fillId="0" borderId="0" xfId="5" applyFont="1"/>
    <xf numFmtId="167" fontId="4" fillId="0" borderId="0" xfId="5" applyNumberFormat="1" applyFont="1" applyAlignment="1">
      <alignment horizontal="left"/>
    </xf>
    <xf numFmtId="167" fontId="4" fillId="0" borderId="2" xfId="5" applyNumberFormat="1" applyFont="1" applyBorder="1" applyAlignment="1">
      <alignment horizontal="left"/>
    </xf>
    <xf numFmtId="167" fontId="6" fillId="0" borderId="10" xfId="5" applyNumberFormat="1" applyFont="1" applyBorder="1" applyAlignment="1">
      <alignment horizontal="left"/>
    </xf>
    <xf numFmtId="167" fontId="4" fillId="0" borderId="10" xfId="5" quotePrefix="1" applyNumberFormat="1" applyFont="1" applyBorder="1" applyAlignment="1">
      <alignment horizontal="left"/>
    </xf>
    <xf numFmtId="167" fontId="4" fillId="0" borderId="7" xfId="5" applyNumberFormat="1" applyFont="1" applyBorder="1" applyAlignment="1">
      <alignment horizontal="left"/>
    </xf>
    <xf numFmtId="167" fontId="3" fillId="0" borderId="2" xfId="5" applyNumberFormat="1" applyFont="1" applyBorder="1" applyAlignment="1">
      <alignment horizontal="left"/>
    </xf>
    <xf numFmtId="167" fontId="4" fillId="0" borderId="7" xfId="5" quotePrefix="1" applyNumberFormat="1" applyFont="1" applyBorder="1" applyAlignment="1">
      <alignment horizontal="center"/>
    </xf>
    <xf numFmtId="43" fontId="4" fillId="0" borderId="10" xfId="5" applyFont="1" applyFill="1" applyBorder="1"/>
    <xf numFmtId="43" fontId="4" fillId="0" borderId="2" xfId="5" applyFont="1" applyFill="1" applyBorder="1"/>
    <xf numFmtId="43" fontId="4" fillId="0" borderId="0" xfId="5" applyFont="1" applyFill="1" applyBorder="1"/>
    <xf numFmtId="43" fontId="4" fillId="0" borderId="0" xfId="2" applyNumberFormat="1" applyFont="1" applyFill="1" applyBorder="1"/>
    <xf numFmtId="168" fontId="4" fillId="0" borderId="0" xfId="3" applyNumberFormat="1" applyFont="1" applyFill="1" applyBorder="1"/>
    <xf numFmtId="44" fontId="4" fillId="0" borderId="0" xfId="2" applyFont="1" applyFill="1" applyBorder="1"/>
    <xf numFmtId="167" fontId="8" fillId="0" borderId="0" xfId="0" applyNumberFormat="1" applyFont="1" applyAlignment="1">
      <alignment horizontal="center" vertical="center"/>
    </xf>
    <xf numFmtId="167" fontId="5" fillId="0" borderId="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9" fontId="4" fillId="0" borderId="0" xfId="1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4" fontId="3" fillId="0" borderId="0" xfId="2" applyNumberFormat="1" applyFont="1" applyBorder="1"/>
    <xf numFmtId="167" fontId="4" fillId="0" borderId="0" xfId="2" applyNumberFormat="1" applyFont="1" applyAlignment="1"/>
    <xf numFmtId="167" fontId="4" fillId="0" borderId="4" xfId="2" applyNumberFormat="1" applyFont="1" applyBorder="1"/>
    <xf numFmtId="167" fontId="8" fillId="0" borderId="0" xfId="2" applyNumberFormat="1" applyFont="1" applyAlignment="1">
      <alignment horizontal="center" vertical="center"/>
    </xf>
    <xf numFmtId="167" fontId="4" fillId="0" borderId="0" xfId="2" applyNumberFormat="1" applyFont="1" applyBorder="1" applyAlignment="1"/>
    <xf numFmtId="167" fontId="3" fillId="0" borderId="0" xfId="2" applyNumberFormat="1" applyFont="1" applyBorder="1" applyAlignment="1">
      <alignment horizontal="center"/>
    </xf>
    <xf numFmtId="167" fontId="5" fillId="0" borderId="0" xfId="2" applyNumberFormat="1" applyFont="1" applyBorder="1" applyAlignment="1">
      <alignment horizontal="center"/>
    </xf>
    <xf numFmtId="167" fontId="5" fillId="0" borderId="4" xfId="2" applyNumberFormat="1" applyFont="1" applyBorder="1" applyAlignment="1">
      <alignment horizontal="center"/>
    </xf>
    <xf numFmtId="167" fontId="4" fillId="0" borderId="0" xfId="2" applyNumberFormat="1" applyFont="1" applyBorder="1"/>
    <xf numFmtId="167" fontId="4" fillId="0" borderId="0" xfId="2" applyNumberFormat="1" applyFont="1" applyBorder="1" applyAlignment="1">
      <alignment horizontal="center"/>
    </xf>
    <xf numFmtId="167" fontId="4" fillId="0" borderId="0" xfId="2" applyNumberFormat="1" applyFont="1"/>
    <xf numFmtId="167" fontId="4" fillId="0" borderId="1" xfId="2" applyNumberFormat="1" applyFont="1" applyBorder="1" applyAlignment="1"/>
    <xf numFmtId="167" fontId="4" fillId="0" borderId="4" xfId="2" applyNumberFormat="1" applyFont="1" applyBorder="1" applyAlignment="1"/>
    <xf numFmtId="41" fontId="4" fillId="0" borderId="0" xfId="2" applyNumberFormat="1" applyFont="1" applyAlignment="1"/>
    <xf numFmtId="41" fontId="4" fillId="0" borderId="4" xfId="2" applyNumberFormat="1" applyFont="1" applyBorder="1"/>
    <xf numFmtId="41" fontId="8" fillId="0" borderId="0" xfId="2" applyNumberFormat="1" applyFont="1" applyAlignment="1">
      <alignment horizontal="center" vertical="center"/>
    </xf>
    <xf numFmtId="41" fontId="4" fillId="0" borderId="0" xfId="2" applyNumberFormat="1" applyFont="1" applyBorder="1" applyAlignment="1"/>
    <xf numFmtId="41" fontId="5" fillId="0" borderId="0" xfId="2" applyNumberFormat="1" applyFont="1" applyBorder="1" applyAlignment="1">
      <alignment horizontal="centerContinuous"/>
    </xf>
    <xf numFmtId="41" fontId="5" fillId="0" borderId="0" xfId="2" applyNumberFormat="1" applyFont="1" applyBorder="1" applyAlignment="1">
      <alignment horizontal="center"/>
    </xf>
    <xf numFmtId="41" fontId="5" fillId="0" borderId="4" xfId="2" applyNumberFormat="1" applyFont="1" applyBorder="1" applyAlignment="1">
      <alignment horizontal="center"/>
    </xf>
    <xf numFmtId="41" fontId="4" fillId="0" borderId="0" xfId="2" applyNumberFormat="1" applyFont="1" applyBorder="1"/>
    <xf numFmtId="41" fontId="4" fillId="0" borderId="0" xfId="2" applyNumberFormat="1" applyFont="1" applyBorder="1" applyAlignment="1">
      <alignment horizontal="center"/>
    </xf>
    <xf numFmtId="41" fontId="3" fillId="0" borderId="0" xfId="2" applyNumberFormat="1" applyFont="1" applyBorder="1"/>
    <xf numFmtId="41" fontId="4" fillId="0" borderId="1" xfId="2" applyNumberFormat="1" applyFont="1" applyBorder="1" applyAlignment="1"/>
    <xf numFmtId="41" fontId="3" fillId="0" borderId="4" xfId="2" applyNumberFormat="1" applyFont="1" applyBorder="1"/>
    <xf numFmtId="10" fontId="4" fillId="0" borderId="0" xfId="0" applyNumberFormat="1" applyFont="1"/>
    <xf numFmtId="49" fontId="4" fillId="0" borderId="0" xfId="0" applyNumberFormat="1" applyFont="1"/>
    <xf numFmtId="169" fontId="4" fillId="0" borderId="0" xfId="0" applyNumberFormat="1" applyFont="1"/>
    <xf numFmtId="49" fontId="4" fillId="0" borderId="0" xfId="0" applyNumberFormat="1" applyFont="1" applyAlignment="1">
      <alignment horizontal="center"/>
    </xf>
    <xf numFmtId="169" fontId="4" fillId="0" borderId="1" xfId="0" applyNumberFormat="1" applyFont="1" applyBorder="1"/>
    <xf numFmtId="44" fontId="4" fillId="0" borderId="0" xfId="2" applyFont="1"/>
    <xf numFmtId="43" fontId="4" fillId="0" borderId="1" xfId="0" applyNumberFormat="1" applyFont="1" applyBorder="1"/>
    <xf numFmtId="44" fontId="4" fillId="0" borderId="1" xfId="2" applyFont="1" applyBorder="1"/>
    <xf numFmtId="43" fontId="4" fillId="0" borderId="0" xfId="0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/>
    <xf numFmtId="0" fontId="4" fillId="0" borderId="0" xfId="1" applyNumberFormat="1" applyFont="1"/>
    <xf numFmtId="165" fontId="4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4" fillId="0" borderId="2" xfId="0" applyNumberFormat="1" applyFont="1" applyBorder="1"/>
    <xf numFmtId="10" fontId="4" fillId="0" borderId="6" xfId="3" applyNumberFormat="1" applyFont="1" applyBorder="1" applyAlignment="1">
      <alignment horizontal="center"/>
    </xf>
    <xf numFmtId="10" fontId="4" fillId="0" borderId="6" xfId="3" applyNumberFormat="1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7" fontId="4" fillId="0" borderId="0" xfId="1" applyNumberFormat="1" applyFont="1" applyFill="1" applyAlignment="1">
      <alignment vertical="center"/>
    </xf>
    <xf numFmtId="167" fontId="23" fillId="0" borderId="0" xfId="1" applyNumberFormat="1" applyFont="1" applyFill="1" applyBorder="1" applyAlignment="1">
      <alignment horizontal="right"/>
    </xf>
    <xf numFmtId="167" fontId="7" fillId="0" borderId="0" xfId="1" applyNumberFormat="1" applyFont="1" applyBorder="1"/>
    <xf numFmtId="3" fontId="3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right" vertical="top"/>
    </xf>
    <xf numFmtId="49" fontId="25" fillId="0" borderId="0" xfId="0" applyNumberFormat="1" applyFont="1" applyAlignment="1">
      <alignment horizontal="center" vertical="top"/>
    </xf>
    <xf numFmtId="49" fontId="25" fillId="0" borderId="0" xfId="0" applyNumberFormat="1" applyFont="1" applyAlignment="1">
      <alignment vertical="top"/>
    </xf>
    <xf numFmtId="39" fontId="25" fillId="0" borderId="0" xfId="0" applyNumberFormat="1" applyFont="1" applyAlignment="1">
      <alignment horizontal="right" vertical="top"/>
    </xf>
    <xf numFmtId="4" fontId="25" fillId="0" borderId="0" xfId="0" applyNumberFormat="1" applyFont="1" applyAlignment="1">
      <alignment horizontal="right" vertical="top"/>
    </xf>
    <xf numFmtId="49" fontId="25" fillId="0" borderId="0" xfId="0" applyNumberFormat="1" applyFont="1" applyAlignment="1">
      <alignment vertical="top" wrapText="1"/>
    </xf>
    <xf numFmtId="170" fontId="25" fillId="0" borderId="0" xfId="0" applyNumberFormat="1" applyFont="1" applyAlignment="1">
      <alignment horizontal="right" vertical="top"/>
    </xf>
    <xf numFmtId="3" fontId="8" fillId="0" borderId="0" xfId="0" applyNumberFormat="1" applyFont="1" applyAlignment="1">
      <alignment vertical="center"/>
    </xf>
    <xf numFmtId="167" fontId="7" fillId="0" borderId="1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horizontal="right"/>
    </xf>
    <xf numFmtId="10" fontId="0" fillId="0" borderId="0" xfId="3" applyNumberFormat="1" applyFont="1"/>
    <xf numFmtId="0" fontId="0" fillId="0" borderId="1" xfId="0" applyBorder="1"/>
    <xf numFmtId="0" fontId="0" fillId="0" borderId="12" xfId="0" applyBorder="1"/>
    <xf numFmtId="167" fontId="4" fillId="0" borderId="0" xfId="5" applyNumberFormat="1" applyFont="1" applyBorder="1" applyAlignment="1">
      <alignment horizontal="center"/>
    </xf>
    <xf numFmtId="167" fontId="5" fillId="0" borderId="0" xfId="5" applyNumberFormat="1" applyFont="1" applyBorder="1" applyAlignment="1">
      <alignment horizontal="centerContinuous"/>
    </xf>
    <xf numFmtId="167" fontId="6" fillId="0" borderId="0" xfId="5" applyNumberFormat="1" applyFont="1" applyBorder="1" applyAlignment="1">
      <alignment horizontal="left"/>
    </xf>
    <xf numFmtId="167" fontId="3" fillId="0" borderId="7" xfId="5" applyNumberFormat="1" applyFont="1" applyBorder="1" applyAlignment="1">
      <alignment horizontal="left"/>
    </xf>
    <xf numFmtId="167" fontId="3" fillId="0" borderId="1" xfId="5" applyNumberFormat="1" applyFont="1" applyBorder="1"/>
    <xf numFmtId="164" fontId="3" fillId="0" borderId="1" xfId="4" applyNumberFormat="1" applyFont="1" applyBorder="1"/>
    <xf numFmtId="167" fontId="0" fillId="0" borderId="0" xfId="1" applyNumberFormat="1" applyFont="1"/>
    <xf numFmtId="164" fontId="0" fillId="0" borderId="0" xfId="2" applyNumberFormat="1" applyFont="1"/>
    <xf numFmtId="10" fontId="0" fillId="0" borderId="0" xfId="0" applyNumberFormat="1"/>
    <xf numFmtId="164" fontId="0" fillId="0" borderId="0" xfId="0" applyNumberFormat="1"/>
    <xf numFmtId="167" fontId="0" fillId="0" borderId="1" xfId="1" applyNumberFormat="1" applyFont="1" applyBorder="1"/>
    <xf numFmtId="167" fontId="7" fillId="0" borderId="1" xfId="1" applyNumberFormat="1" applyFont="1" applyBorder="1"/>
    <xf numFmtId="167" fontId="22" fillId="0" borderId="1" xfId="1" applyNumberFormat="1" applyFont="1" applyFill="1" applyBorder="1" applyAlignment="1">
      <alignment horizontal="right"/>
    </xf>
    <xf numFmtId="43" fontId="4" fillId="0" borderId="1" xfId="1" applyFont="1" applyBorder="1"/>
    <xf numFmtId="164" fontId="4" fillId="0" borderId="0" xfId="2" applyNumberFormat="1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167" fontId="3" fillId="0" borderId="0" xfId="1" applyNumberFormat="1" applyFont="1"/>
    <xf numFmtId="167" fontId="3" fillId="0" borderId="0" xfId="1" applyNumberFormat="1" applyFont="1" applyBorder="1"/>
    <xf numFmtId="167" fontId="5" fillId="0" borderId="0" xfId="1" applyNumberFormat="1" applyFont="1"/>
    <xf numFmtId="43" fontId="4" fillId="0" borderId="0" xfId="5" applyFont="1" applyBorder="1" applyAlignment="1"/>
    <xf numFmtId="44" fontId="4" fillId="0" borderId="2" xfId="2" applyFont="1" applyBorder="1"/>
    <xf numFmtId="167" fontId="4" fillId="2" borderId="0" xfId="5" applyNumberFormat="1" applyFont="1" applyFill="1" applyBorder="1"/>
    <xf numFmtId="43" fontId="4" fillId="2" borderId="10" xfId="5" applyFont="1" applyFill="1" applyBorder="1"/>
    <xf numFmtId="43" fontId="4" fillId="2" borderId="2" xfId="5" applyFont="1" applyFill="1" applyBorder="1"/>
    <xf numFmtId="44" fontId="4" fillId="2" borderId="0" xfId="2" applyFont="1" applyFill="1" applyBorder="1"/>
    <xf numFmtId="43" fontId="4" fillId="0" borderId="1" xfId="5" applyFont="1" applyBorder="1"/>
    <xf numFmtId="0" fontId="10" fillId="0" borderId="2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8" xfId="0" applyFont="1" applyBorder="1"/>
    <xf numFmtId="167" fontId="4" fillId="0" borderId="3" xfId="5" applyNumberFormat="1" applyFont="1" applyFill="1" applyBorder="1"/>
    <xf numFmtId="167" fontId="4" fillId="0" borderId="4" xfId="5" applyNumberFormat="1" applyFont="1" applyFill="1" applyBorder="1"/>
    <xf numFmtId="167" fontId="4" fillId="0" borderId="9" xfId="5" applyNumberFormat="1" applyFont="1" applyFill="1" applyBorder="1"/>
    <xf numFmtId="167" fontId="4" fillId="0" borderId="5" xfId="5" applyNumberFormat="1" applyFont="1" applyFill="1" applyBorder="1"/>
    <xf numFmtId="167" fontId="4" fillId="0" borderId="2" xfId="5" applyNumberFormat="1" applyFont="1" applyFill="1" applyBorder="1"/>
    <xf numFmtId="167" fontId="7" fillId="0" borderId="0" xfId="5" applyNumberFormat="1" applyFont="1" applyFill="1" applyBorder="1" applyAlignment="1">
      <alignment horizontal="center"/>
    </xf>
    <xf numFmtId="167" fontId="7" fillId="0" borderId="10" xfId="5" applyNumberFormat="1" applyFont="1" applyFill="1" applyBorder="1" applyAlignment="1">
      <alignment horizontal="center"/>
    </xf>
    <xf numFmtId="167" fontId="7" fillId="0" borderId="6" xfId="5" applyNumberFormat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4" fontId="4" fillId="0" borderId="10" xfId="2" applyFont="1" applyFill="1" applyBorder="1"/>
    <xf numFmtId="44" fontId="4" fillId="0" borderId="2" xfId="2" applyFont="1" applyFill="1" applyBorder="1"/>
    <xf numFmtId="168" fontId="4" fillId="0" borderId="6" xfId="6" applyNumberFormat="1" applyFont="1" applyFill="1" applyBorder="1"/>
    <xf numFmtId="43" fontId="4" fillId="0" borderId="10" xfId="2" applyNumberFormat="1" applyFont="1" applyFill="1" applyBorder="1"/>
    <xf numFmtId="167" fontId="4" fillId="0" borderId="7" xfId="5" applyNumberFormat="1" applyFont="1" applyFill="1" applyBorder="1"/>
    <xf numFmtId="168" fontId="4" fillId="0" borderId="8" xfId="6" applyNumberFormat="1" applyFont="1" applyFill="1" applyBorder="1"/>
    <xf numFmtId="43" fontId="4" fillId="0" borderId="1" xfId="5" applyFont="1" applyFill="1" applyBorder="1"/>
    <xf numFmtId="167" fontId="4" fillId="0" borderId="8" xfId="5" applyNumberFormat="1" applyFont="1" applyFill="1" applyBorder="1"/>
    <xf numFmtId="167" fontId="4" fillId="0" borderId="0" xfId="5" quotePrefix="1" applyNumberFormat="1" applyFont="1" applyFill="1"/>
    <xf numFmtId="10" fontId="4" fillId="2" borderId="0" xfId="3" applyNumberFormat="1" applyFont="1" applyFill="1" applyBorder="1"/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7" fontId="8" fillId="0" borderId="2" xfId="5" applyNumberFormat="1" applyFont="1" applyBorder="1" applyAlignment="1">
      <alignment horizontal="center"/>
    </xf>
    <xf numFmtId="0" fontId="0" fillId="0" borderId="0" xfId="0" applyAlignment="1">
      <alignment horizontal="center"/>
    </xf>
    <xf numFmtId="167" fontId="15" fillId="0" borderId="2" xfId="5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167" fontId="10" fillId="0" borderId="2" xfId="5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167" fontId="3" fillId="0" borderId="1" xfId="5" applyNumberFormat="1" applyFont="1" applyFill="1" applyBorder="1" applyAlignment="1">
      <alignment horizontal="center"/>
    </xf>
    <xf numFmtId="167" fontId="7" fillId="0" borderId="2" xfId="5" applyNumberFormat="1" applyFont="1" applyFill="1" applyBorder="1" applyAlignment="1">
      <alignment horizontal="center"/>
    </xf>
    <xf numFmtId="167" fontId="7" fillId="0" borderId="0" xfId="5" applyNumberFormat="1" applyFont="1" applyFill="1" applyBorder="1" applyAlignment="1">
      <alignment horizontal="center"/>
    </xf>
    <xf numFmtId="167" fontId="3" fillId="0" borderId="7" xfId="5" applyNumberFormat="1" applyFont="1" applyFill="1" applyBorder="1" applyAlignment="1">
      <alignment horizontal="center"/>
    </xf>
    <xf numFmtId="167" fontId="3" fillId="0" borderId="8" xfId="5" applyNumberFormat="1" applyFont="1" applyFill="1" applyBorder="1" applyAlignment="1">
      <alignment horizontal="center"/>
    </xf>
    <xf numFmtId="3" fontId="10" fillId="0" borderId="0" xfId="0" applyNumberFormat="1" applyFont="1" applyFill="1"/>
    <xf numFmtId="3" fontId="0" fillId="0" borderId="0" xfId="0" applyNumberFormat="1"/>
    <xf numFmtId="167" fontId="26" fillId="0" borderId="0" xfId="1" applyNumberFormat="1" applyFont="1" applyAlignment="1">
      <alignment vertical="center"/>
    </xf>
    <xf numFmtId="167" fontId="27" fillId="0" borderId="0" xfId="1" applyNumberFormat="1" applyFont="1" applyAlignment="1">
      <alignment horizontal="right" vertical="top"/>
    </xf>
    <xf numFmtId="49" fontId="27" fillId="0" borderId="0" xfId="0" applyNumberFormat="1" applyFont="1" applyAlignment="1">
      <alignment horizontal="left" vertical="top"/>
    </xf>
    <xf numFmtId="167" fontId="27" fillId="0" borderId="0" xfId="1" applyNumberFormat="1" applyFont="1" applyAlignment="1">
      <alignment horizontal="left" vertical="top"/>
    </xf>
    <xf numFmtId="3" fontId="10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/>
    <xf numFmtId="49" fontId="25" fillId="0" borderId="0" xfId="0" applyNumberFormat="1" applyFont="1" applyBorder="1" applyAlignment="1">
      <alignment horizontal="center" vertical="top"/>
    </xf>
    <xf numFmtId="10" fontId="4" fillId="0" borderId="0" xfId="3" applyNumberFormat="1" applyFont="1" applyBorder="1" applyAlignment="1">
      <alignment vertical="center"/>
    </xf>
    <xf numFmtId="0" fontId="10" fillId="0" borderId="0" xfId="0" applyFont="1" applyBorder="1"/>
    <xf numFmtId="49" fontId="27" fillId="0" borderId="0" xfId="0" applyNumberFormat="1" applyFont="1" applyBorder="1" applyAlignment="1">
      <alignment horizontal="left" vertical="top"/>
    </xf>
    <xf numFmtId="164" fontId="0" fillId="0" borderId="12" xfId="2" applyNumberFormat="1" applyFont="1" applyBorder="1"/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Normal" xfId="0" builtinId="0"/>
    <cellStyle name="Normal 2" xfId="7" xr:uid="{00000000-0005-0000-0000-000005000000}"/>
    <cellStyle name="Percent" xfId="3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FFFF99"/>
      <color rgb="FFFFFFCC"/>
      <color rgb="FF59B58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56"/>
  <sheetViews>
    <sheetView showGridLines="0" tabSelected="1" workbookViewId="0">
      <selection activeCell="F11" sqref="F11"/>
    </sheetView>
  </sheetViews>
  <sheetFormatPr defaultColWidth="8.88671875" defaultRowHeight="15.75" x14ac:dyDescent="0.25"/>
  <cols>
    <col min="1" max="1" width="3.6640625" style="22" customWidth="1"/>
    <col min="2" max="2" width="2.6640625" style="22" customWidth="1"/>
    <col min="3" max="3" width="28" style="22" customWidth="1"/>
    <col min="4" max="4" width="11.88671875" style="81" bestFit="1" customWidth="1"/>
    <col min="5" max="5" width="1.77734375" style="81" customWidth="1"/>
    <col min="6" max="6" width="11.88671875" style="81" customWidth="1"/>
    <col min="7" max="7" width="3.44140625" style="81" customWidth="1"/>
    <col min="8" max="8" width="11.88671875" style="81" customWidth="1"/>
    <col min="9" max="9" width="1.77734375" style="81" customWidth="1"/>
    <col min="10" max="10" width="10.21875" style="22" customWidth="1"/>
    <col min="11" max="11" width="4.88671875" style="19" customWidth="1"/>
    <col min="12" max="12" width="9.77734375" style="81" customWidth="1"/>
    <col min="13" max="13" width="4.44140625" style="22" customWidth="1"/>
    <col min="14" max="14" width="11.33203125" style="23" customWidth="1"/>
    <col min="15" max="258" width="9.6640625" style="22" customWidth="1"/>
    <col min="259" max="260" width="9.6640625" style="23" customWidth="1"/>
    <col min="261" max="16384" width="8.88671875" style="23"/>
  </cols>
  <sheetData>
    <row r="1" spans="1:258" ht="18.75" x14ac:dyDescent="0.25">
      <c r="A1" s="341" t="s">
        <v>0</v>
      </c>
      <c r="B1" s="341"/>
      <c r="C1" s="341"/>
      <c r="D1" s="341"/>
      <c r="E1" s="341"/>
      <c r="F1" s="341"/>
      <c r="G1" s="341"/>
      <c r="H1" s="341"/>
      <c r="I1" s="279"/>
      <c r="J1" s="279"/>
      <c r="K1" s="279"/>
      <c r="L1" s="279"/>
      <c r="M1" s="21"/>
      <c r="N1" s="256"/>
      <c r="O1" s="21"/>
      <c r="P1" s="21"/>
      <c r="Q1" s="21"/>
      <c r="R1" s="21"/>
      <c r="S1" s="21"/>
    </row>
    <row r="2" spans="1:258" ht="18.75" x14ac:dyDescent="0.25">
      <c r="A2" s="341" t="s">
        <v>1</v>
      </c>
      <c r="B2" s="341"/>
      <c r="C2" s="341"/>
      <c r="D2" s="341"/>
      <c r="E2" s="341"/>
      <c r="F2" s="341"/>
      <c r="G2" s="341"/>
      <c r="H2" s="341"/>
      <c r="I2" s="279"/>
      <c r="J2" s="279"/>
      <c r="K2" s="279"/>
      <c r="L2" s="279"/>
      <c r="M2" s="104"/>
      <c r="N2" s="257"/>
      <c r="O2" s="21"/>
      <c r="P2" s="104"/>
      <c r="Q2" s="104"/>
      <c r="R2" s="104"/>
      <c r="S2" s="104"/>
      <c r="T2" s="104"/>
      <c r="U2" s="104"/>
      <c r="V2" s="104"/>
    </row>
    <row r="3" spans="1:258" ht="18.75" x14ac:dyDescent="0.25">
      <c r="A3" s="341" t="s">
        <v>2</v>
      </c>
      <c r="B3" s="341"/>
      <c r="C3" s="341"/>
      <c r="D3" s="341"/>
      <c r="E3" s="341"/>
      <c r="F3" s="341"/>
      <c r="G3" s="341"/>
      <c r="H3" s="341"/>
      <c r="I3" s="279"/>
      <c r="J3" s="279"/>
      <c r="K3" s="279"/>
      <c r="L3" s="279"/>
      <c r="M3" s="104"/>
      <c r="N3" s="257"/>
      <c r="O3" s="21"/>
      <c r="P3" s="104"/>
      <c r="Q3" s="104"/>
      <c r="R3" s="104"/>
      <c r="S3" s="104"/>
      <c r="T3" s="104"/>
      <c r="U3" s="104"/>
      <c r="V3" s="104"/>
    </row>
    <row r="4" spans="1:258" x14ac:dyDescent="0.25">
      <c r="A4" s="21"/>
      <c r="B4" s="21"/>
      <c r="C4" s="21"/>
      <c r="D4" s="172"/>
      <c r="E4" s="172"/>
      <c r="F4" s="271" t="s">
        <v>3</v>
      </c>
      <c r="G4" s="25"/>
      <c r="H4" s="171"/>
      <c r="I4" s="21"/>
      <c r="J4" s="256"/>
      <c r="K4" s="21"/>
      <c r="L4" s="21"/>
      <c r="M4" s="21"/>
      <c r="N4" s="21"/>
      <c r="O4" s="21"/>
      <c r="IU4" s="23"/>
      <c r="IV4" s="23"/>
      <c r="IW4" s="23"/>
      <c r="IX4" s="23"/>
    </row>
    <row r="5" spans="1:258" x14ac:dyDescent="0.25">
      <c r="A5" s="24"/>
      <c r="B5" s="24"/>
      <c r="C5" s="24"/>
      <c r="D5" s="124" t="s">
        <v>4</v>
      </c>
      <c r="E5" s="124"/>
      <c r="F5" s="25" t="s">
        <v>5</v>
      </c>
      <c r="G5" s="25" t="s">
        <v>6</v>
      </c>
      <c r="H5" s="124" t="s">
        <v>3</v>
      </c>
      <c r="I5" s="26"/>
      <c r="J5" s="258"/>
      <c r="K5" s="26"/>
      <c r="L5" s="26"/>
      <c r="M5" s="21"/>
      <c r="N5" s="21"/>
      <c r="O5" s="21"/>
      <c r="IU5" s="23"/>
      <c r="IV5" s="23"/>
      <c r="IW5" s="23"/>
      <c r="IX5" s="23"/>
    </row>
    <row r="6" spans="1:258" x14ac:dyDescent="0.25">
      <c r="A6" s="27" t="s">
        <v>7</v>
      </c>
      <c r="B6" s="24"/>
      <c r="C6" s="24"/>
      <c r="D6" s="26"/>
      <c r="E6" s="26"/>
      <c r="F6" s="24"/>
      <c r="G6" s="24"/>
      <c r="H6" s="26"/>
      <c r="I6" s="26"/>
      <c r="J6" s="258"/>
      <c r="K6" s="26"/>
      <c r="L6" s="26"/>
      <c r="M6" s="21"/>
      <c r="N6" s="21"/>
      <c r="O6" s="21"/>
      <c r="IU6" s="23"/>
      <c r="IV6" s="23"/>
      <c r="IW6" s="23"/>
      <c r="IX6" s="23"/>
    </row>
    <row r="7" spans="1:258" x14ac:dyDescent="0.25">
      <c r="A7" s="24"/>
      <c r="B7" s="24" t="s">
        <v>8</v>
      </c>
      <c r="C7" s="24"/>
      <c r="D7" s="301">
        <v>1399626</v>
      </c>
      <c r="E7" s="26"/>
      <c r="F7" s="301">
        <f>ExBAw!G16</f>
        <v>56631.782999999588</v>
      </c>
      <c r="G7" s="28" t="s">
        <v>9</v>
      </c>
      <c r="H7" s="23"/>
      <c r="I7" s="32"/>
      <c r="J7" s="258"/>
      <c r="K7" s="26"/>
      <c r="L7" s="26"/>
      <c r="M7" s="21"/>
      <c r="N7" s="21"/>
      <c r="O7" s="21"/>
      <c r="IU7" s="23"/>
      <c r="IV7" s="23"/>
      <c r="IW7" s="23"/>
      <c r="IX7" s="23"/>
    </row>
    <row r="8" spans="1:258" x14ac:dyDescent="0.25">
      <c r="A8" s="24"/>
      <c r="B8" s="24"/>
      <c r="C8" s="24"/>
      <c r="D8" s="26"/>
      <c r="E8" s="26"/>
      <c r="F8" s="26">
        <f>-F10-F11</f>
        <v>-25080</v>
      </c>
      <c r="G8" s="28" t="s">
        <v>10</v>
      </c>
      <c r="H8" s="301">
        <f>SUM(D7:F8)</f>
        <v>1431177.7829999996</v>
      </c>
      <c r="I8" s="32"/>
      <c r="J8" s="258"/>
      <c r="K8" s="26"/>
      <c r="L8" s="26"/>
      <c r="M8" s="21"/>
      <c r="N8" s="21"/>
      <c r="O8" s="21"/>
      <c r="IU8" s="23"/>
      <c r="IV8" s="23"/>
      <c r="IW8" s="23"/>
      <c r="IX8" s="23"/>
    </row>
    <row r="9" spans="1:258" x14ac:dyDescent="0.25">
      <c r="A9" s="24"/>
      <c r="B9" s="24" t="s">
        <v>11</v>
      </c>
      <c r="C9" s="24"/>
      <c r="D9" s="26"/>
      <c r="E9" s="26"/>
      <c r="F9" s="26"/>
      <c r="G9" s="28"/>
      <c r="H9" s="26"/>
      <c r="I9" s="26"/>
      <c r="J9" s="258"/>
      <c r="K9" s="26"/>
      <c r="L9" s="26"/>
      <c r="M9" s="21"/>
      <c r="N9" s="21"/>
      <c r="O9" s="21"/>
      <c r="IU9" s="23"/>
      <c r="IV9" s="23"/>
      <c r="IW9" s="23"/>
      <c r="IX9" s="23"/>
    </row>
    <row r="10" spans="1:258" x14ac:dyDescent="0.25">
      <c r="A10" s="24"/>
      <c r="B10" s="24"/>
      <c r="C10" s="24" t="s">
        <v>12</v>
      </c>
      <c r="D10" s="26">
        <v>0</v>
      </c>
      <c r="E10" s="26"/>
      <c r="F10" s="26">
        <v>16979</v>
      </c>
      <c r="G10" s="28" t="s">
        <v>10</v>
      </c>
      <c r="H10" s="26">
        <f>SUM(F10:F10)</f>
        <v>16979</v>
      </c>
      <c r="I10" s="32"/>
      <c r="J10" s="258"/>
      <c r="K10" s="26"/>
      <c r="L10" s="62"/>
      <c r="M10" s="21"/>
      <c r="N10" s="21"/>
      <c r="O10" s="21"/>
      <c r="IU10" s="23"/>
      <c r="IV10" s="23"/>
      <c r="IW10" s="23"/>
      <c r="IX10" s="23"/>
    </row>
    <row r="11" spans="1:258" x14ac:dyDescent="0.25">
      <c r="A11" s="24"/>
      <c r="B11" s="24"/>
      <c r="C11" s="24" t="s">
        <v>13</v>
      </c>
      <c r="D11" s="26">
        <v>0</v>
      </c>
      <c r="E11" s="26"/>
      <c r="F11" s="268">
        <f>NRCs!D11</f>
        <v>8101</v>
      </c>
      <c r="G11" s="28" t="s">
        <v>10</v>
      </c>
      <c r="H11" s="26">
        <f>SUM(F11:F11)</f>
        <v>8101</v>
      </c>
      <c r="I11" s="32"/>
      <c r="J11" s="258"/>
      <c r="K11" s="26"/>
      <c r="L11" s="26"/>
      <c r="M11" s="21"/>
      <c r="N11" s="21"/>
      <c r="O11" s="21"/>
      <c r="IU11" s="23"/>
      <c r="IV11" s="23"/>
      <c r="IW11" s="23"/>
      <c r="IX11" s="23"/>
    </row>
    <row r="12" spans="1:258" ht="17.25" x14ac:dyDescent="0.25">
      <c r="A12" s="24"/>
      <c r="B12" s="24"/>
      <c r="C12" s="24" t="s">
        <v>14</v>
      </c>
      <c r="D12" s="280"/>
      <c r="E12" s="117"/>
      <c r="F12" s="281"/>
      <c r="G12" s="28"/>
      <c r="H12" s="281">
        <f>D12+F12</f>
        <v>0</v>
      </c>
      <c r="I12" s="32"/>
      <c r="J12" s="258"/>
      <c r="K12" s="26"/>
      <c r="L12" s="26"/>
      <c r="M12" s="21"/>
      <c r="N12" s="21"/>
      <c r="O12" s="21"/>
      <c r="IU12" s="23"/>
      <c r="IV12" s="23"/>
      <c r="IW12" s="23"/>
      <c r="IX12" s="23"/>
    </row>
    <row r="13" spans="1:258" x14ac:dyDescent="0.25">
      <c r="A13" s="29" t="s">
        <v>15</v>
      </c>
      <c r="B13" s="24"/>
      <c r="C13" s="24"/>
      <c r="D13" s="26">
        <f>SUM(D7:D12)</f>
        <v>1399626</v>
      </c>
      <c r="E13" s="26"/>
      <c r="F13" s="26">
        <f>SUM(F7:F12)</f>
        <v>56631.782999999588</v>
      </c>
      <c r="G13" s="28"/>
      <c r="H13" s="26">
        <f>SUM(H8:H12)</f>
        <v>1456257.7829999996</v>
      </c>
      <c r="I13" s="26"/>
      <c r="J13" s="258"/>
      <c r="K13" s="26"/>
      <c r="L13" s="26"/>
      <c r="M13" s="21"/>
      <c r="N13" s="21"/>
      <c r="O13" s="21"/>
      <c r="IU13" s="23"/>
      <c r="IV13" s="23"/>
      <c r="IW13" s="23"/>
      <c r="IX13" s="23"/>
    </row>
    <row r="14" spans="1:258" x14ac:dyDescent="0.25">
      <c r="A14" s="24"/>
      <c r="B14" s="24"/>
      <c r="C14" s="24"/>
      <c r="D14" s="26"/>
      <c r="E14" s="26"/>
      <c r="F14" s="26"/>
      <c r="G14" s="28"/>
      <c r="H14" s="26"/>
      <c r="I14" s="26"/>
      <c r="J14" s="258"/>
      <c r="K14" s="26"/>
      <c r="L14" s="26"/>
      <c r="N14" s="21"/>
      <c r="O14" s="21"/>
      <c r="IU14" s="23"/>
      <c r="IV14" s="23"/>
      <c r="IW14" s="23"/>
      <c r="IX14" s="23"/>
    </row>
    <row r="15" spans="1:258" x14ac:dyDescent="0.25">
      <c r="A15" s="27" t="s">
        <v>16</v>
      </c>
      <c r="B15" s="24"/>
      <c r="C15" s="24"/>
      <c r="D15" s="26"/>
      <c r="E15" s="26"/>
      <c r="F15" s="26"/>
      <c r="G15" s="28"/>
      <c r="H15" s="26"/>
      <c r="I15" s="26"/>
      <c r="J15" s="258"/>
      <c r="K15" s="26"/>
      <c r="L15" s="26"/>
      <c r="N15" s="21"/>
      <c r="O15" s="21"/>
      <c r="IU15" s="23"/>
      <c r="IV15" s="23"/>
      <c r="IW15" s="23"/>
      <c r="IX15" s="23"/>
    </row>
    <row r="16" spans="1:258" x14ac:dyDescent="0.25">
      <c r="A16" s="24"/>
      <c r="B16" s="24" t="s">
        <v>17</v>
      </c>
      <c r="C16" s="24"/>
      <c r="D16" s="26"/>
      <c r="E16" s="26"/>
      <c r="F16" s="26"/>
      <c r="G16" s="28"/>
      <c r="H16" s="26"/>
      <c r="I16" s="26"/>
      <c r="J16" s="258"/>
      <c r="K16" s="26"/>
      <c r="L16" s="21"/>
      <c r="M16" s="21"/>
      <c r="N16" s="21"/>
      <c r="O16" s="21"/>
      <c r="IU16" s="23"/>
      <c r="IV16" s="23"/>
      <c r="IW16" s="23"/>
      <c r="IX16" s="23"/>
    </row>
    <row r="17" spans="1:258" x14ac:dyDescent="0.25">
      <c r="A17" s="24"/>
      <c r="B17" s="24"/>
      <c r="C17" s="24" t="s">
        <v>18</v>
      </c>
      <c r="D17" s="26">
        <v>179018</v>
      </c>
      <c r="E17" s="26"/>
      <c r="F17" s="3">
        <f>Wages!E11</f>
        <v>-5594.9162500000093</v>
      </c>
      <c r="G17" s="2" t="s">
        <v>19</v>
      </c>
      <c r="H17" s="23"/>
      <c r="I17" s="32"/>
      <c r="J17" s="258"/>
      <c r="K17" s="26"/>
      <c r="L17" s="21"/>
      <c r="M17" s="21"/>
      <c r="N17" s="21"/>
      <c r="O17" s="21"/>
      <c r="IU17" s="23"/>
      <c r="IV17" s="23"/>
      <c r="IW17" s="23"/>
      <c r="IX17" s="23"/>
    </row>
    <row r="18" spans="1:258" x14ac:dyDescent="0.25">
      <c r="A18" s="24"/>
      <c r="B18" s="24"/>
      <c r="C18" s="24"/>
      <c r="D18" s="26"/>
      <c r="E18" s="26"/>
      <c r="F18" s="26">
        <f>-Allocations!H25</f>
        <v>-6105.229783294586</v>
      </c>
      <c r="G18" s="28" t="s">
        <v>20</v>
      </c>
      <c r="H18" s="26">
        <f>SUM(D17:F18)</f>
        <v>167317.85396670541</v>
      </c>
      <c r="I18" s="32"/>
      <c r="J18" s="258"/>
      <c r="K18" s="26"/>
      <c r="L18" s="21"/>
      <c r="M18" s="21"/>
      <c r="N18" s="21"/>
      <c r="O18" s="21"/>
      <c r="IU18" s="23"/>
      <c r="IV18" s="23"/>
      <c r="IW18" s="23"/>
      <c r="IX18" s="23"/>
    </row>
    <row r="19" spans="1:258" x14ac:dyDescent="0.25">
      <c r="A19" s="24"/>
      <c r="B19" s="24"/>
      <c r="C19" s="24"/>
      <c r="D19" s="26"/>
      <c r="E19" s="26"/>
      <c r="F19" s="26"/>
      <c r="G19" s="28"/>
      <c r="H19" s="26"/>
      <c r="I19" s="32"/>
      <c r="J19" s="258"/>
      <c r="K19" s="26"/>
      <c r="L19" s="21"/>
      <c r="M19" s="21"/>
      <c r="N19" s="21"/>
      <c r="O19" s="21"/>
      <c r="IU19" s="23"/>
      <c r="IV19" s="23"/>
      <c r="IW19" s="23"/>
      <c r="IX19" s="23"/>
    </row>
    <row r="20" spans="1:258" x14ac:dyDescent="0.25">
      <c r="A20" s="24"/>
      <c r="B20" s="24"/>
      <c r="C20" s="24" t="s">
        <v>21</v>
      </c>
      <c r="D20" s="26">
        <v>18000</v>
      </c>
      <c r="E20" s="26"/>
      <c r="F20" s="26">
        <f>-Allocations!H26</f>
        <v>-633.67651942876125</v>
      </c>
      <c r="G20" s="28" t="str">
        <f>G18</f>
        <v>(D)</v>
      </c>
      <c r="H20" s="26">
        <f>SUM(D20:F20)</f>
        <v>17366.323480571238</v>
      </c>
      <c r="I20" s="26"/>
      <c r="J20" s="23"/>
      <c r="K20" s="26"/>
      <c r="L20" s="26"/>
      <c r="M20" s="21"/>
      <c r="N20" s="21"/>
      <c r="O20" s="21"/>
      <c r="IU20" s="23"/>
      <c r="IV20" s="23"/>
      <c r="IW20" s="23"/>
      <c r="IX20" s="23"/>
    </row>
    <row r="21" spans="1:258" x14ac:dyDescent="0.25">
      <c r="A21" s="24"/>
      <c r="B21" s="24"/>
      <c r="C21" s="24" t="s">
        <v>22</v>
      </c>
      <c r="D21" s="26">
        <v>34200</v>
      </c>
      <c r="E21" s="26"/>
      <c r="F21" s="3">
        <v>-14711</v>
      </c>
      <c r="G21" s="2" t="s">
        <v>23</v>
      </c>
      <c r="H21" s="23"/>
      <c r="I21" s="32"/>
      <c r="J21" s="258"/>
      <c r="K21" s="26"/>
      <c r="L21" s="26"/>
      <c r="M21" s="21"/>
      <c r="N21" s="21"/>
      <c r="O21" s="21"/>
      <c r="IU21" s="23"/>
      <c r="IV21" s="23"/>
      <c r="IW21" s="23"/>
      <c r="IX21" s="23"/>
    </row>
    <row r="22" spans="1:258" x14ac:dyDescent="0.25">
      <c r="A22" s="24"/>
      <c r="B22" s="24"/>
      <c r="C22" s="24"/>
      <c r="D22" s="26"/>
      <c r="E22" s="26"/>
      <c r="F22" s="3">
        <v>48828</v>
      </c>
      <c r="G22" s="2" t="s">
        <v>24</v>
      </c>
      <c r="H22" s="23"/>
      <c r="I22" s="32"/>
      <c r="J22" s="258"/>
      <c r="K22" s="26"/>
      <c r="L22" s="26"/>
      <c r="M22" s="21"/>
      <c r="N22" s="21"/>
      <c r="O22" s="21"/>
      <c r="IU22" s="23"/>
      <c r="IV22" s="23"/>
      <c r="IW22" s="23"/>
      <c r="IX22" s="23"/>
    </row>
    <row r="23" spans="1:258" x14ac:dyDescent="0.25">
      <c r="A23" s="24"/>
      <c r="B23" s="24"/>
      <c r="C23" s="24"/>
      <c r="D23" s="26"/>
      <c r="E23" s="26"/>
      <c r="F23" s="26">
        <f>-Allocations!H27</f>
        <v>-2405.0488209897044</v>
      </c>
      <c r="G23" s="213" t="str">
        <f>G18</f>
        <v>(D)</v>
      </c>
      <c r="H23" s="3">
        <f>SUM(D21:F23)</f>
        <v>65911.951179010299</v>
      </c>
      <c r="I23" s="32"/>
      <c r="J23" s="258"/>
      <c r="K23" s="26"/>
      <c r="L23" s="26"/>
      <c r="M23" s="21"/>
      <c r="N23" s="21"/>
      <c r="O23" s="21"/>
      <c r="IU23" s="23"/>
      <c r="IV23" s="23"/>
      <c r="IW23" s="23"/>
      <c r="IX23" s="23"/>
    </row>
    <row r="24" spans="1:258" x14ac:dyDescent="0.25">
      <c r="A24" s="24"/>
      <c r="B24" s="24"/>
      <c r="C24" s="24" t="s">
        <v>25</v>
      </c>
      <c r="D24" s="26">
        <v>431242</v>
      </c>
      <c r="E24" s="26"/>
      <c r="F24" s="26"/>
      <c r="G24" s="2"/>
      <c r="H24" s="26">
        <f t="shared" ref="H24:H32" si="0">SUM(D24:F24)</f>
        <v>431242</v>
      </c>
      <c r="I24" s="32"/>
      <c r="J24" s="259"/>
      <c r="K24" s="26"/>
      <c r="L24" s="26"/>
      <c r="M24" s="21"/>
      <c r="N24" s="21"/>
      <c r="O24" s="21"/>
      <c r="IU24" s="23"/>
      <c r="IV24" s="23"/>
      <c r="IW24" s="23"/>
      <c r="IX24" s="23"/>
    </row>
    <row r="25" spans="1:258" x14ac:dyDescent="0.25">
      <c r="A25" s="24"/>
      <c r="B25" s="24"/>
      <c r="C25" s="24" t="s">
        <v>26</v>
      </c>
      <c r="D25" s="26"/>
      <c r="E25" s="26"/>
      <c r="F25" s="26"/>
      <c r="G25" s="2"/>
      <c r="H25" s="26">
        <f t="shared" si="0"/>
        <v>0</v>
      </c>
      <c r="I25" s="32"/>
      <c r="J25" s="258"/>
      <c r="K25" s="26"/>
      <c r="L25" s="26"/>
      <c r="M25" s="21"/>
      <c r="N25" s="21"/>
      <c r="O25" s="21"/>
      <c r="IU25" s="23"/>
      <c r="IV25" s="23"/>
      <c r="IW25" s="23"/>
      <c r="IX25" s="23"/>
    </row>
    <row r="26" spans="1:258" x14ac:dyDescent="0.25">
      <c r="A26" s="24"/>
      <c r="B26" s="24"/>
      <c r="C26" s="24" t="s">
        <v>27</v>
      </c>
      <c r="D26" s="26"/>
      <c r="E26" s="26"/>
      <c r="F26" s="26"/>
      <c r="G26" s="28"/>
      <c r="H26" s="26">
        <f t="shared" si="0"/>
        <v>0</v>
      </c>
      <c r="I26" s="32"/>
      <c r="J26" s="258"/>
      <c r="K26" s="26"/>
      <c r="L26" s="26"/>
      <c r="M26" s="21"/>
      <c r="N26" s="21">
        <f>-2020</f>
        <v>-2020</v>
      </c>
      <c r="O26" s="21"/>
      <c r="IU26" s="23"/>
      <c r="IV26" s="23"/>
      <c r="IW26" s="23"/>
      <c r="IX26" s="23"/>
    </row>
    <row r="27" spans="1:258" x14ac:dyDescent="0.25">
      <c r="A27" s="24"/>
      <c r="B27" s="24"/>
      <c r="C27" s="24" t="s">
        <v>28</v>
      </c>
      <c r="D27" s="26">
        <v>83857</v>
      </c>
      <c r="E27" s="26"/>
      <c r="F27" s="26"/>
      <c r="G27" s="28"/>
      <c r="H27" s="26">
        <f t="shared" si="0"/>
        <v>83857</v>
      </c>
      <c r="I27" s="32"/>
      <c r="J27" s="258"/>
      <c r="K27" s="67"/>
      <c r="L27" s="26"/>
      <c r="M27" s="21"/>
      <c r="N27" s="21">
        <v>46808</v>
      </c>
      <c r="O27" s="21"/>
      <c r="IU27" s="23"/>
      <c r="IV27" s="23"/>
      <c r="IW27" s="23"/>
      <c r="IX27" s="23"/>
    </row>
    <row r="28" spans="1:258" x14ac:dyDescent="0.25">
      <c r="A28" s="24"/>
      <c r="B28" s="24"/>
      <c r="C28" s="24" t="s">
        <v>29</v>
      </c>
      <c r="D28" s="26">
        <f>90070+12348+13216</f>
        <v>115634</v>
      </c>
      <c r="E28" s="26"/>
      <c r="F28" s="26">
        <f>'United Upgrade'!F17</f>
        <v>61392</v>
      </c>
      <c r="G28" s="213" t="s">
        <v>30</v>
      </c>
      <c r="H28" s="26">
        <f t="shared" si="0"/>
        <v>177026</v>
      </c>
      <c r="I28" s="26"/>
      <c r="J28" s="258"/>
      <c r="K28" s="26"/>
      <c r="L28" s="26"/>
      <c r="M28" s="21"/>
      <c r="N28" s="21"/>
      <c r="O28" s="21"/>
      <c r="IU28" s="23"/>
      <c r="IV28" s="23"/>
      <c r="IW28" s="23"/>
      <c r="IX28" s="23"/>
    </row>
    <row r="29" spans="1:258" x14ac:dyDescent="0.25">
      <c r="A29" s="24"/>
      <c r="B29" s="24"/>
      <c r="C29" s="24" t="s">
        <v>31</v>
      </c>
      <c r="D29" s="26">
        <v>24978</v>
      </c>
      <c r="E29" s="26"/>
      <c r="F29" s="26">
        <f>-Allocations!H29</f>
        <v>-1028.8090335436732</v>
      </c>
      <c r="G29" s="28" t="str">
        <f>G18</f>
        <v>(D)</v>
      </c>
      <c r="H29" s="26">
        <f t="shared" si="0"/>
        <v>23949.190966456328</v>
      </c>
      <c r="I29" s="26"/>
      <c r="J29" s="258"/>
      <c r="K29" s="23"/>
      <c r="L29" s="26"/>
      <c r="M29" s="21"/>
      <c r="N29" s="21">
        <f>N27-N26</f>
        <v>48828</v>
      </c>
      <c r="O29" s="21"/>
      <c r="IU29" s="23"/>
      <c r="IV29" s="23"/>
      <c r="IW29" s="23"/>
      <c r="IX29" s="23"/>
    </row>
    <row r="30" spans="1:258" x14ac:dyDescent="0.25">
      <c r="A30" s="24"/>
      <c r="B30" s="24"/>
      <c r="C30" s="24" t="s">
        <v>32</v>
      </c>
      <c r="D30" s="26">
        <v>4246</v>
      </c>
      <c r="E30" s="26"/>
      <c r="F30" s="26"/>
      <c r="G30" s="2"/>
      <c r="H30" s="26">
        <f t="shared" si="0"/>
        <v>4246</v>
      </c>
      <c r="I30" s="26"/>
      <c r="J30" s="258"/>
      <c r="K30" s="26"/>
      <c r="L30" s="26"/>
      <c r="M30" s="21"/>
      <c r="N30" s="21"/>
      <c r="O30" s="21"/>
      <c r="IU30" s="23"/>
      <c r="IV30" s="23"/>
      <c r="IW30" s="23"/>
      <c r="IX30" s="23"/>
    </row>
    <row r="31" spans="1:258" x14ac:dyDescent="0.25">
      <c r="A31" s="24"/>
      <c r="B31" s="24"/>
      <c r="C31" s="24" t="s">
        <v>33</v>
      </c>
      <c r="D31" s="26"/>
      <c r="E31" s="26"/>
      <c r="F31" s="26"/>
      <c r="G31" s="2"/>
      <c r="H31" s="26">
        <f t="shared" si="0"/>
        <v>0</v>
      </c>
      <c r="I31" s="26"/>
      <c r="J31" s="258"/>
      <c r="K31" s="26"/>
      <c r="L31" s="26"/>
      <c r="M31" s="21"/>
      <c r="N31" s="21"/>
      <c r="O31" s="21"/>
      <c r="IU31" s="23"/>
      <c r="IV31" s="23"/>
      <c r="IW31" s="23"/>
      <c r="IX31" s="23"/>
    </row>
    <row r="32" spans="1:258" x14ac:dyDescent="0.25">
      <c r="A32" s="24"/>
      <c r="B32" s="24"/>
      <c r="C32" s="24" t="s">
        <v>34</v>
      </c>
      <c r="D32" s="281">
        <v>86586</v>
      </c>
      <c r="E32" s="26"/>
      <c r="F32" s="87"/>
      <c r="G32" s="2"/>
      <c r="H32" s="281">
        <f t="shared" si="0"/>
        <v>86586</v>
      </c>
      <c r="I32" s="32"/>
      <c r="J32" s="258"/>
      <c r="K32" s="26"/>
      <c r="L32" s="26"/>
      <c r="M32" s="21"/>
      <c r="N32" s="21"/>
      <c r="O32" s="21"/>
      <c r="IU32" s="23"/>
      <c r="IV32" s="23"/>
      <c r="IW32" s="23"/>
      <c r="IX32" s="23"/>
    </row>
    <row r="33" spans="1:258" x14ac:dyDescent="0.25">
      <c r="A33" s="24"/>
      <c r="B33" s="29" t="s">
        <v>35</v>
      </c>
      <c r="C33" s="24"/>
      <c r="D33" s="26">
        <f>SUM(D17:D32)</f>
        <v>977761</v>
      </c>
      <c r="E33" s="26"/>
      <c r="F33" s="26">
        <f>SUM(F18:F32)</f>
        <v>85336.235842743277</v>
      </c>
      <c r="G33" s="28"/>
      <c r="H33" s="26">
        <f>SUM(H18:H32)</f>
        <v>1057502.3195927432</v>
      </c>
      <c r="I33" s="26"/>
      <c r="J33" s="258"/>
      <c r="K33" s="26"/>
      <c r="L33" s="26"/>
      <c r="M33" s="21"/>
      <c r="N33" s="21"/>
      <c r="O33" s="21"/>
      <c r="IU33" s="23"/>
      <c r="IV33" s="23"/>
      <c r="IW33" s="23"/>
      <c r="IX33" s="23"/>
    </row>
    <row r="34" spans="1:258" x14ac:dyDescent="0.25">
      <c r="A34" s="24"/>
      <c r="B34" s="24" t="s">
        <v>36</v>
      </c>
      <c r="C34" s="24"/>
      <c r="D34" s="26">
        <v>314285</v>
      </c>
      <c r="E34" s="26"/>
      <c r="F34" s="26">
        <f>Depreciation!K48</f>
        <v>-93336.231809523815</v>
      </c>
      <c r="G34" s="213" t="s">
        <v>37</v>
      </c>
      <c r="H34" s="26">
        <f>SUM(D34:F34)</f>
        <v>220948.76819047617</v>
      </c>
      <c r="I34" s="32"/>
      <c r="J34" s="258"/>
      <c r="K34" s="26"/>
      <c r="L34" s="26"/>
      <c r="M34" s="21"/>
      <c r="N34" s="21"/>
      <c r="O34" s="21"/>
      <c r="IU34" s="23"/>
      <c r="IV34" s="23"/>
      <c r="IW34" s="23"/>
      <c r="IX34" s="23"/>
    </row>
    <row r="35" spans="1:258" x14ac:dyDescent="0.25">
      <c r="A35" s="24"/>
      <c r="B35" s="24" t="s">
        <v>38</v>
      </c>
      <c r="C35" s="24"/>
      <c r="D35" s="26">
        <v>0</v>
      </c>
      <c r="E35" s="26"/>
      <c r="F35" s="282">
        <f>'United Upgrade'!F10</f>
        <v>6044.8</v>
      </c>
      <c r="G35" s="213" t="str">
        <f>G28</f>
        <v>(G)</v>
      </c>
      <c r="H35" s="26">
        <f>SUM(D35:F35)</f>
        <v>6044.8</v>
      </c>
      <c r="I35" s="32"/>
      <c r="J35" s="258"/>
      <c r="K35" s="26"/>
      <c r="L35" s="26"/>
      <c r="M35" s="21"/>
      <c r="N35" s="21"/>
      <c r="O35" s="21"/>
      <c r="IU35" s="23"/>
      <c r="IV35" s="23"/>
      <c r="IW35" s="23"/>
      <c r="IX35" s="23"/>
    </row>
    <row r="36" spans="1:258" x14ac:dyDescent="0.25">
      <c r="A36" s="24"/>
      <c r="B36" s="24" t="s">
        <v>39</v>
      </c>
      <c r="C36" s="24"/>
      <c r="D36" s="282">
        <v>2236</v>
      </c>
      <c r="E36" s="26"/>
      <c r="F36" s="3">
        <f>14771</f>
        <v>14771</v>
      </c>
      <c r="G36" s="2" t="str">
        <f>G21</f>
        <v>(E)</v>
      </c>
      <c r="H36" s="26"/>
      <c r="I36" s="32"/>
      <c r="J36" s="258"/>
      <c r="K36" s="26"/>
      <c r="L36" s="26"/>
      <c r="M36" s="21"/>
      <c r="N36" s="21"/>
      <c r="O36" s="21"/>
      <c r="IU36" s="23"/>
      <c r="IV36" s="23"/>
      <c r="IW36" s="23"/>
      <c r="IX36" s="23"/>
    </row>
    <row r="37" spans="1:258" x14ac:dyDescent="0.25">
      <c r="A37" s="24"/>
      <c r="B37" s="24"/>
      <c r="C37" s="24"/>
      <c r="D37" s="282"/>
      <c r="E37" s="26"/>
      <c r="F37" s="282">
        <f>Wages!E17</f>
        <v>-1504.1340931250015</v>
      </c>
      <c r="G37" s="213" t="s">
        <v>19</v>
      </c>
      <c r="H37" s="26"/>
      <c r="I37" s="32"/>
      <c r="J37" s="258"/>
      <c r="K37" s="26"/>
      <c r="L37" s="26"/>
      <c r="M37" s="21"/>
      <c r="N37" s="21"/>
      <c r="O37" s="21"/>
      <c r="IU37" s="23"/>
      <c r="IV37" s="23"/>
      <c r="IW37" s="23"/>
      <c r="IX37" s="23"/>
    </row>
    <row r="38" spans="1:258" ht="17.25" x14ac:dyDescent="0.25">
      <c r="A38" s="24"/>
      <c r="B38" s="23"/>
      <c r="C38" s="24"/>
      <c r="D38" s="316"/>
      <c r="E38" s="117"/>
      <c r="F38" s="75">
        <f>-Allocations!H28</f>
        <v>-467.05007842203582</v>
      </c>
      <c r="G38" s="213" t="str">
        <f>G18</f>
        <v>(D)</v>
      </c>
      <c r="H38" s="281">
        <f>SUM(D36:F38)</f>
        <v>15035.815828452962</v>
      </c>
      <c r="I38" s="32"/>
      <c r="J38" s="258"/>
      <c r="K38" s="26"/>
      <c r="L38" s="26"/>
      <c r="M38" s="21"/>
      <c r="N38" s="21"/>
      <c r="O38" s="21"/>
      <c r="IU38" s="23"/>
      <c r="IV38" s="23"/>
      <c r="IW38" s="23"/>
      <c r="IX38" s="23"/>
    </row>
    <row r="39" spans="1:258" ht="17.25" x14ac:dyDescent="0.25">
      <c r="A39" s="29" t="s">
        <v>40</v>
      </c>
      <c r="B39" s="24"/>
      <c r="C39" s="24"/>
      <c r="D39" s="281">
        <f>SUM(D33:D38)</f>
        <v>1294282</v>
      </c>
      <c r="E39" s="117"/>
      <c r="F39" s="281">
        <f>SUM(F33:F38)</f>
        <v>10844.619861672423</v>
      </c>
      <c r="G39" s="28"/>
      <c r="H39" s="281">
        <f>SUM(H33:H38)</f>
        <v>1299531.7036116724</v>
      </c>
      <c r="I39" s="169"/>
      <c r="J39" s="258"/>
      <c r="K39" s="26"/>
      <c r="L39" s="26"/>
      <c r="M39" s="21"/>
      <c r="N39" s="21"/>
      <c r="O39" s="21"/>
      <c r="IU39" s="23"/>
      <c r="IV39" s="23"/>
      <c r="IW39" s="23"/>
      <c r="IX39" s="23"/>
    </row>
    <row r="40" spans="1:258" x14ac:dyDescent="0.25">
      <c r="A40" s="29" t="s">
        <v>41</v>
      </c>
      <c r="B40" s="24"/>
      <c r="C40" s="24"/>
      <c r="D40" s="301">
        <f>D13-D39</f>
        <v>105344</v>
      </c>
      <c r="E40" s="301"/>
      <c r="F40" s="301">
        <f>F13-F39</f>
        <v>45787.163138327167</v>
      </c>
      <c r="G40" s="302"/>
      <c r="H40" s="301">
        <f>H13-H39</f>
        <v>156726.0793883272</v>
      </c>
      <c r="I40" s="26"/>
      <c r="J40" s="258"/>
      <c r="K40" s="26"/>
      <c r="L40" s="26"/>
      <c r="M40" s="21"/>
      <c r="N40" s="21"/>
      <c r="O40" s="21"/>
      <c r="IU40" s="23"/>
      <c r="IV40" s="23"/>
      <c r="IW40" s="23"/>
      <c r="IX40" s="23"/>
    </row>
    <row r="41" spans="1:258" x14ac:dyDescent="0.25">
      <c r="A41" s="24"/>
      <c r="B41" s="24"/>
      <c r="C41" s="24"/>
      <c r="D41" s="26"/>
      <c r="E41" s="26"/>
      <c r="F41" s="26"/>
      <c r="G41" s="26"/>
      <c r="H41" s="26"/>
      <c r="I41" s="26"/>
      <c r="J41" s="24"/>
      <c r="K41" s="28"/>
      <c r="L41" s="26"/>
      <c r="M41" s="26"/>
      <c r="N41" s="258"/>
      <c r="O41" s="26"/>
      <c r="P41" s="26"/>
      <c r="Q41" s="21"/>
      <c r="R41" s="21"/>
      <c r="S41" s="21"/>
    </row>
    <row r="42" spans="1:258" x14ac:dyDescent="0.25">
      <c r="A42" s="340" t="s">
        <v>42</v>
      </c>
      <c r="B42" s="340"/>
      <c r="C42" s="340"/>
      <c r="D42" s="340"/>
      <c r="E42" s="340"/>
      <c r="F42" s="340"/>
      <c r="G42" s="340"/>
      <c r="H42" s="340"/>
      <c r="I42" s="339"/>
      <c r="J42" s="339"/>
      <c r="K42" s="339"/>
      <c r="L42" s="339"/>
      <c r="M42" s="26"/>
      <c r="N42" s="258"/>
      <c r="O42" s="26"/>
      <c r="P42" s="26"/>
      <c r="Q42" s="21"/>
      <c r="R42" s="21"/>
      <c r="S42" s="21"/>
    </row>
    <row r="43" spans="1:258" x14ac:dyDescent="0.25">
      <c r="A43" s="29" t="s">
        <v>43</v>
      </c>
      <c r="B43" s="24"/>
      <c r="C43" s="24"/>
      <c r="D43" s="30"/>
      <c r="E43" s="30"/>
      <c r="F43" s="30"/>
      <c r="G43" s="30"/>
      <c r="H43" s="301">
        <f>H39</f>
        <v>1299531.7036116724</v>
      </c>
      <c r="I43" s="30"/>
      <c r="J43" s="24"/>
      <c r="K43" s="28"/>
      <c r="M43" s="26"/>
      <c r="N43" s="258"/>
      <c r="O43" s="26"/>
      <c r="P43" s="26"/>
      <c r="Q43" s="21"/>
      <c r="R43" s="21"/>
      <c r="S43" s="21"/>
    </row>
    <row r="44" spans="1:258" x14ac:dyDescent="0.25">
      <c r="A44" s="24" t="s">
        <v>44</v>
      </c>
      <c r="B44" s="24"/>
      <c r="C44" s="24" t="s">
        <v>45</v>
      </c>
      <c r="D44" s="30"/>
      <c r="E44" s="30"/>
      <c r="F44" s="30"/>
      <c r="G44" s="30"/>
      <c r="H44" s="26">
        <f>'Debt Service'!M21</f>
        <v>291041.18200000003</v>
      </c>
      <c r="I44" s="30"/>
      <c r="J44" s="24"/>
      <c r="K44" s="2"/>
      <c r="M44" s="26"/>
      <c r="N44" s="258"/>
      <c r="O44" s="26"/>
      <c r="P44" s="26"/>
      <c r="Q44" s="21"/>
      <c r="R44" s="21"/>
      <c r="S44" s="21"/>
    </row>
    <row r="45" spans="1:258" ht="17.25" x14ac:dyDescent="0.25">
      <c r="A45" s="24"/>
      <c r="B45" s="24"/>
      <c r="C45" s="24" t="s">
        <v>46</v>
      </c>
      <c r="D45" s="30"/>
      <c r="E45" s="30"/>
      <c r="F45" s="30"/>
      <c r="G45" s="30"/>
      <c r="H45" s="117">
        <f>'Debt Service'!M22</f>
        <v>58208.236400000009</v>
      </c>
      <c r="I45" s="30"/>
      <c r="J45" s="24"/>
      <c r="K45" s="2"/>
      <c r="M45" s="26"/>
      <c r="N45" s="1"/>
      <c r="O45" s="26"/>
      <c r="P45" s="26"/>
      <c r="Q45" s="21"/>
      <c r="R45" s="21"/>
      <c r="S45" s="21"/>
    </row>
    <row r="46" spans="1:258" x14ac:dyDescent="0.25">
      <c r="A46" s="29" t="s">
        <v>47</v>
      </c>
      <c r="B46" s="24"/>
      <c r="C46" s="24"/>
      <c r="D46" s="30"/>
      <c r="E46" s="30"/>
      <c r="F46" s="30"/>
      <c r="G46" s="30"/>
      <c r="H46" s="26">
        <f>SUM(H43:H45)</f>
        <v>1648781.1220116725</v>
      </c>
      <c r="I46" s="30"/>
      <c r="J46" s="24"/>
      <c r="K46" s="28"/>
      <c r="M46" s="26"/>
      <c r="O46" s="26"/>
      <c r="P46" s="26"/>
      <c r="Q46" s="21"/>
      <c r="R46" s="21"/>
      <c r="S46" s="21"/>
    </row>
    <row r="47" spans="1:258" x14ac:dyDescent="0.25">
      <c r="A47" s="24" t="s">
        <v>48</v>
      </c>
      <c r="B47" s="24"/>
      <c r="C47" s="24" t="s">
        <v>49</v>
      </c>
      <c r="D47" s="30"/>
      <c r="E47" s="30"/>
      <c r="F47" s="30"/>
      <c r="G47" s="30"/>
      <c r="H47" s="118">
        <f>-SUM(H10:H12)</f>
        <v>-25080</v>
      </c>
      <c r="I47" s="30"/>
      <c r="J47" s="24"/>
      <c r="K47" s="28"/>
      <c r="M47" s="26"/>
      <c r="O47" s="26"/>
      <c r="P47" s="26"/>
      <c r="Q47" s="21"/>
      <c r="R47" s="21"/>
      <c r="S47" s="21"/>
    </row>
    <row r="48" spans="1:258" ht="17.25" x14ac:dyDescent="0.25">
      <c r="A48" s="24"/>
      <c r="B48" s="24"/>
      <c r="C48" s="24" t="s">
        <v>50</v>
      </c>
      <c r="D48" s="30"/>
      <c r="E48" s="30"/>
      <c r="F48" s="30"/>
      <c r="G48" s="30"/>
      <c r="H48" s="117">
        <f>-1064</f>
        <v>-1064</v>
      </c>
      <c r="I48" s="30"/>
      <c r="J48" s="24"/>
      <c r="K48" s="28"/>
      <c r="M48" s="26"/>
      <c r="O48" s="26"/>
      <c r="P48" s="26"/>
      <c r="Q48" s="21"/>
      <c r="R48" s="21"/>
      <c r="S48" s="21"/>
    </row>
    <row r="49" spans="1:19" x14ac:dyDescent="0.25">
      <c r="A49" s="29" t="s">
        <v>51</v>
      </c>
      <c r="B49" s="24"/>
      <c r="C49" s="24"/>
      <c r="D49" s="30"/>
      <c r="E49" s="30"/>
      <c r="F49" s="30"/>
      <c r="G49" s="30"/>
      <c r="H49" s="26">
        <f>SUM(H46:H48)</f>
        <v>1622637.1220116725</v>
      </c>
      <c r="I49" s="30"/>
      <c r="J49" s="24"/>
      <c r="K49" s="28"/>
      <c r="N49" s="260"/>
      <c r="O49" s="63"/>
      <c r="P49" s="26"/>
      <c r="Q49" s="24"/>
      <c r="R49" s="24"/>
      <c r="S49" s="24"/>
    </row>
    <row r="50" spans="1:19" ht="17.25" x14ac:dyDescent="0.25">
      <c r="A50" s="24" t="s">
        <v>48</v>
      </c>
      <c r="B50" s="24"/>
      <c r="C50" s="24" t="s">
        <v>52</v>
      </c>
      <c r="D50" s="30"/>
      <c r="E50" s="30"/>
      <c r="F50" s="30"/>
      <c r="G50" s="30"/>
      <c r="H50" s="117">
        <f>-H8</f>
        <v>-1431177.7829999996</v>
      </c>
      <c r="I50" s="30"/>
      <c r="J50" s="24"/>
      <c r="K50" s="28"/>
      <c r="M50" s="26"/>
      <c r="N50" s="1"/>
      <c r="O50" s="26"/>
      <c r="P50" s="26"/>
      <c r="Q50" s="24"/>
      <c r="R50" s="24"/>
      <c r="S50" s="24"/>
    </row>
    <row r="51" spans="1:19" x14ac:dyDescent="0.25">
      <c r="A51" s="29" t="s">
        <v>53</v>
      </c>
      <c r="B51" s="24"/>
      <c r="C51" s="24"/>
      <c r="D51" s="30"/>
      <c r="E51" s="30"/>
      <c r="F51" s="30"/>
      <c r="G51" s="30"/>
      <c r="H51" s="301">
        <f>H49+H50</f>
        <v>191459.33901167288</v>
      </c>
      <c r="I51" s="30"/>
      <c r="J51" s="24"/>
      <c r="K51" s="28"/>
      <c r="M51" s="26"/>
      <c r="N51" s="1"/>
      <c r="O51" s="26"/>
      <c r="P51" s="26"/>
      <c r="Q51" s="24"/>
      <c r="R51" s="24"/>
      <c r="S51" s="24"/>
    </row>
    <row r="52" spans="1:19" ht="17.25" x14ac:dyDescent="0.25">
      <c r="A52" s="29" t="s">
        <v>54</v>
      </c>
      <c r="B52" s="24"/>
      <c r="C52" s="24"/>
      <c r="D52" s="30"/>
      <c r="E52" s="30"/>
      <c r="F52" s="30"/>
      <c r="G52" s="30"/>
      <c r="H52" s="62">
        <f>ROUND(H51/-H50,4)</f>
        <v>0.1338</v>
      </c>
      <c r="I52" s="30"/>
      <c r="J52" s="24"/>
      <c r="K52" s="28"/>
      <c r="M52" s="21"/>
      <c r="O52" s="31"/>
      <c r="P52" s="117"/>
      <c r="Q52" s="24"/>
      <c r="R52" s="24"/>
      <c r="S52" s="24"/>
    </row>
    <row r="53" spans="1:19" x14ac:dyDescent="0.25">
      <c r="A53" s="19"/>
      <c r="B53" s="19"/>
      <c r="C53" s="19"/>
      <c r="D53" s="30"/>
      <c r="E53" s="30"/>
      <c r="F53" s="30"/>
      <c r="G53" s="30"/>
      <c r="H53" s="30"/>
      <c r="I53" s="30"/>
      <c r="J53" s="19"/>
      <c r="L53" s="30"/>
      <c r="N53" s="1"/>
      <c r="O53" s="19"/>
      <c r="P53" s="19"/>
      <c r="Q53" s="19"/>
      <c r="R53" s="19"/>
      <c r="S53" s="19"/>
    </row>
    <row r="54" spans="1:19" x14ac:dyDescent="0.25">
      <c r="D54" s="173"/>
      <c r="E54" s="173"/>
      <c r="F54" s="173"/>
      <c r="G54" s="173"/>
      <c r="H54" s="173"/>
      <c r="I54" s="173"/>
      <c r="J54" s="165"/>
      <c r="L54" s="26"/>
      <c r="M54" s="165"/>
      <c r="N54" s="1"/>
      <c r="O54" s="19"/>
      <c r="P54" s="19"/>
      <c r="Q54" s="19"/>
      <c r="R54" s="19"/>
      <c r="S54" s="19"/>
    </row>
    <row r="55" spans="1:19" x14ac:dyDescent="0.25">
      <c r="D55" s="173"/>
      <c r="E55" s="173"/>
      <c r="F55" s="173"/>
      <c r="G55" s="173"/>
      <c r="H55" s="173"/>
      <c r="I55" s="173"/>
      <c r="J55" s="165"/>
      <c r="M55" s="165"/>
      <c r="N55" s="1"/>
      <c r="O55" s="19"/>
      <c r="P55" s="19"/>
      <c r="Q55" s="19"/>
      <c r="R55" s="19"/>
      <c r="S55" s="19"/>
    </row>
    <row r="56" spans="1:19" x14ac:dyDescent="0.25">
      <c r="D56" s="173"/>
      <c r="E56" s="173"/>
      <c r="F56" s="173"/>
      <c r="G56" s="173"/>
      <c r="H56" s="173"/>
      <c r="I56" s="173"/>
      <c r="J56" s="166"/>
      <c r="M56" s="166"/>
      <c r="N56" s="1"/>
      <c r="O56" s="19"/>
      <c r="P56" s="19"/>
      <c r="Q56" s="19"/>
      <c r="R56" s="19"/>
      <c r="S56" s="19"/>
    </row>
  </sheetData>
  <mergeCells count="4">
    <mergeCell ref="A42:H42"/>
    <mergeCell ref="A1:H1"/>
    <mergeCell ref="A2:H2"/>
    <mergeCell ref="A3:H3"/>
  </mergeCells>
  <printOptions horizontalCentered="1"/>
  <pageMargins left="1.1000000000000001" right="1" top="0.6" bottom="0.5" header="0" footer="0"/>
  <pageSetup scale="67" orientation="portrait" horizontalDpi="4294967293" r:id="rId1"/>
  <headerFooter alignWithMargins="0"/>
  <ignoredErrors>
    <ignoredError sqref="H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8"/>
  <sheetViews>
    <sheetView showGridLines="0" workbookViewId="0">
      <selection activeCell="B2" sqref="B2:N23"/>
    </sheetView>
  </sheetViews>
  <sheetFormatPr defaultColWidth="8.88671875" defaultRowHeight="15" x14ac:dyDescent="0.25"/>
  <cols>
    <col min="1" max="1" width="1.6640625" style="13" customWidth="1"/>
    <col min="2" max="2" width="17.33203125" style="197" bestFit="1" customWidth="1"/>
    <col min="3" max="7" width="7.77734375" style="13" bestFit="1" customWidth="1"/>
    <col min="8" max="8" width="7.77734375" style="13" customWidth="1"/>
    <col min="9" max="12" width="7.77734375" style="13" bestFit="1" customWidth="1"/>
    <col min="13" max="13" width="10" style="13" customWidth="1"/>
    <col min="14" max="14" width="0.77734375" style="13" customWidth="1"/>
    <col min="15" max="15" width="2.21875" style="13" customWidth="1"/>
    <col min="16" max="16384" width="8.88671875" style="13"/>
  </cols>
  <sheetData>
    <row r="1" spans="1:19" ht="15.75" x14ac:dyDescent="0.25">
      <c r="A1"/>
    </row>
    <row r="2" spans="1:19" ht="15.75" x14ac:dyDescent="0.25">
      <c r="A2"/>
      <c r="B2" s="94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19" ht="18.75" x14ac:dyDescent="0.3">
      <c r="A3"/>
      <c r="B3" s="347" t="s">
        <v>214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78"/>
    </row>
    <row r="4" spans="1:19" ht="18.75" x14ac:dyDescent="0.3">
      <c r="A4"/>
      <c r="B4" s="349" t="s">
        <v>215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78"/>
    </row>
    <row r="5" spans="1:19" ht="15.75" x14ac:dyDescent="0.25">
      <c r="A5"/>
      <c r="B5" s="350" t="s">
        <v>1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78"/>
    </row>
    <row r="6" spans="1:19" ht="15.75" x14ac:dyDescent="0.25">
      <c r="A6"/>
      <c r="B6" s="351" t="s">
        <v>216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78"/>
    </row>
    <row r="7" spans="1:19" ht="15.75" x14ac:dyDescent="0.25">
      <c r="A7"/>
      <c r="B7" s="198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78"/>
    </row>
    <row r="8" spans="1:19" ht="15.75" x14ac:dyDescent="0.25">
      <c r="A8"/>
      <c r="B8" s="128"/>
      <c r="C8" s="94"/>
      <c r="D8" s="109"/>
      <c r="E8" s="94"/>
      <c r="F8" s="110"/>
      <c r="G8" s="94"/>
      <c r="H8" s="110"/>
      <c r="I8" s="94"/>
      <c r="J8" s="110"/>
      <c r="K8" s="94"/>
      <c r="L8" s="110"/>
      <c r="M8" s="109"/>
      <c r="N8" s="77"/>
    </row>
    <row r="9" spans="1:19" ht="15.75" customHeight="1" x14ac:dyDescent="0.25">
      <c r="A9"/>
      <c r="B9" s="132"/>
      <c r="C9" s="111" t="s">
        <v>217</v>
      </c>
      <c r="D9" s="92"/>
      <c r="E9" s="111" t="s">
        <v>218</v>
      </c>
      <c r="F9" s="129"/>
      <c r="G9" s="111" t="s">
        <v>219</v>
      </c>
      <c r="H9" s="129"/>
      <c r="I9" s="111" t="s">
        <v>220</v>
      </c>
      <c r="J9" s="129"/>
      <c r="K9" s="111" t="s">
        <v>221</v>
      </c>
      <c r="L9" s="129"/>
      <c r="N9" s="78"/>
    </row>
    <row r="10" spans="1:19" ht="17.25" x14ac:dyDescent="0.25">
      <c r="A10"/>
      <c r="B10" s="132"/>
      <c r="C10" s="95" t="s">
        <v>222</v>
      </c>
      <c r="D10" s="130" t="s">
        <v>223</v>
      </c>
      <c r="E10" s="95" t="s">
        <v>222</v>
      </c>
      <c r="F10" s="131" t="s">
        <v>223</v>
      </c>
      <c r="G10" s="95" t="s">
        <v>222</v>
      </c>
      <c r="H10" s="131" t="s">
        <v>223</v>
      </c>
      <c r="I10" s="95" t="s">
        <v>222</v>
      </c>
      <c r="J10" s="131" t="s">
        <v>223</v>
      </c>
      <c r="K10" s="95" t="s">
        <v>222</v>
      </c>
      <c r="L10" s="131" t="s">
        <v>223</v>
      </c>
      <c r="M10" s="112" t="s">
        <v>224</v>
      </c>
      <c r="N10" s="78"/>
    </row>
    <row r="11" spans="1:19" ht="18" x14ac:dyDescent="0.4">
      <c r="A11"/>
      <c r="B11" s="199" t="s">
        <v>2</v>
      </c>
      <c r="C11" s="95"/>
      <c r="D11" s="130"/>
      <c r="E11" s="95"/>
      <c r="F11" s="131"/>
      <c r="G11" s="95"/>
      <c r="H11" s="131"/>
      <c r="I11" s="95"/>
      <c r="J11" s="131"/>
      <c r="K11" s="95"/>
      <c r="L11" s="131"/>
      <c r="M11" s="112"/>
      <c r="N11" s="78"/>
    </row>
    <row r="12" spans="1:19" ht="15.75" x14ac:dyDescent="0.25">
      <c r="A12"/>
      <c r="B12" s="132" t="s">
        <v>225</v>
      </c>
      <c r="C12" s="96">
        <v>50000</v>
      </c>
      <c r="D12" s="133">
        <v>31327</v>
      </c>
      <c r="E12" s="97">
        <v>55000</v>
      </c>
      <c r="F12" s="98">
        <v>28945</v>
      </c>
      <c r="G12" s="97">
        <v>55000</v>
      </c>
      <c r="H12" s="98">
        <v>26924</v>
      </c>
      <c r="I12" s="97">
        <v>60000</v>
      </c>
      <c r="J12" s="98">
        <v>25095</v>
      </c>
      <c r="K12" s="97">
        <v>60000</v>
      </c>
      <c r="L12" s="134">
        <v>23115</v>
      </c>
      <c r="M12" s="113">
        <f>SUM(C12:L12)</f>
        <v>415406</v>
      </c>
      <c r="N12" s="78"/>
      <c r="S12" s="168"/>
    </row>
    <row r="13" spans="1:19" ht="15.75" x14ac:dyDescent="0.25">
      <c r="A13"/>
      <c r="B13" s="132" t="s">
        <v>226</v>
      </c>
      <c r="C13" s="13">
        <v>51499.91</v>
      </c>
      <c r="D13" s="13">
        <v>30277</v>
      </c>
      <c r="E13" s="97">
        <v>53000</v>
      </c>
      <c r="F13" s="134">
        <v>29297</v>
      </c>
      <c r="G13" s="97">
        <v>54500</v>
      </c>
      <c r="H13" s="134">
        <v>28347</v>
      </c>
      <c r="I13" s="97">
        <v>56000</v>
      </c>
      <c r="J13" s="134">
        <v>27397</v>
      </c>
      <c r="K13" s="97">
        <v>57500</v>
      </c>
      <c r="L13" s="134">
        <v>26447</v>
      </c>
      <c r="M13" s="135">
        <f t="shared" ref="M13:M18" si="0">SUM(C13:L13)</f>
        <v>414264.91000000003</v>
      </c>
      <c r="N13" s="78"/>
      <c r="S13" s="168"/>
    </row>
    <row r="14" spans="1:19" ht="15.75" x14ac:dyDescent="0.25">
      <c r="A14"/>
      <c r="B14" s="132" t="s">
        <v>227</v>
      </c>
      <c r="C14" s="13">
        <v>91743</v>
      </c>
      <c r="D14" s="13">
        <v>33839</v>
      </c>
      <c r="E14" s="97">
        <v>93587</v>
      </c>
      <c r="F14" s="134">
        <v>31754</v>
      </c>
      <c r="G14" s="97">
        <v>95456</v>
      </c>
      <c r="H14" s="134">
        <v>29648</v>
      </c>
      <c r="I14" s="97">
        <v>97387</v>
      </c>
      <c r="J14" s="134">
        <v>27490</v>
      </c>
      <c r="K14" s="97">
        <v>99344</v>
      </c>
      <c r="L14" s="134">
        <v>25287</v>
      </c>
      <c r="M14" s="135">
        <f t="shared" si="0"/>
        <v>625535</v>
      </c>
      <c r="N14" s="78"/>
      <c r="S14" s="168"/>
    </row>
    <row r="15" spans="1:19" ht="15.75" x14ac:dyDescent="0.25">
      <c r="A15"/>
      <c r="B15" s="132"/>
      <c r="E15" s="97"/>
      <c r="F15" s="134"/>
      <c r="G15" s="97"/>
      <c r="H15" s="134"/>
      <c r="I15" s="97"/>
      <c r="J15" s="134"/>
      <c r="K15" s="97"/>
      <c r="L15" s="134"/>
      <c r="M15" s="135">
        <f t="shared" si="0"/>
        <v>0</v>
      </c>
      <c r="N15" s="78"/>
      <c r="S15" s="168"/>
    </row>
    <row r="16" spans="1:19" ht="15.75" x14ac:dyDescent="0.25">
      <c r="A16"/>
      <c r="B16" s="132"/>
      <c r="E16" s="97"/>
      <c r="F16" s="98"/>
      <c r="G16" s="97"/>
      <c r="H16" s="98"/>
      <c r="I16" s="97"/>
      <c r="J16" s="98"/>
      <c r="K16" s="97"/>
      <c r="L16" s="134"/>
      <c r="M16" s="135">
        <f t="shared" si="0"/>
        <v>0</v>
      </c>
      <c r="N16" s="78"/>
      <c r="S16" s="168"/>
    </row>
    <row r="17" spans="1:19" ht="15.75" x14ac:dyDescent="0.25">
      <c r="A17"/>
      <c r="B17" s="200"/>
      <c r="C17" s="99"/>
      <c r="D17" s="136"/>
      <c r="E17" s="99"/>
      <c r="F17" s="136"/>
      <c r="G17" s="99"/>
      <c r="H17" s="136"/>
      <c r="I17" s="99"/>
      <c r="J17" s="136"/>
      <c r="K17" s="99"/>
      <c r="L17" s="137"/>
      <c r="M17" s="135">
        <f t="shared" si="0"/>
        <v>0</v>
      </c>
      <c r="N17" s="78"/>
      <c r="P17" s="196"/>
      <c r="S17" s="168"/>
    </row>
    <row r="18" spans="1:19" ht="15.75" x14ac:dyDescent="0.25">
      <c r="A18"/>
      <c r="B18" s="99"/>
      <c r="C18" s="139"/>
      <c r="D18" s="140"/>
      <c r="E18" s="139"/>
      <c r="F18" s="140"/>
      <c r="G18" s="139"/>
      <c r="H18" s="140"/>
      <c r="I18" s="139"/>
      <c r="J18" s="140"/>
      <c r="K18" s="139"/>
      <c r="L18" s="141"/>
      <c r="M18" s="203">
        <f t="shared" si="0"/>
        <v>0</v>
      </c>
      <c r="N18" s="78"/>
      <c r="S18" s="168"/>
    </row>
    <row r="19" spans="1:19" ht="15.75" x14ac:dyDescent="0.25">
      <c r="A19"/>
      <c r="B19" s="201" t="s">
        <v>228</v>
      </c>
      <c r="C19" s="142">
        <f>SUM(C12:C18)</f>
        <v>193242.91</v>
      </c>
      <c r="D19" s="142">
        <f t="shared" ref="D19:L19" si="1">SUM(D12:D18)</f>
        <v>95443</v>
      </c>
      <c r="E19" s="142">
        <f t="shared" si="1"/>
        <v>201587</v>
      </c>
      <c r="F19" s="142">
        <f t="shared" si="1"/>
        <v>89996</v>
      </c>
      <c r="G19" s="142">
        <f t="shared" si="1"/>
        <v>204956</v>
      </c>
      <c r="H19" s="142">
        <f t="shared" si="1"/>
        <v>84919</v>
      </c>
      <c r="I19" s="142">
        <f t="shared" si="1"/>
        <v>213387</v>
      </c>
      <c r="J19" s="142">
        <f t="shared" si="1"/>
        <v>79982</v>
      </c>
      <c r="K19" s="142">
        <f t="shared" si="1"/>
        <v>216844</v>
      </c>
      <c r="L19" s="142">
        <f t="shared" si="1"/>
        <v>74849</v>
      </c>
      <c r="M19" s="142">
        <f>SUM(C19:L19)</f>
        <v>1455205.9100000001</v>
      </c>
      <c r="N19" s="80"/>
      <c r="P19" s="13">
        <f>SUM(M12:M18)</f>
        <v>1455205.9100000001</v>
      </c>
    </row>
    <row r="20" spans="1:19" ht="15.75" x14ac:dyDescent="0.25">
      <c r="A20"/>
      <c r="B20" s="202"/>
      <c r="C20" s="100"/>
      <c r="D20" s="100"/>
      <c r="E20" s="100"/>
      <c r="F20" s="100"/>
      <c r="G20" s="100"/>
      <c r="H20" s="100"/>
      <c r="I20" s="100"/>
      <c r="J20" s="82"/>
      <c r="K20" s="82"/>
      <c r="L20" s="82"/>
      <c r="M20" s="100"/>
      <c r="N20" s="78"/>
    </row>
    <row r="21" spans="1:19" ht="15.75" x14ac:dyDescent="0.25">
      <c r="A21"/>
      <c r="B21" s="202"/>
      <c r="C21" s="102"/>
      <c r="D21" s="101"/>
      <c r="E21" s="102"/>
      <c r="F21" s="102"/>
      <c r="G21" s="102"/>
      <c r="H21" s="101" t="s">
        <v>229</v>
      </c>
      <c r="K21" s="79"/>
      <c r="L21" s="138"/>
      <c r="M21" s="102">
        <f>M19/5</f>
        <v>291041.18200000003</v>
      </c>
      <c r="N21" s="78"/>
    </row>
    <row r="22" spans="1:19" ht="15.75" x14ac:dyDescent="0.25">
      <c r="A22"/>
      <c r="B22" s="202"/>
      <c r="C22" s="101"/>
      <c r="D22" s="101"/>
      <c r="E22" s="101"/>
      <c r="F22" s="101"/>
      <c r="G22" s="101"/>
      <c r="H22" s="101" t="s">
        <v>230</v>
      </c>
      <c r="K22" s="79"/>
      <c r="L22" s="101"/>
      <c r="M22" s="102">
        <f>M21*0.2</f>
        <v>58208.236400000009</v>
      </c>
      <c r="N22" s="78"/>
      <c r="P22" s="13">
        <f>M22+M21</f>
        <v>349249.41840000002</v>
      </c>
    </row>
    <row r="23" spans="1:19" ht="15.75" x14ac:dyDescent="0.25">
      <c r="A23"/>
      <c r="B23" s="290"/>
      <c r="C23" s="291"/>
      <c r="D23" s="291"/>
      <c r="E23" s="291"/>
      <c r="F23" s="291"/>
      <c r="G23" s="291"/>
      <c r="H23" s="291"/>
      <c r="I23" s="15"/>
      <c r="J23" s="15"/>
      <c r="K23" s="291"/>
      <c r="L23" s="291"/>
      <c r="M23" s="292"/>
      <c r="N23" s="80"/>
    </row>
    <row r="24" spans="1:19" ht="15.75" x14ac:dyDescent="0.25">
      <c r="A24"/>
      <c r="B24" s="168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72"/>
      <c r="O24" s="72"/>
    </row>
    <row r="25" spans="1:19" ht="15.4" customHeight="1" x14ac:dyDescent="0.25">
      <c r="A25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72"/>
      <c r="O25" s="72"/>
    </row>
    <row r="26" spans="1:19" ht="15.4" customHeight="1" x14ac:dyDescent="0.25">
      <c r="A26"/>
      <c r="B26" s="16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72"/>
      <c r="N26" s="72"/>
      <c r="O26" s="72"/>
    </row>
    <row r="27" spans="1:19" ht="15.4" customHeight="1" x14ac:dyDescent="0.25">
      <c r="A27"/>
      <c r="B27" s="168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72"/>
      <c r="O27" s="72"/>
    </row>
    <row r="28" spans="1:19" ht="17.25" x14ac:dyDescent="0.4">
      <c r="B28" s="289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9" x14ac:dyDescent="0.25">
      <c r="B29" s="168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135"/>
      <c r="N29" s="72"/>
      <c r="O29" s="72"/>
    </row>
    <row r="30" spans="1:19" x14ac:dyDescent="0.25">
      <c r="B30" s="168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135"/>
      <c r="N30" s="72"/>
      <c r="O30" s="72"/>
    </row>
    <row r="31" spans="1:19" x14ac:dyDescent="0.25">
      <c r="B31" s="168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72"/>
      <c r="O31" s="72"/>
      <c r="P31" s="13">
        <f>SUM(C31:L31)</f>
        <v>0</v>
      </c>
    </row>
    <row r="32" spans="1:19" x14ac:dyDescent="0.25">
      <c r="B32" s="168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2:15" x14ac:dyDescent="0.25">
      <c r="B33" s="168"/>
      <c r="C33" s="72"/>
      <c r="D33" s="72"/>
      <c r="E33" s="72"/>
      <c r="F33" s="72"/>
      <c r="G33" s="72"/>
      <c r="H33" s="79"/>
      <c r="I33" s="72"/>
      <c r="J33" s="72"/>
      <c r="K33" s="79"/>
      <c r="L33" s="138"/>
      <c r="M33" s="138"/>
      <c r="N33" s="72"/>
      <c r="O33" s="72"/>
    </row>
    <row r="34" spans="2:15" x14ac:dyDescent="0.25">
      <c r="B34" s="168"/>
      <c r="C34" s="72"/>
      <c r="D34" s="72"/>
      <c r="E34" s="72"/>
      <c r="F34" s="72"/>
      <c r="G34" s="72"/>
      <c r="H34" s="79"/>
      <c r="I34" s="72"/>
      <c r="J34" s="72"/>
      <c r="K34" s="79"/>
      <c r="L34" s="79"/>
      <c r="M34" s="138"/>
      <c r="N34" s="72"/>
      <c r="O34" s="72"/>
    </row>
    <row r="35" spans="2:15" x14ac:dyDescent="0.25">
      <c r="B35" s="168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2:15" x14ac:dyDescent="0.25">
      <c r="B36" s="168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2:15" x14ac:dyDescent="0.25">
      <c r="B37" s="168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</row>
    <row r="38" spans="2:15" x14ac:dyDescent="0.25">
      <c r="B38" s="168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</sheetData>
  <mergeCells count="4">
    <mergeCell ref="B3:M3"/>
    <mergeCell ref="B4:M4"/>
    <mergeCell ref="B5:M5"/>
    <mergeCell ref="B6:M6"/>
  </mergeCells>
  <printOptions horizontalCentered="1"/>
  <pageMargins left="0.6" right="0.5" top="1.5" bottom="0.75" header="0.3" footer="0.3"/>
  <pageSetup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54"/>
  <sheetViews>
    <sheetView showGridLines="0" topLeftCell="A6" zoomScaleNormal="100" workbookViewId="0">
      <selection sqref="A1:J111"/>
    </sheetView>
  </sheetViews>
  <sheetFormatPr defaultColWidth="8.88671875" defaultRowHeight="15" x14ac:dyDescent="0.25"/>
  <cols>
    <col min="1" max="1" width="8.44140625" style="1" customWidth="1"/>
    <col min="2" max="2" width="8.6640625" style="1" customWidth="1"/>
    <col min="3" max="3" width="8" style="1" customWidth="1"/>
    <col min="4" max="4" width="11.5546875" style="3" customWidth="1"/>
    <col min="5" max="5" width="9.77734375" style="1" customWidth="1"/>
    <col min="6" max="6" width="10.33203125" style="1" customWidth="1"/>
    <col min="7" max="7" width="10.5546875" style="1" customWidth="1"/>
    <col min="8" max="9" width="9.77734375" style="1" customWidth="1"/>
    <col min="10" max="10" width="10.77734375" style="1" customWidth="1"/>
    <col min="11" max="11" width="9.88671875" style="1" bestFit="1" customWidth="1"/>
    <col min="12" max="12" width="10.5546875" style="3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.75" x14ac:dyDescent="0.3">
      <c r="A1" s="68" t="s">
        <v>231</v>
      </c>
      <c r="B1" s="6"/>
      <c r="C1" s="6"/>
      <c r="D1" s="189"/>
      <c r="E1" s="6"/>
      <c r="F1" s="6"/>
      <c r="G1" s="6"/>
      <c r="H1" s="6"/>
      <c r="I1" s="6"/>
    </row>
    <row r="2" spans="1:17" ht="18.75" x14ac:dyDescent="0.25">
      <c r="A2" s="341" t="s">
        <v>232</v>
      </c>
      <c r="B2" s="341"/>
      <c r="C2" s="341"/>
      <c r="D2" s="341"/>
      <c r="E2" s="341"/>
      <c r="F2" s="341"/>
      <c r="G2" s="341"/>
      <c r="H2" s="341"/>
      <c r="I2" s="341"/>
    </row>
    <row r="3" spans="1:17" x14ac:dyDescent="0.25">
      <c r="M3" s="3"/>
      <c r="Q3" s="3"/>
    </row>
    <row r="4" spans="1:17" ht="17.25" x14ac:dyDescent="0.4">
      <c r="C4" s="73" t="s">
        <v>233</v>
      </c>
      <c r="M4" s="69"/>
      <c r="Q4" s="105"/>
    </row>
    <row r="5" spans="1:17" x14ac:dyDescent="0.25">
      <c r="C5" s="108"/>
      <c r="D5" s="75"/>
      <c r="E5" s="9" t="s">
        <v>234</v>
      </c>
      <c r="F5" s="9" t="s">
        <v>235</v>
      </c>
      <c r="G5" s="9" t="s">
        <v>236</v>
      </c>
      <c r="H5" s="2"/>
      <c r="J5" s="114"/>
      <c r="K5" s="3"/>
      <c r="L5" s="114"/>
      <c r="M5" s="3"/>
      <c r="Q5" s="35"/>
    </row>
    <row r="6" spans="1:17" x14ac:dyDescent="0.25">
      <c r="C6" s="1" t="s">
        <v>237</v>
      </c>
      <c r="E6" s="3">
        <f>C29</f>
        <v>35689</v>
      </c>
      <c r="F6" s="64">
        <f>D29</f>
        <v>100729500</v>
      </c>
      <c r="G6" s="66">
        <f>F38</f>
        <v>1504494.7489999998</v>
      </c>
      <c r="H6" s="66"/>
      <c r="J6" s="114"/>
      <c r="K6" s="35"/>
    </row>
    <row r="7" spans="1:17" x14ac:dyDescent="0.25">
      <c r="C7" s="1" t="s">
        <v>238</v>
      </c>
      <c r="E7" s="3">
        <f>C48</f>
        <v>0</v>
      </c>
      <c r="F7" s="64">
        <f>D48</f>
        <v>0</v>
      </c>
      <c r="G7" s="66">
        <f>F57</f>
        <v>0</v>
      </c>
      <c r="H7" s="66"/>
      <c r="J7" s="114"/>
      <c r="K7" s="35"/>
    </row>
    <row r="8" spans="1:17" x14ac:dyDescent="0.25">
      <c r="C8" s="1" t="s">
        <v>239</v>
      </c>
      <c r="E8" s="3">
        <f>C65</f>
        <v>121</v>
      </c>
      <c r="F8" s="64">
        <f>D65</f>
        <v>1053300</v>
      </c>
      <c r="G8" s="3">
        <f>F72</f>
        <v>17557.899999999998</v>
      </c>
      <c r="H8" s="3"/>
      <c r="J8" s="114"/>
      <c r="K8" s="3"/>
    </row>
    <row r="9" spans="1:17" x14ac:dyDescent="0.25">
      <c r="B9" s="1" t="s">
        <v>240</v>
      </c>
      <c r="C9" s="1" t="s">
        <v>241</v>
      </c>
      <c r="E9" s="3">
        <f>C79</f>
        <v>90</v>
      </c>
      <c r="F9" s="64">
        <f>D79</f>
        <v>1351160</v>
      </c>
      <c r="G9" s="3">
        <f>F85</f>
        <v>24271.788</v>
      </c>
      <c r="H9" s="3"/>
      <c r="J9" s="114"/>
      <c r="K9" s="3"/>
    </row>
    <row r="10" spans="1:17" x14ac:dyDescent="0.25">
      <c r="C10" s="1" t="s">
        <v>242</v>
      </c>
      <c r="E10" s="5">
        <f>C92</f>
        <v>74</v>
      </c>
      <c r="F10" s="283">
        <f>D92</f>
        <v>5005100</v>
      </c>
      <c r="G10" s="5">
        <f>F98</f>
        <v>43579.952000000005</v>
      </c>
      <c r="H10" s="3"/>
      <c r="J10" s="114"/>
      <c r="K10" s="3"/>
    </row>
    <row r="11" spans="1:17" x14ac:dyDescent="0.25">
      <c r="C11" s="1" t="s">
        <v>243</v>
      </c>
      <c r="E11" s="75">
        <f>C105</f>
        <v>5</v>
      </c>
      <c r="F11" s="188">
        <f>D105</f>
        <v>648400</v>
      </c>
      <c r="G11" s="75">
        <f>F111</f>
        <v>3851.9939999999997</v>
      </c>
      <c r="H11" s="3"/>
      <c r="J11" s="114"/>
      <c r="K11" s="3"/>
    </row>
    <row r="12" spans="1:17" x14ac:dyDescent="0.25">
      <c r="C12" s="1" t="s">
        <v>228</v>
      </c>
      <c r="E12" s="35">
        <f>SUM(E6:E11)</f>
        <v>35979</v>
      </c>
      <c r="F12" s="5">
        <f>SUM(F6:F11)</f>
        <v>108787460</v>
      </c>
      <c r="G12" s="4">
        <f>SUM(G6:G11)</f>
        <v>1593756.3829999997</v>
      </c>
      <c r="H12" s="4"/>
      <c r="J12" s="114"/>
      <c r="K12" s="35"/>
      <c r="M12" s="65"/>
    </row>
    <row r="13" spans="1:17" x14ac:dyDescent="0.25">
      <c r="C13" s="1" t="s">
        <v>244</v>
      </c>
      <c r="E13" s="35"/>
      <c r="F13" s="5"/>
      <c r="G13" s="149">
        <f>-25751.46+1292.53-124296.29-12014.15-1809.23</f>
        <v>-162578.6</v>
      </c>
      <c r="H13" s="4"/>
      <c r="J13" s="114"/>
      <c r="K13" s="35"/>
      <c r="M13" s="65"/>
    </row>
    <row r="14" spans="1:17" x14ac:dyDescent="0.25">
      <c r="C14" s="1" t="s">
        <v>245</v>
      </c>
      <c r="E14" s="35"/>
      <c r="F14" s="5"/>
      <c r="G14" s="4">
        <f>G12+G13</f>
        <v>1431177.7829999996</v>
      </c>
      <c r="H14" s="4"/>
      <c r="J14" s="114"/>
      <c r="K14" s="35"/>
      <c r="M14" s="65"/>
    </row>
    <row r="15" spans="1:17" x14ac:dyDescent="0.25">
      <c r="C15" s="1" t="s">
        <v>246</v>
      </c>
      <c r="E15" s="35"/>
      <c r="F15" s="5"/>
      <c r="G15" s="149">
        <f>-SAOw!D7-SAOw!F8</f>
        <v>-1374546</v>
      </c>
      <c r="H15" s="4"/>
      <c r="J15" s="114"/>
      <c r="K15" s="65"/>
    </row>
    <row r="16" spans="1:17" x14ac:dyDescent="0.25">
      <c r="C16" s="1" t="s">
        <v>247</v>
      </c>
      <c r="D16" s="163"/>
      <c r="F16" s="106"/>
      <c r="G16" s="69">
        <f>G14+G15</f>
        <v>56631.782999999588</v>
      </c>
      <c r="H16" s="176">
        <f>G16/G15</f>
        <v>-4.1200354880811259E-2</v>
      </c>
      <c r="I16" s="69"/>
      <c r="J16" s="114"/>
      <c r="O16" s="35"/>
    </row>
    <row r="17" spans="1:19" x14ac:dyDescent="0.25">
      <c r="D17" s="163"/>
      <c r="F17" s="106"/>
      <c r="G17" s="148"/>
      <c r="I17" s="69"/>
      <c r="J17" s="114"/>
    </row>
    <row r="18" spans="1:19" x14ac:dyDescent="0.25">
      <c r="D18" s="163"/>
      <c r="F18" s="106"/>
      <c r="G18" s="163"/>
      <c r="I18" s="69"/>
    </row>
    <row r="19" spans="1:19" x14ac:dyDescent="0.25">
      <c r="F19" s="147"/>
      <c r="G19" s="69"/>
    </row>
    <row r="20" spans="1:19" x14ac:dyDescent="0.25">
      <c r="F20" s="69"/>
      <c r="G20" s="69"/>
    </row>
    <row r="21" spans="1:19" ht="15.75" x14ac:dyDescent="0.25">
      <c r="A21" s="103" t="s">
        <v>248</v>
      </c>
      <c r="N21"/>
      <c r="O21"/>
      <c r="P21"/>
      <c r="Q21"/>
      <c r="R21"/>
      <c r="S21"/>
    </row>
    <row r="22" spans="1:19" ht="15.75" x14ac:dyDescent="0.25">
      <c r="E22" s="2" t="s">
        <v>249</v>
      </c>
      <c r="F22" s="2" t="s">
        <v>250</v>
      </c>
      <c r="G22" s="2" t="s">
        <v>250</v>
      </c>
      <c r="H22" s="2" t="s">
        <v>250</v>
      </c>
      <c r="I22" s="2" t="s">
        <v>251</v>
      </c>
      <c r="L22"/>
      <c r="M22"/>
      <c r="N22"/>
      <c r="O22"/>
      <c r="P22"/>
      <c r="Q22"/>
    </row>
    <row r="23" spans="1:19" ht="15.75" x14ac:dyDescent="0.25">
      <c r="B23" s="9" t="s">
        <v>252</v>
      </c>
      <c r="C23" s="10" t="s">
        <v>253</v>
      </c>
      <c r="D23" s="190" t="s">
        <v>254</v>
      </c>
      <c r="E23" s="10">
        <f>B24</f>
        <v>2000</v>
      </c>
      <c r="F23" s="10">
        <f>B25</f>
        <v>3000</v>
      </c>
      <c r="G23" s="10">
        <f>B26</f>
        <v>5000</v>
      </c>
      <c r="H23" s="10">
        <f>B27</f>
        <v>10000</v>
      </c>
      <c r="I23" s="10">
        <f>B28</f>
        <v>20000</v>
      </c>
      <c r="J23" s="9" t="s">
        <v>255</v>
      </c>
      <c r="L23"/>
      <c r="M23"/>
      <c r="N23"/>
      <c r="O23"/>
      <c r="P23"/>
      <c r="Q23"/>
    </row>
    <row r="24" spans="1:19" ht="15.75" x14ac:dyDescent="0.25">
      <c r="A24" s="11" t="s">
        <v>249</v>
      </c>
      <c r="B24" s="12">
        <v>2000</v>
      </c>
      <c r="C24" s="186">
        <v>20775</v>
      </c>
      <c r="D24" s="163">
        <f>13749200</f>
        <v>13749200</v>
      </c>
      <c r="E24" s="70">
        <f>D24</f>
        <v>13749200</v>
      </c>
      <c r="F24" s="70">
        <v>0</v>
      </c>
      <c r="G24" s="70">
        <v>0</v>
      </c>
      <c r="H24" s="70">
        <v>0</v>
      </c>
      <c r="I24" s="70">
        <v>0</v>
      </c>
      <c r="J24" s="70">
        <f>SUM(E24:I24)</f>
        <v>13749200</v>
      </c>
      <c r="L24"/>
      <c r="M24"/>
      <c r="N24"/>
      <c r="O24"/>
      <c r="P24"/>
      <c r="Q24"/>
    </row>
    <row r="25" spans="1:19" ht="15.75" x14ac:dyDescent="0.25">
      <c r="A25" s="11" t="s">
        <v>250</v>
      </c>
      <c r="B25" s="12">
        <v>3000</v>
      </c>
      <c r="C25" s="186">
        <v>10886</v>
      </c>
      <c r="D25" s="163">
        <f>21772000+13271800</f>
        <v>35043800</v>
      </c>
      <c r="E25" s="70">
        <f>C25*E$23</f>
        <v>21772000</v>
      </c>
      <c r="F25" s="70">
        <f>D25-E25</f>
        <v>13271800</v>
      </c>
      <c r="G25" s="70">
        <v>0</v>
      </c>
      <c r="H25" s="70">
        <v>0</v>
      </c>
      <c r="I25" s="70">
        <v>0</v>
      </c>
      <c r="J25" s="70">
        <f>SUM(E25:I25)</f>
        <v>35043800</v>
      </c>
      <c r="L25"/>
      <c r="M25"/>
      <c r="N25"/>
      <c r="O25"/>
      <c r="P25"/>
      <c r="Q25"/>
    </row>
    <row r="26" spans="1:19" ht="15.75" x14ac:dyDescent="0.25">
      <c r="A26" s="11" t="s">
        <v>250</v>
      </c>
      <c r="B26" s="12">
        <v>5000</v>
      </c>
      <c r="C26" s="186">
        <v>3048</v>
      </c>
      <c r="D26" s="163">
        <f>6096000+9144000+5186900</f>
        <v>20426900</v>
      </c>
      <c r="E26" s="70">
        <f>C26*E$23</f>
        <v>6096000</v>
      </c>
      <c r="F26" s="70">
        <f>$C26*F$23</f>
        <v>9144000</v>
      </c>
      <c r="G26" s="70">
        <f>D26-(F26+E26)</f>
        <v>5186900</v>
      </c>
      <c r="H26" s="70">
        <v>0</v>
      </c>
      <c r="I26" s="70">
        <v>0</v>
      </c>
      <c r="J26" s="70">
        <f>SUM(E26:I26)</f>
        <v>20426900</v>
      </c>
      <c r="L26"/>
      <c r="M26"/>
      <c r="N26"/>
      <c r="O26"/>
      <c r="P26"/>
      <c r="Q26"/>
    </row>
    <row r="27" spans="1:19" ht="15.75" x14ac:dyDescent="0.25">
      <c r="A27" s="11" t="s">
        <v>250</v>
      </c>
      <c r="B27" s="12">
        <v>10000</v>
      </c>
      <c r="C27" s="186">
        <v>700</v>
      </c>
      <c r="D27" s="163">
        <f>1400000+2100000+3500000+2453800</f>
        <v>9453800</v>
      </c>
      <c r="E27" s="70">
        <f t="shared" ref="E27" si="0">C27*E$23</f>
        <v>1400000</v>
      </c>
      <c r="F27" s="70">
        <f t="shared" ref="F27" si="1">$C27*F$23</f>
        <v>2100000</v>
      </c>
      <c r="G27" s="70">
        <f>C27*G23</f>
        <v>3500000</v>
      </c>
      <c r="H27" s="35">
        <f>D27-E27-F27-G27</f>
        <v>2453800</v>
      </c>
      <c r="I27" s="70">
        <v>0</v>
      </c>
      <c r="J27" s="70">
        <f>SUM(E27:I27)</f>
        <v>9453800</v>
      </c>
      <c r="L27"/>
      <c r="M27"/>
      <c r="N27"/>
      <c r="O27"/>
      <c r="P27"/>
      <c r="Q27"/>
    </row>
    <row r="28" spans="1:19" ht="15.75" x14ac:dyDescent="0.25">
      <c r="A28" s="11" t="s">
        <v>251</v>
      </c>
      <c r="B28" s="14">
        <v>20000</v>
      </c>
      <c r="C28" s="187">
        <v>280</v>
      </c>
      <c r="D28" s="191">
        <f>560000+840000+1400000+2800000+16455800</f>
        <v>22055800</v>
      </c>
      <c r="E28" s="71">
        <f>C28*E$23</f>
        <v>560000</v>
      </c>
      <c r="F28" s="71">
        <f>$C28*F$23</f>
        <v>840000</v>
      </c>
      <c r="G28" s="71">
        <f>$C28*G$23</f>
        <v>1400000</v>
      </c>
      <c r="H28" s="181">
        <f>C28*H23</f>
        <v>2800000</v>
      </c>
      <c r="I28" s="71">
        <f>D28-E28-F28-G28-H28</f>
        <v>16455800</v>
      </c>
      <c r="J28" s="71">
        <f>SUM(E28:I28)</f>
        <v>22055800</v>
      </c>
      <c r="L28"/>
      <c r="M28"/>
      <c r="N28"/>
      <c r="O28"/>
      <c r="P28"/>
      <c r="Q28"/>
    </row>
    <row r="29" spans="1:19" ht="15.75" x14ac:dyDescent="0.25">
      <c r="A29" s="11"/>
      <c r="B29" s="12" t="s">
        <v>255</v>
      </c>
      <c r="C29" s="72">
        <f t="shared" ref="C29:J29" si="2">SUM(C24:C28)</f>
        <v>35689</v>
      </c>
      <c r="D29" s="5">
        <f t="shared" si="2"/>
        <v>100729500</v>
      </c>
      <c r="E29" s="72">
        <f t="shared" si="2"/>
        <v>43577200</v>
      </c>
      <c r="F29" s="72">
        <f t="shared" si="2"/>
        <v>25355800</v>
      </c>
      <c r="G29" s="72">
        <f t="shared" si="2"/>
        <v>10086900</v>
      </c>
      <c r="H29" s="72">
        <f t="shared" si="2"/>
        <v>5253800</v>
      </c>
      <c r="I29" s="72">
        <f t="shared" si="2"/>
        <v>16455800</v>
      </c>
      <c r="J29" s="72">
        <f t="shared" si="2"/>
        <v>100729500</v>
      </c>
      <c r="K29" s="3"/>
      <c r="L29"/>
      <c r="M29"/>
      <c r="N29"/>
      <c r="O29"/>
      <c r="P29"/>
      <c r="Q29"/>
    </row>
    <row r="30" spans="1:19" ht="15.75" x14ac:dyDescent="0.25">
      <c r="A30" s="11"/>
      <c r="B30" s="12"/>
      <c r="E30" s="12"/>
      <c r="F30" s="12"/>
      <c r="G30" s="12"/>
      <c r="H30" s="12"/>
      <c r="I30" s="12"/>
      <c r="N30"/>
      <c r="O30"/>
      <c r="P30"/>
      <c r="Q30"/>
      <c r="R30"/>
      <c r="S30"/>
    </row>
    <row r="31" spans="1:19" ht="15.75" x14ac:dyDescent="0.25">
      <c r="A31" s="16" t="s">
        <v>256</v>
      </c>
      <c r="B31" s="16"/>
      <c r="E31" s="12"/>
      <c r="F31" s="12"/>
      <c r="G31" s="12"/>
      <c r="H31" s="12"/>
      <c r="I31" s="12"/>
      <c r="N31"/>
      <c r="O31"/>
      <c r="P31"/>
      <c r="Q31"/>
      <c r="R31"/>
      <c r="S31"/>
    </row>
    <row r="32" spans="1:19" ht="15.75" x14ac:dyDescent="0.25">
      <c r="A32" s="11"/>
      <c r="B32" s="9"/>
      <c r="C32" s="10" t="s">
        <v>253</v>
      </c>
      <c r="D32" s="190" t="s">
        <v>254</v>
      </c>
      <c r="E32" s="10" t="s">
        <v>257</v>
      </c>
      <c r="F32" s="10" t="s">
        <v>258</v>
      </c>
      <c r="G32" s="12"/>
      <c r="H32" s="12"/>
      <c r="I32" s="12"/>
      <c r="N32"/>
      <c r="O32"/>
      <c r="P32"/>
      <c r="Q32"/>
      <c r="R32"/>
      <c r="S32"/>
    </row>
    <row r="33" spans="1:19" ht="15.75" x14ac:dyDescent="0.25">
      <c r="A33" s="11" t="s">
        <v>249</v>
      </c>
      <c r="B33" s="12">
        <f>B24</f>
        <v>2000</v>
      </c>
      <c r="C33" s="13">
        <f>C29</f>
        <v>35689</v>
      </c>
      <c r="D33" s="163">
        <f>E29</f>
        <v>43577200</v>
      </c>
      <c r="E33" s="17">
        <v>27.5</v>
      </c>
      <c r="F33" s="7">
        <f>E33*C33</f>
        <v>981447.5</v>
      </c>
      <c r="G33" s="12"/>
      <c r="N33"/>
      <c r="O33"/>
      <c r="P33"/>
      <c r="Q33"/>
      <c r="R33"/>
      <c r="S33"/>
    </row>
    <row r="34" spans="1:19" ht="15.75" x14ac:dyDescent="0.25">
      <c r="A34" s="11" t="s">
        <v>250</v>
      </c>
      <c r="B34" s="12">
        <f>B25</f>
        <v>3000</v>
      </c>
      <c r="D34" s="163">
        <f>F29</f>
        <v>25355800</v>
      </c>
      <c r="E34" s="17">
        <v>11.74</v>
      </c>
      <c r="F34" s="3">
        <f>E34*(D34/1000)</f>
        <v>297677.092</v>
      </c>
      <c r="G34" s="12"/>
      <c r="N34"/>
      <c r="O34"/>
      <c r="P34"/>
      <c r="Q34"/>
      <c r="R34"/>
      <c r="S34"/>
    </row>
    <row r="35" spans="1:19" ht="15.75" x14ac:dyDescent="0.25">
      <c r="A35" s="11" t="s">
        <v>250</v>
      </c>
      <c r="B35" s="12">
        <f>B26</f>
        <v>5000</v>
      </c>
      <c r="D35" s="163">
        <f>G29</f>
        <v>10086900</v>
      </c>
      <c r="E35" s="17">
        <v>8.41</v>
      </c>
      <c r="F35" s="3">
        <f>E35*(D35/1000)</f>
        <v>84830.828999999998</v>
      </c>
      <c r="G35" s="12"/>
      <c r="N35"/>
      <c r="O35"/>
      <c r="P35"/>
      <c r="Q35"/>
      <c r="R35"/>
      <c r="S35"/>
    </row>
    <row r="36" spans="1:19" ht="15.75" x14ac:dyDescent="0.25">
      <c r="A36" s="11" t="s">
        <v>250</v>
      </c>
      <c r="B36" s="12">
        <v>10000</v>
      </c>
      <c r="D36" s="163">
        <f>H29</f>
        <v>5253800</v>
      </c>
      <c r="E36" s="17">
        <v>7.08</v>
      </c>
      <c r="F36" s="3">
        <f t="shared" ref="F36" si="3">E36*(D36/1000)</f>
        <v>37196.904000000002</v>
      </c>
      <c r="G36" s="12"/>
      <c r="N36"/>
      <c r="O36"/>
      <c r="P36"/>
      <c r="Q36"/>
      <c r="R36"/>
      <c r="S36"/>
    </row>
    <row r="37" spans="1:19" x14ac:dyDescent="0.25">
      <c r="A37" s="11" t="s">
        <v>251</v>
      </c>
      <c r="B37" s="14">
        <f>B28</f>
        <v>20000</v>
      </c>
      <c r="C37" s="18"/>
      <c r="D37" s="191">
        <f>I29</f>
        <v>16455800</v>
      </c>
      <c r="E37" s="175">
        <v>6.28</v>
      </c>
      <c r="F37" s="75">
        <f>E37*(D37/1000)</f>
        <v>103342.424</v>
      </c>
      <c r="G37" s="12"/>
      <c r="Q37" s="3">
        <f>Q30/12</f>
        <v>0</v>
      </c>
    </row>
    <row r="38" spans="1:19" x14ac:dyDescent="0.25">
      <c r="A38" s="11"/>
      <c r="B38" s="12" t="s">
        <v>255</v>
      </c>
      <c r="C38" s="3">
        <f>SUM(C33:C37)</f>
        <v>35689</v>
      </c>
      <c r="D38" s="5">
        <f>SUM(D33:D37)</f>
        <v>100729500</v>
      </c>
      <c r="F38" s="7">
        <f>SUM(F33:F37)</f>
        <v>1504494.7489999998</v>
      </c>
      <c r="G38" s="66"/>
      <c r="H38" s="12"/>
      <c r="I38" s="150"/>
    </row>
    <row r="39" spans="1:19" x14ac:dyDescent="0.25">
      <c r="A39" s="11"/>
      <c r="B39" s="12"/>
      <c r="C39" s="3"/>
      <c r="D39" s="5"/>
      <c r="F39" s="7"/>
      <c r="G39" s="12"/>
      <c r="H39" s="12"/>
      <c r="I39" s="12"/>
    </row>
    <row r="40" spans="1:19" ht="15.75" x14ac:dyDescent="0.25">
      <c r="A40" s="103" t="s">
        <v>259</v>
      </c>
    </row>
    <row r="41" spans="1:19" x14ac:dyDescent="0.25">
      <c r="E41" s="2" t="s">
        <v>249</v>
      </c>
      <c r="F41" s="2" t="s">
        <v>250</v>
      </c>
      <c r="G41" s="2" t="s">
        <v>250</v>
      </c>
      <c r="H41" s="2" t="s">
        <v>250</v>
      </c>
      <c r="I41" s="2" t="s">
        <v>251</v>
      </c>
    </row>
    <row r="42" spans="1:19" x14ac:dyDescent="0.25">
      <c r="B42" s="9" t="s">
        <v>252</v>
      </c>
      <c r="C42" s="10" t="s">
        <v>253</v>
      </c>
      <c r="D42" s="190" t="s">
        <v>254</v>
      </c>
      <c r="E42" s="10">
        <f>B43</f>
        <v>4000</v>
      </c>
      <c r="F42" s="10">
        <f>B44</f>
        <v>1000</v>
      </c>
      <c r="G42" s="10">
        <f>B45</f>
        <v>5000</v>
      </c>
      <c r="H42" s="10">
        <f>B46</f>
        <v>10000</v>
      </c>
      <c r="I42" s="10">
        <f>B47</f>
        <v>20000</v>
      </c>
      <c r="J42" s="9" t="s">
        <v>255</v>
      </c>
    </row>
    <row r="43" spans="1:19" x14ac:dyDescent="0.25">
      <c r="A43" s="11" t="s">
        <v>249</v>
      </c>
      <c r="B43" s="12">
        <v>4000</v>
      </c>
      <c r="C43" s="186">
        <v>0</v>
      </c>
      <c r="D43" s="163">
        <v>0</v>
      </c>
      <c r="E43" s="70">
        <f>D43</f>
        <v>0</v>
      </c>
      <c r="F43" s="70">
        <v>0</v>
      </c>
      <c r="G43" s="70">
        <v>0</v>
      </c>
      <c r="H43" s="70">
        <v>0</v>
      </c>
      <c r="I43" s="70">
        <v>0</v>
      </c>
      <c r="J43" s="70">
        <f>SUM(E43:I43)</f>
        <v>0</v>
      </c>
    </row>
    <row r="44" spans="1:19" x14ac:dyDescent="0.25">
      <c r="A44" s="11" t="s">
        <v>250</v>
      </c>
      <c r="B44" s="12">
        <v>1000</v>
      </c>
      <c r="C44" s="186">
        <v>0</v>
      </c>
      <c r="D44" s="163">
        <v>0</v>
      </c>
      <c r="E44" s="70">
        <f>C44*E$23</f>
        <v>0</v>
      </c>
      <c r="F44" s="70">
        <f>D44-E44</f>
        <v>0</v>
      </c>
      <c r="G44" s="70">
        <v>0</v>
      </c>
      <c r="H44" s="70">
        <v>0</v>
      </c>
      <c r="I44" s="70">
        <v>0</v>
      </c>
      <c r="J44" s="70">
        <f>SUM(E44:I44)</f>
        <v>0</v>
      </c>
    </row>
    <row r="45" spans="1:19" x14ac:dyDescent="0.25">
      <c r="A45" s="11" t="s">
        <v>250</v>
      </c>
      <c r="B45" s="12">
        <v>5000</v>
      </c>
      <c r="C45" s="186">
        <v>0</v>
      </c>
      <c r="D45" s="163">
        <v>0</v>
      </c>
      <c r="E45" s="70">
        <f>C45*E$23</f>
        <v>0</v>
      </c>
      <c r="F45" s="70">
        <f>$C45*F$23</f>
        <v>0</v>
      </c>
      <c r="G45" s="70">
        <f>D45-(F45+E45)</f>
        <v>0</v>
      </c>
      <c r="H45" s="70">
        <v>0</v>
      </c>
      <c r="I45" s="70">
        <v>0</v>
      </c>
      <c r="J45" s="70">
        <f>SUM(E45:I45)</f>
        <v>0</v>
      </c>
    </row>
    <row r="46" spans="1:19" x14ac:dyDescent="0.25">
      <c r="A46" s="11" t="s">
        <v>250</v>
      </c>
      <c r="B46" s="12">
        <v>10000</v>
      </c>
      <c r="C46" s="186">
        <v>0</v>
      </c>
      <c r="D46" s="163">
        <v>0</v>
      </c>
      <c r="E46" s="70">
        <f t="shared" ref="E46" si="4">C46*E$23</f>
        <v>0</v>
      </c>
      <c r="F46" s="70">
        <f t="shared" ref="F46" si="5">$C46*F$23</f>
        <v>0</v>
      </c>
      <c r="G46" s="70">
        <f>C46*G42</f>
        <v>0</v>
      </c>
      <c r="H46" s="35">
        <f>D46-E46-F46-G46</f>
        <v>0</v>
      </c>
      <c r="I46" s="70">
        <v>0</v>
      </c>
      <c r="J46" s="70">
        <f>SUM(E46:I46)</f>
        <v>0</v>
      </c>
    </row>
    <row r="47" spans="1:19" x14ac:dyDescent="0.25">
      <c r="A47" s="11" t="s">
        <v>251</v>
      </c>
      <c r="B47" s="14">
        <v>20000</v>
      </c>
      <c r="C47" s="187">
        <v>0</v>
      </c>
      <c r="D47" s="191">
        <v>0</v>
      </c>
      <c r="E47" s="71">
        <f>C47*E$23</f>
        <v>0</v>
      </c>
      <c r="F47" s="71">
        <f>$C47*F$23</f>
        <v>0</v>
      </c>
      <c r="G47" s="71">
        <f>$C47*G$23</f>
        <v>0</v>
      </c>
      <c r="H47" s="181">
        <f>C47*H42</f>
        <v>0</v>
      </c>
      <c r="I47" s="71">
        <f>D47-E47-F47-G47-H47</f>
        <v>0</v>
      </c>
      <c r="J47" s="71">
        <f>SUM(E47:I47)</f>
        <v>0</v>
      </c>
    </row>
    <row r="48" spans="1:19" x14ac:dyDescent="0.25">
      <c r="A48" s="11"/>
      <c r="B48" s="12" t="s">
        <v>255</v>
      </c>
      <c r="C48" s="72">
        <f t="shared" ref="C48:J48" si="6">SUM(C43:C47)</f>
        <v>0</v>
      </c>
      <c r="D48" s="5">
        <f t="shared" si="6"/>
        <v>0</v>
      </c>
      <c r="E48" s="72">
        <f t="shared" si="6"/>
        <v>0</v>
      </c>
      <c r="F48" s="72">
        <f t="shared" si="6"/>
        <v>0</v>
      </c>
      <c r="G48" s="72">
        <f t="shared" si="6"/>
        <v>0</v>
      </c>
      <c r="H48" s="72">
        <f t="shared" si="6"/>
        <v>0</v>
      </c>
      <c r="I48" s="72">
        <f t="shared" si="6"/>
        <v>0</v>
      </c>
      <c r="J48" s="72">
        <f t="shared" si="6"/>
        <v>0</v>
      </c>
    </row>
    <row r="49" spans="1:12" x14ac:dyDescent="0.25">
      <c r="A49" s="11"/>
      <c r="B49" s="12"/>
      <c r="E49" s="12"/>
      <c r="F49" s="12"/>
      <c r="G49" s="12"/>
      <c r="H49" s="12"/>
      <c r="I49" s="12"/>
    </row>
    <row r="50" spans="1:12" x14ac:dyDescent="0.25">
      <c r="A50" s="16" t="s">
        <v>256</v>
      </c>
      <c r="B50" s="16"/>
      <c r="E50" s="12"/>
      <c r="F50" s="12"/>
      <c r="G50" s="12"/>
      <c r="H50" s="12"/>
      <c r="I50" s="12"/>
    </row>
    <row r="51" spans="1:12" x14ac:dyDescent="0.25">
      <c r="A51" s="11"/>
      <c r="B51" s="9"/>
      <c r="C51" s="10" t="s">
        <v>253</v>
      </c>
      <c r="D51" s="190" t="s">
        <v>254</v>
      </c>
      <c r="E51" s="10" t="s">
        <v>257</v>
      </c>
      <c r="F51" s="10" t="s">
        <v>258</v>
      </c>
      <c r="G51" s="12"/>
      <c r="H51" s="12"/>
      <c r="I51" s="12"/>
    </row>
    <row r="52" spans="1:12" x14ac:dyDescent="0.25">
      <c r="A52" s="11" t="s">
        <v>249</v>
      </c>
      <c r="B52" s="12">
        <f>B43</f>
        <v>4000</v>
      </c>
      <c r="C52" s="13">
        <f>C48</f>
        <v>0</v>
      </c>
      <c r="D52" s="163">
        <f>E48</f>
        <v>0</v>
      </c>
      <c r="E52" s="17">
        <v>26.54</v>
      </c>
      <c r="F52" s="7">
        <f>E52*C52</f>
        <v>0</v>
      </c>
      <c r="G52" s="12"/>
    </row>
    <row r="53" spans="1:12" x14ac:dyDescent="0.25">
      <c r="A53" s="11" t="s">
        <v>250</v>
      </c>
      <c r="B53" s="12">
        <f>B44</f>
        <v>1000</v>
      </c>
      <c r="D53" s="163">
        <f>F48</f>
        <v>0</v>
      </c>
      <c r="E53" s="17">
        <v>6.11</v>
      </c>
      <c r="F53" s="3">
        <f>E53*(D53/1000)</f>
        <v>0</v>
      </c>
      <c r="G53" s="12"/>
    </row>
    <row r="54" spans="1:12" x14ac:dyDescent="0.25">
      <c r="A54" s="11" t="s">
        <v>250</v>
      </c>
      <c r="B54" s="12">
        <f>B45</f>
        <v>5000</v>
      </c>
      <c r="D54" s="163">
        <f>G48</f>
        <v>0</v>
      </c>
      <c r="E54" s="17">
        <v>4.71</v>
      </c>
      <c r="F54" s="3">
        <f>E54*(D54/1000)</f>
        <v>0</v>
      </c>
      <c r="G54" s="12"/>
    </row>
    <row r="55" spans="1:12" x14ac:dyDescent="0.25">
      <c r="A55" s="11" t="s">
        <v>250</v>
      </c>
      <c r="B55" s="12">
        <v>10000</v>
      </c>
      <c r="D55" s="163">
        <f>H48</f>
        <v>0</v>
      </c>
      <c r="E55" s="17">
        <v>3.31</v>
      </c>
      <c r="F55" s="3">
        <f t="shared" ref="F55" si="7">E55*(D55/1000)</f>
        <v>0</v>
      </c>
      <c r="G55" s="12"/>
    </row>
    <row r="56" spans="1:12" x14ac:dyDescent="0.25">
      <c r="A56" s="11" t="s">
        <v>251</v>
      </c>
      <c r="B56" s="14">
        <f>B47</f>
        <v>20000</v>
      </c>
      <c r="C56" s="18"/>
      <c r="D56" s="191">
        <f>I48</f>
        <v>0</v>
      </c>
      <c r="E56" s="175">
        <v>2.96</v>
      </c>
      <c r="F56" s="75">
        <f>E56*(D56/1000)</f>
        <v>0</v>
      </c>
      <c r="G56" s="12"/>
    </row>
    <row r="57" spans="1:12" x14ac:dyDescent="0.25">
      <c r="A57" s="11"/>
      <c r="B57" s="12" t="s">
        <v>255</v>
      </c>
      <c r="C57" s="3">
        <f>SUM(C52:C56)</f>
        <v>0</v>
      </c>
      <c r="D57" s="5">
        <f>SUM(D52:D56)</f>
        <v>0</v>
      </c>
      <c r="F57" s="7">
        <f>SUM(F52:F56)</f>
        <v>0</v>
      </c>
      <c r="G57" s="66"/>
      <c r="H57" s="12"/>
      <c r="I57" s="150"/>
    </row>
    <row r="58" spans="1:12" x14ac:dyDescent="0.25">
      <c r="A58" s="11"/>
      <c r="B58" s="12"/>
      <c r="C58" s="3"/>
      <c r="D58" s="5"/>
      <c r="F58" s="7"/>
      <c r="G58" s="12"/>
      <c r="H58" s="12"/>
      <c r="I58" s="12"/>
    </row>
    <row r="59" spans="1:12" ht="15.75" x14ac:dyDescent="0.25">
      <c r="A59" s="103" t="s">
        <v>260</v>
      </c>
    </row>
    <row r="60" spans="1:12" x14ac:dyDescent="0.25">
      <c r="E60" s="2" t="s">
        <v>249</v>
      </c>
      <c r="F60" s="2" t="s">
        <v>250</v>
      </c>
      <c r="G60" s="2" t="s">
        <v>251</v>
      </c>
      <c r="L60" s="1"/>
    </row>
    <row r="61" spans="1:12" x14ac:dyDescent="0.25">
      <c r="B61" s="9" t="s">
        <v>252</v>
      </c>
      <c r="C61" s="10" t="s">
        <v>253</v>
      </c>
      <c r="D61" s="190" t="s">
        <v>254</v>
      </c>
      <c r="E61" s="10">
        <f>B62</f>
        <v>15000</v>
      </c>
      <c r="F61" s="10">
        <f>B63</f>
        <v>5000</v>
      </c>
      <c r="G61" s="10">
        <f>B64</f>
        <v>20000</v>
      </c>
      <c r="H61" s="9" t="s">
        <v>255</v>
      </c>
      <c r="L61" s="1"/>
    </row>
    <row r="62" spans="1:12" x14ac:dyDescent="0.25">
      <c r="A62" s="11" t="s">
        <v>249</v>
      </c>
      <c r="B62" s="12">
        <v>15000</v>
      </c>
      <c r="C62" s="186">
        <v>98</v>
      </c>
      <c r="D62" s="163">
        <v>432800</v>
      </c>
      <c r="E62" s="70">
        <f>D62</f>
        <v>432800</v>
      </c>
      <c r="F62" s="70">
        <v>0</v>
      </c>
      <c r="G62" s="70">
        <v>0</v>
      </c>
      <c r="H62" s="70">
        <f>SUM(E62:G62)</f>
        <v>432800</v>
      </c>
      <c r="L62" s="1"/>
    </row>
    <row r="63" spans="1:12" x14ac:dyDescent="0.25">
      <c r="A63" s="11" t="s">
        <v>250</v>
      </c>
      <c r="B63" s="12">
        <v>5000</v>
      </c>
      <c r="C63" s="186">
        <v>5</v>
      </c>
      <c r="D63" s="163">
        <f>75000+8000</f>
        <v>83000</v>
      </c>
      <c r="E63" s="70">
        <f>C63*E61</f>
        <v>75000</v>
      </c>
      <c r="F63" s="70">
        <f>D63-E63</f>
        <v>8000</v>
      </c>
      <c r="G63" s="70">
        <v>0</v>
      </c>
      <c r="H63" s="70">
        <f>SUM(E63:G63)</f>
        <v>83000</v>
      </c>
      <c r="L63" s="1"/>
    </row>
    <row r="64" spans="1:12" x14ac:dyDescent="0.25">
      <c r="A64" s="11" t="s">
        <v>251</v>
      </c>
      <c r="B64" s="14">
        <v>20000</v>
      </c>
      <c r="C64" s="187">
        <v>18</v>
      </c>
      <c r="D64" s="191">
        <f>270000+90000+177500</f>
        <v>537500</v>
      </c>
      <c r="E64" s="71">
        <f>$C64*E$61</f>
        <v>270000</v>
      </c>
      <c r="F64" s="71">
        <f>C64*F61</f>
        <v>90000</v>
      </c>
      <c r="G64" s="71">
        <f>D64-E64-F64</f>
        <v>177500</v>
      </c>
      <c r="H64" s="71">
        <f>SUM(E64:G64)</f>
        <v>537500</v>
      </c>
      <c r="L64" s="1"/>
    </row>
    <row r="65" spans="1:12" x14ac:dyDescent="0.25">
      <c r="A65" s="11"/>
      <c r="B65" s="12"/>
      <c r="C65" s="5">
        <f t="shared" ref="C65:H65" si="8">SUM(C62:C64)</f>
        <v>121</v>
      </c>
      <c r="D65" s="5">
        <f t="shared" si="8"/>
        <v>1053300</v>
      </c>
      <c r="E65" s="72">
        <f t="shared" si="8"/>
        <v>777800</v>
      </c>
      <c r="F65" s="72">
        <f t="shared" si="8"/>
        <v>98000</v>
      </c>
      <c r="G65" s="72">
        <f t="shared" si="8"/>
        <v>177500</v>
      </c>
      <c r="H65" s="72">
        <f t="shared" si="8"/>
        <v>1053300</v>
      </c>
      <c r="I65" s="90"/>
      <c r="K65" s="3"/>
      <c r="L65" s="1"/>
    </row>
    <row r="66" spans="1:12" x14ac:dyDescent="0.25">
      <c r="A66" s="11"/>
      <c r="B66" s="12"/>
      <c r="E66" s="12"/>
      <c r="F66" s="12"/>
      <c r="G66" s="12"/>
      <c r="H66" s="12"/>
      <c r="I66" s="12"/>
    </row>
    <row r="67" spans="1:12" x14ac:dyDescent="0.25">
      <c r="A67" s="16" t="s">
        <v>256</v>
      </c>
      <c r="B67" s="16"/>
      <c r="E67" s="12"/>
      <c r="F67" s="12"/>
      <c r="G67" s="12"/>
      <c r="H67" s="12"/>
      <c r="I67" s="12"/>
    </row>
    <row r="68" spans="1:12" x14ac:dyDescent="0.25">
      <c r="A68" s="11"/>
      <c r="B68" s="9"/>
      <c r="C68" s="10" t="s">
        <v>253</v>
      </c>
      <c r="D68" s="190" t="s">
        <v>254</v>
      </c>
      <c r="E68" s="10" t="s">
        <v>257</v>
      </c>
      <c r="F68" s="10" t="s">
        <v>258</v>
      </c>
      <c r="G68" s="12"/>
      <c r="H68" s="12"/>
      <c r="I68" s="12"/>
    </row>
    <row r="69" spans="1:12" x14ac:dyDescent="0.25">
      <c r="A69" s="11" t="s">
        <v>249</v>
      </c>
      <c r="B69" s="12">
        <f>B62</f>
        <v>15000</v>
      </c>
      <c r="C69" s="13">
        <f>C65</f>
        <v>121</v>
      </c>
      <c r="D69" s="163">
        <f>E65</f>
        <v>777800</v>
      </c>
      <c r="E69" s="17">
        <v>130.16</v>
      </c>
      <c r="F69" s="7">
        <f>E69*C69</f>
        <v>15749.359999999999</v>
      </c>
      <c r="G69" s="12"/>
    </row>
    <row r="70" spans="1:12" x14ac:dyDescent="0.25">
      <c r="A70" s="11" t="s">
        <v>250</v>
      </c>
      <c r="B70" s="12">
        <v>5000</v>
      </c>
      <c r="C70" s="13"/>
      <c r="D70" s="163">
        <f>F65</f>
        <v>98000</v>
      </c>
      <c r="E70" s="17">
        <v>7.08</v>
      </c>
      <c r="F70" s="5">
        <f t="shared" ref="F70" si="9">E70*(D70/1000)</f>
        <v>693.84</v>
      </c>
      <c r="G70" s="12"/>
    </row>
    <row r="71" spans="1:12" x14ac:dyDescent="0.25">
      <c r="A71" s="11" t="s">
        <v>251</v>
      </c>
      <c r="B71" s="14">
        <f>B64</f>
        <v>20000</v>
      </c>
      <c r="C71" s="18"/>
      <c r="D71" s="191">
        <f>G65</f>
        <v>177500</v>
      </c>
      <c r="E71" s="175">
        <v>6.28</v>
      </c>
      <c r="F71" s="75">
        <f>E71*(D71/1000)</f>
        <v>1114.7</v>
      </c>
      <c r="G71" s="12"/>
    </row>
    <row r="72" spans="1:12" x14ac:dyDescent="0.25">
      <c r="A72" s="11"/>
      <c r="B72" s="12" t="s">
        <v>255</v>
      </c>
      <c r="C72" s="3">
        <f>SUM(C69:C71)</f>
        <v>121</v>
      </c>
      <c r="D72" s="5">
        <f>SUM(D69:D71)</f>
        <v>1053300</v>
      </c>
      <c r="F72" s="7">
        <f>SUM(F69:F71)</f>
        <v>17557.899999999998</v>
      </c>
      <c r="G72" s="66"/>
      <c r="H72" s="12"/>
      <c r="I72" s="150"/>
    </row>
    <row r="73" spans="1:12" x14ac:dyDescent="0.25">
      <c r="A73" s="11"/>
      <c r="B73" s="12"/>
      <c r="C73" s="19"/>
      <c r="D73" s="5"/>
      <c r="F73" s="17"/>
      <c r="G73" s="12"/>
      <c r="H73" s="12"/>
      <c r="I73" s="12"/>
    </row>
    <row r="74" spans="1:12" ht="15.75" x14ac:dyDescent="0.25">
      <c r="A74" s="103" t="s">
        <v>261</v>
      </c>
      <c r="H74" s="12"/>
      <c r="I74" s="12"/>
    </row>
    <row r="75" spans="1:12" x14ac:dyDescent="0.25">
      <c r="E75" s="2" t="s">
        <v>249</v>
      </c>
      <c r="F75" s="2" t="s">
        <v>251</v>
      </c>
      <c r="H75" s="12"/>
      <c r="I75" s="12"/>
    </row>
    <row r="76" spans="1:12" x14ac:dyDescent="0.25">
      <c r="B76" s="9" t="s">
        <v>252</v>
      </c>
      <c r="C76" s="10" t="s">
        <v>253</v>
      </c>
      <c r="D76" s="190" t="s">
        <v>254</v>
      </c>
      <c r="E76" s="10">
        <f>B77</f>
        <v>25000</v>
      </c>
      <c r="F76" s="10">
        <f>B78</f>
        <v>25000</v>
      </c>
      <c r="G76" s="9" t="s">
        <v>255</v>
      </c>
      <c r="H76" s="12"/>
      <c r="I76" s="12"/>
    </row>
    <row r="77" spans="1:12" x14ac:dyDescent="0.25">
      <c r="A77" s="11" t="s">
        <v>249</v>
      </c>
      <c r="B77" s="12">
        <v>25000</v>
      </c>
      <c r="C77" s="186">
        <v>66</v>
      </c>
      <c r="D77" s="163">
        <f>618200</f>
        <v>618200</v>
      </c>
      <c r="E77" s="70">
        <f>D77</f>
        <v>618200</v>
      </c>
      <c r="F77" s="70">
        <v>0</v>
      </c>
      <c r="G77" s="70">
        <f>SUM(E77:F77)</f>
        <v>618200</v>
      </c>
      <c r="H77" s="12"/>
      <c r="I77" s="12"/>
    </row>
    <row r="78" spans="1:12" x14ac:dyDescent="0.25">
      <c r="A78" s="11" t="s">
        <v>251</v>
      </c>
      <c r="B78" s="14">
        <v>25000</v>
      </c>
      <c r="C78" s="187">
        <v>24</v>
      </c>
      <c r="D78" s="191">
        <f>600000+132960</f>
        <v>732960</v>
      </c>
      <c r="E78" s="71">
        <f>$C78*E$76</f>
        <v>600000</v>
      </c>
      <c r="F78" s="71">
        <f>D78-E78</f>
        <v>132960</v>
      </c>
      <c r="G78" s="71">
        <f>SUM(E78:F78)</f>
        <v>732960</v>
      </c>
      <c r="H78" s="12"/>
      <c r="I78" s="12"/>
    </row>
    <row r="79" spans="1:12" x14ac:dyDescent="0.25">
      <c r="A79" s="11"/>
      <c r="B79" s="12"/>
      <c r="C79" s="3">
        <f>SUM(C77:C78)</f>
        <v>90</v>
      </c>
      <c r="D79" s="5">
        <f>SUM(D77:D78)</f>
        <v>1351160</v>
      </c>
      <c r="E79" s="72">
        <f>SUM(E77:E78)</f>
        <v>1218200</v>
      </c>
      <c r="F79" s="72">
        <f>SUM(F77:F78)</f>
        <v>132960</v>
      </c>
      <c r="G79" s="72">
        <f>SUM(G77:G78)</f>
        <v>1351160</v>
      </c>
      <c r="H79" s="12"/>
      <c r="I79" s="12"/>
    </row>
    <row r="80" spans="1:12" x14ac:dyDescent="0.25">
      <c r="A80" s="11"/>
      <c r="B80" s="12"/>
      <c r="E80" s="12"/>
      <c r="F80" s="12"/>
      <c r="G80" s="12"/>
      <c r="H80" s="12"/>
      <c r="I80" s="12"/>
    </row>
    <row r="81" spans="1:17" x14ac:dyDescent="0.25">
      <c r="A81" s="16" t="s">
        <v>256</v>
      </c>
      <c r="B81" s="16"/>
      <c r="E81" s="12"/>
      <c r="F81" s="12"/>
      <c r="G81" s="12"/>
      <c r="H81" s="12"/>
      <c r="I81" s="12"/>
    </row>
    <row r="82" spans="1:17" x14ac:dyDescent="0.25">
      <c r="A82" s="11"/>
      <c r="B82" s="9"/>
      <c r="C82" s="10" t="s">
        <v>253</v>
      </c>
      <c r="D82" s="190" t="s">
        <v>254</v>
      </c>
      <c r="E82" s="10" t="s">
        <v>257</v>
      </c>
      <c r="F82" s="10" t="s">
        <v>258</v>
      </c>
      <c r="G82" s="12"/>
      <c r="H82" s="12"/>
      <c r="I82" s="12"/>
    </row>
    <row r="83" spans="1:17" x14ac:dyDescent="0.25">
      <c r="A83" s="11" t="s">
        <v>249</v>
      </c>
      <c r="B83" s="12">
        <f>B77</f>
        <v>25000</v>
      </c>
      <c r="C83" s="13">
        <f>C79</f>
        <v>90</v>
      </c>
      <c r="D83" s="163">
        <f>E79</f>
        <v>1218200</v>
      </c>
      <c r="E83" s="17">
        <v>176.91</v>
      </c>
      <c r="F83" s="7">
        <f>E83*C83</f>
        <v>15921.9</v>
      </c>
      <c r="G83" s="12"/>
      <c r="H83" s="12"/>
      <c r="I83" s="12"/>
    </row>
    <row r="84" spans="1:17" x14ac:dyDescent="0.25">
      <c r="A84" s="11" t="s">
        <v>251</v>
      </c>
      <c r="B84" s="14">
        <f>B78</f>
        <v>25000</v>
      </c>
      <c r="C84" s="75"/>
      <c r="D84" s="191">
        <f>F79</f>
        <v>132960</v>
      </c>
      <c r="E84" s="175">
        <v>6.28</v>
      </c>
      <c r="F84" s="191">
        <f>(E84*D84)/100</f>
        <v>8349.8880000000008</v>
      </c>
      <c r="G84" s="12"/>
      <c r="H84" s="12"/>
      <c r="I84" s="12"/>
    </row>
    <row r="85" spans="1:17" x14ac:dyDescent="0.25">
      <c r="A85" s="11"/>
      <c r="B85" s="12" t="s">
        <v>255</v>
      </c>
      <c r="C85" s="3">
        <f>SUM(C83:C84)</f>
        <v>90</v>
      </c>
      <c r="D85" s="5">
        <f>SUM(D83:D84)</f>
        <v>1351160</v>
      </c>
      <c r="F85" s="7">
        <f>SUM(F83:F84)</f>
        <v>24271.788</v>
      </c>
      <c r="G85" s="66"/>
      <c r="H85" s="12"/>
      <c r="I85" s="12"/>
    </row>
    <row r="86" spans="1:17" x14ac:dyDescent="0.25">
      <c r="A86" s="11"/>
      <c r="B86" s="12"/>
      <c r="C86" s="19"/>
      <c r="D86" s="5"/>
      <c r="F86" s="17"/>
      <c r="G86" s="12"/>
      <c r="H86" s="12"/>
      <c r="I86" s="12"/>
    </row>
    <row r="87" spans="1:17" ht="15.75" x14ac:dyDescent="0.25">
      <c r="A87" s="103" t="s">
        <v>262</v>
      </c>
    </row>
    <row r="88" spans="1:17" x14ac:dyDescent="0.25">
      <c r="E88" s="2" t="s">
        <v>249</v>
      </c>
      <c r="F88" s="2" t="s">
        <v>251</v>
      </c>
      <c r="K88" s="3"/>
      <c r="L88" s="1"/>
    </row>
    <row r="89" spans="1:17" x14ac:dyDescent="0.25">
      <c r="B89" s="9" t="s">
        <v>252</v>
      </c>
      <c r="C89" s="10" t="s">
        <v>253</v>
      </c>
      <c r="D89" s="190" t="s">
        <v>254</v>
      </c>
      <c r="E89" s="10">
        <f>B90</f>
        <v>45000</v>
      </c>
      <c r="F89" s="10">
        <f>B91</f>
        <v>45000</v>
      </c>
      <c r="G89" s="9" t="s">
        <v>255</v>
      </c>
      <c r="L89" s="1"/>
      <c r="Q89" s="1" t="s">
        <v>263</v>
      </c>
    </row>
    <row r="90" spans="1:17" x14ac:dyDescent="0.25">
      <c r="A90" s="11" t="s">
        <v>249</v>
      </c>
      <c r="B90" s="12">
        <v>45000</v>
      </c>
      <c r="C90" s="186">
        <v>47</v>
      </c>
      <c r="D90" s="163">
        <v>602700</v>
      </c>
      <c r="E90" s="70">
        <f>D90</f>
        <v>602700</v>
      </c>
      <c r="F90" s="70">
        <v>0</v>
      </c>
      <c r="G90" s="70">
        <f>SUM(E90:F90)</f>
        <v>602700</v>
      </c>
      <c r="K90" s="74"/>
      <c r="L90" s="1"/>
    </row>
    <row r="91" spans="1:17" x14ac:dyDescent="0.25">
      <c r="A91" s="11" t="s">
        <v>251</v>
      </c>
      <c r="B91" s="14">
        <v>45000</v>
      </c>
      <c r="C91" s="187">
        <v>27</v>
      </c>
      <c r="D91" s="191">
        <f>1215000+3187400</f>
        <v>4402400</v>
      </c>
      <c r="E91" s="71">
        <f>$C91*E$89</f>
        <v>1215000</v>
      </c>
      <c r="F91" s="71">
        <f>D91-E91</f>
        <v>3187400</v>
      </c>
      <c r="G91" s="71">
        <f>SUM(E91:F91)</f>
        <v>4402400</v>
      </c>
      <c r="H91" s="3"/>
      <c r="I91" s="3"/>
      <c r="K91" s="2"/>
      <c r="L91" s="1"/>
    </row>
    <row r="92" spans="1:17" x14ac:dyDescent="0.25">
      <c r="A92" s="11"/>
      <c r="B92" s="12"/>
      <c r="C92" s="3">
        <f>SUM(C90:C91)</f>
        <v>74</v>
      </c>
      <c r="D92" s="5">
        <f>SUM(D90:D91)</f>
        <v>5005100</v>
      </c>
      <c r="E92" s="72">
        <f>SUM(E90:E91)</f>
        <v>1817700</v>
      </c>
      <c r="F92" s="72">
        <f>SUM(F90:F91)</f>
        <v>3187400</v>
      </c>
      <c r="G92" s="72">
        <f>SUM(G90:G91)</f>
        <v>5005100</v>
      </c>
    </row>
    <row r="93" spans="1:17" x14ac:dyDescent="0.25">
      <c r="A93" s="11"/>
      <c r="B93" s="12"/>
      <c r="E93" s="12"/>
      <c r="F93" s="12"/>
      <c r="G93" s="12"/>
      <c r="H93" s="12"/>
      <c r="I93" s="12"/>
    </row>
    <row r="94" spans="1:17" x14ac:dyDescent="0.25">
      <c r="A94" s="16" t="s">
        <v>256</v>
      </c>
      <c r="B94" s="16"/>
      <c r="E94" s="12"/>
      <c r="F94" s="12"/>
      <c r="G94" s="12"/>
      <c r="H94" s="12"/>
      <c r="I94" s="12"/>
    </row>
    <row r="95" spans="1:17" x14ac:dyDescent="0.25">
      <c r="A95" s="11"/>
      <c r="B95" s="9"/>
      <c r="C95" s="10" t="s">
        <v>253</v>
      </c>
      <c r="D95" s="190" t="s">
        <v>254</v>
      </c>
      <c r="E95" s="10" t="s">
        <v>257</v>
      </c>
      <c r="F95" s="10" t="s">
        <v>258</v>
      </c>
      <c r="G95" s="12"/>
      <c r="H95" s="12"/>
      <c r="I95" s="12"/>
    </row>
    <row r="96" spans="1:17" x14ac:dyDescent="0.25">
      <c r="A96" s="11" t="s">
        <v>249</v>
      </c>
      <c r="B96" s="12">
        <f>B90</f>
        <v>45000</v>
      </c>
      <c r="C96" s="13">
        <f>C92</f>
        <v>74</v>
      </c>
      <c r="D96" s="163">
        <f>E92</f>
        <v>1817700</v>
      </c>
      <c r="E96" s="17">
        <v>318.42</v>
      </c>
      <c r="F96" s="7">
        <f>E96*C96</f>
        <v>23563.08</v>
      </c>
      <c r="G96" s="12"/>
      <c r="H96" s="12"/>
      <c r="I96" s="12"/>
    </row>
    <row r="97" spans="1:12" x14ac:dyDescent="0.25">
      <c r="A97" s="11" t="s">
        <v>251</v>
      </c>
      <c r="B97" s="14">
        <f>B91</f>
        <v>45000</v>
      </c>
      <c r="C97" s="75"/>
      <c r="D97" s="191">
        <f>F92</f>
        <v>3187400</v>
      </c>
      <c r="E97" s="175">
        <v>6.28</v>
      </c>
      <c r="F97" s="75">
        <f t="shared" ref="F97" si="10">E97*(D97/1000)</f>
        <v>20016.872000000003</v>
      </c>
      <c r="G97" s="12"/>
      <c r="H97" s="12"/>
      <c r="I97" s="12"/>
    </row>
    <row r="98" spans="1:12" x14ac:dyDescent="0.25">
      <c r="A98" s="11"/>
      <c r="B98" s="12" t="s">
        <v>255</v>
      </c>
      <c r="C98" s="3">
        <f>SUM(C96:C97)</f>
        <v>74</v>
      </c>
      <c r="D98" s="5">
        <f>SUM(D96:D97)</f>
        <v>5005100</v>
      </c>
      <c r="F98" s="7">
        <f>SUM(F96:F97)</f>
        <v>43579.952000000005</v>
      </c>
      <c r="G98" s="66"/>
      <c r="H98" s="12"/>
      <c r="I98" s="150"/>
    </row>
    <row r="99" spans="1:12" x14ac:dyDescent="0.25">
      <c r="A99" s="11"/>
      <c r="B99" s="12"/>
      <c r="C99" s="19"/>
      <c r="D99" s="5"/>
      <c r="F99" s="17"/>
      <c r="G99" s="12"/>
      <c r="H99" s="12"/>
      <c r="I99" s="12"/>
    </row>
    <row r="100" spans="1:12" ht="15.75" x14ac:dyDescent="0.25">
      <c r="A100" s="103" t="s">
        <v>264</v>
      </c>
      <c r="L100" s="5"/>
    </row>
    <row r="101" spans="1:12" x14ac:dyDescent="0.25">
      <c r="E101" s="2" t="s">
        <v>249</v>
      </c>
      <c r="F101" s="2" t="s">
        <v>251</v>
      </c>
      <c r="H101" s="2"/>
      <c r="I101" s="2"/>
      <c r="J101" s="2"/>
      <c r="L101" s="5"/>
    </row>
    <row r="102" spans="1:12" x14ac:dyDescent="0.25">
      <c r="B102" s="9" t="s">
        <v>252</v>
      </c>
      <c r="C102" s="10" t="s">
        <v>253</v>
      </c>
      <c r="D102" s="190" t="s">
        <v>254</v>
      </c>
      <c r="E102" s="10">
        <f>B103</f>
        <v>45000</v>
      </c>
      <c r="F102" s="10">
        <f>B104</f>
        <v>45000</v>
      </c>
      <c r="G102" s="9" t="s">
        <v>255</v>
      </c>
      <c r="H102" s="182"/>
      <c r="I102" s="182"/>
      <c r="J102" s="182"/>
      <c r="K102" s="2"/>
      <c r="L102" s="5"/>
    </row>
    <row r="103" spans="1:12" x14ac:dyDescent="0.25">
      <c r="A103" s="11" t="s">
        <v>249</v>
      </c>
      <c r="B103" s="12">
        <v>45000</v>
      </c>
      <c r="C103" s="186">
        <v>3</v>
      </c>
      <c r="D103" s="163">
        <v>16600</v>
      </c>
      <c r="E103" s="70">
        <f>D103</f>
        <v>16600</v>
      </c>
      <c r="F103" s="70">
        <v>0</v>
      </c>
      <c r="G103" s="70">
        <f>SUM(E103:F103)</f>
        <v>16600</v>
      </c>
      <c r="H103" s="183"/>
      <c r="I103" s="183"/>
      <c r="J103" s="183"/>
      <c r="K103" s="183"/>
      <c r="L103" s="5"/>
    </row>
    <row r="104" spans="1:12" x14ac:dyDescent="0.25">
      <c r="A104" s="11" t="s">
        <v>251</v>
      </c>
      <c r="B104" s="14">
        <v>45000</v>
      </c>
      <c r="C104" s="187">
        <v>2</v>
      </c>
      <c r="D104" s="191">
        <f>90000+541800</f>
        <v>631800</v>
      </c>
      <c r="E104" s="71">
        <f>$C104*E$89</f>
        <v>90000</v>
      </c>
      <c r="F104" s="71">
        <f>D104-E104</f>
        <v>541800</v>
      </c>
      <c r="G104" s="71">
        <f>SUM(E104:F104)</f>
        <v>631800</v>
      </c>
      <c r="H104" s="183"/>
      <c r="I104" s="183"/>
      <c r="J104" s="183"/>
      <c r="K104" s="183"/>
      <c r="L104" s="5"/>
    </row>
    <row r="105" spans="1:12" x14ac:dyDescent="0.25">
      <c r="A105" s="11"/>
      <c r="B105" s="12"/>
      <c r="C105" s="3">
        <f>SUM(C103:C104)</f>
        <v>5</v>
      </c>
      <c r="D105" s="5">
        <f>SUM(D103:D104)</f>
        <v>648400</v>
      </c>
      <c r="E105" s="72">
        <f>SUM(E103:E104)</f>
        <v>106600</v>
      </c>
      <c r="F105" s="72">
        <f>SUM(F103:F104)</f>
        <v>541800</v>
      </c>
      <c r="G105" s="72">
        <f>SUM(G103:G104)</f>
        <v>648400</v>
      </c>
      <c r="H105" s="183"/>
      <c r="I105" s="183"/>
      <c r="J105" s="183"/>
      <c r="K105" s="183"/>
      <c r="L105" s="5"/>
    </row>
    <row r="106" spans="1:12" x14ac:dyDescent="0.25">
      <c r="A106" s="11"/>
      <c r="B106" s="12"/>
      <c r="E106" s="12"/>
      <c r="F106" s="12"/>
      <c r="G106" s="12"/>
      <c r="H106" s="35"/>
      <c r="I106" s="183"/>
      <c r="J106" s="183"/>
      <c r="K106" s="183"/>
      <c r="L106" s="5"/>
    </row>
    <row r="107" spans="1:12" x14ac:dyDescent="0.25">
      <c r="A107" s="16" t="s">
        <v>256</v>
      </c>
      <c r="B107" s="16"/>
      <c r="E107" s="12"/>
      <c r="F107" s="12"/>
      <c r="G107" s="12"/>
      <c r="H107" s="35"/>
      <c r="I107" s="35"/>
      <c r="J107" s="183"/>
      <c r="K107" s="183"/>
      <c r="L107" s="5"/>
    </row>
    <row r="108" spans="1:12" x14ac:dyDescent="0.25">
      <c r="A108" s="11"/>
      <c r="B108" s="9"/>
      <c r="C108" s="10" t="s">
        <v>253</v>
      </c>
      <c r="D108" s="190" t="s">
        <v>254</v>
      </c>
      <c r="E108" s="10" t="s">
        <v>257</v>
      </c>
      <c r="F108" s="10" t="s">
        <v>258</v>
      </c>
      <c r="G108" s="12"/>
      <c r="H108" s="35"/>
      <c r="I108" s="35"/>
      <c r="J108" s="183"/>
      <c r="K108" s="183"/>
      <c r="L108" s="5"/>
    </row>
    <row r="109" spans="1:12" x14ac:dyDescent="0.25">
      <c r="A109" s="11" t="s">
        <v>249</v>
      </c>
      <c r="B109" s="12">
        <f>B103</f>
        <v>45000</v>
      </c>
      <c r="C109" s="13">
        <f>C105</f>
        <v>5</v>
      </c>
      <c r="D109" s="163">
        <f>E105</f>
        <v>106600</v>
      </c>
      <c r="E109" s="17">
        <v>165.75</v>
      </c>
      <c r="F109" s="7">
        <f>E109*C109</f>
        <v>828.75</v>
      </c>
      <c r="G109" s="12"/>
      <c r="H109" s="72"/>
      <c r="I109" s="72"/>
      <c r="J109" s="72"/>
      <c r="K109" s="72"/>
      <c r="L109" s="5"/>
    </row>
    <row r="110" spans="1:12" x14ac:dyDescent="0.25">
      <c r="A110" s="11" t="s">
        <v>251</v>
      </c>
      <c r="B110" s="14">
        <f>B104</f>
        <v>45000</v>
      </c>
      <c r="C110" s="75"/>
      <c r="D110" s="191">
        <f>F105</f>
        <v>541800</v>
      </c>
      <c r="E110" s="175">
        <v>5.58</v>
      </c>
      <c r="F110" s="75">
        <f t="shared" ref="F110" si="11">E110*(D110/1000)</f>
        <v>3023.2439999999997</v>
      </c>
      <c r="G110" s="12"/>
      <c r="H110" s="12"/>
      <c r="I110" s="12"/>
      <c r="L110" s="5"/>
    </row>
    <row r="111" spans="1:12" x14ac:dyDescent="0.25">
      <c r="A111" s="11"/>
      <c r="B111" s="12" t="s">
        <v>255</v>
      </c>
      <c r="C111" s="3">
        <f>SUM(C109:C110)</f>
        <v>5</v>
      </c>
      <c r="D111" s="5">
        <f>SUM(D109:D110)</f>
        <v>648400</v>
      </c>
      <c r="F111" s="7">
        <f>SUM(F109:F110)</f>
        <v>3851.9939999999997</v>
      </c>
      <c r="G111" s="66"/>
      <c r="H111" s="12"/>
      <c r="I111" s="12"/>
      <c r="L111" s="5"/>
    </row>
    <row r="112" spans="1:12" x14ac:dyDescent="0.25">
      <c r="A112" s="11"/>
      <c r="B112" s="2"/>
      <c r="C112" s="182"/>
      <c r="D112" s="192"/>
      <c r="E112" s="182"/>
      <c r="F112" s="182"/>
      <c r="G112" s="12"/>
      <c r="H112" s="12"/>
      <c r="I112" s="12"/>
      <c r="L112" s="5"/>
    </row>
    <row r="113" spans="1:12" x14ac:dyDescent="0.25">
      <c r="A113" s="11"/>
      <c r="B113" s="12"/>
      <c r="C113" s="72"/>
      <c r="D113" s="148"/>
      <c r="E113" s="184"/>
      <c r="F113" s="185"/>
      <c r="G113" s="12"/>
      <c r="L113" s="5"/>
    </row>
    <row r="114" spans="1:12" x14ac:dyDescent="0.25">
      <c r="A114" s="11"/>
      <c r="B114" s="12"/>
      <c r="D114" s="148"/>
      <c r="E114" s="184"/>
      <c r="F114" s="5"/>
      <c r="G114" s="12"/>
      <c r="L114" s="5"/>
    </row>
    <row r="115" spans="1:12" x14ac:dyDescent="0.25">
      <c r="A115" s="11"/>
      <c r="B115" s="12"/>
      <c r="D115" s="148"/>
      <c r="E115" s="184"/>
      <c r="F115" s="5"/>
      <c r="G115" s="12"/>
      <c r="L115" s="5"/>
    </row>
    <row r="116" spans="1:12" x14ac:dyDescent="0.25">
      <c r="A116" s="11"/>
      <c r="B116" s="12"/>
      <c r="D116" s="148"/>
      <c r="E116" s="184"/>
      <c r="F116" s="5"/>
      <c r="G116" s="12"/>
      <c r="L116" s="5"/>
    </row>
    <row r="117" spans="1:12" x14ac:dyDescent="0.25">
      <c r="A117" s="11"/>
      <c r="B117" s="12"/>
      <c r="D117" s="148"/>
      <c r="E117" s="184"/>
      <c r="F117" s="5"/>
      <c r="G117" s="12"/>
      <c r="L117" s="5"/>
    </row>
    <row r="118" spans="1:12" x14ac:dyDescent="0.25">
      <c r="A118" s="11"/>
      <c r="B118" s="12"/>
      <c r="D118" s="148"/>
      <c r="E118" s="184"/>
      <c r="F118" s="5"/>
      <c r="G118" s="12"/>
      <c r="L118" s="5"/>
    </row>
    <row r="119" spans="1:12" x14ac:dyDescent="0.25">
      <c r="A119" s="11"/>
      <c r="B119" s="12"/>
      <c r="C119" s="5"/>
      <c r="D119" s="5"/>
      <c r="F119" s="185"/>
      <c r="G119" s="12"/>
      <c r="H119" s="12"/>
      <c r="I119" s="12"/>
      <c r="L119" s="5"/>
    </row>
    <row r="120" spans="1:12" x14ac:dyDescent="0.25">
      <c r="A120" s="11"/>
      <c r="B120" s="12"/>
      <c r="C120" s="5"/>
      <c r="D120" s="5"/>
      <c r="F120" s="185"/>
      <c r="G120" s="12"/>
      <c r="H120" s="12"/>
      <c r="I120" s="12"/>
      <c r="L120" s="5"/>
    </row>
    <row r="121" spans="1:12" ht="15.75" x14ac:dyDescent="0.25">
      <c r="A121" s="103"/>
      <c r="D121" s="5"/>
      <c r="L121" s="5"/>
    </row>
    <row r="122" spans="1:12" x14ac:dyDescent="0.25">
      <c r="D122" s="5"/>
      <c r="E122" s="2"/>
      <c r="F122" s="2"/>
      <c r="G122" s="2"/>
      <c r="H122" s="2"/>
      <c r="L122" s="5"/>
    </row>
    <row r="123" spans="1:12" x14ac:dyDescent="0.25">
      <c r="B123" s="2"/>
      <c r="C123" s="182"/>
      <c r="D123" s="192"/>
      <c r="E123" s="182"/>
      <c r="F123" s="182"/>
      <c r="G123" s="182"/>
      <c r="H123" s="182"/>
      <c r="I123" s="2"/>
      <c r="L123" s="5"/>
    </row>
    <row r="124" spans="1:12" x14ac:dyDescent="0.25">
      <c r="A124" s="11"/>
      <c r="B124" s="12"/>
      <c r="C124" s="183"/>
      <c r="D124" s="148"/>
      <c r="E124" s="183"/>
      <c r="F124" s="183"/>
      <c r="G124" s="183"/>
      <c r="H124" s="183"/>
      <c r="I124" s="183"/>
      <c r="L124" s="5"/>
    </row>
    <row r="125" spans="1:12" x14ac:dyDescent="0.25">
      <c r="A125" s="11"/>
      <c r="B125" s="12"/>
      <c r="C125" s="183"/>
      <c r="D125" s="148"/>
      <c r="E125" s="183"/>
      <c r="F125" s="183"/>
      <c r="G125" s="183"/>
      <c r="H125" s="183"/>
      <c r="I125" s="183"/>
      <c r="L125" s="5"/>
    </row>
    <row r="126" spans="1:12" x14ac:dyDescent="0.25">
      <c r="A126" s="11"/>
      <c r="B126" s="12"/>
      <c r="C126" s="183"/>
      <c r="D126" s="148"/>
      <c r="E126" s="183"/>
      <c r="F126" s="183"/>
      <c r="G126" s="183"/>
      <c r="H126" s="183"/>
      <c r="I126" s="183"/>
      <c r="L126" s="5"/>
    </row>
    <row r="127" spans="1:12" x14ac:dyDescent="0.25">
      <c r="A127" s="11"/>
      <c r="B127" s="12"/>
      <c r="C127" s="183"/>
      <c r="D127" s="148"/>
      <c r="E127" s="183"/>
      <c r="F127" s="183"/>
      <c r="G127" s="183"/>
      <c r="H127" s="183"/>
      <c r="I127" s="183"/>
      <c r="L127" s="5"/>
    </row>
    <row r="128" spans="1:12" x14ac:dyDescent="0.25">
      <c r="A128" s="11"/>
      <c r="B128" s="12"/>
      <c r="C128" s="72"/>
      <c r="D128" s="5"/>
      <c r="E128" s="72"/>
      <c r="F128" s="72"/>
      <c r="G128" s="72"/>
      <c r="H128" s="72"/>
      <c r="I128" s="72"/>
      <c r="L128" s="5"/>
    </row>
    <row r="129" spans="1:12" x14ac:dyDescent="0.25">
      <c r="A129" s="11"/>
      <c r="B129" s="12"/>
      <c r="D129" s="5"/>
      <c r="E129" s="12"/>
      <c r="F129" s="12"/>
      <c r="G129" s="12"/>
      <c r="H129" s="12"/>
      <c r="I129" s="12"/>
      <c r="L129" s="5"/>
    </row>
    <row r="130" spans="1:12" x14ac:dyDescent="0.25">
      <c r="A130" s="16"/>
      <c r="B130" s="16"/>
      <c r="D130" s="5"/>
      <c r="E130" s="12"/>
      <c r="F130" s="12"/>
      <c r="G130" s="12"/>
      <c r="H130" s="12"/>
      <c r="I130" s="12"/>
      <c r="L130" s="5"/>
    </row>
    <row r="131" spans="1:12" x14ac:dyDescent="0.25">
      <c r="A131" s="11"/>
      <c r="B131" s="2"/>
      <c r="C131" s="182"/>
      <c r="D131" s="192"/>
      <c r="E131" s="182"/>
      <c r="F131" s="182"/>
      <c r="G131" s="12"/>
      <c r="H131" s="12"/>
      <c r="I131" s="12"/>
      <c r="L131" s="5"/>
    </row>
    <row r="132" spans="1:12" x14ac:dyDescent="0.25">
      <c r="A132" s="11"/>
      <c r="B132" s="12"/>
      <c r="C132" s="72"/>
      <c r="D132" s="148"/>
      <c r="E132" s="184"/>
      <c r="F132" s="185"/>
      <c r="G132" s="12"/>
      <c r="L132" s="5"/>
    </row>
    <row r="133" spans="1:12" x14ac:dyDescent="0.25">
      <c r="A133" s="11"/>
      <c r="B133" s="12"/>
      <c r="C133" s="72"/>
      <c r="D133" s="148"/>
      <c r="E133" s="184"/>
      <c r="F133" s="185"/>
      <c r="G133" s="12"/>
      <c r="L133" s="5"/>
    </row>
    <row r="134" spans="1:12" x14ac:dyDescent="0.25">
      <c r="A134" s="11"/>
      <c r="B134" s="12"/>
      <c r="C134" s="72"/>
      <c r="D134" s="148"/>
      <c r="E134" s="184"/>
      <c r="F134" s="185"/>
      <c r="G134" s="12"/>
      <c r="L134" s="5"/>
    </row>
    <row r="135" spans="1:12" x14ac:dyDescent="0.25">
      <c r="A135" s="11"/>
      <c r="B135" s="12"/>
      <c r="D135" s="148"/>
      <c r="E135" s="184"/>
      <c r="F135" s="5"/>
      <c r="G135" s="12"/>
      <c r="L135" s="5"/>
    </row>
    <row r="136" spans="1:12" x14ac:dyDescent="0.25">
      <c r="A136" s="11"/>
      <c r="B136" s="12"/>
      <c r="C136" s="5"/>
      <c r="D136" s="5"/>
      <c r="F136" s="185"/>
      <c r="G136" s="12"/>
      <c r="H136" s="12"/>
      <c r="I136" s="12"/>
      <c r="L136" s="5"/>
    </row>
    <row r="137" spans="1:12" x14ac:dyDescent="0.25">
      <c r="A137" s="11"/>
      <c r="B137" s="12"/>
      <c r="C137" s="19"/>
      <c r="D137" s="5"/>
      <c r="F137" s="184"/>
      <c r="G137" s="12"/>
      <c r="H137" s="12"/>
      <c r="I137" s="12"/>
      <c r="L137" s="5"/>
    </row>
    <row r="138" spans="1:12" ht="15.75" x14ac:dyDescent="0.25">
      <c r="A138" s="103"/>
      <c r="D138" s="5"/>
      <c r="L138" s="5"/>
    </row>
    <row r="139" spans="1:12" x14ac:dyDescent="0.25">
      <c r="D139" s="5"/>
      <c r="E139" s="2"/>
      <c r="F139" s="2"/>
      <c r="L139" s="5"/>
    </row>
    <row r="140" spans="1:12" x14ac:dyDescent="0.25">
      <c r="B140" s="2"/>
      <c r="C140" s="182"/>
      <c r="D140" s="192"/>
      <c r="E140" s="182"/>
      <c r="F140" s="182"/>
      <c r="G140" s="2"/>
      <c r="L140" s="5"/>
    </row>
    <row r="141" spans="1:12" x14ac:dyDescent="0.25">
      <c r="A141" s="11"/>
      <c r="B141" s="12"/>
      <c r="C141" s="183"/>
      <c r="D141" s="148"/>
      <c r="E141" s="183"/>
      <c r="F141" s="183"/>
      <c r="G141" s="183"/>
      <c r="L141" s="5"/>
    </row>
    <row r="142" spans="1:12" x14ac:dyDescent="0.25">
      <c r="A142" s="11"/>
      <c r="B142" s="12"/>
      <c r="C142" s="183"/>
      <c r="D142" s="148"/>
      <c r="E142" s="183"/>
      <c r="F142" s="183"/>
      <c r="G142" s="183"/>
      <c r="H142" s="5"/>
      <c r="I142" s="5"/>
      <c r="L142" s="5"/>
    </row>
    <row r="143" spans="1:12" x14ac:dyDescent="0.25">
      <c r="A143" s="11"/>
      <c r="B143" s="12"/>
      <c r="C143" s="5"/>
      <c r="D143" s="5"/>
      <c r="E143" s="72"/>
      <c r="F143" s="72"/>
      <c r="G143" s="72"/>
      <c r="L143" s="5"/>
    </row>
    <row r="144" spans="1:12" x14ac:dyDescent="0.25">
      <c r="A144" s="11"/>
      <c r="B144" s="12"/>
      <c r="D144" s="5"/>
      <c r="E144" s="12"/>
      <c r="F144" s="12"/>
      <c r="G144" s="12"/>
      <c r="H144" s="12"/>
      <c r="I144" s="12"/>
      <c r="L144" s="5"/>
    </row>
    <row r="145" spans="1:12" x14ac:dyDescent="0.25">
      <c r="A145" s="16"/>
      <c r="B145" s="16"/>
      <c r="D145" s="5"/>
      <c r="E145" s="12"/>
      <c r="F145" s="12"/>
      <c r="G145" s="12"/>
      <c r="H145" s="12"/>
      <c r="I145" s="12"/>
      <c r="L145" s="5"/>
    </row>
    <row r="146" spans="1:12" x14ac:dyDescent="0.25">
      <c r="A146" s="11"/>
      <c r="B146" s="2"/>
      <c r="C146" s="182"/>
      <c r="D146" s="192"/>
      <c r="E146" s="182"/>
      <c r="F146" s="182"/>
      <c r="G146" s="12"/>
      <c r="H146" s="12"/>
      <c r="I146" s="12"/>
      <c r="L146" s="5"/>
    </row>
    <row r="147" spans="1:12" x14ac:dyDescent="0.25">
      <c r="A147" s="11"/>
      <c r="B147" s="12"/>
      <c r="C147" s="72"/>
      <c r="D147" s="148"/>
      <c r="E147" s="184"/>
      <c r="F147" s="185"/>
      <c r="G147" s="12"/>
      <c r="H147" s="12"/>
      <c r="I147" s="12"/>
      <c r="L147" s="5"/>
    </row>
    <row r="148" spans="1:12" x14ac:dyDescent="0.25">
      <c r="A148" s="11"/>
      <c r="B148" s="12"/>
      <c r="C148" s="5"/>
      <c r="D148" s="148"/>
      <c r="E148" s="184"/>
      <c r="F148" s="5"/>
      <c r="G148" s="12"/>
      <c r="H148" s="12"/>
      <c r="I148" s="12"/>
      <c r="L148" s="5"/>
    </row>
    <row r="149" spans="1:12" x14ac:dyDescent="0.25">
      <c r="A149" s="11"/>
      <c r="B149" s="12"/>
      <c r="C149" s="5"/>
      <c r="D149" s="5"/>
      <c r="F149" s="185"/>
      <c r="G149" s="12"/>
      <c r="H149" s="12"/>
      <c r="I149" s="12"/>
      <c r="L149" s="5"/>
    </row>
    <row r="150" spans="1:12" x14ac:dyDescent="0.25">
      <c r="D150" s="5"/>
      <c r="L150" s="5"/>
    </row>
    <row r="151" spans="1:12" x14ac:dyDescent="0.25">
      <c r="D151" s="5"/>
      <c r="L151" s="5"/>
    </row>
    <row r="152" spans="1:12" x14ac:dyDescent="0.25">
      <c r="D152" s="5"/>
      <c r="L152" s="5"/>
    </row>
    <row r="153" spans="1:12" x14ac:dyDescent="0.25">
      <c r="D153" s="5"/>
      <c r="L153" s="5"/>
    </row>
    <row r="154" spans="1:12" x14ac:dyDescent="0.25">
      <c r="D154" s="5"/>
      <c r="L154" s="5"/>
    </row>
  </sheetData>
  <mergeCells count="1">
    <mergeCell ref="A2:I2"/>
  </mergeCells>
  <printOptions horizontalCentered="1"/>
  <pageMargins left="0.85" right="0.6" top="0.9" bottom="1" header="0.3" footer="0.3"/>
  <pageSetup scale="70" fitToHeight="0" orientation="portrait" horizontalDpi="4294967293" r:id="rId1"/>
  <rowBreaks count="1" manualBreakCount="1">
    <brk id="86" max="10" man="1"/>
  </rowBreaks>
  <ignoredErrors>
    <ignoredError sqref="G1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0"/>
  <sheetViews>
    <sheetView showGridLines="0" workbookViewId="0">
      <selection sqref="A1:G26"/>
    </sheetView>
  </sheetViews>
  <sheetFormatPr defaultRowHeight="15" x14ac:dyDescent="0.2"/>
  <cols>
    <col min="1" max="1" width="8.44140625" customWidth="1"/>
    <col min="2" max="2" width="8.6640625" customWidth="1"/>
    <col min="3" max="3" width="8" customWidth="1"/>
    <col min="4" max="4" width="11.5546875" customWidth="1"/>
    <col min="5" max="5" width="9.77734375" customWidth="1"/>
    <col min="6" max="6" width="10.33203125" customWidth="1"/>
    <col min="7" max="7" width="9.77734375" customWidth="1"/>
    <col min="8" max="8" width="10.109375" customWidth="1"/>
    <col min="9" max="9" width="11" customWidth="1"/>
  </cols>
  <sheetData>
    <row r="1" spans="1:16" ht="18.75" x14ac:dyDescent="0.3">
      <c r="A1" s="352" t="s">
        <v>231</v>
      </c>
      <c r="B1" s="352"/>
      <c r="C1" s="352"/>
      <c r="D1" s="352"/>
      <c r="E1" s="352"/>
      <c r="F1" s="352"/>
      <c r="G1" s="352"/>
      <c r="H1" s="151"/>
      <c r="I1" s="161"/>
      <c r="J1" s="3"/>
      <c r="K1" s="3"/>
      <c r="L1" s="3"/>
      <c r="M1" s="3"/>
      <c r="N1" s="3"/>
      <c r="O1" s="3"/>
      <c r="P1" s="3"/>
    </row>
    <row r="2" spans="1:16" ht="18.75" x14ac:dyDescent="0.25">
      <c r="A2" s="341" t="s">
        <v>265</v>
      </c>
      <c r="B2" s="341"/>
      <c r="C2" s="341"/>
      <c r="D2" s="341"/>
      <c r="E2" s="341"/>
      <c r="F2" s="341"/>
      <c r="G2" s="341"/>
      <c r="H2" s="104"/>
      <c r="I2" s="154"/>
      <c r="J2" s="3"/>
      <c r="K2" s="3"/>
      <c r="L2" s="3"/>
      <c r="M2" s="3"/>
      <c r="N2" s="3"/>
      <c r="O2" s="3"/>
      <c r="P2" s="3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</row>
    <row r="4" spans="1:16" ht="15.75" x14ac:dyDescent="0.25">
      <c r="A4" s="1"/>
      <c r="B4" s="73" t="s">
        <v>233</v>
      </c>
      <c r="C4" s="1"/>
      <c r="D4" s="1"/>
      <c r="E4" s="1"/>
      <c r="F4" s="1"/>
      <c r="H4" s="1"/>
      <c r="I4" s="3"/>
      <c r="J4" s="3"/>
      <c r="K4" s="3"/>
      <c r="L4" s="3"/>
      <c r="M4" s="3"/>
      <c r="N4" s="3"/>
      <c r="O4" s="3"/>
      <c r="P4" s="3"/>
    </row>
    <row r="5" spans="1:16" ht="15.75" x14ac:dyDescent="0.25">
      <c r="A5" s="1"/>
      <c r="B5" s="108"/>
      <c r="C5" s="18"/>
      <c r="D5" s="9" t="s">
        <v>234</v>
      </c>
      <c r="E5" s="9" t="s">
        <v>235</v>
      </c>
      <c r="F5" s="9" t="s">
        <v>236</v>
      </c>
      <c r="H5" s="2"/>
      <c r="I5" s="3"/>
      <c r="J5" s="3"/>
      <c r="K5" s="3"/>
      <c r="L5" s="3"/>
      <c r="M5" s="3"/>
      <c r="N5" s="3"/>
      <c r="O5" s="3"/>
      <c r="P5" s="3"/>
    </row>
    <row r="6" spans="1:16" ht="15.75" x14ac:dyDescent="0.25">
      <c r="A6" s="1"/>
      <c r="B6" s="1" t="s">
        <v>266</v>
      </c>
      <c r="C6" s="1"/>
      <c r="D6" s="3">
        <f>C19</f>
        <v>818</v>
      </c>
      <c r="E6" s="64">
        <f>D19</f>
        <v>3217300</v>
      </c>
      <c r="F6" s="194">
        <f>F25</f>
        <v>24341.279999999999</v>
      </c>
      <c r="H6" s="66"/>
      <c r="I6" s="3"/>
      <c r="J6" s="3"/>
      <c r="K6" s="3"/>
      <c r="L6" s="3"/>
      <c r="M6" s="3"/>
      <c r="N6" s="3"/>
      <c r="O6" s="3"/>
      <c r="P6" s="3"/>
    </row>
    <row r="7" spans="1:16" ht="15.75" x14ac:dyDescent="0.25">
      <c r="A7" s="1"/>
      <c r="B7" s="1"/>
      <c r="C7" s="1"/>
      <c r="D7" s="1"/>
      <c r="E7" s="106" t="s">
        <v>102</v>
      </c>
      <c r="F7" s="69">
        <f>F6</f>
        <v>24341.279999999999</v>
      </c>
      <c r="H7" s="69"/>
      <c r="I7" s="163"/>
      <c r="J7" s="3"/>
      <c r="K7" s="3"/>
      <c r="L7" s="3"/>
      <c r="M7" s="3"/>
      <c r="N7" s="3"/>
      <c r="O7" s="3"/>
      <c r="P7" s="3"/>
    </row>
    <row r="8" spans="1:16" ht="15.75" x14ac:dyDescent="0.25">
      <c r="A8" s="1"/>
      <c r="B8" s="1"/>
      <c r="C8" s="1"/>
      <c r="D8" s="1"/>
      <c r="E8" s="106" t="s">
        <v>244</v>
      </c>
      <c r="F8" s="193">
        <v>0</v>
      </c>
      <c r="H8" s="69"/>
      <c r="I8" s="163"/>
      <c r="J8" s="3"/>
      <c r="K8" s="3"/>
      <c r="L8" s="3"/>
      <c r="M8" s="3"/>
      <c r="N8" s="3"/>
      <c r="O8" s="3"/>
      <c r="P8" s="3"/>
    </row>
    <row r="9" spans="1:16" ht="15.75" x14ac:dyDescent="0.25">
      <c r="A9" s="1"/>
      <c r="B9" s="1"/>
      <c r="C9" s="1"/>
      <c r="D9" s="1"/>
      <c r="E9" s="106" t="s">
        <v>245</v>
      </c>
      <c r="F9" s="69">
        <f>F7+F8</f>
        <v>24341.279999999999</v>
      </c>
      <c r="H9" s="69"/>
      <c r="I9" s="163"/>
      <c r="J9" s="3"/>
      <c r="K9" s="3"/>
      <c r="L9" s="3"/>
      <c r="M9" s="3"/>
      <c r="N9" s="3"/>
      <c r="O9" s="3"/>
      <c r="P9" s="3"/>
    </row>
    <row r="10" spans="1:16" ht="15.75" x14ac:dyDescent="0.25">
      <c r="A10" s="1"/>
      <c r="B10" s="1"/>
      <c r="C10" s="1"/>
      <c r="D10" s="1"/>
      <c r="E10" s="106" t="s">
        <v>246</v>
      </c>
      <c r="F10" s="193">
        <f>-SAOs!D7</f>
        <v>-23463</v>
      </c>
      <c r="H10" s="69"/>
      <c r="I10" s="163"/>
      <c r="J10" s="3"/>
      <c r="K10" s="3"/>
      <c r="L10" s="3"/>
      <c r="M10" s="3"/>
      <c r="N10" s="3"/>
      <c r="O10" s="3"/>
      <c r="P10" s="3"/>
    </row>
    <row r="11" spans="1:16" ht="15.75" x14ac:dyDescent="0.25">
      <c r="A11" s="1"/>
      <c r="B11" s="1"/>
      <c r="C11" s="1"/>
      <c r="D11" s="1"/>
      <c r="E11" s="106" t="s">
        <v>247</v>
      </c>
      <c r="F11" s="69">
        <f>F9+F10</f>
        <v>878.27999999999884</v>
      </c>
      <c r="G11" s="150">
        <f>-F11/F10</f>
        <v>3.7432553381920419E-2</v>
      </c>
      <c r="H11" s="69"/>
      <c r="I11" s="163"/>
      <c r="J11" s="3"/>
      <c r="K11" s="3"/>
      <c r="L11" s="3"/>
      <c r="M11" s="3"/>
      <c r="N11" s="3"/>
      <c r="O11" s="3"/>
      <c r="P11" s="3"/>
    </row>
    <row r="12" spans="1:16" ht="15.75" x14ac:dyDescent="0.25">
      <c r="A12" s="1"/>
      <c r="B12" s="1"/>
      <c r="C12" s="1"/>
      <c r="D12" s="1"/>
      <c r="E12" s="152"/>
      <c r="F12" s="69"/>
      <c r="H12" s="69"/>
      <c r="I12" s="163"/>
      <c r="J12" s="3"/>
      <c r="K12" s="3"/>
      <c r="L12" s="3"/>
      <c r="M12" s="3"/>
      <c r="N12" s="3"/>
      <c r="O12" s="3"/>
      <c r="P12" s="3"/>
    </row>
    <row r="13" spans="1:16" ht="15.75" x14ac:dyDescent="0.25">
      <c r="A13" s="1"/>
      <c r="B13" s="1"/>
      <c r="C13" s="1"/>
      <c r="D13" s="1"/>
      <c r="E13" s="1"/>
      <c r="F13" s="69"/>
      <c r="G13" s="69"/>
      <c r="H13" s="1"/>
      <c r="I13" s="3"/>
      <c r="J13" s="3"/>
      <c r="K13" s="3"/>
      <c r="L13" s="3"/>
      <c r="M13" s="3"/>
      <c r="N13" s="3"/>
      <c r="O13" s="3"/>
      <c r="P13" s="3"/>
    </row>
    <row r="14" spans="1:16" ht="15.75" x14ac:dyDescent="0.25">
      <c r="A14" s="103" t="s">
        <v>267</v>
      </c>
      <c r="B14" s="1"/>
      <c r="C14" s="1"/>
      <c r="D14" s="1"/>
      <c r="E14" s="1"/>
      <c r="F14" s="1"/>
      <c r="G14" s="1"/>
      <c r="H14" s="1"/>
      <c r="I14" s="3"/>
      <c r="J14" s="3"/>
      <c r="K14" s="3"/>
      <c r="L14" s="3"/>
      <c r="M14" s="3"/>
      <c r="N14" s="3"/>
      <c r="O14" s="3"/>
      <c r="P14" s="3"/>
    </row>
    <row r="15" spans="1:16" ht="15.75" x14ac:dyDescent="0.25">
      <c r="A15" s="1"/>
      <c r="B15" s="1"/>
      <c r="C15" s="1"/>
      <c r="D15" s="1"/>
      <c r="E15" s="2" t="s">
        <v>249</v>
      </c>
      <c r="F15" s="2" t="s">
        <v>251</v>
      </c>
      <c r="G15" s="1"/>
      <c r="I15" s="3"/>
      <c r="J15" s="3"/>
      <c r="K15" s="3"/>
      <c r="L15" s="3"/>
      <c r="M15" s="3"/>
      <c r="N15" s="3"/>
      <c r="O15" s="3"/>
      <c r="P15" s="3"/>
    </row>
    <row r="16" spans="1:16" ht="15.75" x14ac:dyDescent="0.25">
      <c r="A16" s="1"/>
      <c r="B16" s="9" t="s">
        <v>252</v>
      </c>
      <c r="C16" s="10" t="s">
        <v>253</v>
      </c>
      <c r="D16" s="10" t="s">
        <v>254</v>
      </c>
      <c r="E16" s="10">
        <f>B17</f>
        <v>2000</v>
      </c>
      <c r="F16" s="10">
        <f>B18</f>
        <v>2000</v>
      </c>
      <c r="G16" s="9" t="s">
        <v>255</v>
      </c>
      <c r="I16" s="3"/>
      <c r="J16" s="3"/>
      <c r="K16" s="3"/>
      <c r="L16" s="3"/>
      <c r="M16" s="3"/>
      <c r="N16" s="3"/>
      <c r="O16" s="3"/>
      <c r="P16" s="3"/>
    </row>
    <row r="17" spans="1:16" ht="15.75" x14ac:dyDescent="0.25">
      <c r="A17" s="11" t="s">
        <v>249</v>
      </c>
      <c r="B17" s="12">
        <v>2000</v>
      </c>
      <c r="C17" s="70">
        <f>516+9</f>
        <v>525</v>
      </c>
      <c r="D17" s="70">
        <f>350700+3000</f>
        <v>353700</v>
      </c>
      <c r="E17" s="70">
        <f>D17</f>
        <v>353700</v>
      </c>
      <c r="F17" s="70">
        <v>0</v>
      </c>
      <c r="G17" s="70">
        <f>SUM(E17:F17)</f>
        <v>353700</v>
      </c>
      <c r="I17" s="3"/>
      <c r="J17" s="3"/>
      <c r="K17" s="3"/>
      <c r="L17" s="3"/>
      <c r="M17" s="3"/>
      <c r="N17" s="3"/>
      <c r="O17" s="3"/>
      <c r="P17" s="3"/>
    </row>
    <row r="18" spans="1:16" ht="15.75" x14ac:dyDescent="0.25">
      <c r="A18" s="11" t="s">
        <v>251</v>
      </c>
      <c r="B18" s="14">
        <v>2000</v>
      </c>
      <c r="C18" s="71">
        <f>17+276</f>
        <v>293</v>
      </c>
      <c r="D18" s="71">
        <f>34000+1629300+552000+648300</f>
        <v>2863600</v>
      </c>
      <c r="E18" s="71">
        <f>C18*E$16</f>
        <v>586000</v>
      </c>
      <c r="F18" s="71">
        <f>D18-E18</f>
        <v>2277600</v>
      </c>
      <c r="G18" s="71">
        <f>SUM(E18:F18)</f>
        <v>2863600</v>
      </c>
      <c r="I18" s="3"/>
      <c r="J18" s="3"/>
      <c r="K18" s="3"/>
      <c r="L18" s="3"/>
      <c r="M18" s="3"/>
      <c r="N18" s="3"/>
      <c r="O18" s="3"/>
      <c r="P18" s="3"/>
    </row>
    <row r="19" spans="1:16" ht="15.75" x14ac:dyDescent="0.25">
      <c r="A19" s="11"/>
      <c r="B19" s="12"/>
      <c r="C19" s="72">
        <f>SUM(C17:C18)</f>
        <v>818</v>
      </c>
      <c r="D19" s="72">
        <f>SUM(D17:D18)</f>
        <v>3217300</v>
      </c>
      <c r="E19" s="72">
        <f>SUM(E17:E18)</f>
        <v>939700</v>
      </c>
      <c r="F19" s="72">
        <f>SUM(F17:F18)</f>
        <v>2277600</v>
      </c>
      <c r="G19" s="72">
        <f>SUM(G17:G18)</f>
        <v>3217300</v>
      </c>
      <c r="I19" s="3"/>
      <c r="J19" s="3"/>
      <c r="K19" s="3"/>
      <c r="L19" s="3"/>
      <c r="M19" s="3"/>
      <c r="N19" s="3"/>
      <c r="O19" s="3"/>
      <c r="P19" s="3"/>
    </row>
    <row r="20" spans="1:16" ht="15.75" x14ac:dyDescent="0.25">
      <c r="A20" s="11"/>
      <c r="B20" s="12"/>
      <c r="C20" s="1"/>
      <c r="D20" s="12"/>
      <c r="E20" s="12"/>
      <c r="F20" s="12"/>
      <c r="G20" s="12"/>
      <c r="H20" s="12"/>
      <c r="I20" s="3"/>
      <c r="J20" s="3"/>
      <c r="K20" s="3"/>
      <c r="L20" s="3"/>
      <c r="M20" s="3"/>
      <c r="N20" s="3"/>
      <c r="O20" s="3"/>
      <c r="P20" s="3"/>
    </row>
    <row r="21" spans="1:16" ht="15.75" x14ac:dyDescent="0.25">
      <c r="A21" s="16" t="s">
        <v>256</v>
      </c>
      <c r="B21" s="16"/>
      <c r="C21" s="1"/>
      <c r="D21" s="12"/>
      <c r="E21" s="12"/>
      <c r="F21" s="12"/>
      <c r="G21" s="12"/>
      <c r="H21" s="12"/>
      <c r="I21" s="3"/>
      <c r="J21" s="3"/>
      <c r="K21" s="3"/>
      <c r="L21" s="3"/>
      <c r="M21" s="3"/>
      <c r="N21" s="3"/>
      <c r="O21" s="3"/>
      <c r="P21" s="3"/>
    </row>
    <row r="22" spans="1:16" ht="15.75" x14ac:dyDescent="0.25">
      <c r="A22" s="11"/>
      <c r="B22" s="9"/>
      <c r="C22" s="10" t="s">
        <v>253</v>
      </c>
      <c r="D22" s="9" t="s">
        <v>254</v>
      </c>
      <c r="E22" s="10" t="s">
        <v>257</v>
      </c>
      <c r="F22" s="10" t="s">
        <v>258</v>
      </c>
      <c r="G22" s="12"/>
      <c r="H22" s="12"/>
      <c r="I22" s="3"/>
      <c r="J22" s="3"/>
      <c r="K22" s="3"/>
      <c r="L22" s="3"/>
      <c r="M22" s="3"/>
      <c r="N22" s="3"/>
      <c r="O22" s="3"/>
      <c r="P22" s="3"/>
    </row>
    <row r="23" spans="1:16" ht="15.75" x14ac:dyDescent="0.25">
      <c r="A23" s="11" t="s">
        <v>249</v>
      </c>
      <c r="B23" s="12">
        <f>B17</f>
        <v>2000</v>
      </c>
      <c r="C23" s="13">
        <f>C19</f>
        <v>818</v>
      </c>
      <c r="D23" s="70">
        <f>E19</f>
        <v>939700</v>
      </c>
      <c r="E23" s="17">
        <v>15</v>
      </c>
      <c r="F23" s="7">
        <f>E23*C23</f>
        <v>12270</v>
      </c>
      <c r="G23" s="12"/>
      <c r="H23" s="1"/>
      <c r="I23" s="3"/>
      <c r="J23" s="3"/>
      <c r="K23" s="3"/>
      <c r="L23" s="3"/>
      <c r="M23" s="3"/>
      <c r="N23" s="3"/>
      <c r="O23" s="3"/>
      <c r="P23" s="3"/>
    </row>
    <row r="24" spans="1:16" ht="15.75" x14ac:dyDescent="0.25">
      <c r="A24" s="11" t="s">
        <v>251</v>
      </c>
      <c r="B24" s="14">
        <f>B18</f>
        <v>2000</v>
      </c>
      <c r="C24" s="18"/>
      <c r="D24" s="71">
        <f>F19</f>
        <v>2277600</v>
      </c>
      <c r="E24" s="312">
        <v>5.3</v>
      </c>
      <c r="F24" s="75">
        <f>(E24*D24)/1000</f>
        <v>12071.28</v>
      </c>
      <c r="G24" s="12"/>
      <c r="H24" s="1"/>
      <c r="I24" s="3"/>
      <c r="J24" s="3"/>
      <c r="K24" s="3"/>
      <c r="L24" s="3"/>
      <c r="M24" s="3"/>
      <c r="N24" s="3"/>
      <c r="O24" s="3"/>
      <c r="P24" s="3"/>
    </row>
    <row r="25" spans="1:16" ht="15.75" x14ac:dyDescent="0.25">
      <c r="A25" s="11"/>
      <c r="B25" s="12" t="s">
        <v>255</v>
      </c>
      <c r="C25" s="3">
        <f>SUM(C23:C24)</f>
        <v>818</v>
      </c>
      <c r="D25" s="72">
        <f>SUM(D23:D24)</f>
        <v>3217300</v>
      </c>
      <c r="E25" s="1"/>
      <c r="F25" s="7">
        <f>SUM(F23:F24)</f>
        <v>24341.279999999999</v>
      </c>
      <c r="G25" s="12"/>
      <c r="H25" s="12"/>
      <c r="I25" s="3"/>
      <c r="J25" s="3"/>
      <c r="K25" s="3"/>
      <c r="L25" s="3"/>
      <c r="M25" s="3"/>
      <c r="N25" s="3"/>
      <c r="O25" s="3"/>
      <c r="P25" s="3"/>
    </row>
    <row r="26" spans="1:16" ht="15.75" x14ac:dyDescent="0.25">
      <c r="I26" s="3"/>
      <c r="J26" s="3"/>
      <c r="K26" s="3"/>
      <c r="L26" s="3"/>
      <c r="M26" s="3"/>
      <c r="N26" s="3"/>
      <c r="O26" s="3"/>
      <c r="P26" s="3"/>
    </row>
    <row r="27" spans="1:16" ht="15.75" x14ac:dyDescent="0.25">
      <c r="I27" s="3"/>
      <c r="J27" s="3"/>
      <c r="K27" s="3"/>
      <c r="L27" s="3"/>
      <c r="M27" s="3"/>
      <c r="N27" s="3"/>
      <c r="O27" s="3"/>
      <c r="P27" s="3"/>
    </row>
    <row r="28" spans="1:16" ht="15.75" x14ac:dyDescent="0.25">
      <c r="I28" s="3"/>
      <c r="J28" s="3"/>
      <c r="K28" s="3"/>
      <c r="L28" s="3"/>
      <c r="M28" s="3"/>
      <c r="N28" s="3"/>
      <c r="O28" s="3"/>
      <c r="P28" s="3"/>
    </row>
    <row r="29" spans="1:16" ht="15.75" x14ac:dyDescent="0.25">
      <c r="I29" s="3"/>
      <c r="J29" s="3"/>
      <c r="K29" s="3"/>
      <c r="L29" s="3"/>
      <c r="M29" s="3"/>
      <c r="N29" s="3"/>
      <c r="O29" s="3"/>
      <c r="P29" s="3"/>
    </row>
    <row r="30" spans="1:16" x14ac:dyDescent="0.2">
      <c r="I30" s="162"/>
      <c r="J30" s="162"/>
      <c r="K30" s="162"/>
      <c r="L30" s="162"/>
      <c r="M30" s="162"/>
      <c r="N30" s="162"/>
      <c r="O30" s="162"/>
      <c r="P30" s="162"/>
    </row>
  </sheetData>
  <mergeCells count="2">
    <mergeCell ref="A1:G1"/>
    <mergeCell ref="A2:G2"/>
  </mergeCells>
  <printOptions horizontalCentered="1"/>
  <pageMargins left="0.85" right="0.7" top="1.25" bottom="0.75" header="0.3" footer="0.3"/>
  <pageSetup orientation="portrait" r:id="rId1"/>
  <ignoredErrors>
    <ignoredError sqref="F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U38"/>
  <sheetViews>
    <sheetView showGridLines="0" workbookViewId="0">
      <selection activeCell="B2" sqref="B2:O32"/>
    </sheetView>
  </sheetViews>
  <sheetFormatPr defaultColWidth="8.88671875" defaultRowHeight="15.75" outlineLevelRow="1" x14ac:dyDescent="0.25"/>
  <cols>
    <col min="1" max="1" width="2.109375" style="23" customWidth="1"/>
    <col min="2" max="2" width="1.109375" style="23" customWidth="1"/>
    <col min="3" max="3" width="4.77734375" style="23" customWidth="1"/>
    <col min="4" max="4" width="6.77734375" style="23" customWidth="1"/>
    <col min="5" max="5" width="6.33203125" style="23" customWidth="1"/>
    <col min="6" max="6" width="7.33203125" style="23" customWidth="1"/>
    <col min="7" max="7" width="13.33203125" style="23" customWidth="1"/>
    <col min="8" max="8" width="1.21875" style="23" customWidth="1"/>
    <col min="9" max="9" width="4.77734375" style="23" customWidth="1"/>
    <col min="10" max="10" width="7" style="23" customWidth="1"/>
    <col min="11" max="11" width="6.33203125" style="23" customWidth="1"/>
    <col min="12" max="12" width="7.33203125" style="23" customWidth="1"/>
    <col min="13" max="13" width="13.33203125" style="23" customWidth="1"/>
    <col min="14" max="14" width="8.5546875" style="23" bestFit="1" customWidth="1"/>
    <col min="15" max="15" width="6.5546875" style="23" bestFit="1" customWidth="1"/>
    <col min="16" max="16" width="2.6640625" style="23" customWidth="1"/>
    <col min="17" max="207" width="9.6640625" style="23" customWidth="1"/>
    <col min="208" max="16384" width="8.88671875" style="23"/>
  </cols>
  <sheetData>
    <row r="2" spans="2:18" ht="18.75" x14ac:dyDescent="0.3">
      <c r="B2" s="353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</row>
    <row r="3" spans="2:18" ht="18.75" hidden="1" x14ac:dyDescent="0.3">
      <c r="B3" s="42"/>
      <c r="C3" s="352" t="s">
        <v>268</v>
      </c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7"/>
    </row>
    <row r="4" spans="2:18" ht="18.75" hidden="1" x14ac:dyDescent="0.3">
      <c r="B4" s="4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48"/>
      <c r="O4" s="360"/>
    </row>
    <row r="5" spans="2:18" ht="18.75" x14ac:dyDescent="0.3">
      <c r="B5" s="42"/>
      <c r="C5" s="352" t="s">
        <v>269</v>
      </c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48"/>
      <c r="O5" s="360"/>
    </row>
    <row r="6" spans="2:18" ht="18.75" x14ac:dyDescent="0.3">
      <c r="B6" s="42"/>
      <c r="C6" s="352" t="s">
        <v>1</v>
      </c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48"/>
      <c r="O6" s="360"/>
      <c r="P6" s="104"/>
      <c r="Q6" s="104"/>
      <c r="R6" s="104"/>
    </row>
    <row r="7" spans="2:18" ht="18.75" x14ac:dyDescent="0.25">
      <c r="B7" s="42"/>
      <c r="C7" s="341" t="s">
        <v>169</v>
      </c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61"/>
      <c r="O7" s="362"/>
      <c r="P7" s="104"/>
      <c r="Q7" s="104"/>
      <c r="R7" s="104"/>
    </row>
    <row r="8" spans="2:18" x14ac:dyDescent="0.25">
      <c r="B8" s="4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88"/>
    </row>
    <row r="9" spans="2:18" x14ac:dyDescent="0.25">
      <c r="B9" s="42"/>
      <c r="C9" s="1"/>
      <c r="D9" s="1"/>
      <c r="E9" s="1"/>
      <c r="F9" s="1"/>
      <c r="G9" s="83"/>
      <c r="H9" s="42"/>
      <c r="I9" s="1"/>
      <c r="J9" s="1"/>
      <c r="K9" s="1"/>
      <c r="L9" s="1"/>
      <c r="M9" s="83"/>
      <c r="N9" s="42"/>
      <c r="O9" s="83"/>
    </row>
    <row r="10" spans="2:18" x14ac:dyDescent="0.25">
      <c r="B10" s="42"/>
      <c r="C10" s="358" t="s">
        <v>270</v>
      </c>
      <c r="D10" s="358"/>
      <c r="E10" s="358"/>
      <c r="F10" s="358"/>
      <c r="G10" s="359"/>
      <c r="H10" s="1"/>
      <c r="I10" s="358" t="s">
        <v>271</v>
      </c>
      <c r="J10" s="358"/>
      <c r="K10" s="358"/>
      <c r="L10" s="358"/>
      <c r="M10" s="359"/>
      <c r="N10" s="262" t="s">
        <v>272</v>
      </c>
      <c r="O10" s="255" t="s">
        <v>273</v>
      </c>
    </row>
    <row r="11" spans="2:18" x14ac:dyDescent="0.25">
      <c r="B11" s="42"/>
      <c r="C11" s="1"/>
      <c r="D11" s="1"/>
      <c r="E11" s="1"/>
      <c r="F11" s="1"/>
      <c r="G11" s="83"/>
      <c r="H11" s="1"/>
      <c r="I11" s="1"/>
      <c r="J11" s="1"/>
      <c r="K11" s="1"/>
      <c r="L11" s="1"/>
      <c r="M11" s="83"/>
      <c r="N11" s="42"/>
      <c r="O11" s="83"/>
    </row>
    <row r="12" spans="2:18" x14ac:dyDescent="0.25">
      <c r="B12" s="42"/>
      <c r="C12" s="8" t="s">
        <v>274</v>
      </c>
      <c r="D12" s="1"/>
      <c r="E12" s="1"/>
      <c r="F12" s="1"/>
      <c r="G12" s="83"/>
      <c r="H12" s="1"/>
      <c r="I12" s="8" t="s">
        <v>274</v>
      </c>
      <c r="J12" s="1"/>
      <c r="K12" s="1"/>
      <c r="L12" s="89"/>
      <c r="M12" s="83"/>
      <c r="N12" s="42"/>
      <c r="O12" s="83"/>
    </row>
    <row r="13" spans="2:18" outlineLevel="1" x14ac:dyDescent="0.25">
      <c r="B13" s="42"/>
      <c r="C13" s="11" t="s">
        <v>275</v>
      </c>
      <c r="D13" s="84">
        <v>2000</v>
      </c>
      <c r="E13" s="1" t="s">
        <v>276</v>
      </c>
      <c r="F13" s="85">
        <v>27.5</v>
      </c>
      <c r="G13" s="83" t="s">
        <v>277</v>
      </c>
      <c r="H13" s="1"/>
      <c r="I13" s="11" t="s">
        <v>275</v>
      </c>
      <c r="J13" s="84">
        <v>2000</v>
      </c>
      <c r="K13" s="1" t="s">
        <v>276</v>
      </c>
      <c r="L13" s="85">
        <f>ROUND(F13*(1+(SAOw!$H$52)),2)-0.01</f>
        <v>31.169999999999998</v>
      </c>
      <c r="M13" s="83" t="s">
        <v>277</v>
      </c>
      <c r="N13" s="263">
        <f>L13-F13</f>
        <v>3.6699999999999982</v>
      </c>
      <c r="O13" s="264">
        <f>N13/F13</f>
        <v>0.13345454545454538</v>
      </c>
      <c r="R13" s="122"/>
    </row>
    <row r="14" spans="2:18" outlineLevel="1" x14ac:dyDescent="0.25">
      <c r="B14" s="42"/>
      <c r="C14" s="11" t="s">
        <v>278</v>
      </c>
      <c r="D14" s="84">
        <v>3000</v>
      </c>
      <c r="E14" s="1" t="s">
        <v>276</v>
      </c>
      <c r="F14" s="86">
        <v>11.74</v>
      </c>
      <c r="G14" s="83" t="s">
        <v>279</v>
      </c>
      <c r="H14" s="1"/>
      <c r="I14" s="11" t="s">
        <v>278</v>
      </c>
      <c r="J14" s="84">
        <v>3000</v>
      </c>
      <c r="K14" s="1" t="s">
        <v>276</v>
      </c>
      <c r="L14" s="86">
        <f>ROUND(F14*(1+(SAOw!$H$52)),2)</f>
        <v>13.31</v>
      </c>
      <c r="M14" s="83" t="s">
        <v>279</v>
      </c>
      <c r="N14" s="263">
        <f t="shared" ref="N14:N17" si="0">L14-F14</f>
        <v>1.5700000000000003</v>
      </c>
      <c r="O14" s="264">
        <f t="shared" ref="O14:O17" si="1">N14/F14</f>
        <v>0.13373083475298128</v>
      </c>
      <c r="R14" s="155"/>
    </row>
    <row r="15" spans="2:18" outlineLevel="1" x14ac:dyDescent="0.25">
      <c r="B15" s="42"/>
      <c r="C15" s="11" t="s">
        <v>278</v>
      </c>
      <c r="D15" s="84">
        <v>5000</v>
      </c>
      <c r="E15" s="1" t="s">
        <v>276</v>
      </c>
      <c r="F15" s="86">
        <v>8.41</v>
      </c>
      <c r="G15" s="83" t="s">
        <v>279</v>
      </c>
      <c r="H15" s="1"/>
      <c r="I15" s="11" t="s">
        <v>278</v>
      </c>
      <c r="J15" s="84">
        <v>5000</v>
      </c>
      <c r="K15" s="1" t="s">
        <v>276</v>
      </c>
      <c r="L15" s="86">
        <f>ROUND(F15*(1+(SAOw!$H$52)),2)</f>
        <v>9.5399999999999991</v>
      </c>
      <c r="M15" s="83" t="s">
        <v>279</v>
      </c>
      <c r="N15" s="263">
        <f t="shared" si="0"/>
        <v>1.129999999999999</v>
      </c>
      <c r="O15" s="264">
        <f t="shared" si="1"/>
        <v>0.13436385255648026</v>
      </c>
      <c r="R15" s="155"/>
    </row>
    <row r="16" spans="2:18" outlineLevel="1" x14ac:dyDescent="0.25">
      <c r="B16" s="42"/>
      <c r="C16" s="11" t="s">
        <v>278</v>
      </c>
      <c r="D16" s="84">
        <v>10000</v>
      </c>
      <c r="E16" s="1" t="s">
        <v>276</v>
      </c>
      <c r="F16" s="86">
        <v>7.08</v>
      </c>
      <c r="G16" s="83" t="s">
        <v>279</v>
      </c>
      <c r="H16" s="1"/>
      <c r="I16" s="11" t="s">
        <v>278</v>
      </c>
      <c r="J16" s="84">
        <v>10000</v>
      </c>
      <c r="K16" s="1" t="s">
        <v>276</v>
      </c>
      <c r="L16" s="86">
        <f>ROUND(F16*(1+(SAOw!$H$52)),2)</f>
        <v>8.0299999999999994</v>
      </c>
      <c r="M16" s="83" t="s">
        <v>279</v>
      </c>
      <c r="N16" s="263">
        <f t="shared" si="0"/>
        <v>0.94999999999999929</v>
      </c>
      <c r="O16" s="264">
        <f t="shared" si="1"/>
        <v>0.13418079096045188</v>
      </c>
      <c r="R16" s="155"/>
    </row>
    <row r="17" spans="2:18" outlineLevel="1" x14ac:dyDescent="0.25">
      <c r="B17" s="42"/>
      <c r="C17" s="11" t="s">
        <v>280</v>
      </c>
      <c r="D17" s="84">
        <v>20000</v>
      </c>
      <c r="E17" s="1" t="s">
        <v>276</v>
      </c>
      <c r="F17" s="86">
        <v>6.28</v>
      </c>
      <c r="G17" s="83" t="s">
        <v>279</v>
      </c>
      <c r="H17" s="1"/>
      <c r="I17" s="11" t="s">
        <v>280</v>
      </c>
      <c r="J17" s="84">
        <v>20000</v>
      </c>
      <c r="K17" s="1" t="s">
        <v>276</v>
      </c>
      <c r="L17" s="86">
        <f>ROUND(F17*(1+(SAOw!$H$52)),2)</f>
        <v>7.12</v>
      </c>
      <c r="M17" s="83" t="s">
        <v>279</v>
      </c>
      <c r="N17" s="263">
        <f t="shared" si="0"/>
        <v>0.83999999999999986</v>
      </c>
      <c r="O17" s="264">
        <f t="shared" si="1"/>
        <v>0.13375796178343946</v>
      </c>
      <c r="R17" s="155"/>
    </row>
    <row r="18" spans="2:18" outlineLevel="1" x14ac:dyDescent="0.25">
      <c r="B18" s="42"/>
      <c r="C18" s="84"/>
      <c r="D18" s="1"/>
      <c r="E18" s="1"/>
      <c r="F18" s="1"/>
      <c r="G18" s="83"/>
      <c r="H18" s="1"/>
      <c r="I18" s="84"/>
      <c r="J18" s="1"/>
      <c r="K18" s="1"/>
      <c r="L18" s="1"/>
      <c r="M18" s="83"/>
      <c r="N18" s="42"/>
      <c r="O18" s="83"/>
    </row>
    <row r="19" spans="2:18" outlineLevel="1" x14ac:dyDescent="0.25">
      <c r="B19" s="42"/>
      <c r="C19" s="8" t="s">
        <v>281</v>
      </c>
      <c r="D19" s="1"/>
      <c r="E19" s="1"/>
      <c r="F19" s="1"/>
      <c r="G19" s="83"/>
      <c r="H19" s="1"/>
      <c r="I19" s="8" t="s">
        <v>281</v>
      </c>
      <c r="J19" s="1"/>
      <c r="K19" s="1"/>
      <c r="L19" s="1"/>
      <c r="M19" s="83"/>
      <c r="N19" s="42"/>
      <c r="O19" s="83"/>
    </row>
    <row r="20" spans="2:18" x14ac:dyDescent="0.25">
      <c r="B20" s="42"/>
      <c r="C20" s="11" t="s">
        <v>275</v>
      </c>
      <c r="D20" s="84">
        <v>15000</v>
      </c>
      <c r="E20" s="1" t="s">
        <v>276</v>
      </c>
      <c r="F20" s="85">
        <v>130.16</v>
      </c>
      <c r="G20" s="83" t="s">
        <v>277</v>
      </c>
      <c r="H20" s="1"/>
      <c r="I20" s="11" t="s">
        <v>275</v>
      </c>
      <c r="J20" s="84">
        <v>15000</v>
      </c>
      <c r="K20" s="1" t="s">
        <v>276</v>
      </c>
      <c r="L20" s="85">
        <f>ROUND(F20*(1+(SAOw!$H$52)),2)</f>
        <v>147.58000000000001</v>
      </c>
      <c r="M20" s="83" t="s">
        <v>277</v>
      </c>
      <c r="N20" s="263">
        <f t="shared" ref="N20:N22" si="2">L20-F20</f>
        <v>17.420000000000016</v>
      </c>
      <c r="O20" s="264">
        <f t="shared" ref="O20:O22" si="3">N20/F20</f>
        <v>0.13383527965580835</v>
      </c>
      <c r="R20" s="155"/>
    </row>
    <row r="21" spans="2:18" x14ac:dyDescent="0.25">
      <c r="B21" s="42"/>
      <c r="C21" s="11" t="s">
        <v>278</v>
      </c>
      <c r="D21" s="84">
        <v>5000</v>
      </c>
      <c r="E21" s="1" t="s">
        <v>276</v>
      </c>
      <c r="F21" s="180">
        <v>7.08</v>
      </c>
      <c r="G21" s="83" t="s">
        <v>279</v>
      </c>
      <c r="H21" s="1"/>
      <c r="I21" s="11" t="s">
        <v>278</v>
      </c>
      <c r="J21" s="84">
        <v>5000</v>
      </c>
      <c r="K21" s="1" t="s">
        <v>276</v>
      </c>
      <c r="L21" s="86">
        <f>ROUND(F21*(1+(SAOw!$H$52)),2)</f>
        <v>8.0299999999999994</v>
      </c>
      <c r="M21" s="83" t="s">
        <v>279</v>
      </c>
      <c r="N21" s="263">
        <f t="shared" si="2"/>
        <v>0.94999999999999929</v>
      </c>
      <c r="O21" s="264">
        <f t="shared" si="3"/>
        <v>0.13418079096045188</v>
      </c>
      <c r="R21" s="155"/>
    </row>
    <row r="22" spans="2:18" x14ac:dyDescent="0.25">
      <c r="B22" s="42"/>
      <c r="C22" s="11" t="s">
        <v>280</v>
      </c>
      <c r="D22" s="84">
        <v>20000</v>
      </c>
      <c r="E22" s="1" t="s">
        <v>276</v>
      </c>
      <c r="F22" s="86">
        <v>6.28</v>
      </c>
      <c r="G22" s="83" t="s">
        <v>279</v>
      </c>
      <c r="H22" s="1"/>
      <c r="I22" s="11" t="s">
        <v>280</v>
      </c>
      <c r="J22" s="84">
        <v>20000</v>
      </c>
      <c r="K22" s="1" t="s">
        <v>276</v>
      </c>
      <c r="L22" s="86">
        <f>ROUND(F22*(1+(SAOw!$H$52)),2)</f>
        <v>7.12</v>
      </c>
      <c r="M22" s="83" t="s">
        <v>279</v>
      </c>
      <c r="N22" s="263">
        <f t="shared" si="2"/>
        <v>0.83999999999999986</v>
      </c>
      <c r="O22" s="264">
        <f t="shared" si="3"/>
        <v>0.13375796178343946</v>
      </c>
      <c r="R22" s="155"/>
    </row>
    <row r="23" spans="2:18" x14ac:dyDescent="0.25">
      <c r="B23" s="42"/>
      <c r="C23" s="84"/>
      <c r="D23" s="1"/>
      <c r="E23" s="1"/>
      <c r="F23" s="1"/>
      <c r="G23" s="83"/>
      <c r="H23" s="1"/>
      <c r="I23" s="84"/>
      <c r="J23" s="1"/>
      <c r="K23" s="1"/>
      <c r="L23" s="1"/>
      <c r="M23" s="83"/>
      <c r="N23" s="42"/>
      <c r="O23" s="83"/>
    </row>
    <row r="24" spans="2:18" x14ac:dyDescent="0.25">
      <c r="B24" s="42"/>
      <c r="C24" s="8" t="s">
        <v>282</v>
      </c>
      <c r="D24" s="1"/>
      <c r="E24" s="1"/>
      <c r="F24" s="1"/>
      <c r="G24" s="83"/>
      <c r="H24" s="1"/>
      <c r="I24" s="8" t="s">
        <v>283</v>
      </c>
      <c r="J24" s="1"/>
      <c r="K24" s="1"/>
      <c r="L24" s="1"/>
      <c r="M24" s="83"/>
      <c r="N24" s="42"/>
      <c r="O24" s="83"/>
    </row>
    <row r="25" spans="2:18" x14ac:dyDescent="0.25">
      <c r="B25" s="42"/>
      <c r="C25" s="11" t="s">
        <v>275</v>
      </c>
      <c r="D25" s="84">
        <v>25000</v>
      </c>
      <c r="E25" s="1" t="s">
        <v>276</v>
      </c>
      <c r="F25" s="85">
        <v>176.91</v>
      </c>
      <c r="G25" s="83" t="s">
        <v>277</v>
      </c>
      <c r="H25" s="1"/>
      <c r="I25" s="11" t="s">
        <v>275</v>
      </c>
      <c r="J25" s="84">
        <v>25000</v>
      </c>
      <c r="K25" s="1" t="s">
        <v>276</v>
      </c>
      <c r="L25" s="85">
        <f>ROUND(F25*(1+(SAOw!$H$52)),2)</f>
        <v>200.58</v>
      </c>
      <c r="M25" s="83" t="s">
        <v>277</v>
      </c>
      <c r="N25" s="263">
        <f t="shared" ref="N25:N26" si="4">L25-F25</f>
        <v>23.670000000000016</v>
      </c>
      <c r="O25" s="264">
        <f t="shared" ref="O25:O26" si="5">N25/F25</f>
        <v>0.13379684585382406</v>
      </c>
    </row>
    <row r="26" spans="2:18" x14ac:dyDescent="0.25">
      <c r="B26" s="42"/>
      <c r="C26" s="11" t="s">
        <v>280</v>
      </c>
      <c r="D26" s="84">
        <v>25000</v>
      </c>
      <c r="E26" s="1" t="s">
        <v>276</v>
      </c>
      <c r="F26" s="86">
        <v>6.28</v>
      </c>
      <c r="G26" s="83" t="s">
        <v>279</v>
      </c>
      <c r="H26" s="1"/>
      <c r="I26" s="11" t="s">
        <v>280</v>
      </c>
      <c r="J26" s="84">
        <v>25000</v>
      </c>
      <c r="K26" s="1" t="s">
        <v>276</v>
      </c>
      <c r="L26" s="86">
        <f>ROUND(F26*(1+(SAOw!$H$52)),2)</f>
        <v>7.12</v>
      </c>
      <c r="M26" s="83" t="s">
        <v>279</v>
      </c>
      <c r="N26" s="263">
        <f t="shared" si="4"/>
        <v>0.83999999999999986</v>
      </c>
      <c r="O26" s="264">
        <f t="shared" si="5"/>
        <v>0.13375796178343946</v>
      </c>
    </row>
    <row r="27" spans="2:18" x14ac:dyDescent="0.25">
      <c r="B27" s="42"/>
      <c r="C27" s="84"/>
      <c r="D27" s="1"/>
      <c r="E27" s="1"/>
      <c r="F27" s="1"/>
      <c r="G27" s="83"/>
      <c r="H27" s="1"/>
      <c r="I27" s="84"/>
      <c r="J27" s="1"/>
      <c r="K27" s="1"/>
      <c r="L27" s="1"/>
      <c r="M27" s="83"/>
      <c r="N27" s="42"/>
      <c r="O27" s="83"/>
    </row>
    <row r="28" spans="2:18" x14ac:dyDescent="0.25">
      <c r="B28" s="42"/>
      <c r="C28" s="84"/>
      <c r="D28" s="1"/>
      <c r="E28" s="1"/>
      <c r="F28" s="1"/>
      <c r="G28" s="83"/>
      <c r="H28" s="1"/>
      <c r="I28" s="84"/>
      <c r="J28" s="1"/>
      <c r="K28" s="1"/>
      <c r="L28" s="1"/>
      <c r="M28" s="83"/>
      <c r="N28" s="42"/>
      <c r="O28" s="83"/>
    </row>
    <row r="29" spans="2:18" x14ac:dyDescent="0.25">
      <c r="B29" s="42"/>
      <c r="C29" s="8" t="s">
        <v>283</v>
      </c>
      <c r="D29" s="1"/>
      <c r="E29" s="1"/>
      <c r="F29" s="1"/>
      <c r="G29" s="83"/>
      <c r="H29" s="1"/>
      <c r="I29" s="8" t="s">
        <v>283</v>
      </c>
      <c r="J29" s="1"/>
      <c r="K29" s="1"/>
      <c r="L29" s="1"/>
      <c r="M29" s="83"/>
      <c r="N29" s="42"/>
      <c r="O29" s="83"/>
    </row>
    <row r="30" spans="2:18" x14ac:dyDescent="0.25">
      <c r="B30" s="42"/>
      <c r="C30" s="11" t="s">
        <v>275</v>
      </c>
      <c r="D30" s="84">
        <v>45000</v>
      </c>
      <c r="E30" s="1" t="s">
        <v>276</v>
      </c>
      <c r="F30" s="85">
        <v>318.42</v>
      </c>
      <c r="G30" s="83" t="s">
        <v>277</v>
      </c>
      <c r="H30" s="1"/>
      <c r="I30" s="11" t="s">
        <v>275</v>
      </c>
      <c r="J30" s="84">
        <v>45000</v>
      </c>
      <c r="K30" s="1" t="s">
        <v>276</v>
      </c>
      <c r="L30" s="85">
        <f>ROUND(F30*(1+(SAOw!$H$52)),2)</f>
        <v>361.02</v>
      </c>
      <c r="M30" s="83" t="s">
        <v>277</v>
      </c>
      <c r="N30" s="263">
        <f t="shared" ref="N30:N31" si="6">L30-F30</f>
        <v>42.599999999999966</v>
      </c>
      <c r="O30" s="264">
        <f t="shared" ref="O30:O31" si="7">N30/F30</f>
        <v>0.1337855662332767</v>
      </c>
      <c r="P30" s="122"/>
      <c r="R30" s="122"/>
    </row>
    <row r="31" spans="2:18" x14ac:dyDescent="0.25">
      <c r="B31" s="42"/>
      <c r="C31" s="11" t="s">
        <v>280</v>
      </c>
      <c r="D31" s="84">
        <v>45000</v>
      </c>
      <c r="E31" s="1" t="s">
        <v>276</v>
      </c>
      <c r="F31" s="86">
        <v>6.28</v>
      </c>
      <c r="G31" s="83" t="s">
        <v>279</v>
      </c>
      <c r="H31" s="1"/>
      <c r="I31" s="11" t="s">
        <v>280</v>
      </c>
      <c r="J31" s="84">
        <v>45000</v>
      </c>
      <c r="K31" s="1" t="s">
        <v>276</v>
      </c>
      <c r="L31" s="86">
        <f>ROUND(F31*(1+(SAOw!$H$52)),2)</f>
        <v>7.12</v>
      </c>
      <c r="M31" s="83" t="s">
        <v>279</v>
      </c>
      <c r="N31" s="263">
        <f t="shared" si="6"/>
        <v>0.83999999999999986</v>
      </c>
      <c r="O31" s="264">
        <f t="shared" si="7"/>
        <v>0.13375796178343946</v>
      </c>
      <c r="R31" s="155"/>
    </row>
    <row r="32" spans="2:18" x14ac:dyDescent="0.25">
      <c r="B32" s="47"/>
      <c r="C32" s="87"/>
      <c r="D32" s="18"/>
      <c r="E32" s="18"/>
      <c r="F32" s="18"/>
      <c r="G32" s="88"/>
      <c r="H32" s="18"/>
      <c r="I32" s="18"/>
      <c r="J32" s="18"/>
      <c r="K32" s="18"/>
      <c r="L32" s="18"/>
      <c r="M32" s="88"/>
      <c r="N32" s="47"/>
      <c r="O32" s="88"/>
    </row>
    <row r="33" spans="3:21" x14ac:dyDescent="0.25">
      <c r="C33" s="81"/>
    </row>
    <row r="34" spans="3:21" x14ac:dyDescent="0.25">
      <c r="C34" s="81"/>
      <c r="Q34" s="1"/>
      <c r="R34" s="1"/>
      <c r="S34" s="89"/>
      <c r="T34" s="89"/>
      <c r="U34" s="89"/>
    </row>
    <row r="35" spans="3:21" x14ac:dyDescent="0.25">
      <c r="C35" s="81"/>
      <c r="Q35" s="30"/>
      <c r="R35" s="1"/>
      <c r="S35" s="90"/>
      <c r="T35" s="90"/>
      <c r="U35" s="91"/>
    </row>
    <row r="36" spans="3:21" x14ac:dyDescent="0.25">
      <c r="C36" s="81"/>
      <c r="Q36" s="30"/>
      <c r="R36" s="1"/>
      <c r="S36" s="116"/>
      <c r="T36" s="116"/>
      <c r="U36" s="91"/>
    </row>
    <row r="37" spans="3:21" x14ac:dyDescent="0.25">
      <c r="C37" s="81"/>
      <c r="Q37" s="30"/>
      <c r="R37" s="1"/>
      <c r="S37" s="116"/>
      <c r="T37" s="116"/>
      <c r="U37" s="91"/>
    </row>
    <row r="38" spans="3:21" x14ac:dyDescent="0.25">
      <c r="P38" s="81"/>
      <c r="Q38" s="30"/>
      <c r="R38" s="1"/>
      <c r="S38" s="116"/>
      <c r="T38" s="116"/>
      <c r="U38" s="91"/>
    </row>
  </sheetData>
  <mergeCells count="8">
    <mergeCell ref="B2:O2"/>
    <mergeCell ref="C3:O3"/>
    <mergeCell ref="C10:G10"/>
    <mergeCell ref="I10:M10"/>
    <mergeCell ref="C4:O4"/>
    <mergeCell ref="C5:O5"/>
    <mergeCell ref="C6:O6"/>
    <mergeCell ref="C7:O7"/>
  </mergeCells>
  <printOptions horizontalCentered="1"/>
  <pageMargins left="0.55000000000000004" right="0.55000000000000004" top="1.7" bottom="0.5" header="0" footer="0"/>
  <pageSetup scale="7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7"/>
  <sheetViews>
    <sheetView showGridLines="0" workbookViewId="0">
      <selection activeCell="B2" sqref="B2:O15"/>
    </sheetView>
  </sheetViews>
  <sheetFormatPr defaultRowHeight="15" x14ac:dyDescent="0.2"/>
  <cols>
    <col min="1" max="1" width="2.44140625" customWidth="1"/>
    <col min="2" max="2" width="1.109375" customWidth="1"/>
    <col min="3" max="3" width="4.77734375" customWidth="1"/>
    <col min="4" max="4" width="5.5546875" customWidth="1"/>
    <col min="5" max="5" width="6.33203125" customWidth="1"/>
    <col min="6" max="6" width="7" bestFit="1" customWidth="1"/>
    <col min="7" max="7" width="13.33203125" customWidth="1"/>
    <col min="8" max="8" width="1.21875" customWidth="1"/>
    <col min="9" max="9" width="4.77734375" customWidth="1"/>
    <col min="10" max="10" width="5.5546875" customWidth="1"/>
    <col min="11" max="11" width="6.33203125" customWidth="1"/>
    <col min="12" max="12" width="7.109375" customWidth="1"/>
    <col min="13" max="13" width="13.33203125" customWidth="1"/>
    <col min="14" max="14" width="8.5546875" bestFit="1" customWidth="1"/>
    <col min="15" max="15" width="6.5546875" bestFit="1" customWidth="1"/>
    <col min="16" max="16" width="1.6640625" customWidth="1"/>
    <col min="17" max="22" width="9.6640625" customWidth="1"/>
  </cols>
  <sheetData>
    <row r="1" spans="1:22" ht="15.75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18.75" x14ac:dyDescent="0.3">
      <c r="A2" s="23"/>
      <c r="B2" s="353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  <c r="P2" s="23"/>
      <c r="Q2" s="23"/>
      <c r="R2" s="23"/>
      <c r="S2" s="23"/>
      <c r="T2" s="23"/>
      <c r="U2" s="23"/>
      <c r="V2" s="23"/>
    </row>
    <row r="3" spans="1:22" ht="18.75" hidden="1" x14ac:dyDescent="0.3">
      <c r="A3" s="23"/>
      <c r="B3" s="42"/>
      <c r="C3" s="352" t="s">
        <v>284</v>
      </c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48"/>
      <c r="O3" s="360"/>
      <c r="P3" s="23"/>
      <c r="Q3" s="23"/>
      <c r="R3" s="23"/>
      <c r="S3" s="23"/>
      <c r="T3" s="23"/>
      <c r="U3" s="23"/>
      <c r="V3" s="23"/>
    </row>
    <row r="4" spans="1:22" ht="18.75" hidden="1" x14ac:dyDescent="0.3">
      <c r="A4" s="23"/>
      <c r="B4" s="42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266"/>
      <c r="O4" s="267"/>
      <c r="P4" s="23"/>
      <c r="Q4" s="23"/>
      <c r="R4" s="23"/>
      <c r="S4" s="23"/>
      <c r="T4" s="23"/>
      <c r="U4" s="23"/>
      <c r="V4" s="23"/>
    </row>
    <row r="5" spans="1:22" ht="18.75" x14ac:dyDescent="0.3">
      <c r="A5" s="23"/>
      <c r="B5" s="42"/>
      <c r="C5" s="352" t="s">
        <v>285</v>
      </c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48"/>
      <c r="O5" s="360"/>
      <c r="P5" s="23"/>
      <c r="Q5" s="23"/>
      <c r="R5" s="23"/>
      <c r="S5" s="23"/>
      <c r="T5" s="23"/>
      <c r="U5" s="23"/>
      <c r="V5" s="23"/>
    </row>
    <row r="6" spans="1:22" ht="18.75" x14ac:dyDescent="0.25">
      <c r="A6" s="23"/>
      <c r="B6" s="42"/>
      <c r="C6" s="341" t="s">
        <v>1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61"/>
      <c r="O6" s="362"/>
      <c r="P6" s="104"/>
      <c r="Q6" s="104"/>
      <c r="R6" s="104"/>
      <c r="S6" s="104"/>
      <c r="T6" s="104"/>
      <c r="U6" s="153"/>
      <c r="V6" s="23"/>
    </row>
    <row r="7" spans="1:22" ht="18.75" x14ac:dyDescent="0.25">
      <c r="A7" s="23"/>
      <c r="B7" s="42"/>
      <c r="C7" s="341" t="s">
        <v>202</v>
      </c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61"/>
      <c r="O7" s="362"/>
      <c r="P7" s="104"/>
      <c r="Q7" s="104"/>
      <c r="R7" s="104"/>
      <c r="S7" s="104"/>
      <c r="T7" s="104"/>
      <c r="U7" s="104"/>
      <c r="V7" s="23"/>
    </row>
    <row r="8" spans="1:22" ht="15.75" x14ac:dyDescent="0.25">
      <c r="A8" s="23"/>
      <c r="B8" s="4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88"/>
      <c r="P8" s="23"/>
      <c r="Q8" s="23"/>
      <c r="R8" s="23"/>
      <c r="S8" s="23"/>
      <c r="T8" s="23"/>
      <c r="U8" s="23"/>
      <c r="V8" s="23"/>
    </row>
    <row r="9" spans="1:22" ht="15.75" x14ac:dyDescent="0.25">
      <c r="A9" s="23"/>
      <c r="B9" s="42"/>
      <c r="C9" s="1"/>
      <c r="D9" s="1"/>
      <c r="E9" s="1"/>
      <c r="F9" s="1"/>
      <c r="G9" s="83"/>
      <c r="H9" s="42"/>
      <c r="I9" s="1"/>
      <c r="J9" s="1"/>
      <c r="K9" s="1"/>
      <c r="L9" s="1"/>
      <c r="M9" s="83"/>
      <c r="N9" s="42"/>
      <c r="O9" s="83"/>
      <c r="P9" s="23"/>
      <c r="Q9" s="23"/>
      <c r="R9" s="23"/>
      <c r="S9" s="23"/>
      <c r="T9" s="23"/>
      <c r="U9" s="23"/>
      <c r="V9" s="23"/>
    </row>
    <row r="10" spans="1:22" ht="15.75" x14ac:dyDescent="0.25">
      <c r="A10" s="23"/>
      <c r="B10" s="42"/>
      <c r="C10" s="358" t="s">
        <v>270</v>
      </c>
      <c r="D10" s="358"/>
      <c r="E10" s="358"/>
      <c r="F10" s="358"/>
      <c r="G10" s="359"/>
      <c r="H10" s="1"/>
      <c r="I10" s="358" t="s">
        <v>271</v>
      </c>
      <c r="J10" s="358"/>
      <c r="K10" s="358"/>
      <c r="L10" s="358"/>
      <c r="M10" s="359"/>
      <c r="N10" s="262" t="s">
        <v>272</v>
      </c>
      <c r="O10" s="255" t="s">
        <v>273</v>
      </c>
      <c r="P10" s="23"/>
      <c r="Q10" s="167"/>
      <c r="R10" s="23"/>
      <c r="S10" s="23"/>
      <c r="T10" s="23"/>
      <c r="U10" s="23"/>
      <c r="V10" s="23"/>
    </row>
    <row r="11" spans="1:22" ht="15.75" x14ac:dyDescent="0.25">
      <c r="A11" s="23"/>
      <c r="B11" s="42"/>
      <c r="C11" s="1"/>
      <c r="D11" s="1"/>
      <c r="E11" s="1"/>
      <c r="F11" s="1"/>
      <c r="G11" s="83"/>
      <c r="H11" s="1"/>
      <c r="I11" s="1"/>
      <c r="J11" s="1"/>
      <c r="K11" s="1"/>
      <c r="L11" s="1"/>
      <c r="M11" s="83"/>
      <c r="N11" s="42"/>
      <c r="O11" s="83"/>
      <c r="P11" s="23"/>
      <c r="Q11" s="23"/>
      <c r="R11" s="23"/>
      <c r="S11" s="23"/>
      <c r="T11" s="23"/>
      <c r="U11" s="23"/>
      <c r="V11" s="23"/>
    </row>
    <row r="12" spans="1:22" ht="15.75" x14ac:dyDescent="0.25">
      <c r="A12" s="23"/>
      <c r="B12" s="42"/>
      <c r="C12" s="8" t="s">
        <v>286</v>
      </c>
      <c r="D12" s="1"/>
      <c r="E12" s="1"/>
      <c r="F12" s="1"/>
      <c r="G12" s="83"/>
      <c r="H12" s="1"/>
      <c r="I12" s="8" t="s">
        <v>286</v>
      </c>
      <c r="J12" s="1"/>
      <c r="K12" s="1"/>
      <c r="L12" s="89"/>
      <c r="M12" s="83"/>
      <c r="N12" s="42"/>
      <c r="O12" s="83"/>
      <c r="P12" s="23"/>
      <c r="Q12" s="23"/>
      <c r="R12" s="23"/>
      <c r="S12" s="23"/>
      <c r="T12" s="23"/>
      <c r="U12" s="23"/>
      <c r="V12" s="23"/>
    </row>
    <row r="13" spans="1:22" ht="15.75" x14ac:dyDescent="0.25">
      <c r="A13" s="23"/>
      <c r="B13" s="42"/>
      <c r="C13" s="11" t="s">
        <v>275</v>
      </c>
      <c r="D13" s="156">
        <v>2000</v>
      </c>
      <c r="E13" s="1" t="s">
        <v>276</v>
      </c>
      <c r="F13" s="157">
        <v>15</v>
      </c>
      <c r="G13" s="83" t="s">
        <v>277</v>
      </c>
      <c r="H13" s="1"/>
      <c r="I13" s="11" t="s">
        <v>275</v>
      </c>
      <c r="J13" s="156">
        <f>D13</f>
        <v>2000</v>
      </c>
      <c r="K13" s="1" t="s">
        <v>276</v>
      </c>
      <c r="L13" s="157">
        <f>ROUND(F13*(1+SAOs!H50),2)+0.02</f>
        <v>38.050000000000004</v>
      </c>
      <c r="M13" s="83" t="s">
        <v>277</v>
      </c>
      <c r="N13" s="263">
        <f>L13-F13</f>
        <v>23.050000000000004</v>
      </c>
      <c r="O13" s="265">
        <f>N13/F13</f>
        <v>1.5366666666666668</v>
      </c>
      <c r="P13" s="23"/>
      <c r="Q13" s="158"/>
      <c r="R13" s="122"/>
      <c r="S13" s="23"/>
      <c r="U13" s="122"/>
      <c r="V13" s="23"/>
    </row>
    <row r="14" spans="1:22" ht="15.75" x14ac:dyDescent="0.25">
      <c r="A14" s="23"/>
      <c r="B14" s="42"/>
      <c r="C14" s="11" t="s">
        <v>280</v>
      </c>
      <c r="D14" s="156">
        <v>2000</v>
      </c>
      <c r="E14" s="1" t="s">
        <v>276</v>
      </c>
      <c r="F14" s="306">
        <v>5.3</v>
      </c>
      <c r="G14" s="83" t="s">
        <v>279</v>
      </c>
      <c r="H14" s="1"/>
      <c r="I14" s="11" t="s">
        <v>280</v>
      </c>
      <c r="J14" s="156">
        <f t="shared" ref="J14" si="0">D14</f>
        <v>2000</v>
      </c>
      <c r="K14" s="1" t="s">
        <v>276</v>
      </c>
      <c r="L14" s="86">
        <f>ROUND(F14*(1+SAOs!H50),2)</f>
        <v>13.44</v>
      </c>
      <c r="M14" s="83" t="s">
        <v>279</v>
      </c>
      <c r="N14" s="307">
        <f>L14-F14</f>
        <v>8.14</v>
      </c>
      <c r="O14" s="265">
        <f>N14/F14</f>
        <v>1.5358490566037737</v>
      </c>
      <c r="P14" s="23"/>
      <c r="Q14" s="158"/>
      <c r="R14" s="122"/>
      <c r="S14" s="23"/>
      <c r="U14" s="122"/>
      <c r="V14" s="23"/>
    </row>
    <row r="15" spans="1:22" ht="15.75" x14ac:dyDescent="0.25">
      <c r="A15" s="23"/>
      <c r="B15" s="47"/>
      <c r="C15" s="159"/>
      <c r="D15" s="18"/>
      <c r="E15" s="18"/>
      <c r="F15" s="18"/>
      <c r="G15" s="88"/>
      <c r="H15" s="18"/>
      <c r="I15" s="18"/>
      <c r="J15" s="18"/>
      <c r="K15" s="18"/>
      <c r="L15" s="18"/>
      <c r="M15" s="88"/>
      <c r="N15" s="47"/>
      <c r="O15" s="88"/>
      <c r="P15" s="23"/>
      <c r="Q15" s="23"/>
      <c r="R15" s="23"/>
      <c r="S15" s="23"/>
      <c r="U15" s="23"/>
      <c r="V15" s="23"/>
    </row>
    <row r="16" spans="1:22" ht="15.75" x14ac:dyDescent="0.25">
      <c r="A16" s="23"/>
      <c r="B16" s="23"/>
      <c r="C16" s="16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9:9" x14ac:dyDescent="0.2">
      <c r="I17" s="123"/>
    </row>
  </sheetData>
  <mergeCells count="7">
    <mergeCell ref="B2:O2"/>
    <mergeCell ref="C10:G10"/>
    <mergeCell ref="I10:M10"/>
    <mergeCell ref="C3:O3"/>
    <mergeCell ref="C5:O5"/>
    <mergeCell ref="C6:O6"/>
    <mergeCell ref="C7:O7"/>
  </mergeCells>
  <printOptions horizontalCentered="1"/>
  <pageMargins left="0.45" right="0.45" top="2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5"/>
  <sheetViews>
    <sheetView showGridLines="0" workbookViewId="0">
      <selection activeCell="G54" sqref="G54"/>
    </sheetView>
  </sheetViews>
  <sheetFormatPr defaultRowHeight="15" x14ac:dyDescent="0.2"/>
  <cols>
    <col min="1" max="1" width="2.33203125" customWidth="1"/>
    <col min="2" max="2" width="1.77734375" customWidth="1"/>
    <col min="3" max="7" width="11.77734375" customWidth="1"/>
    <col min="8" max="9" width="1.77734375" customWidth="1"/>
    <col min="13" max="13" width="1.77734375" customWidth="1"/>
    <col min="14" max="19" width="9.77734375" customWidth="1"/>
    <col min="20" max="20" width="1.77734375" customWidth="1"/>
  </cols>
  <sheetData>
    <row r="1" spans="1:9" ht="15.75" x14ac:dyDescent="0.25">
      <c r="B1" s="23"/>
      <c r="C1" s="23"/>
      <c r="D1" s="23"/>
      <c r="E1" s="23"/>
      <c r="F1" s="23"/>
      <c r="G1" s="23"/>
      <c r="H1" s="23"/>
    </row>
    <row r="2" spans="1:9" ht="15.75" x14ac:dyDescent="0.25">
      <c r="B2" s="363" t="s">
        <v>287</v>
      </c>
      <c r="C2" s="364"/>
      <c r="D2" s="364"/>
      <c r="E2" s="364"/>
      <c r="F2" s="364"/>
      <c r="G2" s="364"/>
      <c r="H2" s="365"/>
    </row>
    <row r="3" spans="1:9" ht="18.75" hidden="1" x14ac:dyDescent="0.3">
      <c r="B3" s="313"/>
      <c r="C3" s="352" t="s">
        <v>287</v>
      </c>
      <c r="D3" s="352"/>
      <c r="E3" s="352"/>
      <c r="F3" s="352"/>
      <c r="G3" s="352"/>
      <c r="H3" s="314"/>
    </row>
    <row r="4" spans="1:9" ht="18.75" x14ac:dyDescent="0.3">
      <c r="A4" s="23"/>
      <c r="B4" s="313"/>
      <c r="C4" s="352" t="s">
        <v>288</v>
      </c>
      <c r="D4" s="352"/>
      <c r="E4" s="352"/>
      <c r="F4" s="352"/>
      <c r="G4" s="352"/>
      <c r="H4" s="314"/>
      <c r="I4" s="23"/>
    </row>
    <row r="5" spans="1:9" ht="18.75" x14ac:dyDescent="0.3">
      <c r="A5" s="23"/>
      <c r="B5" s="313"/>
      <c r="C5" s="352" t="s">
        <v>289</v>
      </c>
      <c r="D5" s="352"/>
      <c r="E5" s="352"/>
      <c r="F5" s="352"/>
      <c r="G5" s="352"/>
      <c r="H5" s="314"/>
      <c r="I5" s="23"/>
    </row>
    <row r="6" spans="1:9" ht="15.75" x14ac:dyDescent="0.25">
      <c r="A6" s="23"/>
      <c r="B6" s="315"/>
      <c r="C6" s="316"/>
      <c r="D6" s="316"/>
      <c r="E6" s="316"/>
      <c r="F6" s="316"/>
      <c r="G6" s="316"/>
      <c r="H6" s="317"/>
      <c r="I6" s="23"/>
    </row>
    <row r="7" spans="1:9" ht="15.75" x14ac:dyDescent="0.25">
      <c r="A7" s="23"/>
      <c r="B7" s="318"/>
      <c r="C7" s="319"/>
      <c r="D7" s="320"/>
      <c r="E7" s="318"/>
      <c r="F7" s="319"/>
      <c r="G7" s="319"/>
      <c r="H7" s="321"/>
      <c r="I7" s="23"/>
    </row>
    <row r="8" spans="1:9" ht="18" x14ac:dyDescent="0.4">
      <c r="A8" s="23"/>
      <c r="B8" s="322"/>
      <c r="C8" s="323" t="s">
        <v>290</v>
      </c>
      <c r="D8" s="324" t="s">
        <v>291</v>
      </c>
      <c r="E8" s="368" t="s">
        <v>292</v>
      </c>
      <c r="F8" s="369"/>
      <c r="G8" s="369"/>
      <c r="H8" s="325"/>
      <c r="I8" s="23"/>
    </row>
    <row r="9" spans="1:9" ht="18" x14ac:dyDescent="0.4">
      <c r="A9" s="23"/>
      <c r="B9" s="322"/>
      <c r="C9" s="323" t="s">
        <v>293</v>
      </c>
      <c r="D9" s="324" t="s">
        <v>294</v>
      </c>
      <c r="E9" s="326" t="s">
        <v>294</v>
      </c>
      <c r="F9" s="327" t="s">
        <v>295</v>
      </c>
      <c r="G9" s="327" t="s">
        <v>296</v>
      </c>
      <c r="H9" s="328"/>
      <c r="I9" s="23"/>
    </row>
    <row r="10" spans="1:9" ht="18" customHeight="1" x14ac:dyDescent="0.25">
      <c r="A10" s="23"/>
      <c r="B10" s="370" t="s">
        <v>297</v>
      </c>
      <c r="C10" s="367"/>
      <c r="D10" s="367"/>
      <c r="E10" s="367"/>
      <c r="F10" s="367"/>
      <c r="G10" s="367"/>
      <c r="H10" s="371"/>
      <c r="I10" s="23"/>
    </row>
    <row r="11" spans="1:9" ht="18" x14ac:dyDescent="0.4">
      <c r="A11" s="23"/>
      <c r="B11" s="322"/>
      <c r="C11" s="183">
        <v>2000</v>
      </c>
      <c r="D11" s="329">
        <f>RatesW!F13</f>
        <v>27.5</v>
      </c>
      <c r="E11" s="209">
        <f>RatesW!L13</f>
        <v>31.169999999999998</v>
      </c>
      <c r="F11" s="209">
        <f t="shared" ref="F11:F19" si="0">(E11-D11)</f>
        <v>3.6699999999999982</v>
      </c>
      <c r="G11" s="208">
        <f t="shared" ref="G11:G19" si="1">F11/D11</f>
        <v>0.13345454545454538</v>
      </c>
      <c r="H11" s="328"/>
      <c r="I11" s="23"/>
    </row>
    <row r="12" spans="1:9" ht="18" x14ac:dyDescent="0.4">
      <c r="A12" s="23"/>
      <c r="B12" s="322"/>
      <c r="C12" s="308">
        <v>4000</v>
      </c>
      <c r="D12" s="309">
        <f>RatesW!$F$13+(2*RatesW!$F$14)</f>
        <v>50.980000000000004</v>
      </c>
      <c r="E12" s="310">
        <f>RatesW!$L$13+(2*RatesW!$L$14)</f>
        <v>57.79</v>
      </c>
      <c r="F12" s="311">
        <f t="shared" si="0"/>
        <v>6.8099999999999952</v>
      </c>
      <c r="G12" s="338">
        <f t="shared" si="1"/>
        <v>0.13358179678305207</v>
      </c>
      <c r="H12" s="328"/>
      <c r="I12" s="23"/>
    </row>
    <row r="13" spans="1:9" ht="18" x14ac:dyDescent="0.4">
      <c r="A13" s="23"/>
      <c r="B13" s="322"/>
      <c r="C13" s="183">
        <v>6000</v>
      </c>
      <c r="D13" s="204">
        <f>RatesW!$F$13+(3*RatesW!$F$14)+(1*RatesW!$F$15)</f>
        <v>71.13</v>
      </c>
      <c r="E13" s="205">
        <f>RatesW!$L$13+(3*RatesW!$L$14)+(1*RatesW!$L$15)</f>
        <v>80.639999999999986</v>
      </c>
      <c r="F13" s="209">
        <f t="shared" si="0"/>
        <v>9.5099999999999909</v>
      </c>
      <c r="G13" s="208">
        <f t="shared" si="1"/>
        <v>0.13369886123998301</v>
      </c>
      <c r="H13" s="328"/>
      <c r="I13" s="23"/>
    </row>
    <row r="14" spans="1:9" ht="18" x14ac:dyDescent="0.4">
      <c r="A14" s="23"/>
      <c r="B14" s="322"/>
      <c r="C14" s="183">
        <v>10000</v>
      </c>
      <c r="D14" s="204">
        <f>RatesW!$F$13+(3*RatesW!$F$14)+(5*RatesW!$F$15)</f>
        <v>104.77</v>
      </c>
      <c r="E14" s="205">
        <f>RatesW!$L$13+(3*RatesW!$L$14)+(5*RatesW!$L$15)</f>
        <v>118.79999999999998</v>
      </c>
      <c r="F14" s="209">
        <f t="shared" si="0"/>
        <v>14.029999999999987</v>
      </c>
      <c r="G14" s="208">
        <f t="shared" si="1"/>
        <v>0.13391237949794776</v>
      </c>
      <c r="H14" s="328"/>
      <c r="I14" s="23"/>
    </row>
    <row r="15" spans="1:9" ht="18" x14ac:dyDescent="0.4">
      <c r="A15" s="23"/>
      <c r="B15" s="322"/>
      <c r="C15" s="183">
        <v>16000</v>
      </c>
      <c r="D15" s="204">
        <f>RatesW!$F$13+(3*RatesW!$F$14)+(5*RatesW!$F$15)+(6*RatesW!$F$16)</f>
        <v>147.25</v>
      </c>
      <c r="E15" s="205">
        <f>RatesW!$L$13+(3*RatesW!$L$14)+(5*RatesW!$L$15)+(6*RatesW!$L$16)</f>
        <v>166.97999999999996</v>
      </c>
      <c r="F15" s="209">
        <f t="shared" si="0"/>
        <v>19.729999999999961</v>
      </c>
      <c r="G15" s="208">
        <f t="shared" si="1"/>
        <v>0.13398981324278411</v>
      </c>
      <c r="H15" s="328"/>
      <c r="I15" s="23"/>
    </row>
    <row r="16" spans="1:9" ht="18" x14ac:dyDescent="0.4">
      <c r="A16" s="23"/>
      <c r="B16" s="322"/>
      <c r="C16" s="183">
        <v>20000</v>
      </c>
      <c r="D16" s="204">
        <f>RatesW!$F$13+(3*RatesW!$F$14)+(5*RatesW!$F$15)+(10*RatesW!$F$16)</f>
        <v>175.57</v>
      </c>
      <c r="E16" s="205">
        <f>RatesW!$L$13+(3*RatesW!$L$14)+(5*RatesW!$L$15)+(10*RatesW!$L$16)</f>
        <v>199.09999999999997</v>
      </c>
      <c r="F16" s="209">
        <f t="shared" si="0"/>
        <v>23.529999999999973</v>
      </c>
      <c r="G16" s="208">
        <f t="shared" si="1"/>
        <v>0.13402061855670089</v>
      </c>
      <c r="H16" s="328"/>
      <c r="I16" s="23"/>
    </row>
    <row r="17" spans="1:11" ht="18" x14ac:dyDescent="0.4">
      <c r="A17" s="23"/>
      <c r="B17" s="322"/>
      <c r="C17" s="183">
        <v>24000</v>
      </c>
      <c r="D17" s="204">
        <f>RatesW!$F$13+(3*RatesW!$F$14)+(5*RatesW!$F$15)+(10*RatesW!$F$16)+(4*RatesW!F17)</f>
        <v>200.69</v>
      </c>
      <c r="E17" s="205">
        <f>RatesW!$L$13+(3*RatesW!$L$14)+(5*RatesW!$L$15)+(10*RatesW!$L$16)+(4*RatesW!$L$17)</f>
        <v>227.57999999999996</v>
      </c>
      <c r="F17" s="209">
        <f t="shared" si="0"/>
        <v>26.889999999999958</v>
      </c>
      <c r="G17" s="208">
        <f t="shared" si="1"/>
        <v>0.1339877422891024</v>
      </c>
      <c r="H17" s="328"/>
      <c r="I17" s="23"/>
    </row>
    <row r="18" spans="1:11" ht="18" x14ac:dyDescent="0.4">
      <c r="A18" s="23"/>
      <c r="B18" s="322"/>
      <c r="C18" s="183">
        <v>50000</v>
      </c>
      <c r="D18" s="204">
        <f>RatesW!$F$13+(3*RatesW!$F$14)+(5*RatesW!$F$15)+(10*RatesW!$F$16)+(30*RatesW!$F$17)</f>
        <v>363.97</v>
      </c>
      <c r="E18" s="205">
        <f>RatesW!$L$13+(3*RatesW!$L$14)+(5*RatesW!$L$15)+(10*RatesW!$L$16)+(30*RatesW!$L$17)</f>
        <v>412.69999999999993</v>
      </c>
      <c r="F18" s="209">
        <f t="shared" si="0"/>
        <v>48.729999999999905</v>
      </c>
      <c r="G18" s="208">
        <f t="shared" si="1"/>
        <v>0.13388466082369399</v>
      </c>
      <c r="H18" s="328"/>
      <c r="I18" s="23"/>
    </row>
    <row r="19" spans="1:11" ht="18" x14ac:dyDescent="0.4">
      <c r="A19" s="23"/>
      <c r="B19" s="322"/>
      <c r="C19" s="183">
        <v>120000</v>
      </c>
      <c r="D19" s="204">
        <f>RatesW!$F$13+(3*RatesW!$F$14)+(5*RatesW!$F$15)+(10*RatesW!$F$16)+(90*RatesW!$F$17)</f>
        <v>740.77</v>
      </c>
      <c r="E19" s="205">
        <f>RatesW!$L$13+(3*RatesW!$L$14)+(5*RatesW!$L$15)+(10*RatesW!$L$16)+(90*RatesW!$L$17)</f>
        <v>839.89999999999986</v>
      </c>
      <c r="F19" s="209">
        <f t="shared" si="0"/>
        <v>99.129999999999882</v>
      </c>
      <c r="G19" s="208">
        <f t="shared" si="1"/>
        <v>0.13382021410154282</v>
      </c>
      <c r="H19" s="328"/>
      <c r="I19" s="23"/>
    </row>
    <row r="20" spans="1:11" ht="18.75" hidden="1" customHeight="1" x14ac:dyDescent="0.4">
      <c r="B20" s="322"/>
      <c r="C20" s="366" t="s">
        <v>298</v>
      </c>
      <c r="D20" s="366"/>
      <c r="E20" s="366"/>
      <c r="F20" s="366"/>
      <c r="G20" s="366"/>
      <c r="H20" s="325"/>
    </row>
    <row r="21" spans="1:11" ht="18.75" hidden="1" customHeight="1" x14ac:dyDescent="0.25">
      <c r="B21" s="322"/>
      <c r="C21" s="183">
        <v>2000</v>
      </c>
      <c r="D21" s="329">
        <f>RatesW!F13</f>
        <v>27.5</v>
      </c>
      <c r="E21" s="330">
        <f>RatesW!L13</f>
        <v>31.169999999999998</v>
      </c>
      <c r="F21" s="209">
        <f>(E21-D21)</f>
        <v>3.6699999999999982</v>
      </c>
      <c r="G21" s="208">
        <f>F21/D21</f>
        <v>0.13345454545454538</v>
      </c>
      <c r="H21" s="331"/>
      <c r="K21" s="176"/>
    </row>
    <row r="22" spans="1:11" ht="18.75" hidden="1" customHeight="1" x14ac:dyDescent="0.25">
      <c r="B22" s="322"/>
      <c r="C22" s="183">
        <v>4000</v>
      </c>
      <c r="D22" s="204">
        <f>RatesW!F13+(2*RatesW!F14)</f>
        <v>50.980000000000004</v>
      </c>
      <c r="E22" s="206">
        <f>RatesW!L13+(2*RatesW!L14)</f>
        <v>57.79</v>
      </c>
      <c r="F22" s="207">
        <f t="shared" ref="F22" si="2">(E22-D22)</f>
        <v>6.8099999999999952</v>
      </c>
      <c r="G22" s="208">
        <f t="shared" ref="G22" si="3">F22/D22</f>
        <v>0.13358179678305207</v>
      </c>
      <c r="H22" s="331"/>
      <c r="K22" s="176"/>
    </row>
    <row r="23" spans="1:11" ht="18.75" hidden="1" customHeight="1" x14ac:dyDescent="0.25">
      <c r="B23" s="322"/>
      <c r="C23" s="183">
        <v>6000</v>
      </c>
      <c r="D23" s="204">
        <f>RatesW!F13+(2*RatesW!F14)+(2*RatesW!F15)</f>
        <v>67.800000000000011</v>
      </c>
      <c r="E23" s="206">
        <f>RatesW!L13+(2*RatesW!L14)+(2*RatesW!L15)</f>
        <v>76.87</v>
      </c>
      <c r="F23" s="207">
        <f t="shared" ref="F23" si="4">(E23-D23)</f>
        <v>9.0699999999999932</v>
      </c>
      <c r="G23" s="208">
        <f t="shared" ref="G23" si="5">F23/D23</f>
        <v>0.1337758112094394</v>
      </c>
      <c r="H23" s="331"/>
      <c r="K23" s="176"/>
    </row>
    <row r="24" spans="1:11" ht="18.75" hidden="1" customHeight="1" x14ac:dyDescent="0.25">
      <c r="B24" s="322"/>
      <c r="C24" s="183">
        <v>10000</v>
      </c>
      <c r="D24" s="204">
        <f>RatesW!F13+2*RatesW!F14+2*RatesW!F15+4*RatesW!F16</f>
        <v>96.12</v>
      </c>
      <c r="E24" s="206">
        <f>RatesW!L13+2*RatesW!L14+2*RatesW!L15+4*RatesW!L16</f>
        <v>108.99000000000001</v>
      </c>
      <c r="F24" s="207">
        <f t="shared" ref="F24" si="6">(E24-D24)</f>
        <v>12.870000000000005</v>
      </c>
      <c r="G24" s="208">
        <f t="shared" ref="G24" si="7">F24/D24</f>
        <v>0.13389513108614237</v>
      </c>
      <c r="H24" s="331"/>
      <c r="K24" s="176"/>
    </row>
    <row r="25" spans="1:11" ht="15.75" hidden="1" customHeight="1" x14ac:dyDescent="0.25">
      <c r="B25" s="322"/>
      <c r="C25" s="183">
        <v>16000</v>
      </c>
      <c r="D25" s="204">
        <f>RatesW!F13+(2*RatesW!F14)+(2*RatesW!F15)+(10*RatesW!F16)</f>
        <v>138.60000000000002</v>
      </c>
      <c r="E25" s="206">
        <f>RatesW!L13+(2*RatesW!L14)+(2*RatesW!L15)+(10*RatesW!L16)</f>
        <v>157.17000000000002</v>
      </c>
      <c r="F25" s="207">
        <f t="shared" ref="F25" si="8">(E25-D25)</f>
        <v>18.569999999999993</v>
      </c>
      <c r="G25" s="208">
        <f t="shared" ref="G25" si="9">F25/D25</f>
        <v>0.1339826839826839</v>
      </c>
      <c r="H25" s="331"/>
      <c r="K25" s="176"/>
    </row>
    <row r="26" spans="1:11" ht="15.75" hidden="1" customHeight="1" x14ac:dyDescent="0.25">
      <c r="B26" s="322"/>
      <c r="C26" s="183">
        <v>20000</v>
      </c>
      <c r="D26" s="204">
        <f>RatesW!F13+(2*RatesW!F14)+(2*RatesW!F15)+(14*RatesW!F16)</f>
        <v>166.92000000000002</v>
      </c>
      <c r="E26" s="206">
        <f>RatesW!L13+(2*RatesW!L14)+(2*RatesW!L15)+(14*RatesW!L16)</f>
        <v>189.29</v>
      </c>
      <c r="F26" s="207">
        <f t="shared" ref="F26" si="10">(E26-D26)</f>
        <v>22.369999999999976</v>
      </c>
      <c r="G26" s="208">
        <f t="shared" ref="G26" si="11">F26/D26</f>
        <v>0.13401629523124833</v>
      </c>
      <c r="H26" s="331"/>
      <c r="K26" s="176"/>
    </row>
    <row r="27" spans="1:11" ht="15.75" hidden="1" customHeight="1" x14ac:dyDescent="0.25">
      <c r="B27" s="322"/>
      <c r="C27" s="183">
        <v>24000</v>
      </c>
      <c r="D27" s="204" t="e">
        <f>RatesW!F13+(2*RatesW!F14)+(2*RatesW!F15)+(10*RatesW!F16)+(8*RatesW!#REF!)</f>
        <v>#REF!</v>
      </c>
      <c r="E27" s="206" t="e">
        <f>RatesW!L13+(2*RatesW!L14)+(2*RatesW!L15)+(10*RatesW!L16)+(8*RatesW!#REF!)</f>
        <v>#REF!</v>
      </c>
      <c r="F27" s="207" t="e">
        <f t="shared" ref="F27:F28" si="12">(E27-D27)</f>
        <v>#REF!</v>
      </c>
      <c r="G27" s="208" t="e">
        <f t="shared" ref="G27:G28" si="13">F27/D27</f>
        <v>#REF!</v>
      </c>
      <c r="H27" s="331"/>
      <c r="K27" s="176"/>
    </row>
    <row r="28" spans="1:11" ht="15.75" hidden="1" customHeight="1" x14ac:dyDescent="0.25">
      <c r="B28" s="322"/>
      <c r="C28" s="183">
        <v>50000</v>
      </c>
      <c r="D28" s="204" t="e">
        <f>RatesW!F13+(2*RatesW!F14)+(2*RatesW!F15)+(10*RatesW!F16)+(8*RatesW!#REF!)+(26*RatesW!F17)</f>
        <v>#REF!</v>
      </c>
      <c r="E28" s="206" t="e">
        <f>RatesW!L13+(2*RatesW!L14)+(2*RatesW!L15)+(10*RatesW!L16)+(8*RatesW!#REF!)+(26*RatesW!L17)</f>
        <v>#REF!</v>
      </c>
      <c r="F28" s="207" t="e">
        <f t="shared" si="12"/>
        <v>#REF!</v>
      </c>
      <c r="G28" s="208" t="e">
        <f t="shared" si="13"/>
        <v>#REF!</v>
      </c>
      <c r="H28" s="331"/>
      <c r="K28" s="176"/>
    </row>
    <row r="29" spans="1:11" ht="15.75" hidden="1" customHeight="1" x14ac:dyDescent="0.25">
      <c r="B29" s="322"/>
      <c r="C29" s="183">
        <v>120000</v>
      </c>
      <c r="D29" s="204" t="e">
        <f>RatesW!F13+(2*RatesW!F14)+(2*RatesW!F15)+(10*RatesW!F16)+(8*RatesW!#REF!)+(96*RatesW!F17)</f>
        <v>#REF!</v>
      </c>
      <c r="E29" s="206" t="e">
        <f>RatesW!L13+(2*RatesW!L14)+(2*RatesW!L15)+(10*RatesW!L16)+(8*RatesW!#REF!)+(96*RatesW!L17)</f>
        <v>#REF!</v>
      </c>
      <c r="F29" s="207" t="e">
        <f t="shared" ref="F29" si="14">(E29-D29)</f>
        <v>#REF!</v>
      </c>
      <c r="G29" s="208" t="e">
        <f t="shared" ref="G29" si="15">F29/D29</f>
        <v>#REF!</v>
      </c>
      <c r="H29" s="331"/>
      <c r="K29" s="176"/>
    </row>
    <row r="30" spans="1:11" ht="15.75" hidden="1" customHeight="1" x14ac:dyDescent="0.25">
      <c r="B30" s="322"/>
      <c r="C30" s="183"/>
      <c r="D30" s="206"/>
      <c r="E30" s="206"/>
      <c r="F30" s="206"/>
      <c r="G30" s="206"/>
      <c r="H30" s="331"/>
    </row>
    <row r="31" spans="1:11" ht="15.75" hidden="1" customHeight="1" x14ac:dyDescent="0.4">
      <c r="B31" s="322"/>
      <c r="C31" s="366" t="s">
        <v>299</v>
      </c>
      <c r="D31" s="366"/>
      <c r="E31" s="366"/>
      <c r="F31" s="366"/>
      <c r="G31" s="366"/>
      <c r="H31" s="331"/>
    </row>
    <row r="32" spans="1:11" ht="15.75" hidden="1" customHeight="1" x14ac:dyDescent="0.25">
      <c r="B32" s="322"/>
      <c r="C32" s="183">
        <v>2000</v>
      </c>
      <c r="D32" s="329">
        <f>RatesW!F20</f>
        <v>130.16</v>
      </c>
      <c r="E32" s="330">
        <f>RatesW!L20</f>
        <v>147.58000000000001</v>
      </c>
      <c r="F32" s="209">
        <f>(E32-D32)</f>
        <v>17.420000000000016</v>
      </c>
      <c r="G32" s="208">
        <f>F32/D32</f>
        <v>0.13383527965580835</v>
      </c>
      <c r="H32" s="331"/>
    </row>
    <row r="33" spans="2:8" ht="15.75" hidden="1" x14ac:dyDescent="0.25">
      <c r="B33" s="322"/>
      <c r="C33" s="183">
        <v>4000</v>
      </c>
      <c r="D33" s="204">
        <f>RatesW!F20</f>
        <v>130.16</v>
      </c>
      <c r="E33" s="206">
        <f>RatesW!L20</f>
        <v>147.58000000000001</v>
      </c>
      <c r="F33" s="207">
        <f t="shared" ref="F33:F39" si="16">(E33-D33)</f>
        <v>17.420000000000016</v>
      </c>
      <c r="G33" s="208">
        <f t="shared" ref="G33:G39" si="17">F33/D33</f>
        <v>0.13383527965580835</v>
      </c>
      <c r="H33" s="331"/>
    </row>
    <row r="34" spans="2:8" ht="15.75" hidden="1" x14ac:dyDescent="0.25">
      <c r="B34" s="322"/>
      <c r="C34" s="183">
        <v>6000</v>
      </c>
      <c r="D34" s="204">
        <f>RatesW!F20</f>
        <v>130.16</v>
      </c>
      <c r="E34" s="206">
        <f>RatesW!L20</f>
        <v>147.58000000000001</v>
      </c>
      <c r="F34" s="207">
        <f t="shared" si="16"/>
        <v>17.420000000000016</v>
      </c>
      <c r="G34" s="208">
        <f t="shared" si="17"/>
        <v>0.13383527965580835</v>
      </c>
      <c r="H34" s="331"/>
    </row>
    <row r="35" spans="2:8" ht="15.75" hidden="1" x14ac:dyDescent="0.25">
      <c r="B35" s="322"/>
      <c r="C35" s="183">
        <v>10000</v>
      </c>
      <c r="D35" s="204">
        <f>RatesW!F20</f>
        <v>130.16</v>
      </c>
      <c r="E35" s="206">
        <f>RatesW!L20</f>
        <v>147.58000000000001</v>
      </c>
      <c r="F35" s="207">
        <f t="shared" si="16"/>
        <v>17.420000000000016</v>
      </c>
      <c r="G35" s="208">
        <f t="shared" si="17"/>
        <v>0.13383527965580835</v>
      </c>
      <c r="H35" s="331"/>
    </row>
    <row r="36" spans="2:8" ht="15.75" hidden="1" x14ac:dyDescent="0.25">
      <c r="B36" s="322"/>
      <c r="C36" s="183">
        <v>16000</v>
      </c>
      <c r="D36" s="204">
        <f>RatesW!F20+6*RatesW!F21</f>
        <v>172.64</v>
      </c>
      <c r="E36" s="206">
        <f>RatesW!L20+6*RatesW!L21</f>
        <v>195.76</v>
      </c>
      <c r="F36" s="207">
        <f t="shared" si="16"/>
        <v>23.120000000000005</v>
      </c>
      <c r="G36" s="208">
        <f t="shared" si="17"/>
        <v>0.13392029657089902</v>
      </c>
      <c r="H36" s="331"/>
    </row>
    <row r="37" spans="2:8" ht="15.75" hidden="1" x14ac:dyDescent="0.25">
      <c r="B37" s="322"/>
      <c r="C37" s="183">
        <v>20000</v>
      </c>
      <c r="D37" s="204" t="e">
        <f>RatesW!F20+6*RatesW!F21+4*RatesW!#REF!</f>
        <v>#REF!</v>
      </c>
      <c r="E37" s="206" t="e">
        <f>RatesW!L20+6*RatesW!L21+4*RatesW!#REF!</f>
        <v>#REF!</v>
      </c>
      <c r="F37" s="207" t="e">
        <f t="shared" ref="F37" si="18">(E37-D37)</f>
        <v>#REF!</v>
      </c>
      <c r="G37" s="208" t="e">
        <f t="shared" ref="G37" si="19">F37/D37</f>
        <v>#REF!</v>
      </c>
      <c r="H37" s="331"/>
    </row>
    <row r="38" spans="2:8" ht="15.75" hidden="1" x14ac:dyDescent="0.25">
      <c r="B38" s="322"/>
      <c r="C38" s="183">
        <v>24000</v>
      </c>
      <c r="D38" s="204" t="e">
        <f>RatesW!F20+6*RatesW!F21+8*RatesW!#REF!</f>
        <v>#REF!</v>
      </c>
      <c r="E38" s="206" t="e">
        <f>RatesW!L20+6*RatesW!L21+8*RatesW!#REF!</f>
        <v>#REF!</v>
      </c>
      <c r="F38" s="207" t="e">
        <f t="shared" si="16"/>
        <v>#REF!</v>
      </c>
      <c r="G38" s="208" t="e">
        <f t="shared" si="17"/>
        <v>#REF!</v>
      </c>
      <c r="H38" s="331"/>
    </row>
    <row r="39" spans="2:8" ht="15.75" hidden="1" x14ac:dyDescent="0.25">
      <c r="B39" s="322"/>
      <c r="C39" s="183">
        <v>50000</v>
      </c>
      <c r="D39" s="204" t="e">
        <f>RatesW!F20+6*RatesW!F21+8*RatesW!#REF!+26*RatesW!F22</f>
        <v>#REF!</v>
      </c>
      <c r="E39" s="206" t="e">
        <f>RatesW!L20+6*RatesW!L21+8*RatesW!#REF!+26*RatesW!L22</f>
        <v>#REF!</v>
      </c>
      <c r="F39" s="207" t="e">
        <f t="shared" si="16"/>
        <v>#REF!</v>
      </c>
      <c r="G39" s="208" t="e">
        <f t="shared" si="17"/>
        <v>#REF!</v>
      </c>
      <c r="H39" s="331"/>
    </row>
    <row r="40" spans="2:8" ht="15.75" hidden="1" x14ac:dyDescent="0.25">
      <c r="B40" s="322"/>
      <c r="C40" s="183">
        <v>120000</v>
      </c>
      <c r="D40" s="204" t="e">
        <f>RatesW!F20+6*RatesW!F21+8*RatesW!#REF!+96*RatesW!F22</f>
        <v>#REF!</v>
      </c>
      <c r="E40" s="206" t="e">
        <f>RatesW!L20+6*RatesW!L21+8*RatesW!#REF!+96*RatesW!L22</f>
        <v>#REF!</v>
      </c>
      <c r="F40" s="207" t="e">
        <f t="shared" ref="F40" si="20">(E40-D40)</f>
        <v>#REF!</v>
      </c>
      <c r="G40" s="208" t="e">
        <f t="shared" ref="G40" si="21">F40/D40</f>
        <v>#REF!</v>
      </c>
      <c r="H40" s="331"/>
    </row>
    <row r="41" spans="2:8" ht="15.75" hidden="1" x14ac:dyDescent="0.25">
      <c r="B41" s="322"/>
      <c r="C41" s="183"/>
      <c r="D41" s="206"/>
      <c r="E41" s="206"/>
      <c r="F41" s="207"/>
      <c r="G41" s="208"/>
      <c r="H41" s="331"/>
    </row>
    <row r="42" spans="2:8" ht="18" hidden="1" x14ac:dyDescent="0.4">
      <c r="B42" s="322"/>
      <c r="C42" s="366" t="s">
        <v>300</v>
      </c>
      <c r="D42" s="366"/>
      <c r="E42" s="366"/>
      <c r="F42" s="366"/>
      <c r="G42" s="366"/>
      <c r="H42" s="331"/>
    </row>
    <row r="43" spans="2:8" ht="15.75" hidden="1" x14ac:dyDescent="0.25">
      <c r="B43" s="322"/>
      <c r="C43" s="183">
        <v>2000</v>
      </c>
      <c r="D43" s="329">
        <f>RatesW!F30</f>
        <v>318.42</v>
      </c>
      <c r="E43" s="330">
        <f>RatesW!L30</f>
        <v>361.02</v>
      </c>
      <c r="F43" s="209">
        <f>(E43-D43)</f>
        <v>42.599999999999966</v>
      </c>
      <c r="G43" s="208">
        <f>F43/D43</f>
        <v>0.1337855662332767</v>
      </c>
      <c r="H43" s="331"/>
    </row>
    <row r="44" spans="2:8" ht="15.75" hidden="1" x14ac:dyDescent="0.25">
      <c r="B44" s="322"/>
      <c r="C44" s="183">
        <v>4000</v>
      </c>
      <c r="D44" s="204">
        <f>RatesW!F30</f>
        <v>318.42</v>
      </c>
      <c r="E44" s="206">
        <f>RatesW!L30</f>
        <v>361.02</v>
      </c>
      <c r="F44" s="207">
        <f t="shared" ref="F44:F49" si="22">(E44-D44)</f>
        <v>42.599999999999966</v>
      </c>
      <c r="G44" s="208">
        <f t="shared" ref="G44:G49" si="23">F44/D44</f>
        <v>0.1337855662332767</v>
      </c>
      <c r="H44" s="331"/>
    </row>
    <row r="45" spans="2:8" ht="15.75" hidden="1" x14ac:dyDescent="0.25">
      <c r="B45" s="322"/>
      <c r="C45" s="183">
        <v>6000</v>
      </c>
      <c r="D45" s="204">
        <f>RatesW!F30</f>
        <v>318.42</v>
      </c>
      <c r="E45" s="206">
        <f>RatesW!L30</f>
        <v>361.02</v>
      </c>
      <c r="F45" s="207">
        <f t="shared" si="22"/>
        <v>42.599999999999966</v>
      </c>
      <c r="G45" s="208">
        <f t="shared" si="23"/>
        <v>0.1337855662332767</v>
      </c>
      <c r="H45" s="331"/>
    </row>
    <row r="46" spans="2:8" ht="15.75" hidden="1" x14ac:dyDescent="0.25">
      <c r="B46" s="322"/>
      <c r="C46" s="183">
        <v>10000</v>
      </c>
      <c r="D46" s="332">
        <f>RatesW!F30</f>
        <v>318.42</v>
      </c>
      <c r="E46" s="206">
        <f>RatesW!L30</f>
        <v>361.02</v>
      </c>
      <c r="F46" s="207">
        <f t="shared" si="22"/>
        <v>42.599999999999966</v>
      </c>
      <c r="G46" s="208">
        <f t="shared" si="23"/>
        <v>0.1337855662332767</v>
      </c>
      <c r="H46" s="331"/>
    </row>
    <row r="47" spans="2:8" ht="15.75" hidden="1" x14ac:dyDescent="0.25">
      <c r="B47" s="322"/>
      <c r="C47" s="183">
        <v>16000</v>
      </c>
      <c r="D47" s="332">
        <f>RatesW!F30</f>
        <v>318.42</v>
      </c>
      <c r="E47" s="206">
        <f>RatesW!L30</f>
        <v>361.02</v>
      </c>
      <c r="F47" s="207">
        <f t="shared" si="22"/>
        <v>42.599999999999966</v>
      </c>
      <c r="G47" s="208">
        <f t="shared" si="23"/>
        <v>0.1337855662332767</v>
      </c>
      <c r="H47" s="331"/>
    </row>
    <row r="48" spans="2:8" ht="15.75" hidden="1" x14ac:dyDescent="0.25">
      <c r="B48" s="322"/>
      <c r="C48" s="183">
        <v>24000</v>
      </c>
      <c r="D48" s="332">
        <f>RatesW!F30</f>
        <v>318.42</v>
      </c>
      <c r="E48" s="206">
        <f>RatesW!L30</f>
        <v>361.02</v>
      </c>
      <c r="F48" s="207">
        <f t="shared" si="22"/>
        <v>42.599999999999966</v>
      </c>
      <c r="G48" s="208">
        <f t="shared" si="23"/>
        <v>0.1337855662332767</v>
      </c>
      <c r="H48" s="331"/>
    </row>
    <row r="49" spans="2:15" ht="15.75" hidden="1" x14ac:dyDescent="0.25">
      <c r="B49" s="322"/>
      <c r="C49" s="183">
        <v>50000</v>
      </c>
      <c r="D49" s="204">
        <f>RatesW!F30+26*RatesW!F31</f>
        <v>481.70000000000005</v>
      </c>
      <c r="E49" s="206">
        <f>RatesW!L30+26*RatesW!L31</f>
        <v>546.14</v>
      </c>
      <c r="F49" s="207">
        <f t="shared" si="22"/>
        <v>64.439999999999941</v>
      </c>
      <c r="G49" s="208">
        <f t="shared" si="23"/>
        <v>0.13377620925887468</v>
      </c>
      <c r="H49" s="331"/>
    </row>
    <row r="50" spans="2:15" ht="15.75" hidden="1" x14ac:dyDescent="0.25">
      <c r="B50" s="322"/>
      <c r="C50" s="183">
        <v>120000</v>
      </c>
      <c r="D50" s="204">
        <f>RatesW!F30+96*RatesW!F31</f>
        <v>921.3</v>
      </c>
      <c r="E50" s="206">
        <f>RatesW!L30+96*RatesW!L31</f>
        <v>1044.54</v>
      </c>
      <c r="F50" s="207">
        <f t="shared" ref="F50" si="24">(E50-D50)</f>
        <v>123.24000000000001</v>
      </c>
      <c r="G50" s="208">
        <f t="shared" ref="G50" si="25">F50/D50</f>
        <v>0.13376750244220126</v>
      </c>
      <c r="H50" s="331"/>
    </row>
    <row r="51" spans="2:15" ht="15.75" hidden="1" x14ac:dyDescent="0.25">
      <c r="B51" s="322"/>
      <c r="C51" s="183"/>
      <c r="D51" s="206"/>
      <c r="E51" s="206"/>
      <c r="F51" s="207"/>
      <c r="G51" s="208"/>
      <c r="H51" s="331"/>
    </row>
    <row r="52" spans="2:15" ht="15.75" x14ac:dyDescent="0.25">
      <c r="B52" s="333"/>
      <c r="C52" s="367" t="s">
        <v>301</v>
      </c>
      <c r="D52" s="367"/>
      <c r="E52" s="367"/>
      <c r="F52" s="367"/>
      <c r="G52" s="367"/>
      <c r="H52" s="334"/>
      <c r="I52" s="285"/>
    </row>
    <row r="53" spans="2:15" ht="15.75" x14ac:dyDescent="0.25">
      <c r="B53" s="322"/>
      <c r="C53" s="183">
        <v>2000</v>
      </c>
      <c r="D53" s="329">
        <f>RatesS!F13</f>
        <v>15</v>
      </c>
      <c r="E53" s="209">
        <f>RatesS!L13</f>
        <v>38.050000000000004</v>
      </c>
      <c r="F53" s="209">
        <f t="shared" ref="F53:F56" si="26">(E53-D53)</f>
        <v>23.050000000000004</v>
      </c>
      <c r="G53" s="208">
        <f t="shared" ref="G53:G56" si="27">F53/D53</f>
        <v>1.5366666666666668</v>
      </c>
      <c r="H53" s="331"/>
      <c r="J53" s="177"/>
      <c r="K53" s="176"/>
    </row>
    <row r="54" spans="2:15" ht="15.75" x14ac:dyDescent="0.25">
      <c r="B54" s="322"/>
      <c r="C54" s="308">
        <v>4000</v>
      </c>
      <c r="D54" s="309">
        <f>(RatesS!F13+(2*RatesS!F14))</f>
        <v>25.6</v>
      </c>
      <c r="E54" s="310">
        <f>RatesS!L13+(2*RatesS!L14)</f>
        <v>64.930000000000007</v>
      </c>
      <c r="F54" s="311">
        <f t="shared" si="26"/>
        <v>39.330000000000005</v>
      </c>
      <c r="G54" s="338">
        <f t="shared" si="27"/>
        <v>1.536328125</v>
      </c>
      <c r="H54" s="331"/>
      <c r="J54" s="177"/>
      <c r="K54" s="176"/>
      <c r="N54" s="178"/>
      <c r="O54" s="179"/>
    </row>
    <row r="55" spans="2:15" ht="15.75" x14ac:dyDescent="0.25">
      <c r="B55" s="322"/>
      <c r="C55" s="183">
        <v>6000</v>
      </c>
      <c r="D55" s="204">
        <f>(RatesS!F13)+(RatesS!F14*4)</f>
        <v>36.200000000000003</v>
      </c>
      <c r="E55" s="206">
        <f>RatesS!L13+4*RatesS!L14</f>
        <v>91.81</v>
      </c>
      <c r="F55" s="209">
        <f t="shared" si="26"/>
        <v>55.61</v>
      </c>
      <c r="G55" s="208">
        <f t="shared" si="27"/>
        <v>1.5361878453038673</v>
      </c>
      <c r="H55" s="331"/>
      <c r="J55" s="177"/>
      <c r="K55" s="176"/>
    </row>
    <row r="56" spans="2:15" ht="15.75" x14ac:dyDescent="0.25">
      <c r="B56" s="322"/>
      <c r="C56" s="183">
        <v>10000</v>
      </c>
      <c r="D56" s="204">
        <f>RatesS!F13+(8*RatesS!F14)</f>
        <v>57.4</v>
      </c>
      <c r="E56" s="206">
        <f>RatesS!L13+8*RatesS!L14</f>
        <v>145.57</v>
      </c>
      <c r="F56" s="209">
        <f t="shared" si="26"/>
        <v>88.169999999999987</v>
      </c>
      <c r="G56" s="208">
        <f t="shared" si="27"/>
        <v>1.5360627177700346</v>
      </c>
      <c r="H56" s="331"/>
      <c r="J56" s="177"/>
      <c r="K56" s="176"/>
    </row>
    <row r="57" spans="2:15" ht="15.75" x14ac:dyDescent="0.25">
      <c r="B57" s="322"/>
      <c r="C57" s="183">
        <v>16000</v>
      </c>
      <c r="D57" s="204">
        <f>RatesS!F13+(14*RatesS!F14)</f>
        <v>89.2</v>
      </c>
      <c r="E57" s="206">
        <f>RatesS!L13+(14*RatesS!L14)</f>
        <v>226.21</v>
      </c>
      <c r="F57" s="209">
        <f t="shared" ref="F57:F60" si="28">(E57-D57)</f>
        <v>137.01</v>
      </c>
      <c r="G57" s="208">
        <f t="shared" ref="G57:G60" si="29">F57/D57</f>
        <v>1.5359865470852017</v>
      </c>
      <c r="H57" s="331"/>
      <c r="J57" s="177"/>
      <c r="K57" s="176"/>
    </row>
    <row r="58" spans="2:15" ht="15.75" x14ac:dyDescent="0.25">
      <c r="B58" s="322"/>
      <c r="C58" s="183">
        <v>20000</v>
      </c>
      <c r="D58" s="204">
        <f>RatesS!F13+(18*RatesS!F14)</f>
        <v>110.39999999999999</v>
      </c>
      <c r="E58" s="206">
        <f>RatesS!L13+(18*RatesS!L14)</f>
        <v>279.96999999999997</v>
      </c>
      <c r="F58" s="209">
        <f t="shared" ref="F58" si="30">(E58-D58)</f>
        <v>169.57</v>
      </c>
      <c r="G58" s="208">
        <f t="shared" ref="G58" si="31">F58/D58</f>
        <v>1.5359601449275362</v>
      </c>
      <c r="H58" s="331"/>
      <c r="J58" s="177"/>
      <c r="K58" s="176"/>
    </row>
    <row r="59" spans="2:15" ht="15.75" x14ac:dyDescent="0.25">
      <c r="B59" s="322"/>
      <c r="C59" s="183">
        <v>24000</v>
      </c>
      <c r="D59" s="204">
        <f>RatesS!F13+22*RatesS!F14</f>
        <v>131.6</v>
      </c>
      <c r="E59" s="206">
        <f>RatesS!L13+22*RatesS!L14</f>
        <v>333.73</v>
      </c>
      <c r="F59" s="209">
        <f t="shared" si="28"/>
        <v>202.13000000000002</v>
      </c>
      <c r="G59" s="208">
        <f t="shared" si="29"/>
        <v>1.5359422492401218</v>
      </c>
      <c r="H59" s="331"/>
      <c r="J59" s="177"/>
      <c r="K59" s="176"/>
    </row>
    <row r="60" spans="2:15" ht="15.75" x14ac:dyDescent="0.25">
      <c r="B60" s="322"/>
      <c r="C60" s="183">
        <v>50000</v>
      </c>
      <c r="D60" s="204">
        <f>RatesS!F13+48*RatesS!F14</f>
        <v>269.39999999999998</v>
      </c>
      <c r="E60" s="206">
        <f>RatesS!L13+48*RatesS!L14</f>
        <v>683.17</v>
      </c>
      <c r="F60" s="209">
        <f t="shared" si="28"/>
        <v>413.77</v>
      </c>
      <c r="G60" s="208">
        <f t="shared" si="29"/>
        <v>1.5358945805493691</v>
      </c>
      <c r="H60" s="331"/>
      <c r="J60" s="177"/>
      <c r="K60" s="176"/>
    </row>
    <row r="61" spans="2:15" ht="15.75" x14ac:dyDescent="0.25">
      <c r="B61" s="322"/>
      <c r="C61" s="183">
        <v>120000</v>
      </c>
      <c r="D61" s="204">
        <f>RatesS!F13+120*RatesS!F14</f>
        <v>651</v>
      </c>
      <c r="E61" s="206">
        <f>RatesS!L13+118*RatesS!L14</f>
        <v>1623.9699999999998</v>
      </c>
      <c r="F61" s="209">
        <f t="shared" ref="F61" si="32">(E61-D61)</f>
        <v>972.9699999999998</v>
      </c>
      <c r="G61" s="208">
        <f t="shared" ref="G61" si="33">F61/D61</f>
        <v>1.4945775729646695</v>
      </c>
      <c r="H61" s="331"/>
      <c r="J61" s="177"/>
      <c r="K61" s="176"/>
    </row>
    <row r="62" spans="2:15" ht="15.75" x14ac:dyDescent="0.25">
      <c r="B62" s="333"/>
      <c r="C62" s="71"/>
      <c r="D62" s="335"/>
      <c r="E62" s="335"/>
      <c r="F62" s="335"/>
      <c r="G62" s="335"/>
      <c r="H62" s="336"/>
    </row>
    <row r="64" spans="2:15" ht="15.75" x14ac:dyDescent="0.25">
      <c r="D64" s="337" t="s">
        <v>302</v>
      </c>
    </row>
    <row r="65" spans="4:4" ht="15.75" x14ac:dyDescent="0.25">
      <c r="D65" s="115"/>
    </row>
  </sheetData>
  <mergeCells count="10">
    <mergeCell ref="B2:H2"/>
    <mergeCell ref="C20:G20"/>
    <mergeCell ref="C52:G52"/>
    <mergeCell ref="C3:G3"/>
    <mergeCell ref="C4:G4"/>
    <mergeCell ref="C5:G5"/>
    <mergeCell ref="E8:G8"/>
    <mergeCell ref="C31:G31"/>
    <mergeCell ref="C42:G42"/>
    <mergeCell ref="B10:H10"/>
  </mergeCells>
  <printOptions horizontalCentered="1"/>
  <pageMargins left="0.45" right="0.45" top="1.5" bottom="0.75" header="0.3" footer="0.3"/>
  <pageSetup orientation="portrait" r:id="rId1"/>
  <ignoredErrors>
    <ignoredError sqref="D14:D1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54"/>
  <sheetViews>
    <sheetView showGridLines="0" topLeftCell="A95" zoomScaleNormal="100" workbookViewId="0">
      <selection sqref="A1:J112"/>
    </sheetView>
  </sheetViews>
  <sheetFormatPr defaultColWidth="8.88671875" defaultRowHeight="15" x14ac:dyDescent="0.25"/>
  <cols>
    <col min="1" max="1" width="8.44140625" style="1" customWidth="1"/>
    <col min="2" max="2" width="8.6640625" style="1" customWidth="1"/>
    <col min="3" max="3" width="8" style="1" customWidth="1"/>
    <col min="4" max="4" width="11.5546875" style="3" customWidth="1"/>
    <col min="5" max="5" width="9.77734375" style="1" customWidth="1"/>
    <col min="6" max="6" width="10.33203125" style="1" customWidth="1"/>
    <col min="7" max="7" width="11.44140625" style="1" customWidth="1"/>
    <col min="8" max="9" width="9.77734375" style="1" customWidth="1"/>
    <col min="10" max="11" width="9.88671875" style="1" bestFit="1" customWidth="1"/>
    <col min="12" max="12" width="10.5546875" style="3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.75" x14ac:dyDescent="0.3">
      <c r="A1" s="352" t="s">
        <v>303</v>
      </c>
      <c r="B1" s="352"/>
      <c r="C1" s="352"/>
      <c r="D1" s="352"/>
      <c r="E1" s="352"/>
      <c r="F1" s="352"/>
      <c r="G1" s="352"/>
      <c r="H1" s="352"/>
      <c r="I1" s="352"/>
    </row>
    <row r="2" spans="1:17" ht="18.75" x14ac:dyDescent="0.25">
      <c r="A2" s="341" t="s">
        <v>232</v>
      </c>
      <c r="B2" s="341"/>
      <c r="C2" s="341"/>
      <c r="D2" s="341"/>
      <c r="E2" s="341"/>
      <c r="F2" s="341"/>
      <c r="G2" s="341"/>
      <c r="H2" s="341"/>
      <c r="I2" s="341"/>
    </row>
    <row r="3" spans="1:17" x14ac:dyDescent="0.25">
      <c r="M3" s="3"/>
      <c r="Q3" s="3"/>
    </row>
    <row r="4" spans="1:17" ht="17.25" x14ac:dyDescent="0.4">
      <c r="C4" s="73" t="s">
        <v>233</v>
      </c>
      <c r="M4" s="69"/>
      <c r="Q4" s="105"/>
    </row>
    <row r="5" spans="1:17" x14ac:dyDescent="0.25">
      <c r="C5" s="108"/>
      <c r="D5" s="75"/>
      <c r="E5" s="9" t="s">
        <v>234</v>
      </c>
      <c r="F5" s="9" t="s">
        <v>235</v>
      </c>
      <c r="G5" s="9" t="s">
        <v>236</v>
      </c>
      <c r="H5" s="2"/>
      <c r="J5" s="114"/>
      <c r="K5" s="3"/>
      <c r="L5" s="114"/>
      <c r="M5" s="3"/>
      <c r="Q5" s="35"/>
    </row>
    <row r="6" spans="1:17" x14ac:dyDescent="0.25">
      <c r="C6" s="1" t="s">
        <v>237</v>
      </c>
      <c r="E6" s="3">
        <f>C29</f>
        <v>35689</v>
      </c>
      <c r="F6" s="64">
        <f>D29</f>
        <v>100729500</v>
      </c>
      <c r="G6" s="66">
        <f>F38</f>
        <v>1705494.1639999999</v>
      </c>
      <c r="H6" s="66"/>
      <c r="J6" s="114"/>
      <c r="K6" s="35"/>
    </row>
    <row r="7" spans="1:17" x14ac:dyDescent="0.25">
      <c r="C7" s="1" t="s">
        <v>238</v>
      </c>
      <c r="E7" s="3">
        <f>C48</f>
        <v>0</v>
      </c>
      <c r="F7" s="64">
        <f>D48</f>
        <v>0</v>
      </c>
      <c r="G7" s="66">
        <f>F57</f>
        <v>0</v>
      </c>
      <c r="H7" s="66"/>
      <c r="J7" s="114"/>
      <c r="K7" s="35"/>
    </row>
    <row r="8" spans="1:17" x14ac:dyDescent="0.25">
      <c r="C8" s="1" t="s">
        <v>239</v>
      </c>
      <c r="E8" s="3">
        <f>C65</f>
        <v>121</v>
      </c>
      <c r="F8" s="64">
        <f>D65</f>
        <v>1053300</v>
      </c>
      <c r="G8" s="3">
        <f>F72</f>
        <v>19907.919999999998</v>
      </c>
      <c r="H8" s="3"/>
      <c r="J8" s="114"/>
      <c r="K8" s="3"/>
    </row>
    <row r="9" spans="1:17" x14ac:dyDescent="0.25">
      <c r="B9" s="1" t="s">
        <v>240</v>
      </c>
      <c r="C9" s="1" t="s">
        <v>241</v>
      </c>
      <c r="E9" s="3">
        <f>C79</f>
        <v>90</v>
      </c>
      <c r="F9" s="64">
        <f>D79</f>
        <v>1351160</v>
      </c>
      <c r="G9" s="3">
        <f>F85</f>
        <v>18998.875200000002</v>
      </c>
      <c r="H9" s="3"/>
      <c r="J9" s="114"/>
      <c r="K9" s="3"/>
    </row>
    <row r="10" spans="1:17" x14ac:dyDescent="0.25">
      <c r="C10" s="1" t="s">
        <v>242</v>
      </c>
      <c r="E10" s="5">
        <f>C92</f>
        <v>74</v>
      </c>
      <c r="F10" s="283">
        <f>D92</f>
        <v>5005100</v>
      </c>
      <c r="G10" s="5">
        <f>F98</f>
        <v>49409.767999999996</v>
      </c>
      <c r="H10" s="3"/>
      <c r="J10" s="114"/>
      <c r="K10" s="3"/>
    </row>
    <row r="11" spans="1:17" x14ac:dyDescent="0.25">
      <c r="C11" s="1" t="s">
        <v>243</v>
      </c>
      <c r="E11" s="75">
        <f>C105</f>
        <v>5</v>
      </c>
      <c r="F11" s="188">
        <f>D105</f>
        <v>648400</v>
      </c>
      <c r="G11" s="75">
        <f>F111</f>
        <v>3851.9939999999997</v>
      </c>
      <c r="H11" s="3"/>
      <c r="J11" s="114"/>
      <c r="K11" s="3"/>
    </row>
    <row r="12" spans="1:17" x14ac:dyDescent="0.25">
      <c r="C12" s="1" t="s">
        <v>228</v>
      </c>
      <c r="E12" s="35">
        <f>SUM(E6:E11)</f>
        <v>35979</v>
      </c>
      <c r="F12" s="5">
        <f>SUM(F6:F11)</f>
        <v>108787460</v>
      </c>
      <c r="G12" s="4">
        <f>SUM(G6:G11)</f>
        <v>1797662.7211999996</v>
      </c>
      <c r="H12" s="4"/>
      <c r="J12" s="114"/>
      <c r="K12" s="35"/>
      <c r="M12" s="65"/>
    </row>
    <row r="13" spans="1:17" x14ac:dyDescent="0.25">
      <c r="C13" s="1" t="s">
        <v>244</v>
      </c>
      <c r="E13" s="35"/>
      <c r="F13" s="5"/>
      <c r="G13" s="149">
        <f>ExBAw!G13</f>
        <v>-162578.6</v>
      </c>
      <c r="H13" s="4"/>
      <c r="J13" s="114"/>
      <c r="K13" s="35"/>
      <c r="M13" s="65"/>
    </row>
    <row r="14" spans="1:17" x14ac:dyDescent="0.25">
      <c r="C14" s="1" t="s">
        <v>245</v>
      </c>
      <c r="E14" s="35"/>
      <c r="F14" s="5"/>
      <c r="G14" s="4">
        <f>G12+G13</f>
        <v>1635084.1211999995</v>
      </c>
      <c r="H14" s="4"/>
      <c r="J14" s="114"/>
      <c r="K14" s="35"/>
      <c r="M14" s="65"/>
    </row>
    <row r="15" spans="1:17" x14ac:dyDescent="0.25">
      <c r="C15" s="1" t="s">
        <v>304</v>
      </c>
      <c r="E15" s="35"/>
      <c r="F15" s="5"/>
      <c r="G15" s="149">
        <f>-SAOw!H49</f>
        <v>-1622637.1220116725</v>
      </c>
      <c r="H15" s="4"/>
      <c r="J15" s="114"/>
      <c r="K15" s="65"/>
    </row>
    <row r="16" spans="1:17" x14ac:dyDescent="0.25">
      <c r="C16" s="1" t="s">
        <v>305</v>
      </c>
      <c r="D16" s="163"/>
      <c r="F16" s="106"/>
      <c r="G16" s="69">
        <f>G14+G15</f>
        <v>12446.999188326998</v>
      </c>
      <c r="H16" s="176"/>
      <c r="I16" s="69"/>
      <c r="J16" s="114"/>
      <c r="O16" s="35"/>
    </row>
    <row r="17" spans="1:19" x14ac:dyDescent="0.25">
      <c r="D17" s="163"/>
      <c r="F17" s="106"/>
      <c r="G17" s="148"/>
      <c r="I17" s="69"/>
      <c r="J17" s="114"/>
    </row>
    <row r="18" spans="1:19" x14ac:dyDescent="0.25">
      <c r="D18" s="163"/>
      <c r="F18" s="106"/>
      <c r="G18" s="163"/>
      <c r="I18" s="69"/>
    </row>
    <row r="19" spans="1:19" x14ac:dyDescent="0.25">
      <c r="F19" s="147"/>
      <c r="G19" s="69"/>
    </row>
    <row r="20" spans="1:19" x14ac:dyDescent="0.25">
      <c r="F20" s="69"/>
      <c r="G20" s="69"/>
    </row>
    <row r="21" spans="1:19" ht="15.75" x14ac:dyDescent="0.25">
      <c r="A21" s="103" t="s">
        <v>248</v>
      </c>
      <c r="N21"/>
      <c r="O21"/>
      <c r="P21"/>
      <c r="Q21"/>
      <c r="R21"/>
      <c r="S21"/>
    </row>
    <row r="22" spans="1:19" ht="15.75" x14ac:dyDescent="0.25">
      <c r="E22" s="2" t="s">
        <v>249</v>
      </c>
      <c r="F22" s="2" t="s">
        <v>250</v>
      </c>
      <c r="G22" s="2" t="s">
        <v>250</v>
      </c>
      <c r="H22" s="2" t="s">
        <v>250</v>
      </c>
      <c r="I22" s="2" t="s">
        <v>251</v>
      </c>
      <c r="L22"/>
      <c r="M22"/>
      <c r="N22"/>
      <c r="O22"/>
      <c r="P22"/>
      <c r="Q22"/>
    </row>
    <row r="23" spans="1:19" ht="15.75" x14ac:dyDescent="0.25">
      <c r="B23" s="9" t="s">
        <v>252</v>
      </c>
      <c r="C23" s="10" t="s">
        <v>253</v>
      </c>
      <c r="D23" s="190" t="s">
        <v>254</v>
      </c>
      <c r="E23" s="10">
        <f>B24</f>
        <v>2000</v>
      </c>
      <c r="F23" s="10">
        <f>B25</f>
        <v>3000</v>
      </c>
      <c r="G23" s="10">
        <f>B26</f>
        <v>5000</v>
      </c>
      <c r="H23" s="10">
        <f>B27</f>
        <v>10000</v>
      </c>
      <c r="I23" s="10">
        <f>B28</f>
        <v>20000</v>
      </c>
      <c r="J23" s="9" t="s">
        <v>255</v>
      </c>
      <c r="L23"/>
      <c r="M23"/>
      <c r="N23"/>
      <c r="O23"/>
      <c r="P23"/>
      <c r="Q23"/>
    </row>
    <row r="24" spans="1:19" ht="15.75" x14ac:dyDescent="0.25">
      <c r="A24" s="11" t="s">
        <v>249</v>
      </c>
      <c r="B24" s="12">
        <v>2000</v>
      </c>
      <c r="C24" s="186">
        <f>ExBAw!C24</f>
        <v>20775</v>
      </c>
      <c r="D24" s="163">
        <f>ExBAw!D24</f>
        <v>13749200</v>
      </c>
      <c r="E24" s="70">
        <f>D24</f>
        <v>13749200</v>
      </c>
      <c r="F24" s="70">
        <v>0</v>
      </c>
      <c r="G24" s="70">
        <v>0</v>
      </c>
      <c r="H24" s="70">
        <v>0</v>
      </c>
      <c r="I24" s="70">
        <v>0</v>
      </c>
      <c r="J24" s="70">
        <f>SUM(E24:I24)</f>
        <v>13749200</v>
      </c>
      <c r="L24"/>
      <c r="M24"/>
      <c r="N24"/>
      <c r="O24"/>
      <c r="P24"/>
      <c r="Q24"/>
    </row>
    <row r="25" spans="1:19" ht="15.75" x14ac:dyDescent="0.25">
      <c r="A25" s="11" t="s">
        <v>250</v>
      </c>
      <c r="B25" s="12">
        <v>3000</v>
      </c>
      <c r="C25" s="186">
        <f>ExBAw!C25</f>
        <v>10886</v>
      </c>
      <c r="D25" s="163">
        <f>ExBAw!D25</f>
        <v>35043800</v>
      </c>
      <c r="E25" s="70">
        <f>C25*E$23</f>
        <v>21772000</v>
      </c>
      <c r="F25" s="70">
        <f>D25-E25</f>
        <v>13271800</v>
      </c>
      <c r="G25" s="70">
        <v>0</v>
      </c>
      <c r="H25" s="70">
        <v>0</v>
      </c>
      <c r="I25" s="70">
        <v>0</v>
      </c>
      <c r="J25" s="70">
        <f>SUM(E25:I25)</f>
        <v>35043800</v>
      </c>
      <c r="L25"/>
      <c r="M25"/>
      <c r="N25"/>
      <c r="O25"/>
      <c r="P25"/>
      <c r="Q25"/>
    </row>
    <row r="26" spans="1:19" ht="15.75" x14ac:dyDescent="0.25">
      <c r="A26" s="11" t="s">
        <v>250</v>
      </c>
      <c r="B26" s="12">
        <v>5000</v>
      </c>
      <c r="C26" s="186">
        <f>ExBAw!C26</f>
        <v>3048</v>
      </c>
      <c r="D26" s="163">
        <f>ExBAw!D26</f>
        <v>20426900</v>
      </c>
      <c r="E26" s="70">
        <f>C26*E$23</f>
        <v>6096000</v>
      </c>
      <c r="F26" s="70">
        <f>$C26*F$23</f>
        <v>9144000</v>
      </c>
      <c r="G26" s="70">
        <f>D26-(F26+E26)</f>
        <v>5186900</v>
      </c>
      <c r="H26" s="70">
        <v>0</v>
      </c>
      <c r="I26" s="70">
        <v>0</v>
      </c>
      <c r="J26" s="70">
        <f>SUM(E26:I26)</f>
        <v>20426900</v>
      </c>
      <c r="L26"/>
      <c r="M26"/>
      <c r="N26"/>
      <c r="O26"/>
      <c r="P26"/>
      <c r="Q26"/>
    </row>
    <row r="27" spans="1:19" ht="15.75" x14ac:dyDescent="0.25">
      <c r="A27" s="11" t="s">
        <v>250</v>
      </c>
      <c r="B27" s="12">
        <v>10000</v>
      </c>
      <c r="C27" s="186">
        <f>ExBAw!C27</f>
        <v>700</v>
      </c>
      <c r="D27" s="163">
        <f>ExBAw!D27</f>
        <v>9453800</v>
      </c>
      <c r="E27" s="70">
        <f t="shared" ref="E27" si="0">C27*E$23</f>
        <v>1400000</v>
      </c>
      <c r="F27" s="70">
        <f t="shared" ref="F27" si="1">$C27*F$23</f>
        <v>2100000</v>
      </c>
      <c r="G27" s="70">
        <f>C27*G23</f>
        <v>3500000</v>
      </c>
      <c r="H27" s="35">
        <f>D27-E27-F27-G27</f>
        <v>2453800</v>
      </c>
      <c r="I27" s="70">
        <v>0</v>
      </c>
      <c r="J27" s="70">
        <f>SUM(E27:I27)</f>
        <v>9453800</v>
      </c>
      <c r="L27"/>
      <c r="M27"/>
      <c r="N27"/>
      <c r="O27"/>
      <c r="P27"/>
      <c r="Q27"/>
    </row>
    <row r="28" spans="1:19" ht="15.75" x14ac:dyDescent="0.25">
      <c r="A28" s="11" t="s">
        <v>251</v>
      </c>
      <c r="B28" s="14">
        <v>20000</v>
      </c>
      <c r="C28" s="187">
        <f>ExBAw!C28</f>
        <v>280</v>
      </c>
      <c r="D28" s="191">
        <f>ExBAw!D28</f>
        <v>22055800</v>
      </c>
      <c r="E28" s="71">
        <f>C28*E$23</f>
        <v>560000</v>
      </c>
      <c r="F28" s="71">
        <f>$C28*F$23</f>
        <v>840000</v>
      </c>
      <c r="G28" s="71">
        <f>$C28*G$23</f>
        <v>1400000</v>
      </c>
      <c r="H28" s="181">
        <f>C28*H23</f>
        <v>2800000</v>
      </c>
      <c r="I28" s="71">
        <f>D28-E28-F28-G28-H28</f>
        <v>16455800</v>
      </c>
      <c r="J28" s="71">
        <f>SUM(E28:I28)</f>
        <v>22055800</v>
      </c>
      <c r="L28"/>
      <c r="M28"/>
      <c r="N28"/>
      <c r="O28"/>
      <c r="P28"/>
      <c r="Q28"/>
    </row>
    <row r="29" spans="1:19" ht="15.75" x14ac:dyDescent="0.25">
      <c r="A29" s="11"/>
      <c r="B29" s="12" t="s">
        <v>255</v>
      </c>
      <c r="C29" s="72">
        <f t="shared" ref="C29:J29" si="2">SUM(C24:C28)</f>
        <v>35689</v>
      </c>
      <c r="D29" s="5">
        <f t="shared" si="2"/>
        <v>100729500</v>
      </c>
      <c r="E29" s="72">
        <f t="shared" si="2"/>
        <v>43577200</v>
      </c>
      <c r="F29" s="72">
        <f t="shared" si="2"/>
        <v>25355800</v>
      </c>
      <c r="G29" s="72">
        <f t="shared" si="2"/>
        <v>10086900</v>
      </c>
      <c r="H29" s="72">
        <f t="shared" si="2"/>
        <v>5253800</v>
      </c>
      <c r="I29" s="72">
        <f t="shared" si="2"/>
        <v>16455800</v>
      </c>
      <c r="J29" s="72">
        <f t="shared" si="2"/>
        <v>100729500</v>
      </c>
      <c r="K29" s="3"/>
      <c r="L29"/>
      <c r="M29"/>
      <c r="N29"/>
      <c r="O29"/>
      <c r="P29"/>
      <c r="Q29"/>
    </row>
    <row r="30" spans="1:19" ht="15.75" x14ac:dyDescent="0.25">
      <c r="A30" s="11"/>
      <c r="B30" s="12"/>
      <c r="E30" s="12"/>
      <c r="F30" s="12"/>
      <c r="G30" s="12"/>
      <c r="H30" s="12"/>
      <c r="I30" s="12"/>
      <c r="N30"/>
      <c r="O30"/>
      <c r="P30"/>
      <c r="Q30"/>
      <c r="R30"/>
      <c r="S30"/>
    </row>
    <row r="31" spans="1:19" ht="15.75" x14ac:dyDescent="0.25">
      <c r="A31" s="16" t="s">
        <v>256</v>
      </c>
      <c r="B31" s="16"/>
      <c r="E31" s="12"/>
      <c r="F31" s="12"/>
      <c r="G31" s="12"/>
      <c r="H31" s="12"/>
      <c r="I31" s="12"/>
      <c r="N31"/>
      <c r="O31"/>
      <c r="P31"/>
      <c r="Q31"/>
      <c r="R31"/>
      <c r="S31"/>
    </row>
    <row r="32" spans="1:19" ht="15.75" x14ac:dyDescent="0.25">
      <c r="A32" s="11"/>
      <c r="B32" s="9"/>
      <c r="C32" s="10" t="s">
        <v>253</v>
      </c>
      <c r="D32" s="190" t="s">
        <v>254</v>
      </c>
      <c r="E32" s="10" t="s">
        <v>257</v>
      </c>
      <c r="F32" s="10" t="s">
        <v>258</v>
      </c>
      <c r="G32" s="12"/>
      <c r="H32" s="12"/>
      <c r="I32" s="12"/>
      <c r="N32"/>
      <c r="O32"/>
      <c r="P32"/>
      <c r="Q32"/>
      <c r="R32"/>
      <c r="S32"/>
    </row>
    <row r="33" spans="1:19" ht="15.75" x14ac:dyDescent="0.25">
      <c r="A33" s="11" t="s">
        <v>249</v>
      </c>
      <c r="B33" s="12">
        <f>B24</f>
        <v>2000</v>
      </c>
      <c r="C33" s="13">
        <f>C29</f>
        <v>35689</v>
      </c>
      <c r="D33" s="163">
        <f>E29</f>
        <v>43577200</v>
      </c>
      <c r="E33" s="17">
        <f>RatesW!L13</f>
        <v>31.169999999999998</v>
      </c>
      <c r="F33" s="7">
        <f>E33*C33</f>
        <v>1112426.1299999999</v>
      </c>
      <c r="G33" s="12"/>
      <c r="N33"/>
      <c r="O33"/>
      <c r="P33"/>
      <c r="Q33"/>
      <c r="R33"/>
      <c r="S33"/>
    </row>
    <row r="34" spans="1:19" ht="15.75" x14ac:dyDescent="0.25">
      <c r="A34" s="11" t="s">
        <v>250</v>
      </c>
      <c r="B34" s="12">
        <f>B25</f>
        <v>3000</v>
      </c>
      <c r="D34" s="163">
        <f>F29</f>
        <v>25355800</v>
      </c>
      <c r="E34" s="17">
        <f>RatesW!L14</f>
        <v>13.31</v>
      </c>
      <c r="F34" s="3">
        <f>E34*(D34/1000)</f>
        <v>337485.69799999997</v>
      </c>
      <c r="G34" s="12"/>
      <c r="N34"/>
      <c r="O34"/>
      <c r="P34"/>
      <c r="Q34"/>
      <c r="R34"/>
      <c r="S34"/>
    </row>
    <row r="35" spans="1:19" ht="15.75" x14ac:dyDescent="0.25">
      <c r="A35" s="11" t="s">
        <v>250</v>
      </c>
      <c r="B35" s="12">
        <f>B26</f>
        <v>5000</v>
      </c>
      <c r="D35" s="163">
        <f>G29</f>
        <v>10086900</v>
      </c>
      <c r="E35" s="17">
        <f>RatesW!L15</f>
        <v>9.5399999999999991</v>
      </c>
      <c r="F35" s="3">
        <f>E35*(D35/1000)</f>
        <v>96229.025999999983</v>
      </c>
      <c r="G35" s="12"/>
      <c r="N35"/>
      <c r="O35"/>
      <c r="P35"/>
      <c r="Q35"/>
      <c r="R35"/>
      <c r="S35"/>
    </row>
    <row r="36" spans="1:19" ht="15.75" x14ac:dyDescent="0.25">
      <c r="A36" s="11" t="s">
        <v>250</v>
      </c>
      <c r="B36" s="12">
        <v>10000</v>
      </c>
      <c r="D36" s="163">
        <f>H29</f>
        <v>5253800</v>
      </c>
      <c r="E36" s="17">
        <f>RatesW!L16</f>
        <v>8.0299999999999994</v>
      </c>
      <c r="F36" s="3">
        <f t="shared" ref="F36" si="3">E36*(D36/1000)</f>
        <v>42188.013999999996</v>
      </c>
      <c r="G36" s="12"/>
      <c r="N36"/>
      <c r="O36"/>
      <c r="P36"/>
      <c r="Q36"/>
      <c r="R36"/>
      <c r="S36"/>
    </row>
    <row r="37" spans="1:19" x14ac:dyDescent="0.25">
      <c r="A37" s="11" t="s">
        <v>251</v>
      </c>
      <c r="B37" s="14">
        <f>B28</f>
        <v>20000</v>
      </c>
      <c r="C37" s="18"/>
      <c r="D37" s="191">
        <f>I29</f>
        <v>16455800</v>
      </c>
      <c r="E37" s="17">
        <f>RatesW!L17</f>
        <v>7.12</v>
      </c>
      <c r="F37" s="75">
        <f>E37*(D37/1000)</f>
        <v>117165.296</v>
      </c>
      <c r="G37" s="12"/>
      <c r="Q37" s="3">
        <f>Q30/12</f>
        <v>0</v>
      </c>
    </row>
    <row r="38" spans="1:19" x14ac:dyDescent="0.25">
      <c r="A38" s="11"/>
      <c r="B38" s="12" t="s">
        <v>255</v>
      </c>
      <c r="C38" s="3">
        <f>SUM(C33:C37)</f>
        <v>35689</v>
      </c>
      <c r="D38" s="5">
        <f>SUM(D33:D37)</f>
        <v>100729500</v>
      </c>
      <c r="F38" s="7">
        <f>SUM(F33:F37)</f>
        <v>1705494.1639999999</v>
      </c>
      <c r="G38" s="66"/>
      <c r="H38" s="12"/>
      <c r="I38" s="150"/>
    </row>
    <row r="39" spans="1:19" x14ac:dyDescent="0.25">
      <c r="A39" s="11"/>
      <c r="B39" s="12"/>
      <c r="C39" s="3"/>
      <c r="D39" s="5"/>
      <c r="F39" s="7"/>
      <c r="G39" s="12"/>
      <c r="H39" s="12"/>
      <c r="I39" s="12"/>
    </row>
    <row r="40" spans="1:19" ht="15.75" x14ac:dyDescent="0.25">
      <c r="A40" s="103" t="s">
        <v>259</v>
      </c>
    </row>
    <row r="41" spans="1:19" x14ac:dyDescent="0.25">
      <c r="E41" s="2" t="s">
        <v>249</v>
      </c>
      <c r="F41" s="2" t="s">
        <v>250</v>
      </c>
      <c r="G41" s="2" t="s">
        <v>250</v>
      </c>
      <c r="H41" s="2" t="s">
        <v>250</v>
      </c>
      <c r="I41" s="2" t="s">
        <v>251</v>
      </c>
    </row>
    <row r="42" spans="1:19" x14ac:dyDescent="0.25">
      <c r="B42" s="9" t="s">
        <v>252</v>
      </c>
      <c r="C42" s="10" t="s">
        <v>253</v>
      </c>
      <c r="D42" s="190" t="s">
        <v>254</v>
      </c>
      <c r="E42" s="10">
        <f>B43</f>
        <v>4000</v>
      </c>
      <c r="F42" s="10">
        <f>B44</f>
        <v>1000</v>
      </c>
      <c r="G42" s="10">
        <f>B45</f>
        <v>5000</v>
      </c>
      <c r="H42" s="10">
        <f>B46</f>
        <v>10000</v>
      </c>
      <c r="I42" s="10">
        <f>B47</f>
        <v>20000</v>
      </c>
      <c r="J42" s="9" t="s">
        <v>255</v>
      </c>
    </row>
    <row r="43" spans="1:19" x14ac:dyDescent="0.25">
      <c r="A43" s="11" t="s">
        <v>249</v>
      </c>
      <c r="B43" s="12">
        <v>4000</v>
      </c>
      <c r="C43" s="186">
        <v>0</v>
      </c>
      <c r="D43" s="163">
        <v>0</v>
      </c>
      <c r="E43" s="70">
        <f>D43</f>
        <v>0</v>
      </c>
      <c r="F43" s="70">
        <v>0</v>
      </c>
      <c r="G43" s="70">
        <v>0</v>
      </c>
      <c r="H43" s="70">
        <v>0</v>
      </c>
      <c r="I43" s="70">
        <v>0</v>
      </c>
      <c r="J43" s="70">
        <f>SUM(E43:I43)</f>
        <v>0</v>
      </c>
    </row>
    <row r="44" spans="1:19" x14ac:dyDescent="0.25">
      <c r="A44" s="11" t="s">
        <v>250</v>
      </c>
      <c r="B44" s="12">
        <v>1000</v>
      </c>
      <c r="C44" s="186">
        <v>0</v>
      </c>
      <c r="D44" s="163">
        <v>0</v>
      </c>
      <c r="E44" s="70">
        <f>C44*E$23</f>
        <v>0</v>
      </c>
      <c r="F44" s="70">
        <f>D44-E44</f>
        <v>0</v>
      </c>
      <c r="G44" s="70">
        <v>0</v>
      </c>
      <c r="H44" s="70">
        <v>0</v>
      </c>
      <c r="I44" s="70">
        <v>0</v>
      </c>
      <c r="J44" s="70">
        <f>SUM(E44:I44)</f>
        <v>0</v>
      </c>
    </row>
    <row r="45" spans="1:19" x14ac:dyDescent="0.25">
      <c r="A45" s="11" t="s">
        <v>250</v>
      </c>
      <c r="B45" s="12">
        <v>5000</v>
      </c>
      <c r="C45" s="186">
        <v>0</v>
      </c>
      <c r="D45" s="163">
        <v>0</v>
      </c>
      <c r="E45" s="70">
        <f>C45*E$23</f>
        <v>0</v>
      </c>
      <c r="F45" s="70">
        <f>$C45*F$23</f>
        <v>0</v>
      </c>
      <c r="G45" s="70">
        <f>D45-(F45+E45)</f>
        <v>0</v>
      </c>
      <c r="H45" s="70">
        <v>0</v>
      </c>
      <c r="I45" s="70">
        <v>0</v>
      </c>
      <c r="J45" s="70">
        <f>SUM(E45:I45)</f>
        <v>0</v>
      </c>
    </row>
    <row r="46" spans="1:19" x14ac:dyDescent="0.25">
      <c r="A46" s="11" t="s">
        <v>250</v>
      </c>
      <c r="B46" s="12">
        <v>10000</v>
      </c>
      <c r="C46" s="186">
        <v>0</v>
      </c>
      <c r="D46" s="163">
        <v>0</v>
      </c>
      <c r="E46" s="70">
        <f t="shared" ref="E46" si="4">C46*E$23</f>
        <v>0</v>
      </c>
      <c r="F46" s="70">
        <f t="shared" ref="F46" si="5">$C46*F$23</f>
        <v>0</v>
      </c>
      <c r="G46" s="70">
        <f>C46*G42</f>
        <v>0</v>
      </c>
      <c r="H46" s="35">
        <f>D46-E46-F46-G46</f>
        <v>0</v>
      </c>
      <c r="I46" s="70">
        <v>0</v>
      </c>
      <c r="J46" s="70">
        <f>SUM(E46:I46)</f>
        <v>0</v>
      </c>
    </row>
    <row r="47" spans="1:19" x14ac:dyDescent="0.25">
      <c r="A47" s="11" t="s">
        <v>251</v>
      </c>
      <c r="B47" s="14">
        <v>20000</v>
      </c>
      <c r="C47" s="187">
        <v>0</v>
      </c>
      <c r="D47" s="191">
        <v>0</v>
      </c>
      <c r="E47" s="71">
        <f>C47*E$23</f>
        <v>0</v>
      </c>
      <c r="F47" s="71">
        <f>$C47*F$23</f>
        <v>0</v>
      </c>
      <c r="G47" s="71">
        <f>$C47*G$23</f>
        <v>0</v>
      </c>
      <c r="H47" s="181">
        <f>C47*H42</f>
        <v>0</v>
      </c>
      <c r="I47" s="71">
        <f>D47-E47-F47-G47-H47</f>
        <v>0</v>
      </c>
      <c r="J47" s="71">
        <f>SUM(E47:I47)</f>
        <v>0</v>
      </c>
    </row>
    <row r="48" spans="1:19" x14ac:dyDescent="0.25">
      <c r="A48" s="11"/>
      <c r="B48" s="12" t="s">
        <v>255</v>
      </c>
      <c r="C48" s="72">
        <f t="shared" ref="C48:J48" si="6">SUM(C43:C47)</f>
        <v>0</v>
      </c>
      <c r="D48" s="5">
        <f t="shared" si="6"/>
        <v>0</v>
      </c>
      <c r="E48" s="72">
        <f t="shared" si="6"/>
        <v>0</v>
      </c>
      <c r="F48" s="72">
        <f t="shared" si="6"/>
        <v>0</v>
      </c>
      <c r="G48" s="72">
        <f t="shared" si="6"/>
        <v>0</v>
      </c>
      <c r="H48" s="72">
        <f t="shared" si="6"/>
        <v>0</v>
      </c>
      <c r="I48" s="72">
        <f t="shared" si="6"/>
        <v>0</v>
      </c>
      <c r="J48" s="72">
        <f t="shared" si="6"/>
        <v>0</v>
      </c>
    </row>
    <row r="49" spans="1:12" x14ac:dyDescent="0.25">
      <c r="A49" s="11"/>
      <c r="B49" s="12"/>
      <c r="E49" s="12"/>
      <c r="F49" s="12"/>
      <c r="G49" s="12"/>
      <c r="H49" s="12"/>
      <c r="I49" s="12"/>
    </row>
    <row r="50" spans="1:12" x14ac:dyDescent="0.25">
      <c r="A50" s="16" t="s">
        <v>256</v>
      </c>
      <c r="B50" s="16"/>
      <c r="E50" s="12"/>
      <c r="F50" s="12"/>
      <c r="G50" s="12"/>
      <c r="H50" s="12"/>
      <c r="I50" s="12"/>
    </row>
    <row r="51" spans="1:12" x14ac:dyDescent="0.25">
      <c r="A51" s="11"/>
      <c r="B51" s="9"/>
      <c r="C51" s="10" t="s">
        <v>253</v>
      </c>
      <c r="D51" s="190" t="s">
        <v>254</v>
      </c>
      <c r="E51" s="10" t="s">
        <v>257</v>
      </c>
      <c r="F51" s="10" t="s">
        <v>258</v>
      </c>
      <c r="G51" s="12"/>
      <c r="H51" s="12"/>
      <c r="I51" s="12"/>
    </row>
    <row r="52" spans="1:12" x14ac:dyDescent="0.25">
      <c r="A52" s="11" t="s">
        <v>249</v>
      </c>
      <c r="B52" s="12">
        <f>B43</f>
        <v>4000</v>
      </c>
      <c r="C52" s="13">
        <f>C48</f>
        <v>0</v>
      </c>
      <c r="D52" s="163">
        <f>E48</f>
        <v>0</v>
      </c>
      <c r="E52" s="17"/>
      <c r="F52" s="7">
        <f>E52*C52</f>
        <v>0</v>
      </c>
      <c r="G52" s="12"/>
    </row>
    <row r="53" spans="1:12" x14ac:dyDescent="0.25">
      <c r="A53" s="11" t="s">
        <v>250</v>
      </c>
      <c r="B53" s="12">
        <f>B44</f>
        <v>1000</v>
      </c>
      <c r="D53" s="163">
        <f>F48</f>
        <v>0</v>
      </c>
      <c r="E53" s="17"/>
      <c r="F53" s="3">
        <f>E53*(D53/1000)</f>
        <v>0</v>
      </c>
      <c r="G53" s="12"/>
    </row>
    <row r="54" spans="1:12" x14ac:dyDescent="0.25">
      <c r="A54" s="11" t="s">
        <v>250</v>
      </c>
      <c r="B54" s="12">
        <f>B45</f>
        <v>5000</v>
      </c>
      <c r="D54" s="163">
        <f>G48</f>
        <v>0</v>
      </c>
      <c r="E54" s="17"/>
      <c r="F54" s="3">
        <f>E54*(D54/1000)</f>
        <v>0</v>
      </c>
      <c r="G54" s="12"/>
    </row>
    <row r="55" spans="1:12" x14ac:dyDescent="0.25">
      <c r="A55" s="11" t="s">
        <v>250</v>
      </c>
      <c r="B55" s="12">
        <v>10000</v>
      </c>
      <c r="D55" s="163">
        <f>H48</f>
        <v>0</v>
      </c>
      <c r="E55" s="17"/>
      <c r="F55" s="3">
        <f t="shared" ref="F55" si="7">E55*(D55/1000)</f>
        <v>0</v>
      </c>
      <c r="G55" s="12"/>
    </row>
    <row r="56" spans="1:12" x14ac:dyDescent="0.25">
      <c r="A56" s="11" t="s">
        <v>251</v>
      </c>
      <c r="B56" s="14">
        <f>B47</f>
        <v>20000</v>
      </c>
      <c r="C56" s="18"/>
      <c r="D56" s="191">
        <f>I48</f>
        <v>0</v>
      </c>
      <c r="E56" s="175"/>
      <c r="F56" s="75">
        <f>E56*(D56/1000)</f>
        <v>0</v>
      </c>
      <c r="G56" s="12"/>
    </row>
    <row r="57" spans="1:12" x14ac:dyDescent="0.25">
      <c r="A57" s="11"/>
      <c r="B57" s="12" t="s">
        <v>255</v>
      </c>
      <c r="C57" s="3">
        <f>SUM(C52:C56)</f>
        <v>0</v>
      </c>
      <c r="D57" s="5">
        <f>SUM(D52:D56)</f>
        <v>0</v>
      </c>
      <c r="F57" s="7">
        <f>SUM(F52:F56)</f>
        <v>0</v>
      </c>
      <c r="G57" s="66"/>
      <c r="H57" s="12"/>
      <c r="I57" s="150"/>
    </row>
    <row r="58" spans="1:12" x14ac:dyDescent="0.25">
      <c r="A58" s="11"/>
      <c r="B58" s="12"/>
      <c r="C58" s="3"/>
      <c r="D58" s="5"/>
      <c r="F58" s="7"/>
      <c r="G58" s="12"/>
      <c r="H58" s="12"/>
      <c r="I58" s="12"/>
    </row>
    <row r="59" spans="1:12" ht="15.75" x14ac:dyDescent="0.25">
      <c r="A59" s="103" t="s">
        <v>260</v>
      </c>
    </row>
    <row r="60" spans="1:12" x14ac:dyDescent="0.25">
      <c r="E60" s="2" t="s">
        <v>249</v>
      </c>
      <c r="F60" s="2" t="s">
        <v>250</v>
      </c>
      <c r="G60" s="2" t="s">
        <v>251</v>
      </c>
      <c r="L60" s="1"/>
    </row>
    <row r="61" spans="1:12" x14ac:dyDescent="0.25">
      <c r="B61" s="9" t="s">
        <v>252</v>
      </c>
      <c r="C61" s="10" t="s">
        <v>253</v>
      </c>
      <c r="D61" s="190" t="s">
        <v>254</v>
      </c>
      <c r="E61" s="10">
        <f>B62</f>
        <v>15000</v>
      </c>
      <c r="F61" s="10">
        <f>B63</f>
        <v>5000</v>
      </c>
      <c r="G61" s="10">
        <f>B64</f>
        <v>20000</v>
      </c>
      <c r="H61" s="9" t="s">
        <v>255</v>
      </c>
      <c r="L61" s="1"/>
    </row>
    <row r="62" spans="1:12" x14ac:dyDescent="0.25">
      <c r="A62" s="11" t="s">
        <v>249</v>
      </c>
      <c r="B62" s="12">
        <v>15000</v>
      </c>
      <c r="C62" s="186">
        <f>ExBAw!C62</f>
        <v>98</v>
      </c>
      <c r="D62" s="163">
        <f>ExBAw!D62</f>
        <v>432800</v>
      </c>
      <c r="E62" s="70">
        <f>D62</f>
        <v>432800</v>
      </c>
      <c r="F62" s="70">
        <v>0</v>
      </c>
      <c r="G62" s="70">
        <v>0</v>
      </c>
      <c r="H62" s="70">
        <f>SUM(E62:G62)</f>
        <v>432800</v>
      </c>
      <c r="L62" s="1"/>
    </row>
    <row r="63" spans="1:12" x14ac:dyDescent="0.25">
      <c r="A63" s="11" t="s">
        <v>250</v>
      </c>
      <c r="B63" s="12">
        <v>5000</v>
      </c>
      <c r="C63" s="186">
        <f>ExBAw!C63</f>
        <v>5</v>
      </c>
      <c r="D63" s="163">
        <f>ExBAw!D63</f>
        <v>83000</v>
      </c>
      <c r="E63" s="70">
        <f>C63*E61</f>
        <v>75000</v>
      </c>
      <c r="F63" s="70">
        <f>D63-E63</f>
        <v>8000</v>
      </c>
      <c r="G63" s="70">
        <v>0</v>
      </c>
      <c r="H63" s="70">
        <f>SUM(E63:G63)</f>
        <v>83000</v>
      </c>
      <c r="L63" s="1"/>
    </row>
    <row r="64" spans="1:12" x14ac:dyDescent="0.25">
      <c r="A64" s="11" t="s">
        <v>251</v>
      </c>
      <c r="B64" s="14">
        <v>20000</v>
      </c>
      <c r="C64" s="187">
        <f>ExBAw!C64</f>
        <v>18</v>
      </c>
      <c r="D64" s="191">
        <f>ExBAw!D64</f>
        <v>537500</v>
      </c>
      <c r="E64" s="71">
        <f>$C64*E$61</f>
        <v>270000</v>
      </c>
      <c r="F64" s="71">
        <f>C64*F61</f>
        <v>90000</v>
      </c>
      <c r="G64" s="71">
        <f>D64-E64-F64</f>
        <v>177500</v>
      </c>
      <c r="H64" s="71">
        <f>SUM(E64:G64)</f>
        <v>537500</v>
      </c>
      <c r="L64" s="1"/>
    </row>
    <row r="65" spans="1:12" x14ac:dyDescent="0.25">
      <c r="A65" s="11"/>
      <c r="B65" s="12"/>
      <c r="C65" s="5">
        <f t="shared" ref="C65:H65" si="8">SUM(C62:C64)</f>
        <v>121</v>
      </c>
      <c r="D65" s="5">
        <f t="shared" si="8"/>
        <v>1053300</v>
      </c>
      <c r="E65" s="72">
        <f t="shared" si="8"/>
        <v>777800</v>
      </c>
      <c r="F65" s="72">
        <f t="shared" si="8"/>
        <v>98000</v>
      </c>
      <c r="G65" s="72">
        <f t="shared" si="8"/>
        <v>177500</v>
      </c>
      <c r="H65" s="72">
        <f t="shared" si="8"/>
        <v>1053300</v>
      </c>
      <c r="I65" s="90"/>
      <c r="K65" s="3"/>
      <c r="L65" s="1"/>
    </row>
    <row r="66" spans="1:12" x14ac:dyDescent="0.25">
      <c r="A66" s="11"/>
      <c r="B66" s="12"/>
      <c r="E66" s="12"/>
      <c r="F66" s="12"/>
      <c r="G66" s="12"/>
      <c r="H66" s="12"/>
      <c r="I66" s="12"/>
    </row>
    <row r="67" spans="1:12" x14ac:dyDescent="0.25">
      <c r="A67" s="16" t="s">
        <v>256</v>
      </c>
      <c r="B67" s="16"/>
      <c r="E67" s="12"/>
      <c r="F67" s="12"/>
      <c r="G67" s="12"/>
      <c r="H67" s="12"/>
      <c r="I67" s="12"/>
    </row>
    <row r="68" spans="1:12" x14ac:dyDescent="0.25">
      <c r="A68" s="11"/>
      <c r="B68" s="9"/>
      <c r="C68" s="10" t="s">
        <v>253</v>
      </c>
      <c r="D68" s="190" t="s">
        <v>254</v>
      </c>
      <c r="E68" s="10" t="s">
        <v>257</v>
      </c>
      <c r="F68" s="10" t="s">
        <v>258</v>
      </c>
      <c r="G68" s="12"/>
      <c r="H68" s="12"/>
      <c r="I68" s="12"/>
    </row>
    <row r="69" spans="1:12" x14ac:dyDescent="0.25">
      <c r="A69" s="11" t="s">
        <v>249</v>
      </c>
      <c r="B69" s="12">
        <f>B62</f>
        <v>15000</v>
      </c>
      <c r="C69" s="13">
        <f>C65</f>
        <v>121</v>
      </c>
      <c r="D69" s="163">
        <f>E65</f>
        <v>777800</v>
      </c>
      <c r="E69" s="17">
        <f>RatesW!L20</f>
        <v>147.58000000000001</v>
      </c>
      <c r="F69" s="7">
        <f>E69*C69</f>
        <v>17857.18</v>
      </c>
      <c r="G69" s="12"/>
    </row>
    <row r="70" spans="1:12" x14ac:dyDescent="0.25">
      <c r="A70" s="11" t="s">
        <v>250</v>
      </c>
      <c r="B70" s="12">
        <v>5000</v>
      </c>
      <c r="C70" s="13"/>
      <c r="D70" s="163">
        <f>F65</f>
        <v>98000</v>
      </c>
      <c r="E70" s="17">
        <f>RatesW!L21</f>
        <v>8.0299999999999994</v>
      </c>
      <c r="F70" s="5">
        <f t="shared" ref="F70" si="9">E70*(D70/1000)</f>
        <v>786.93999999999994</v>
      </c>
      <c r="G70" s="12"/>
    </row>
    <row r="71" spans="1:12" x14ac:dyDescent="0.25">
      <c r="A71" s="11" t="s">
        <v>251</v>
      </c>
      <c r="B71" s="14">
        <f>B64</f>
        <v>20000</v>
      </c>
      <c r="C71" s="18"/>
      <c r="D71" s="191">
        <f>G65</f>
        <v>177500</v>
      </c>
      <c r="E71" s="17">
        <f>RatesW!L22</f>
        <v>7.12</v>
      </c>
      <c r="F71" s="75">
        <f>E71*(D71/1000)</f>
        <v>1263.8</v>
      </c>
      <c r="G71" s="12"/>
    </row>
    <row r="72" spans="1:12" x14ac:dyDescent="0.25">
      <c r="A72" s="11"/>
      <c r="B72" s="12" t="s">
        <v>255</v>
      </c>
      <c r="C72" s="3">
        <f>SUM(C69:C71)</f>
        <v>121</v>
      </c>
      <c r="D72" s="5">
        <f>SUM(D69:D71)</f>
        <v>1053300</v>
      </c>
      <c r="F72" s="7">
        <f>SUM(F69:F71)</f>
        <v>19907.919999999998</v>
      </c>
      <c r="G72" s="66"/>
      <c r="H72" s="12"/>
      <c r="I72" s="150"/>
    </row>
    <row r="73" spans="1:12" x14ac:dyDescent="0.25">
      <c r="A73" s="11"/>
      <c r="B73" s="12"/>
      <c r="C73" s="19"/>
      <c r="D73" s="5"/>
      <c r="F73" s="17"/>
      <c r="G73" s="12"/>
      <c r="H73" s="12"/>
      <c r="I73" s="12"/>
    </row>
    <row r="74" spans="1:12" ht="15.75" x14ac:dyDescent="0.25">
      <c r="A74" s="103" t="s">
        <v>261</v>
      </c>
      <c r="H74" s="12"/>
      <c r="I74" s="12"/>
    </row>
    <row r="75" spans="1:12" x14ac:dyDescent="0.25">
      <c r="E75" s="2" t="s">
        <v>249</v>
      </c>
      <c r="F75" s="2" t="s">
        <v>251</v>
      </c>
      <c r="H75" s="12"/>
      <c r="I75" s="12"/>
    </row>
    <row r="76" spans="1:12" x14ac:dyDescent="0.25">
      <c r="B76" s="9" t="s">
        <v>252</v>
      </c>
      <c r="C76" s="10" t="s">
        <v>253</v>
      </c>
      <c r="D76" s="190" t="s">
        <v>254</v>
      </c>
      <c r="E76" s="10">
        <f>B77</f>
        <v>25000</v>
      </c>
      <c r="F76" s="10">
        <f>B78</f>
        <v>25000</v>
      </c>
      <c r="G76" s="9" t="s">
        <v>255</v>
      </c>
      <c r="H76" s="12"/>
      <c r="I76" s="12"/>
    </row>
    <row r="77" spans="1:12" x14ac:dyDescent="0.25">
      <c r="A77" s="11" t="s">
        <v>249</v>
      </c>
      <c r="B77" s="12">
        <v>25000</v>
      </c>
      <c r="C77" s="186">
        <f>ExBAw!C77</f>
        <v>66</v>
      </c>
      <c r="D77" s="163">
        <f>ExBAw!D77</f>
        <v>618200</v>
      </c>
      <c r="E77" s="70">
        <f>D77</f>
        <v>618200</v>
      </c>
      <c r="F77" s="70">
        <v>0</v>
      </c>
      <c r="G77" s="70">
        <f>SUM(E77:F77)</f>
        <v>618200</v>
      </c>
      <c r="H77" s="12"/>
      <c r="I77" s="12"/>
    </row>
    <row r="78" spans="1:12" x14ac:dyDescent="0.25">
      <c r="A78" s="11" t="s">
        <v>251</v>
      </c>
      <c r="B78" s="14">
        <v>25000</v>
      </c>
      <c r="C78" s="187">
        <f>ExBAw!C78</f>
        <v>24</v>
      </c>
      <c r="D78" s="191">
        <f>ExBAw!D78</f>
        <v>732960</v>
      </c>
      <c r="E78" s="71">
        <f>$C78*E$76</f>
        <v>600000</v>
      </c>
      <c r="F78" s="71">
        <f>D78-E78</f>
        <v>132960</v>
      </c>
      <c r="G78" s="71">
        <f>SUM(E78:F78)</f>
        <v>732960</v>
      </c>
      <c r="H78" s="12"/>
      <c r="I78" s="12"/>
    </row>
    <row r="79" spans="1:12" x14ac:dyDescent="0.25">
      <c r="A79" s="11"/>
      <c r="B79" s="12"/>
      <c r="C79" s="3">
        <f>SUM(C77:C78)</f>
        <v>90</v>
      </c>
      <c r="D79" s="5">
        <f>SUM(D77:D78)</f>
        <v>1351160</v>
      </c>
      <c r="E79" s="72">
        <f>SUM(E77:E78)</f>
        <v>1218200</v>
      </c>
      <c r="F79" s="72">
        <f>SUM(F77:F78)</f>
        <v>132960</v>
      </c>
      <c r="G79" s="72">
        <f>SUM(G77:G78)</f>
        <v>1351160</v>
      </c>
      <c r="H79" s="12"/>
      <c r="I79" s="12"/>
    </row>
    <row r="80" spans="1:12" x14ac:dyDescent="0.25">
      <c r="A80" s="11"/>
      <c r="B80" s="12"/>
      <c r="E80" s="12"/>
      <c r="F80" s="12"/>
      <c r="G80" s="12"/>
      <c r="H80" s="12"/>
      <c r="I80" s="12"/>
    </row>
    <row r="81" spans="1:17" x14ac:dyDescent="0.25">
      <c r="A81" s="16" t="s">
        <v>256</v>
      </c>
      <c r="B81" s="16"/>
      <c r="E81" s="12"/>
      <c r="F81" s="12"/>
      <c r="G81" s="12"/>
      <c r="H81" s="12"/>
      <c r="I81" s="12"/>
    </row>
    <row r="82" spans="1:17" x14ac:dyDescent="0.25">
      <c r="A82" s="11"/>
      <c r="B82" s="9"/>
      <c r="C82" s="10" t="s">
        <v>253</v>
      </c>
      <c r="D82" s="190" t="s">
        <v>254</v>
      </c>
      <c r="E82" s="10" t="s">
        <v>257</v>
      </c>
      <c r="F82" s="10" t="s">
        <v>258</v>
      </c>
      <c r="G82" s="12"/>
      <c r="H82" s="12"/>
      <c r="I82" s="12"/>
    </row>
    <row r="83" spans="1:17" x14ac:dyDescent="0.25">
      <c r="A83" s="11" t="s">
        <v>249</v>
      </c>
      <c r="B83" s="12">
        <f>B77</f>
        <v>25000</v>
      </c>
      <c r="C83" s="13">
        <f>C79</f>
        <v>90</v>
      </c>
      <c r="D83" s="163">
        <f>E79</f>
        <v>1218200</v>
      </c>
      <c r="E83" s="17">
        <f>RatesW!L25</f>
        <v>200.58</v>
      </c>
      <c r="F83" s="7">
        <f>E83*C83</f>
        <v>18052.2</v>
      </c>
      <c r="G83" s="12"/>
      <c r="H83" s="12"/>
      <c r="I83" s="12"/>
    </row>
    <row r="84" spans="1:17" x14ac:dyDescent="0.25">
      <c r="A84" s="11" t="s">
        <v>251</v>
      </c>
      <c r="B84" s="14">
        <f>B78</f>
        <v>25000</v>
      </c>
      <c r="C84" s="75"/>
      <c r="D84" s="191">
        <f>F79</f>
        <v>132960</v>
      </c>
      <c r="E84" s="17">
        <f>RatesW!L26</f>
        <v>7.12</v>
      </c>
      <c r="F84" s="191">
        <f t="shared" ref="F84" si="10">E84*(D84/1000)</f>
        <v>946.67520000000002</v>
      </c>
      <c r="G84" s="12"/>
      <c r="H84" s="12"/>
      <c r="I84" s="12"/>
    </row>
    <row r="85" spans="1:17" x14ac:dyDescent="0.25">
      <c r="A85" s="11"/>
      <c r="B85" s="12" t="s">
        <v>255</v>
      </c>
      <c r="C85" s="3">
        <f>SUM(C83:C84)</f>
        <v>90</v>
      </c>
      <c r="D85" s="5">
        <f>SUM(D83:D84)</f>
        <v>1351160</v>
      </c>
      <c r="F85" s="7">
        <f>SUM(F83:F84)</f>
        <v>18998.875200000002</v>
      </c>
      <c r="G85" s="66"/>
      <c r="H85" s="12"/>
      <c r="I85" s="12"/>
    </row>
    <row r="86" spans="1:17" x14ac:dyDescent="0.25">
      <c r="A86" s="11"/>
      <c r="B86" s="12"/>
      <c r="C86" s="19"/>
      <c r="D86" s="5"/>
      <c r="F86" s="17"/>
      <c r="G86" s="12"/>
      <c r="H86" s="12"/>
      <c r="I86" s="12"/>
    </row>
    <row r="87" spans="1:17" ht="15.75" x14ac:dyDescent="0.25">
      <c r="A87" s="103" t="s">
        <v>262</v>
      </c>
    </row>
    <row r="88" spans="1:17" x14ac:dyDescent="0.25">
      <c r="E88" s="2" t="s">
        <v>249</v>
      </c>
      <c r="F88" s="2" t="s">
        <v>251</v>
      </c>
      <c r="K88" s="3"/>
      <c r="L88" s="1"/>
    </row>
    <row r="89" spans="1:17" x14ac:dyDescent="0.25">
      <c r="B89" s="9" t="s">
        <v>252</v>
      </c>
      <c r="C89" s="10" t="s">
        <v>253</v>
      </c>
      <c r="D89" s="190" t="s">
        <v>254</v>
      </c>
      <c r="E89" s="10">
        <f>B90</f>
        <v>45000</v>
      </c>
      <c r="F89" s="10">
        <f>B91</f>
        <v>45000</v>
      </c>
      <c r="G89" s="9" t="s">
        <v>255</v>
      </c>
      <c r="L89" s="1"/>
      <c r="Q89" s="1" t="s">
        <v>263</v>
      </c>
    </row>
    <row r="90" spans="1:17" x14ac:dyDescent="0.25">
      <c r="A90" s="11" t="s">
        <v>249</v>
      </c>
      <c r="B90" s="12">
        <v>45000</v>
      </c>
      <c r="C90" s="186">
        <f>ExBAw!C90</f>
        <v>47</v>
      </c>
      <c r="D90" s="163">
        <f>ExBAw!D90</f>
        <v>602700</v>
      </c>
      <c r="E90" s="70">
        <f>D90</f>
        <v>602700</v>
      </c>
      <c r="F90" s="70">
        <v>0</v>
      </c>
      <c r="G90" s="70">
        <f>SUM(E90:F90)</f>
        <v>602700</v>
      </c>
      <c r="K90" s="74"/>
      <c r="L90" s="1"/>
    </row>
    <row r="91" spans="1:17" x14ac:dyDescent="0.25">
      <c r="A91" s="11" t="s">
        <v>251</v>
      </c>
      <c r="B91" s="14">
        <v>45000</v>
      </c>
      <c r="C91" s="187">
        <f>ExBAw!C91</f>
        <v>27</v>
      </c>
      <c r="D91" s="191">
        <f>ExBAw!D91</f>
        <v>4402400</v>
      </c>
      <c r="E91" s="71">
        <f>$C91*E$89</f>
        <v>1215000</v>
      </c>
      <c r="F91" s="71">
        <f>D91-E91</f>
        <v>3187400</v>
      </c>
      <c r="G91" s="71">
        <f>SUM(E91:F91)</f>
        <v>4402400</v>
      </c>
      <c r="H91" s="3"/>
      <c r="I91" s="3"/>
      <c r="K91" s="2"/>
      <c r="L91" s="1"/>
    </row>
    <row r="92" spans="1:17" x14ac:dyDescent="0.25">
      <c r="A92" s="11"/>
      <c r="B92" s="12"/>
      <c r="C92" s="3">
        <f>SUM(C90:C91)</f>
        <v>74</v>
      </c>
      <c r="D92" s="5">
        <f>SUM(D90:D91)</f>
        <v>5005100</v>
      </c>
      <c r="E92" s="72">
        <f>SUM(E90:E91)</f>
        <v>1817700</v>
      </c>
      <c r="F92" s="72">
        <f>SUM(F90:F91)</f>
        <v>3187400</v>
      </c>
      <c r="G92" s="72">
        <f>SUM(G90:G91)</f>
        <v>5005100</v>
      </c>
    </row>
    <row r="93" spans="1:17" x14ac:dyDescent="0.25">
      <c r="A93" s="11"/>
      <c r="B93" s="12"/>
      <c r="E93" s="12"/>
      <c r="F93" s="12"/>
      <c r="G93" s="12"/>
      <c r="H93" s="12"/>
      <c r="I93" s="12"/>
    </row>
    <row r="94" spans="1:17" x14ac:dyDescent="0.25">
      <c r="A94" s="16" t="s">
        <v>256</v>
      </c>
      <c r="B94" s="16"/>
      <c r="E94" s="12"/>
      <c r="F94" s="12"/>
      <c r="G94" s="12"/>
      <c r="H94" s="12"/>
      <c r="I94" s="12"/>
    </row>
    <row r="95" spans="1:17" x14ac:dyDescent="0.25">
      <c r="A95" s="11"/>
      <c r="B95" s="9"/>
      <c r="C95" s="10" t="s">
        <v>253</v>
      </c>
      <c r="D95" s="190" t="s">
        <v>254</v>
      </c>
      <c r="E95" s="10" t="s">
        <v>257</v>
      </c>
      <c r="F95" s="10" t="s">
        <v>258</v>
      </c>
      <c r="G95" s="12"/>
      <c r="H95" s="12"/>
      <c r="I95" s="12"/>
    </row>
    <row r="96" spans="1:17" x14ac:dyDescent="0.25">
      <c r="A96" s="11" t="s">
        <v>249</v>
      </c>
      <c r="B96" s="12">
        <f>B90</f>
        <v>45000</v>
      </c>
      <c r="C96" s="13">
        <f>C92</f>
        <v>74</v>
      </c>
      <c r="D96" s="163">
        <f>E92</f>
        <v>1817700</v>
      </c>
      <c r="E96" s="17">
        <f>RatesW!L30</f>
        <v>361.02</v>
      </c>
      <c r="F96" s="7">
        <f>E96*C96</f>
        <v>26715.48</v>
      </c>
      <c r="G96" s="12"/>
      <c r="H96" s="12"/>
      <c r="I96" s="12"/>
    </row>
    <row r="97" spans="1:12" x14ac:dyDescent="0.25">
      <c r="A97" s="11" t="s">
        <v>251</v>
      </c>
      <c r="B97" s="14">
        <f>B91</f>
        <v>45000</v>
      </c>
      <c r="C97" s="75"/>
      <c r="D97" s="191">
        <f>F92</f>
        <v>3187400</v>
      </c>
      <c r="E97" s="17">
        <f>RatesW!L31</f>
        <v>7.12</v>
      </c>
      <c r="F97" s="75">
        <f t="shared" ref="F97" si="11">E97*(D97/1000)</f>
        <v>22694.288</v>
      </c>
      <c r="G97" s="12"/>
      <c r="H97" s="12"/>
      <c r="I97" s="12"/>
    </row>
    <row r="98" spans="1:12" x14ac:dyDescent="0.25">
      <c r="A98" s="11"/>
      <c r="B98" s="12" t="s">
        <v>255</v>
      </c>
      <c r="C98" s="3">
        <f>SUM(C96:C97)</f>
        <v>74</v>
      </c>
      <c r="D98" s="5">
        <f>SUM(D96:D97)</f>
        <v>5005100</v>
      </c>
      <c r="F98" s="7">
        <f>SUM(F96:F97)</f>
        <v>49409.767999999996</v>
      </c>
      <c r="G98" s="66"/>
      <c r="H98" s="12"/>
      <c r="I98" s="150"/>
    </row>
    <row r="99" spans="1:12" x14ac:dyDescent="0.25">
      <c r="A99" s="11"/>
      <c r="B99" s="12"/>
      <c r="C99" s="19"/>
      <c r="D99" s="5"/>
      <c r="F99" s="17"/>
      <c r="G99" s="12"/>
      <c r="H99" s="12"/>
      <c r="I99" s="12"/>
    </row>
    <row r="100" spans="1:12" ht="15.75" x14ac:dyDescent="0.25">
      <c r="A100" s="103" t="s">
        <v>264</v>
      </c>
      <c r="L100" s="5"/>
    </row>
    <row r="101" spans="1:12" x14ac:dyDescent="0.25">
      <c r="E101" s="2" t="s">
        <v>249</v>
      </c>
      <c r="F101" s="2" t="s">
        <v>251</v>
      </c>
      <c r="H101" s="2"/>
      <c r="I101" s="2"/>
      <c r="J101" s="2"/>
      <c r="L101" s="5"/>
    </row>
    <row r="102" spans="1:12" x14ac:dyDescent="0.25">
      <c r="B102" s="9" t="s">
        <v>252</v>
      </c>
      <c r="C102" s="10" t="s">
        <v>253</v>
      </c>
      <c r="D102" s="190" t="s">
        <v>254</v>
      </c>
      <c r="E102" s="10">
        <f>B103</f>
        <v>45000</v>
      </c>
      <c r="F102" s="10">
        <f>B104</f>
        <v>45000</v>
      </c>
      <c r="G102" s="9" t="s">
        <v>255</v>
      </c>
      <c r="H102" s="182"/>
      <c r="I102" s="182"/>
      <c r="J102" s="182"/>
      <c r="K102" s="2"/>
      <c r="L102" s="5"/>
    </row>
    <row r="103" spans="1:12" x14ac:dyDescent="0.25">
      <c r="A103" s="11" t="s">
        <v>249</v>
      </c>
      <c r="B103" s="12">
        <v>45000</v>
      </c>
      <c r="C103" s="186">
        <f>ExBAw!C103</f>
        <v>3</v>
      </c>
      <c r="D103" s="163">
        <f>ExBAw!D103</f>
        <v>16600</v>
      </c>
      <c r="E103" s="70">
        <f>D103</f>
        <v>16600</v>
      </c>
      <c r="F103" s="70">
        <v>0</v>
      </c>
      <c r="G103" s="70">
        <f>SUM(E103:F103)</f>
        <v>16600</v>
      </c>
      <c r="H103" s="183"/>
      <c r="I103" s="183"/>
      <c r="J103" s="183"/>
      <c r="K103" s="183"/>
      <c r="L103" s="5"/>
    </row>
    <row r="104" spans="1:12" x14ac:dyDescent="0.25">
      <c r="A104" s="11" t="s">
        <v>251</v>
      </c>
      <c r="B104" s="14">
        <v>45000</v>
      </c>
      <c r="C104" s="187">
        <f>ExBAw!C104</f>
        <v>2</v>
      </c>
      <c r="D104" s="191">
        <f>ExBAw!D104</f>
        <v>631800</v>
      </c>
      <c r="E104" s="71">
        <f>$C104*E$89</f>
        <v>90000</v>
      </c>
      <c r="F104" s="71">
        <f>D104-E104</f>
        <v>541800</v>
      </c>
      <c r="G104" s="71">
        <f>SUM(E104:F104)</f>
        <v>631800</v>
      </c>
      <c r="H104" s="183"/>
      <c r="I104" s="183"/>
      <c r="J104" s="183"/>
      <c r="K104" s="183"/>
      <c r="L104" s="5"/>
    </row>
    <row r="105" spans="1:12" x14ac:dyDescent="0.25">
      <c r="A105" s="11"/>
      <c r="B105" s="12"/>
      <c r="C105" s="3">
        <f>SUM(C103:C104)</f>
        <v>5</v>
      </c>
      <c r="D105" s="5">
        <f>SUM(D103:D104)</f>
        <v>648400</v>
      </c>
      <c r="E105" s="72">
        <f>SUM(E103:E104)</f>
        <v>106600</v>
      </c>
      <c r="F105" s="72">
        <f>SUM(F103:F104)</f>
        <v>541800</v>
      </c>
      <c r="G105" s="72">
        <f>SUM(G103:G104)</f>
        <v>648400</v>
      </c>
      <c r="H105" s="183"/>
      <c r="I105" s="183"/>
      <c r="J105" s="183"/>
      <c r="K105" s="183"/>
      <c r="L105" s="5"/>
    </row>
    <row r="106" spans="1:12" x14ac:dyDescent="0.25">
      <c r="A106" s="11"/>
      <c r="B106" s="12"/>
      <c r="E106" s="12"/>
      <c r="F106" s="12"/>
      <c r="G106" s="12"/>
      <c r="H106" s="35"/>
      <c r="I106" s="183"/>
      <c r="J106" s="183"/>
      <c r="K106" s="183"/>
      <c r="L106" s="5"/>
    </row>
    <row r="107" spans="1:12" x14ac:dyDescent="0.25">
      <c r="A107" s="16" t="s">
        <v>256</v>
      </c>
      <c r="B107" s="16"/>
      <c r="E107" s="12"/>
      <c r="F107" s="12"/>
      <c r="G107" s="12"/>
      <c r="H107" s="35"/>
      <c r="I107" s="35"/>
      <c r="J107" s="183"/>
      <c r="K107" s="183"/>
      <c r="L107" s="5"/>
    </row>
    <row r="108" spans="1:12" x14ac:dyDescent="0.25">
      <c r="A108" s="11"/>
      <c r="B108" s="9"/>
      <c r="C108" s="10" t="s">
        <v>253</v>
      </c>
      <c r="D108" s="190" t="s">
        <v>254</v>
      </c>
      <c r="E108" s="10" t="s">
        <v>257</v>
      </c>
      <c r="F108" s="10" t="s">
        <v>258</v>
      </c>
      <c r="G108" s="12"/>
      <c r="H108" s="35"/>
      <c r="I108" s="35"/>
      <c r="J108" s="183"/>
      <c r="K108" s="183"/>
      <c r="L108" s="5"/>
    </row>
    <row r="109" spans="1:12" x14ac:dyDescent="0.25">
      <c r="A109" s="11" t="s">
        <v>249</v>
      </c>
      <c r="B109" s="12">
        <f>B103</f>
        <v>45000</v>
      </c>
      <c r="C109" s="13">
        <f>C105</f>
        <v>5</v>
      </c>
      <c r="D109" s="163">
        <f>E105</f>
        <v>106600</v>
      </c>
      <c r="E109" s="17">
        <f>ExBAw!E109</f>
        <v>165.75</v>
      </c>
      <c r="F109" s="7">
        <f>E109*C109</f>
        <v>828.75</v>
      </c>
      <c r="G109" s="12"/>
      <c r="H109" s="72"/>
      <c r="I109" s="72"/>
      <c r="J109" s="72"/>
      <c r="K109" s="72"/>
      <c r="L109" s="5"/>
    </row>
    <row r="110" spans="1:12" x14ac:dyDescent="0.25">
      <c r="A110" s="11" t="s">
        <v>251</v>
      </c>
      <c r="B110" s="14">
        <f>B104</f>
        <v>45000</v>
      </c>
      <c r="C110" s="75"/>
      <c r="D110" s="191">
        <f>F105</f>
        <v>541800</v>
      </c>
      <c r="E110" s="175">
        <f>ExBAw!E110</f>
        <v>5.58</v>
      </c>
      <c r="F110" s="75">
        <f t="shared" ref="F110" si="12">E110*(D110/1000)</f>
        <v>3023.2439999999997</v>
      </c>
      <c r="G110" s="12"/>
      <c r="H110" s="12"/>
      <c r="I110" s="12"/>
      <c r="L110" s="5"/>
    </row>
    <row r="111" spans="1:12" x14ac:dyDescent="0.25">
      <c r="A111" s="11"/>
      <c r="B111" s="12" t="s">
        <v>255</v>
      </c>
      <c r="C111" s="3">
        <f>SUM(C109:C110)</f>
        <v>5</v>
      </c>
      <c r="D111" s="5">
        <f>SUM(D109:D110)</f>
        <v>648400</v>
      </c>
      <c r="F111" s="7">
        <f>SUM(F109:F110)</f>
        <v>3851.9939999999997</v>
      </c>
      <c r="G111" s="66"/>
      <c r="H111" s="12"/>
      <c r="I111" s="12"/>
      <c r="L111" s="5"/>
    </row>
    <row r="112" spans="1:12" x14ac:dyDescent="0.25">
      <c r="A112" s="11"/>
      <c r="B112" s="2"/>
      <c r="C112" s="182"/>
      <c r="D112" s="192"/>
      <c r="E112" s="182"/>
      <c r="F112" s="182"/>
      <c r="G112" s="12"/>
      <c r="H112" s="12"/>
      <c r="I112" s="12"/>
      <c r="L112" s="5"/>
    </row>
    <row r="113" spans="1:12" x14ac:dyDescent="0.25">
      <c r="A113" s="11"/>
      <c r="B113" s="12"/>
      <c r="C113" s="72"/>
      <c r="D113" s="148"/>
      <c r="E113" s="184"/>
      <c r="F113" s="185"/>
      <c r="G113" s="12"/>
      <c r="L113" s="5"/>
    </row>
    <row r="114" spans="1:12" x14ac:dyDescent="0.25">
      <c r="A114" s="11"/>
      <c r="B114" s="12"/>
      <c r="D114" s="148"/>
      <c r="E114" s="184"/>
      <c r="F114" s="5"/>
      <c r="G114" s="12"/>
      <c r="L114" s="5"/>
    </row>
    <row r="115" spans="1:12" x14ac:dyDescent="0.25">
      <c r="A115" s="11"/>
      <c r="B115" s="12"/>
      <c r="D115" s="148"/>
      <c r="E115" s="184"/>
      <c r="F115" s="5"/>
      <c r="G115" s="12"/>
      <c r="L115" s="5"/>
    </row>
    <row r="116" spans="1:12" x14ac:dyDescent="0.25">
      <c r="A116" s="11"/>
      <c r="B116" s="12"/>
      <c r="D116" s="148"/>
      <c r="E116" s="184"/>
      <c r="F116" s="5"/>
      <c r="G116" s="12"/>
      <c r="L116" s="5"/>
    </row>
    <row r="117" spans="1:12" x14ac:dyDescent="0.25">
      <c r="A117" s="11"/>
      <c r="B117" s="12"/>
      <c r="D117" s="148"/>
      <c r="E117" s="184"/>
      <c r="F117" s="5"/>
      <c r="G117" s="12"/>
      <c r="L117" s="5"/>
    </row>
    <row r="118" spans="1:12" x14ac:dyDescent="0.25">
      <c r="A118" s="11"/>
      <c r="B118" s="12"/>
      <c r="D118" s="148"/>
      <c r="E118" s="184"/>
      <c r="F118" s="5"/>
      <c r="G118" s="12"/>
      <c r="L118" s="5"/>
    </row>
    <row r="119" spans="1:12" x14ac:dyDescent="0.25">
      <c r="A119" s="11"/>
      <c r="B119" s="12"/>
      <c r="C119" s="5"/>
      <c r="D119" s="5"/>
      <c r="F119" s="185"/>
      <c r="G119" s="12"/>
      <c r="H119" s="12"/>
      <c r="I119" s="12"/>
      <c r="L119" s="5"/>
    </row>
    <row r="120" spans="1:12" x14ac:dyDescent="0.25">
      <c r="A120" s="11"/>
      <c r="B120" s="12"/>
      <c r="C120" s="5"/>
      <c r="D120" s="5"/>
      <c r="F120" s="185"/>
      <c r="G120" s="12"/>
      <c r="H120" s="12"/>
      <c r="I120" s="12"/>
      <c r="L120" s="5"/>
    </row>
    <row r="121" spans="1:12" ht="15.75" x14ac:dyDescent="0.25">
      <c r="A121" s="103"/>
      <c r="D121" s="5"/>
      <c r="L121" s="5"/>
    </row>
    <row r="122" spans="1:12" x14ac:dyDescent="0.25">
      <c r="D122" s="5"/>
      <c r="E122" s="2"/>
      <c r="F122" s="2"/>
      <c r="G122" s="2"/>
      <c r="H122" s="2"/>
      <c r="L122" s="5"/>
    </row>
    <row r="123" spans="1:12" x14ac:dyDescent="0.25">
      <c r="B123" s="2"/>
      <c r="C123" s="182"/>
      <c r="D123" s="192"/>
      <c r="E123" s="182"/>
      <c r="F123" s="182"/>
      <c r="G123" s="182"/>
      <c r="H123" s="182"/>
      <c r="I123" s="2"/>
      <c r="L123" s="5"/>
    </row>
    <row r="124" spans="1:12" x14ac:dyDescent="0.25">
      <c r="A124" s="11"/>
      <c r="B124" s="12"/>
      <c r="C124" s="183"/>
      <c r="D124" s="148"/>
      <c r="E124" s="183"/>
      <c r="F124" s="183"/>
      <c r="G124" s="183"/>
      <c r="H124" s="183"/>
      <c r="I124" s="183"/>
      <c r="L124" s="5"/>
    </row>
    <row r="125" spans="1:12" x14ac:dyDescent="0.25">
      <c r="A125" s="11"/>
      <c r="B125" s="12"/>
      <c r="C125" s="183"/>
      <c r="D125" s="148"/>
      <c r="E125" s="183"/>
      <c r="F125" s="183"/>
      <c r="G125" s="183"/>
      <c r="H125" s="183"/>
      <c r="I125" s="183"/>
      <c r="L125" s="5"/>
    </row>
    <row r="126" spans="1:12" x14ac:dyDescent="0.25">
      <c r="A126" s="11"/>
      <c r="B126" s="12"/>
      <c r="C126" s="183"/>
      <c r="D126" s="148"/>
      <c r="E126" s="183"/>
      <c r="F126" s="183"/>
      <c r="G126" s="183"/>
      <c r="H126" s="183"/>
      <c r="I126" s="183"/>
      <c r="L126" s="5"/>
    </row>
    <row r="127" spans="1:12" x14ac:dyDescent="0.25">
      <c r="A127" s="11"/>
      <c r="B127" s="12"/>
      <c r="C127" s="183"/>
      <c r="D127" s="148"/>
      <c r="E127" s="183"/>
      <c r="F127" s="183"/>
      <c r="G127" s="183"/>
      <c r="H127" s="183"/>
      <c r="I127" s="183"/>
      <c r="L127" s="5"/>
    </row>
    <row r="128" spans="1:12" x14ac:dyDescent="0.25">
      <c r="A128" s="11"/>
      <c r="B128" s="12"/>
      <c r="C128" s="72"/>
      <c r="D128" s="5"/>
      <c r="E128" s="72"/>
      <c r="F128" s="72"/>
      <c r="G128" s="72"/>
      <c r="H128" s="72"/>
      <c r="I128" s="72"/>
      <c r="L128" s="5"/>
    </row>
    <row r="129" spans="1:12" x14ac:dyDescent="0.25">
      <c r="A129" s="11"/>
      <c r="B129" s="12"/>
      <c r="D129" s="5"/>
      <c r="E129" s="12"/>
      <c r="F129" s="12"/>
      <c r="G129" s="12"/>
      <c r="H129" s="12"/>
      <c r="I129" s="12"/>
      <c r="L129" s="5"/>
    </row>
    <row r="130" spans="1:12" x14ac:dyDescent="0.25">
      <c r="A130" s="16"/>
      <c r="B130" s="16"/>
      <c r="D130" s="5"/>
      <c r="E130" s="12"/>
      <c r="F130" s="12"/>
      <c r="G130" s="12"/>
      <c r="H130" s="12"/>
      <c r="I130" s="12"/>
      <c r="L130" s="5"/>
    </row>
    <row r="131" spans="1:12" x14ac:dyDescent="0.25">
      <c r="A131" s="11"/>
      <c r="B131" s="2"/>
      <c r="C131" s="182"/>
      <c r="D131" s="192"/>
      <c r="E131" s="182"/>
      <c r="F131" s="182"/>
      <c r="G131" s="12"/>
      <c r="H131" s="12"/>
      <c r="I131" s="12"/>
      <c r="L131" s="5"/>
    </row>
    <row r="132" spans="1:12" x14ac:dyDescent="0.25">
      <c r="A132" s="11"/>
      <c r="B132" s="12"/>
      <c r="C132" s="72"/>
      <c r="D132" s="148"/>
      <c r="E132" s="184"/>
      <c r="F132" s="185"/>
      <c r="G132" s="12"/>
      <c r="L132" s="5"/>
    </row>
    <row r="133" spans="1:12" x14ac:dyDescent="0.25">
      <c r="A133" s="11"/>
      <c r="B133" s="12"/>
      <c r="C133" s="72"/>
      <c r="D133" s="148"/>
      <c r="E133" s="184"/>
      <c r="F133" s="185"/>
      <c r="G133" s="12"/>
      <c r="L133" s="5"/>
    </row>
    <row r="134" spans="1:12" x14ac:dyDescent="0.25">
      <c r="A134" s="11"/>
      <c r="B134" s="12"/>
      <c r="C134" s="72"/>
      <c r="D134" s="148"/>
      <c r="E134" s="184"/>
      <c r="F134" s="185"/>
      <c r="G134" s="12"/>
      <c r="L134" s="5"/>
    </row>
    <row r="135" spans="1:12" x14ac:dyDescent="0.25">
      <c r="A135" s="11"/>
      <c r="B135" s="12"/>
      <c r="D135" s="148"/>
      <c r="E135" s="184"/>
      <c r="F135" s="5"/>
      <c r="G135" s="12"/>
      <c r="L135" s="5"/>
    </row>
    <row r="136" spans="1:12" x14ac:dyDescent="0.25">
      <c r="A136" s="11"/>
      <c r="B136" s="12"/>
      <c r="C136" s="5"/>
      <c r="D136" s="5"/>
      <c r="F136" s="185"/>
      <c r="G136" s="12"/>
      <c r="H136" s="12"/>
      <c r="I136" s="12"/>
      <c r="L136" s="5"/>
    </row>
    <row r="137" spans="1:12" x14ac:dyDescent="0.25">
      <c r="A137" s="11"/>
      <c r="B137" s="12"/>
      <c r="C137" s="19"/>
      <c r="D137" s="5"/>
      <c r="F137" s="184"/>
      <c r="G137" s="12"/>
      <c r="H137" s="12"/>
      <c r="I137" s="12"/>
      <c r="L137" s="5"/>
    </row>
    <row r="138" spans="1:12" ht="15.75" x14ac:dyDescent="0.25">
      <c r="A138" s="103"/>
      <c r="D138" s="5"/>
      <c r="L138" s="5"/>
    </row>
    <row r="139" spans="1:12" x14ac:dyDescent="0.25">
      <c r="D139" s="5"/>
      <c r="E139" s="2"/>
      <c r="F139" s="2"/>
      <c r="L139" s="5"/>
    </row>
    <row r="140" spans="1:12" x14ac:dyDescent="0.25">
      <c r="B140" s="2"/>
      <c r="C140" s="182"/>
      <c r="D140" s="192"/>
      <c r="E140" s="182"/>
      <c r="F140" s="182"/>
      <c r="G140" s="2"/>
      <c r="L140" s="5"/>
    </row>
    <row r="141" spans="1:12" x14ac:dyDescent="0.25">
      <c r="A141" s="11"/>
      <c r="B141" s="12"/>
      <c r="C141" s="183"/>
      <c r="D141" s="148"/>
      <c r="E141" s="183"/>
      <c r="F141" s="183"/>
      <c r="G141" s="183"/>
      <c r="L141" s="5"/>
    </row>
    <row r="142" spans="1:12" x14ac:dyDescent="0.25">
      <c r="A142" s="11"/>
      <c r="B142" s="12"/>
      <c r="C142" s="183"/>
      <c r="D142" s="148"/>
      <c r="E142" s="183"/>
      <c r="F142" s="183"/>
      <c r="G142" s="183"/>
      <c r="H142" s="5"/>
      <c r="I142" s="5"/>
      <c r="L142" s="5"/>
    </row>
    <row r="143" spans="1:12" x14ac:dyDescent="0.25">
      <c r="A143" s="11"/>
      <c r="B143" s="12"/>
      <c r="C143" s="5"/>
      <c r="D143" s="5"/>
      <c r="E143" s="72"/>
      <c r="F143" s="72"/>
      <c r="G143" s="72"/>
      <c r="L143" s="5"/>
    </row>
    <row r="144" spans="1:12" x14ac:dyDescent="0.25">
      <c r="A144" s="11"/>
      <c r="B144" s="12"/>
      <c r="D144" s="5"/>
      <c r="E144" s="12"/>
      <c r="F144" s="12"/>
      <c r="G144" s="12"/>
      <c r="H144" s="12"/>
      <c r="I144" s="12"/>
      <c r="L144" s="5"/>
    </row>
    <row r="145" spans="1:12" x14ac:dyDescent="0.25">
      <c r="A145" s="16"/>
      <c r="B145" s="16"/>
      <c r="D145" s="5"/>
      <c r="E145" s="12"/>
      <c r="F145" s="12"/>
      <c r="G145" s="12"/>
      <c r="H145" s="12"/>
      <c r="I145" s="12"/>
      <c r="L145" s="5"/>
    </row>
    <row r="146" spans="1:12" x14ac:dyDescent="0.25">
      <c r="A146" s="11"/>
      <c r="B146" s="2"/>
      <c r="C146" s="182"/>
      <c r="D146" s="192"/>
      <c r="E146" s="182"/>
      <c r="F146" s="182"/>
      <c r="G146" s="12"/>
      <c r="H146" s="12"/>
      <c r="I146" s="12"/>
      <c r="L146" s="5"/>
    </row>
    <row r="147" spans="1:12" x14ac:dyDescent="0.25">
      <c r="A147" s="11"/>
      <c r="B147" s="12"/>
      <c r="C147" s="72"/>
      <c r="D147" s="148"/>
      <c r="E147" s="184"/>
      <c r="F147" s="185"/>
      <c r="G147" s="12"/>
      <c r="H147" s="12"/>
      <c r="I147" s="12"/>
      <c r="L147" s="5"/>
    </row>
    <row r="148" spans="1:12" x14ac:dyDescent="0.25">
      <c r="A148" s="11"/>
      <c r="B148" s="12"/>
      <c r="C148" s="5"/>
      <c r="D148" s="148"/>
      <c r="E148" s="184"/>
      <c r="F148" s="5"/>
      <c r="G148" s="12"/>
      <c r="H148" s="12"/>
      <c r="I148" s="12"/>
      <c r="L148" s="5"/>
    </row>
    <row r="149" spans="1:12" x14ac:dyDescent="0.25">
      <c r="A149" s="11"/>
      <c r="B149" s="12"/>
      <c r="C149" s="5"/>
      <c r="D149" s="5"/>
      <c r="F149" s="185"/>
      <c r="G149" s="12"/>
      <c r="H149" s="12"/>
      <c r="I149" s="12"/>
      <c r="L149" s="5"/>
    </row>
    <row r="150" spans="1:12" x14ac:dyDescent="0.25">
      <c r="D150" s="5"/>
      <c r="L150" s="5"/>
    </row>
    <row r="151" spans="1:12" x14ac:dyDescent="0.25">
      <c r="D151" s="5"/>
      <c r="L151" s="5"/>
    </row>
    <row r="152" spans="1:12" x14ac:dyDescent="0.25">
      <c r="D152" s="5"/>
      <c r="L152" s="5"/>
    </row>
    <row r="153" spans="1:12" x14ac:dyDescent="0.25">
      <c r="D153" s="5"/>
      <c r="L153" s="5"/>
    </row>
    <row r="154" spans="1:12" x14ac:dyDescent="0.25">
      <c r="D154" s="5"/>
      <c r="L154" s="5"/>
    </row>
  </sheetData>
  <mergeCells count="2">
    <mergeCell ref="A2:I2"/>
    <mergeCell ref="A1:I1"/>
  </mergeCells>
  <printOptions horizontalCentered="1"/>
  <pageMargins left="0.85" right="0.6" top="1" bottom="1" header="0.3" footer="0.3"/>
  <pageSetup scale="70" fitToHeight="0" orientation="portrait" horizontalDpi="4294967293" r:id="rId1"/>
  <ignoredErrors>
    <ignoredError sqref="G1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30"/>
  <sheetViews>
    <sheetView showGridLines="0" workbookViewId="0">
      <selection sqref="A1:G26"/>
    </sheetView>
  </sheetViews>
  <sheetFormatPr defaultRowHeight="15" x14ac:dyDescent="0.2"/>
  <cols>
    <col min="1" max="1" width="8.44140625" customWidth="1"/>
    <col min="2" max="2" width="8.6640625" customWidth="1"/>
    <col min="3" max="3" width="8" customWidth="1"/>
    <col min="4" max="4" width="11.5546875" customWidth="1"/>
    <col min="5" max="5" width="9.77734375" customWidth="1"/>
    <col min="6" max="6" width="10.33203125" customWidth="1"/>
    <col min="7" max="7" width="9.77734375" customWidth="1"/>
    <col min="8" max="8" width="10.109375" customWidth="1"/>
    <col min="9" max="9" width="11" customWidth="1"/>
  </cols>
  <sheetData>
    <row r="1" spans="1:16" ht="18.75" x14ac:dyDescent="0.3">
      <c r="A1" s="352" t="s">
        <v>303</v>
      </c>
      <c r="B1" s="352"/>
      <c r="C1" s="352"/>
      <c r="D1" s="352"/>
      <c r="E1" s="352"/>
      <c r="F1" s="352"/>
      <c r="G1" s="352"/>
      <c r="H1" s="151"/>
      <c r="I1" s="161"/>
      <c r="J1" s="3"/>
      <c r="K1" s="3"/>
      <c r="L1" s="3"/>
      <c r="M1" s="3"/>
      <c r="N1" s="3"/>
      <c r="O1" s="3"/>
      <c r="P1" s="3"/>
    </row>
    <row r="2" spans="1:16" ht="18.75" x14ac:dyDescent="0.25">
      <c r="A2" s="341" t="s">
        <v>306</v>
      </c>
      <c r="B2" s="341"/>
      <c r="C2" s="341"/>
      <c r="D2" s="341"/>
      <c r="E2" s="341"/>
      <c r="F2" s="341"/>
      <c r="G2" s="341"/>
      <c r="H2" s="104"/>
      <c r="I2" s="154"/>
      <c r="J2" s="3"/>
      <c r="K2" s="3"/>
      <c r="L2" s="3"/>
      <c r="M2" s="3"/>
      <c r="N2" s="3"/>
      <c r="O2" s="3"/>
      <c r="P2" s="3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</row>
    <row r="4" spans="1:16" ht="15.75" x14ac:dyDescent="0.25">
      <c r="A4" s="1"/>
      <c r="B4" s="73" t="s">
        <v>233</v>
      </c>
      <c r="C4" s="1"/>
      <c r="D4" s="1"/>
      <c r="E4" s="1"/>
      <c r="F4" s="1"/>
      <c r="H4" s="1"/>
      <c r="I4" s="3"/>
      <c r="J4" s="3"/>
      <c r="K4" s="3"/>
      <c r="L4" s="3"/>
      <c r="M4" s="3"/>
      <c r="N4" s="3"/>
      <c r="O4" s="3"/>
      <c r="P4" s="3"/>
    </row>
    <row r="5" spans="1:16" ht="15.75" x14ac:dyDescent="0.25">
      <c r="A5" s="1"/>
      <c r="B5" s="108"/>
      <c r="C5" s="18"/>
      <c r="D5" s="9" t="s">
        <v>234</v>
      </c>
      <c r="E5" s="9" t="s">
        <v>235</v>
      </c>
      <c r="F5" s="9" t="s">
        <v>236</v>
      </c>
      <c r="H5" s="2"/>
      <c r="I5" s="3"/>
      <c r="J5" s="3"/>
      <c r="K5" s="3"/>
      <c r="L5" s="3"/>
      <c r="M5" s="3"/>
      <c r="N5" s="3"/>
      <c r="O5" s="3"/>
      <c r="P5" s="3"/>
    </row>
    <row r="6" spans="1:16" ht="15.75" x14ac:dyDescent="0.25">
      <c r="A6" s="1"/>
      <c r="B6" s="1" t="s">
        <v>266</v>
      </c>
      <c r="C6" s="1"/>
      <c r="D6" s="3">
        <f>C19</f>
        <v>818</v>
      </c>
      <c r="E6" s="64">
        <f>D19</f>
        <v>3217300</v>
      </c>
      <c r="F6" s="194">
        <f>F25</f>
        <v>61735.844000000005</v>
      </c>
      <c r="H6" s="66"/>
      <c r="I6" s="3"/>
      <c r="J6" s="3"/>
      <c r="K6" s="3"/>
      <c r="L6" s="3"/>
      <c r="M6" s="3"/>
      <c r="N6" s="3"/>
      <c r="O6" s="3"/>
      <c r="P6" s="3"/>
    </row>
    <row r="7" spans="1:16" ht="15.75" x14ac:dyDescent="0.25">
      <c r="A7" s="1"/>
      <c r="B7" s="1"/>
      <c r="C7" s="1"/>
      <c r="D7" s="1"/>
      <c r="E7" s="106" t="s">
        <v>102</v>
      </c>
      <c r="F7" s="69">
        <f>F6</f>
        <v>61735.844000000005</v>
      </c>
      <c r="H7" s="69"/>
      <c r="I7" s="163"/>
      <c r="J7" s="3"/>
      <c r="K7" s="3"/>
      <c r="L7" s="3"/>
      <c r="M7" s="3"/>
      <c r="N7" s="3"/>
      <c r="O7" s="3"/>
      <c r="P7" s="3"/>
    </row>
    <row r="8" spans="1:16" ht="15.75" x14ac:dyDescent="0.25">
      <c r="A8" s="1"/>
      <c r="B8" s="1"/>
      <c r="C8" s="1"/>
      <c r="D8" s="1"/>
      <c r="E8" s="106" t="s">
        <v>244</v>
      </c>
      <c r="F8" s="193">
        <v>0</v>
      </c>
      <c r="H8" s="69"/>
      <c r="I8" s="163"/>
      <c r="J8" s="3"/>
      <c r="K8" s="3"/>
      <c r="L8" s="3"/>
      <c r="M8" s="3"/>
      <c r="N8" s="3"/>
      <c r="O8" s="3"/>
      <c r="P8" s="3"/>
    </row>
    <row r="9" spans="1:16" ht="15.75" x14ac:dyDescent="0.25">
      <c r="A9" s="1"/>
      <c r="B9" s="1"/>
      <c r="C9" s="1"/>
      <c r="D9" s="1"/>
      <c r="E9" s="106" t="s">
        <v>245</v>
      </c>
      <c r="F9" s="69">
        <f>F7+F8</f>
        <v>61735.844000000005</v>
      </c>
      <c r="H9" s="69"/>
      <c r="I9" s="163"/>
      <c r="J9" s="3"/>
      <c r="K9" s="3"/>
      <c r="L9" s="3"/>
      <c r="M9" s="3"/>
      <c r="N9" s="3"/>
      <c r="O9" s="3"/>
      <c r="P9" s="3"/>
    </row>
    <row r="10" spans="1:16" ht="15.75" x14ac:dyDescent="0.25">
      <c r="A10" s="1"/>
      <c r="B10" s="1"/>
      <c r="C10" s="1"/>
      <c r="D10" s="1"/>
      <c r="E10" s="106" t="s">
        <v>304</v>
      </c>
      <c r="F10" s="193">
        <f>-SAOs!H47</f>
        <v>-61712.255083834083</v>
      </c>
      <c r="H10" s="69"/>
      <c r="I10" s="163"/>
      <c r="J10" s="3"/>
      <c r="K10" s="3"/>
      <c r="L10" s="3"/>
      <c r="M10" s="3"/>
      <c r="N10" s="3"/>
      <c r="O10" s="3"/>
      <c r="P10" s="3"/>
    </row>
    <row r="11" spans="1:16" ht="15.75" x14ac:dyDescent="0.25">
      <c r="A11" s="1"/>
      <c r="B11" s="1"/>
      <c r="C11" s="1"/>
      <c r="D11" s="1"/>
      <c r="E11" s="106" t="s">
        <v>307</v>
      </c>
      <c r="F11" s="69">
        <f>F9+F10</f>
        <v>23.588916165921546</v>
      </c>
      <c r="G11" s="176">
        <f>F11/F10</f>
        <v>-3.8224038538012869E-4</v>
      </c>
      <c r="H11" s="69"/>
      <c r="I11" s="163"/>
      <c r="J11" s="3"/>
      <c r="K11" s="3"/>
      <c r="L11" s="3"/>
      <c r="M11" s="3"/>
      <c r="N11" s="3"/>
      <c r="O11" s="3"/>
      <c r="P11" s="3"/>
    </row>
    <row r="12" spans="1:16" ht="15.75" x14ac:dyDescent="0.25">
      <c r="A12" s="1"/>
      <c r="B12" s="1"/>
      <c r="C12" s="1"/>
      <c r="D12" s="1"/>
      <c r="E12" s="152"/>
      <c r="F12" s="69"/>
      <c r="H12" s="69"/>
      <c r="I12" s="163"/>
      <c r="J12" s="3"/>
      <c r="K12" s="3"/>
      <c r="L12" s="3"/>
      <c r="M12" s="3"/>
      <c r="N12" s="3"/>
      <c r="O12" s="3"/>
      <c r="P12" s="3"/>
    </row>
    <row r="13" spans="1:16" ht="15.75" x14ac:dyDescent="0.25">
      <c r="A13" s="1"/>
      <c r="B13" s="1"/>
      <c r="C13" s="1"/>
      <c r="D13" s="1"/>
      <c r="E13" s="1"/>
      <c r="F13" s="69"/>
      <c r="G13" s="69"/>
      <c r="H13" s="1"/>
      <c r="I13" s="3"/>
      <c r="J13" s="3"/>
      <c r="K13" s="3"/>
      <c r="L13" s="3"/>
      <c r="M13" s="3"/>
      <c r="N13" s="3"/>
      <c r="O13" s="3"/>
      <c r="P13" s="3"/>
    </row>
    <row r="14" spans="1:16" ht="15.75" x14ac:dyDescent="0.25">
      <c r="A14" s="103" t="s">
        <v>267</v>
      </c>
      <c r="B14" s="1"/>
      <c r="C14" s="1"/>
      <c r="D14" s="1"/>
      <c r="E14" s="1"/>
      <c r="F14" s="1"/>
      <c r="G14" s="1"/>
      <c r="H14" s="1"/>
      <c r="I14" s="3"/>
      <c r="J14" s="3"/>
      <c r="K14" s="3"/>
      <c r="L14" s="3"/>
      <c r="M14" s="3"/>
      <c r="N14" s="3"/>
      <c r="O14" s="3"/>
      <c r="P14" s="3"/>
    </row>
    <row r="15" spans="1:16" ht="15.75" x14ac:dyDescent="0.25">
      <c r="A15" s="1"/>
      <c r="B15" s="1"/>
      <c r="C15" s="1"/>
      <c r="D15" s="1"/>
      <c r="E15" s="2" t="s">
        <v>249</v>
      </c>
      <c r="F15" s="2" t="s">
        <v>251</v>
      </c>
      <c r="G15" s="1"/>
      <c r="I15" s="3"/>
      <c r="J15" s="3"/>
      <c r="K15" s="3"/>
      <c r="L15" s="3"/>
      <c r="M15" s="3"/>
      <c r="N15" s="3"/>
      <c r="O15" s="3"/>
      <c r="P15" s="3"/>
    </row>
    <row r="16" spans="1:16" ht="15.75" x14ac:dyDescent="0.25">
      <c r="A16" s="1"/>
      <c r="B16" s="9" t="s">
        <v>252</v>
      </c>
      <c r="C16" s="10" t="s">
        <v>253</v>
      </c>
      <c r="D16" s="10" t="s">
        <v>254</v>
      </c>
      <c r="E16" s="10">
        <f>B17</f>
        <v>2000</v>
      </c>
      <c r="F16" s="10">
        <f>B18</f>
        <v>2000</v>
      </c>
      <c r="G16" s="9" t="s">
        <v>255</v>
      </c>
      <c r="I16" s="3"/>
      <c r="J16" s="3"/>
      <c r="K16" s="3"/>
      <c r="L16" s="3"/>
      <c r="M16" s="3"/>
      <c r="N16" s="3"/>
      <c r="O16" s="3"/>
      <c r="P16" s="3"/>
    </row>
    <row r="17" spans="1:16" ht="15.75" x14ac:dyDescent="0.25">
      <c r="A17" s="11" t="s">
        <v>249</v>
      </c>
      <c r="B17" s="12">
        <v>2000</v>
      </c>
      <c r="C17" s="70">
        <f>ExBAs!C17</f>
        <v>525</v>
      </c>
      <c r="D17" s="70">
        <f>ExBAs!D17</f>
        <v>353700</v>
      </c>
      <c r="E17" s="70">
        <f>D17</f>
        <v>353700</v>
      </c>
      <c r="F17" s="70">
        <v>0</v>
      </c>
      <c r="G17" s="70">
        <f>SUM(E17:F17)</f>
        <v>353700</v>
      </c>
      <c r="I17" s="3"/>
      <c r="J17" s="3"/>
      <c r="K17" s="3"/>
      <c r="L17" s="3"/>
      <c r="M17" s="3"/>
      <c r="N17" s="3"/>
      <c r="O17" s="3"/>
      <c r="P17" s="3"/>
    </row>
    <row r="18" spans="1:16" ht="15.75" x14ac:dyDescent="0.25">
      <c r="A18" s="11" t="s">
        <v>251</v>
      </c>
      <c r="B18" s="14">
        <v>2000</v>
      </c>
      <c r="C18" s="71">
        <f>ExBAs!C18</f>
        <v>293</v>
      </c>
      <c r="D18" s="71">
        <f>ExBAs!D18</f>
        <v>2863600</v>
      </c>
      <c r="E18" s="71">
        <f>C18*E$16</f>
        <v>586000</v>
      </c>
      <c r="F18" s="71">
        <f>D18-E18</f>
        <v>2277600</v>
      </c>
      <c r="G18" s="71">
        <f>SUM(E18:F18)</f>
        <v>2863600</v>
      </c>
      <c r="I18" s="3"/>
      <c r="J18" s="3"/>
      <c r="K18" s="3"/>
      <c r="L18" s="3"/>
      <c r="M18" s="3"/>
      <c r="N18" s="3"/>
      <c r="O18" s="3"/>
      <c r="P18" s="3"/>
    </row>
    <row r="19" spans="1:16" ht="15.75" x14ac:dyDescent="0.25">
      <c r="A19" s="11"/>
      <c r="B19" s="12"/>
      <c r="C19" s="72">
        <f>SUM(C17:C18)</f>
        <v>818</v>
      </c>
      <c r="D19" s="72">
        <f>SUM(D17:D18)</f>
        <v>3217300</v>
      </c>
      <c r="E19" s="72">
        <f>SUM(E17:E18)</f>
        <v>939700</v>
      </c>
      <c r="F19" s="72">
        <f>SUM(F17:F18)</f>
        <v>2277600</v>
      </c>
      <c r="G19" s="72">
        <f>SUM(G17:G18)</f>
        <v>3217300</v>
      </c>
      <c r="I19" s="3"/>
      <c r="J19" s="3"/>
      <c r="K19" s="3"/>
      <c r="L19" s="3"/>
      <c r="M19" s="3"/>
      <c r="N19" s="3"/>
      <c r="O19" s="3"/>
      <c r="P19" s="3"/>
    </row>
    <row r="20" spans="1:16" ht="15.75" x14ac:dyDescent="0.25">
      <c r="A20" s="11"/>
      <c r="B20" s="12"/>
      <c r="C20" s="1"/>
      <c r="D20" s="12"/>
      <c r="E20" s="12"/>
      <c r="F20" s="12"/>
      <c r="G20" s="12"/>
      <c r="H20" s="12"/>
      <c r="I20" s="3"/>
      <c r="J20" s="3"/>
      <c r="K20" s="3"/>
      <c r="L20" s="3"/>
      <c r="M20" s="3"/>
      <c r="N20" s="3"/>
      <c r="O20" s="3"/>
      <c r="P20" s="3"/>
    </row>
    <row r="21" spans="1:16" ht="15.75" x14ac:dyDescent="0.25">
      <c r="A21" s="16" t="s">
        <v>256</v>
      </c>
      <c r="B21" s="16"/>
      <c r="C21" s="1"/>
      <c r="D21" s="12"/>
      <c r="E21" s="12"/>
      <c r="F21" s="12"/>
      <c r="G21" s="12"/>
      <c r="H21" s="12"/>
      <c r="I21" s="3"/>
      <c r="J21" s="3"/>
      <c r="K21" s="3"/>
      <c r="L21" s="3"/>
      <c r="M21" s="3"/>
      <c r="N21" s="3"/>
      <c r="O21" s="3"/>
      <c r="P21" s="3"/>
    </row>
    <row r="22" spans="1:16" ht="15.75" x14ac:dyDescent="0.25">
      <c r="A22" s="11"/>
      <c r="B22" s="9"/>
      <c r="C22" s="10" t="s">
        <v>253</v>
      </c>
      <c r="D22" s="9" t="s">
        <v>254</v>
      </c>
      <c r="E22" s="10" t="s">
        <v>257</v>
      </c>
      <c r="F22" s="10" t="s">
        <v>258</v>
      </c>
      <c r="G22" s="12"/>
      <c r="H22" s="12"/>
      <c r="I22" s="3"/>
      <c r="J22" s="3"/>
      <c r="K22" s="3"/>
      <c r="L22" s="3"/>
      <c r="M22" s="3"/>
      <c r="N22" s="3"/>
      <c r="O22" s="3"/>
      <c r="P22" s="3"/>
    </row>
    <row r="23" spans="1:16" ht="15.75" x14ac:dyDescent="0.25">
      <c r="A23" s="11" t="s">
        <v>249</v>
      </c>
      <c r="B23" s="12">
        <f>B17</f>
        <v>2000</v>
      </c>
      <c r="C23" s="13">
        <f>C19</f>
        <v>818</v>
      </c>
      <c r="D23" s="70">
        <f>E19</f>
        <v>939700</v>
      </c>
      <c r="E23" s="17">
        <f>RatesS!L13</f>
        <v>38.050000000000004</v>
      </c>
      <c r="F23" s="7">
        <f>E23*C23</f>
        <v>31124.900000000005</v>
      </c>
      <c r="G23" s="12"/>
      <c r="H23" s="1"/>
      <c r="I23" s="3"/>
      <c r="J23" s="3"/>
      <c r="K23" s="3"/>
      <c r="L23" s="3"/>
      <c r="M23" s="3"/>
      <c r="N23" s="3"/>
      <c r="O23" s="3"/>
      <c r="P23" s="3"/>
    </row>
    <row r="24" spans="1:16" ht="15.75" x14ac:dyDescent="0.25">
      <c r="A24" s="11" t="s">
        <v>251</v>
      </c>
      <c r="B24" s="14">
        <f>B18</f>
        <v>2000</v>
      </c>
      <c r="C24" s="18"/>
      <c r="D24" s="71">
        <f>F19</f>
        <v>2277600</v>
      </c>
      <c r="E24" s="312">
        <f>RatesS!L14</f>
        <v>13.44</v>
      </c>
      <c r="F24" s="75">
        <f>(E24*D24)/1000</f>
        <v>30610.944</v>
      </c>
      <c r="G24" s="12"/>
      <c r="H24" s="1"/>
      <c r="I24" s="3"/>
      <c r="J24" s="3"/>
      <c r="K24" s="3"/>
      <c r="L24" s="3"/>
      <c r="M24" s="3"/>
      <c r="N24" s="3"/>
      <c r="O24" s="3"/>
      <c r="P24" s="3"/>
    </row>
    <row r="25" spans="1:16" ht="15.75" x14ac:dyDescent="0.25">
      <c r="A25" s="11"/>
      <c r="B25" s="12" t="s">
        <v>255</v>
      </c>
      <c r="C25" s="3">
        <f>SUM(C23:C24)</f>
        <v>818</v>
      </c>
      <c r="D25" s="72">
        <f>SUM(D23:D24)</f>
        <v>3217300</v>
      </c>
      <c r="E25" s="1"/>
      <c r="F25" s="7">
        <f>SUM(F23:F24)</f>
        <v>61735.844000000005</v>
      </c>
      <c r="G25" s="12"/>
      <c r="H25" s="12"/>
      <c r="I25" s="3"/>
      <c r="J25" s="3"/>
      <c r="K25" s="3"/>
      <c r="L25" s="3"/>
      <c r="M25" s="3"/>
      <c r="N25" s="3"/>
      <c r="O25" s="3"/>
      <c r="P25" s="3"/>
    </row>
    <row r="26" spans="1:16" ht="15.75" x14ac:dyDescent="0.25">
      <c r="I26" s="3"/>
      <c r="J26" s="3"/>
      <c r="K26" s="3"/>
      <c r="L26" s="3"/>
      <c r="M26" s="3"/>
      <c r="N26" s="3"/>
      <c r="O26" s="3"/>
      <c r="P26" s="3"/>
    </row>
    <row r="27" spans="1:16" ht="15.75" x14ac:dyDescent="0.25">
      <c r="I27" s="3"/>
      <c r="J27" s="3"/>
      <c r="K27" s="3"/>
      <c r="L27" s="3"/>
      <c r="M27" s="3"/>
      <c r="N27" s="3"/>
      <c r="O27" s="3"/>
      <c r="P27" s="3"/>
    </row>
    <row r="28" spans="1:16" ht="15.75" x14ac:dyDescent="0.25">
      <c r="I28" s="3"/>
      <c r="J28" s="3"/>
      <c r="K28" s="3"/>
      <c r="L28" s="3"/>
      <c r="M28" s="3"/>
      <c r="N28" s="3"/>
      <c r="O28" s="3"/>
      <c r="P28" s="3"/>
    </row>
    <row r="29" spans="1:16" ht="15.75" x14ac:dyDescent="0.25">
      <c r="I29" s="3"/>
      <c r="J29" s="3"/>
      <c r="K29" s="3"/>
      <c r="L29" s="3"/>
      <c r="M29" s="3"/>
      <c r="N29" s="3"/>
      <c r="O29" s="3"/>
      <c r="P29" s="3"/>
    </row>
    <row r="30" spans="1:16" x14ac:dyDescent="0.2">
      <c r="I30" s="162"/>
      <c r="J30" s="162"/>
      <c r="K30" s="162"/>
      <c r="L30" s="162"/>
      <c r="M30" s="162"/>
      <c r="N30" s="162"/>
      <c r="O30" s="162"/>
      <c r="P30" s="162"/>
    </row>
  </sheetData>
  <mergeCells count="2">
    <mergeCell ref="A1:G1"/>
    <mergeCell ref="A2:G2"/>
  </mergeCells>
  <printOptions horizontalCentered="1"/>
  <pageMargins left="0.85" right="0.7" top="1.2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1"/>
  <sheetViews>
    <sheetView showGridLines="0" workbookViewId="0">
      <selection activeCell="A5" sqref="A5:D39"/>
    </sheetView>
  </sheetViews>
  <sheetFormatPr defaultColWidth="8.77734375" defaultRowHeight="15" x14ac:dyDescent="0.25"/>
  <cols>
    <col min="1" max="1" width="3.6640625" style="3" customWidth="1"/>
    <col min="2" max="2" width="2.6640625" style="3" customWidth="1"/>
    <col min="3" max="3" width="33.33203125" style="3" customWidth="1"/>
    <col min="4" max="4" width="9.77734375" style="3" customWidth="1"/>
    <col min="5" max="5" width="1.77734375" style="3" customWidth="1"/>
    <col min="6" max="6" width="10.21875" style="3" customWidth="1"/>
    <col min="7" max="7" width="4.88671875" style="121" customWidth="1"/>
    <col min="8" max="8" width="9.77734375" style="3" customWidth="1"/>
    <col min="9" max="9" width="4" style="3" customWidth="1"/>
    <col min="10" max="13" width="8.77734375" style="3"/>
    <col min="14" max="14" width="5.44140625" style="3" customWidth="1"/>
    <col min="15" max="16384" width="8.77734375" style="3"/>
  </cols>
  <sheetData>
    <row r="1" spans="1:10" ht="18.75" x14ac:dyDescent="0.25">
      <c r="A1" s="342" t="s">
        <v>0</v>
      </c>
      <c r="B1" s="342"/>
      <c r="C1" s="342"/>
      <c r="D1" s="342"/>
      <c r="E1" s="342"/>
      <c r="F1" s="342"/>
      <c r="G1" s="342"/>
      <c r="H1" s="342"/>
    </row>
    <row r="2" spans="1:10" ht="18.75" x14ac:dyDescent="0.25">
      <c r="A2" s="342" t="s">
        <v>1</v>
      </c>
      <c r="B2" s="342"/>
      <c r="C2" s="342"/>
      <c r="D2" s="342"/>
      <c r="E2" s="342"/>
      <c r="F2" s="342"/>
      <c r="G2" s="342"/>
      <c r="H2" s="342"/>
    </row>
    <row r="3" spans="1:10" ht="18.75" x14ac:dyDescent="0.25">
      <c r="A3" s="342" t="s">
        <v>55</v>
      </c>
      <c r="B3" s="342"/>
      <c r="C3" s="342"/>
      <c r="D3" s="342"/>
      <c r="E3" s="342"/>
      <c r="F3" s="342"/>
      <c r="G3" s="342"/>
      <c r="H3" s="342"/>
    </row>
    <row r="5" spans="1:10" x14ac:dyDescent="0.25">
      <c r="D5" s="124" t="s">
        <v>56</v>
      </c>
      <c r="E5" s="124"/>
      <c r="F5" s="124" t="s">
        <v>5</v>
      </c>
      <c r="G5" s="254" t="s">
        <v>6</v>
      </c>
      <c r="H5" s="124" t="s">
        <v>3</v>
      </c>
    </row>
    <row r="6" spans="1:10" x14ac:dyDescent="0.25">
      <c r="A6" s="125" t="s">
        <v>7</v>
      </c>
      <c r="B6" s="26"/>
      <c r="C6" s="26"/>
    </row>
    <row r="7" spans="1:10" x14ac:dyDescent="0.25">
      <c r="A7" s="26"/>
      <c r="B7" s="26" t="s">
        <v>57</v>
      </c>
      <c r="C7" s="26"/>
      <c r="D7" s="66">
        <v>23463</v>
      </c>
      <c r="F7" s="3">
        <f>ExBAs!F11</f>
        <v>878.27999999999884</v>
      </c>
      <c r="G7" s="121" t="s">
        <v>9</v>
      </c>
      <c r="H7" s="66">
        <f>D7+F7</f>
        <v>24341.279999999999</v>
      </c>
      <c r="I7" s="32"/>
      <c r="J7" s="260"/>
    </row>
    <row r="8" spans="1:10" x14ac:dyDescent="0.25">
      <c r="A8" s="26"/>
      <c r="B8" s="26" t="s">
        <v>58</v>
      </c>
      <c r="C8" s="26"/>
      <c r="F8" s="269"/>
      <c r="I8" s="32"/>
      <c r="J8" s="258"/>
    </row>
    <row r="9" spans="1:10" x14ac:dyDescent="0.25">
      <c r="A9" s="26"/>
      <c r="C9" s="26"/>
      <c r="D9" s="5"/>
      <c r="E9" s="5"/>
      <c r="F9" s="269"/>
      <c r="G9" s="192"/>
      <c r="H9" s="5">
        <f>D8+F8+F9</f>
        <v>0</v>
      </c>
      <c r="I9" s="32"/>
      <c r="J9" s="258"/>
    </row>
    <row r="10" spans="1:10" ht="17.25" x14ac:dyDescent="0.4">
      <c r="A10" s="26"/>
      <c r="B10" s="3" t="s">
        <v>12</v>
      </c>
      <c r="C10" s="26"/>
      <c r="D10" s="298"/>
      <c r="E10" s="270"/>
      <c r="F10" s="299"/>
      <c r="G10" s="192"/>
      <c r="H10" s="75">
        <f>D10+F10</f>
        <v>0</v>
      </c>
      <c r="I10" s="32"/>
      <c r="J10" s="258"/>
    </row>
    <row r="11" spans="1:10" x14ac:dyDescent="0.25">
      <c r="A11" s="126" t="s">
        <v>15</v>
      </c>
      <c r="B11" s="26"/>
      <c r="C11" s="26"/>
      <c r="D11" s="3">
        <f>SUM(D7:D10)</f>
        <v>23463</v>
      </c>
      <c r="F11" s="3">
        <f>SUM(F7:F10)</f>
        <v>878.27999999999884</v>
      </c>
      <c r="H11" s="3">
        <f>SUM(H7:H10)</f>
        <v>24341.279999999999</v>
      </c>
    </row>
    <row r="12" spans="1:10" x14ac:dyDescent="0.25">
      <c r="A12" s="26"/>
      <c r="B12" s="26"/>
      <c r="C12" s="26"/>
    </row>
    <row r="13" spans="1:10" x14ac:dyDescent="0.25">
      <c r="A13" s="125" t="s">
        <v>16</v>
      </c>
      <c r="B13" s="26"/>
      <c r="C13" s="26"/>
    </row>
    <row r="14" spans="1:10" x14ac:dyDescent="0.25">
      <c r="A14" s="26"/>
      <c r="B14" s="26" t="s">
        <v>59</v>
      </c>
      <c r="C14" s="26"/>
    </row>
    <row r="15" spans="1:10" x14ac:dyDescent="0.25">
      <c r="A15" s="26"/>
      <c r="B15" s="26"/>
      <c r="C15" s="3" t="s">
        <v>60</v>
      </c>
      <c r="H15" s="3">
        <f t="shared" ref="H15:H32" si="0">D15+F15</f>
        <v>0</v>
      </c>
      <c r="I15" s="32"/>
    </row>
    <row r="16" spans="1:10" x14ac:dyDescent="0.25">
      <c r="A16" s="26"/>
      <c r="B16" s="26"/>
      <c r="C16" s="26" t="s">
        <v>61</v>
      </c>
      <c r="H16" s="3">
        <f t="shared" si="0"/>
        <v>0</v>
      </c>
      <c r="I16" s="32"/>
    </row>
    <row r="17" spans="1:14" x14ac:dyDescent="0.25">
      <c r="A17" s="26"/>
      <c r="B17" s="26" t="s">
        <v>62</v>
      </c>
      <c r="C17" s="26"/>
    </row>
    <row r="18" spans="1:14" x14ac:dyDescent="0.25">
      <c r="A18" s="26"/>
      <c r="B18" s="26"/>
      <c r="C18" s="26" t="s">
        <v>63</v>
      </c>
      <c r="H18" s="3">
        <f t="shared" ref="H18" si="1">D18+F18</f>
        <v>0</v>
      </c>
    </row>
    <row r="19" spans="1:14" x14ac:dyDescent="0.25">
      <c r="A19" s="26"/>
      <c r="B19" s="26" t="s">
        <v>64</v>
      </c>
      <c r="C19" s="26"/>
    </row>
    <row r="20" spans="1:14" x14ac:dyDescent="0.25">
      <c r="A20" s="26"/>
      <c r="B20" s="26"/>
      <c r="C20" s="26" t="s">
        <v>65</v>
      </c>
      <c r="D20" s="3">
        <v>27139</v>
      </c>
      <c r="H20" s="3">
        <f>SUM(D20:F20)</f>
        <v>27139</v>
      </c>
    </row>
    <row r="21" spans="1:14" x14ac:dyDescent="0.25">
      <c r="A21" s="26"/>
      <c r="B21" s="26" t="s">
        <v>66</v>
      </c>
    </row>
    <row r="22" spans="1:14" x14ac:dyDescent="0.25">
      <c r="A22" s="26"/>
      <c r="B22" s="26"/>
      <c r="C22" s="26" t="s">
        <v>12</v>
      </c>
    </row>
    <row r="23" spans="1:14" x14ac:dyDescent="0.25">
      <c r="A23" s="26"/>
      <c r="B23" s="26"/>
      <c r="C23" s="26" t="s">
        <v>67</v>
      </c>
      <c r="H23" s="3">
        <f t="shared" si="0"/>
        <v>0</v>
      </c>
    </row>
    <row r="24" spans="1:14" x14ac:dyDescent="0.25">
      <c r="A24" s="26"/>
      <c r="B24" s="26"/>
      <c r="C24" s="26" t="s">
        <v>68</v>
      </c>
      <c r="H24" s="3">
        <f t="shared" si="0"/>
        <v>0</v>
      </c>
    </row>
    <row r="25" spans="1:14" x14ac:dyDescent="0.25">
      <c r="A25" s="26"/>
      <c r="B25" s="26" t="s">
        <v>69</v>
      </c>
      <c r="C25" s="26"/>
      <c r="N25" s="32"/>
    </row>
    <row r="26" spans="1:14" x14ac:dyDescent="0.25">
      <c r="A26" s="26"/>
      <c r="B26" s="26"/>
      <c r="C26" s="26" t="s">
        <v>70</v>
      </c>
      <c r="F26" s="3">
        <f>Allocations!H25+Allocations!H26</f>
        <v>6738.9063027233469</v>
      </c>
      <c r="G26" s="121" t="s">
        <v>20</v>
      </c>
      <c r="H26" s="3">
        <f t="shared" si="0"/>
        <v>6738.9063027233469</v>
      </c>
      <c r="J26" s="26"/>
      <c r="N26" s="32"/>
    </row>
    <row r="27" spans="1:14" x14ac:dyDescent="0.25">
      <c r="A27" s="26"/>
      <c r="B27" s="26"/>
      <c r="C27" s="26" t="s">
        <v>71</v>
      </c>
      <c r="H27" s="3">
        <f t="shared" si="0"/>
        <v>0</v>
      </c>
      <c r="I27" s="32"/>
      <c r="N27" s="32"/>
    </row>
    <row r="28" spans="1:14" x14ac:dyDescent="0.25">
      <c r="A28" s="26"/>
      <c r="B28" s="26"/>
      <c r="C28" s="26" t="s">
        <v>72</v>
      </c>
      <c r="H28" s="3">
        <f t="shared" si="0"/>
        <v>0</v>
      </c>
      <c r="N28" s="32"/>
    </row>
    <row r="29" spans="1:14" x14ac:dyDescent="0.25">
      <c r="A29" s="26"/>
      <c r="B29" s="26"/>
      <c r="C29" s="26" t="s">
        <v>73</v>
      </c>
      <c r="F29" s="3">
        <f>Allocations!H29</f>
        <v>1028.8090335436732</v>
      </c>
      <c r="G29" s="121" t="str">
        <f>G26</f>
        <v>(D)</v>
      </c>
      <c r="H29" s="3">
        <f t="shared" si="0"/>
        <v>1028.8090335436732</v>
      </c>
      <c r="N29" s="32"/>
    </row>
    <row r="30" spans="1:14" ht="17.25" x14ac:dyDescent="0.4">
      <c r="A30" s="26"/>
      <c r="B30" s="26"/>
      <c r="C30" s="26" t="s">
        <v>22</v>
      </c>
      <c r="F30" s="3">
        <f>Allocations!H27</f>
        <v>2405.0488209897044</v>
      </c>
      <c r="G30" s="121" t="str">
        <f>G26</f>
        <v>(D)</v>
      </c>
      <c r="I30" s="32"/>
      <c r="J30" s="26"/>
      <c r="M30" s="61"/>
      <c r="N30" s="32"/>
    </row>
    <row r="31" spans="1:14" ht="17.25" x14ac:dyDescent="0.4">
      <c r="A31" s="26"/>
      <c r="B31" s="26"/>
      <c r="C31" s="26"/>
      <c r="H31" s="3">
        <f>D30+F30+F31</f>
        <v>2405.0488209897044</v>
      </c>
      <c r="I31" s="32"/>
      <c r="J31" s="26"/>
      <c r="M31" s="61"/>
      <c r="N31" s="32"/>
    </row>
    <row r="32" spans="1:14" x14ac:dyDescent="0.25">
      <c r="A32" s="26"/>
      <c r="B32" s="26"/>
      <c r="C32" s="26" t="s">
        <v>74</v>
      </c>
      <c r="H32" s="3">
        <f t="shared" si="0"/>
        <v>0</v>
      </c>
    </row>
    <row r="33" spans="1:22" x14ac:dyDescent="0.25">
      <c r="A33" s="26"/>
      <c r="B33" s="26"/>
      <c r="C33" s="26" t="s">
        <v>75</v>
      </c>
      <c r="J33" s="258"/>
    </row>
    <row r="34" spans="1:22" ht="17.25" x14ac:dyDescent="0.4">
      <c r="A34" s="26"/>
      <c r="B34" s="26"/>
      <c r="C34" s="26"/>
      <c r="D34" s="298"/>
      <c r="E34" s="270"/>
      <c r="F34" s="298"/>
      <c r="H34" s="61">
        <f>D33+F33+F34</f>
        <v>0</v>
      </c>
      <c r="J34" s="258"/>
    </row>
    <row r="35" spans="1:22" x14ac:dyDescent="0.25">
      <c r="A35" s="26"/>
      <c r="B35" s="126" t="s">
        <v>76</v>
      </c>
      <c r="C35" s="26"/>
      <c r="D35" s="75">
        <f>SUM(D15:D34)</f>
        <v>27139</v>
      </c>
      <c r="F35" s="75">
        <f>SUM(F15:F34)</f>
        <v>10172.764157256725</v>
      </c>
      <c r="H35" s="75">
        <f>SUM(H15:H34)</f>
        <v>37311.764157256723</v>
      </c>
    </row>
    <row r="36" spans="1:22" x14ac:dyDescent="0.25">
      <c r="A36" s="26"/>
      <c r="B36" s="26" t="s">
        <v>36</v>
      </c>
      <c r="C36" s="26"/>
      <c r="D36" s="3">
        <v>21693</v>
      </c>
      <c r="F36" s="3">
        <f>Depreciation!K56</f>
        <v>-5165.0297619047633</v>
      </c>
      <c r="G36" s="121" t="s">
        <v>37</v>
      </c>
      <c r="H36" s="3">
        <f t="shared" ref="H36" si="2">D36+F36</f>
        <v>16527.970238095237</v>
      </c>
      <c r="I36" s="32"/>
      <c r="J36" s="26"/>
      <c r="Q36" s="5"/>
      <c r="R36" s="5"/>
      <c r="S36" s="5"/>
      <c r="T36" s="5"/>
      <c r="U36" s="5"/>
      <c r="V36" s="5"/>
    </row>
    <row r="37" spans="1:22" ht="17.25" x14ac:dyDescent="0.4">
      <c r="A37" s="26"/>
      <c r="B37" s="26" t="s">
        <v>39</v>
      </c>
      <c r="C37" s="26"/>
      <c r="D37" s="75"/>
      <c r="E37" s="61"/>
      <c r="F37" s="75">
        <f>Allocations!H28</f>
        <v>467.05007842203582</v>
      </c>
      <c r="G37" s="121" t="str">
        <f>G26</f>
        <v>(D)</v>
      </c>
      <c r="H37" s="75">
        <f>D37+F37</f>
        <v>467.05007842203582</v>
      </c>
      <c r="I37" s="32"/>
      <c r="J37" s="26"/>
      <c r="Q37" s="5"/>
      <c r="R37" s="5"/>
      <c r="S37" s="5"/>
      <c r="T37" s="5"/>
      <c r="U37" s="5"/>
      <c r="V37" s="5"/>
    </row>
    <row r="38" spans="1:22" x14ac:dyDescent="0.25">
      <c r="A38" s="126" t="s">
        <v>40</v>
      </c>
      <c r="B38" s="26"/>
      <c r="C38" s="26"/>
      <c r="D38" s="75">
        <f>SUM(D35:D37)</f>
        <v>48832</v>
      </c>
      <c r="F38" s="75">
        <f>SUM(F35:F37)</f>
        <v>5474.784473773997</v>
      </c>
      <c r="H38" s="75">
        <f>SUM(H35:H37)</f>
        <v>54306.784473773994</v>
      </c>
      <c r="Q38" s="5"/>
      <c r="R38" s="5"/>
      <c r="S38" s="5"/>
      <c r="T38" s="5"/>
      <c r="U38" s="5"/>
      <c r="V38" s="5"/>
    </row>
    <row r="39" spans="1:22" x14ac:dyDescent="0.25">
      <c r="A39" s="126" t="s">
        <v>41</v>
      </c>
      <c r="B39" s="26"/>
      <c r="C39" s="26"/>
      <c r="D39" s="66">
        <f>D11-D38</f>
        <v>-25369</v>
      </c>
      <c r="F39" s="66">
        <f>F11-F38</f>
        <v>-4596.5044737739981</v>
      </c>
      <c r="H39" s="66">
        <f>H11-H38</f>
        <v>-29965.504473773995</v>
      </c>
      <c r="J39" s="163"/>
      <c r="K39" s="163"/>
      <c r="L39" s="163"/>
      <c r="M39" s="163"/>
      <c r="N39" s="163"/>
      <c r="O39" s="163"/>
      <c r="P39" s="163"/>
      <c r="Q39" s="5"/>
      <c r="R39" s="5"/>
      <c r="S39" s="5"/>
      <c r="T39" s="5"/>
      <c r="U39" s="5"/>
      <c r="V39" s="5"/>
    </row>
    <row r="40" spans="1:22" x14ac:dyDescent="0.25">
      <c r="A40" s="26"/>
      <c r="B40" s="26"/>
      <c r="C40" s="26"/>
      <c r="J40" s="163"/>
      <c r="K40" s="163"/>
      <c r="L40" s="163"/>
      <c r="M40" s="163"/>
      <c r="N40" s="163"/>
      <c r="O40" s="163"/>
      <c r="P40" s="163"/>
      <c r="Q40" s="5"/>
      <c r="R40" s="5"/>
      <c r="S40" s="5"/>
      <c r="T40" s="5"/>
      <c r="U40" s="5"/>
      <c r="V40" s="5"/>
    </row>
    <row r="41" spans="1:22" x14ac:dyDescent="0.25">
      <c r="A41" s="343" t="s">
        <v>77</v>
      </c>
      <c r="B41" s="343"/>
      <c r="C41" s="343"/>
      <c r="D41" s="343"/>
      <c r="E41" s="343"/>
      <c r="F41" s="343"/>
      <c r="G41" s="343"/>
      <c r="H41" s="343"/>
      <c r="J41" s="163"/>
      <c r="K41" s="163"/>
      <c r="L41" s="163"/>
      <c r="M41" s="163"/>
      <c r="N41" s="163"/>
      <c r="O41" s="163"/>
      <c r="P41" s="163"/>
      <c r="Q41" s="5"/>
      <c r="R41" s="5"/>
      <c r="S41" s="5"/>
      <c r="T41" s="5"/>
      <c r="U41" s="5"/>
      <c r="V41" s="5"/>
    </row>
    <row r="42" spans="1:22" x14ac:dyDescent="0.25">
      <c r="A42" s="126" t="s">
        <v>43</v>
      </c>
      <c r="B42" s="26"/>
      <c r="C42" s="26"/>
      <c r="H42" s="66">
        <f>H38</f>
        <v>54306.784473773994</v>
      </c>
      <c r="J42" s="163"/>
      <c r="K42" s="163"/>
      <c r="L42" s="163"/>
      <c r="M42" s="163"/>
      <c r="N42" s="163"/>
      <c r="O42" s="163"/>
      <c r="P42" s="163"/>
      <c r="Q42" s="5"/>
      <c r="R42" s="5"/>
      <c r="S42" s="5"/>
      <c r="T42" s="5"/>
      <c r="U42" s="5"/>
      <c r="V42" s="5"/>
    </row>
    <row r="43" spans="1:22" ht="17.25" x14ac:dyDescent="0.4">
      <c r="A43" s="26" t="s">
        <v>78</v>
      </c>
      <c r="B43" s="26"/>
      <c r="C43" s="26" t="s">
        <v>79</v>
      </c>
      <c r="H43" s="300">
        <v>0.88</v>
      </c>
      <c r="J43" s="107"/>
      <c r="K43" s="163"/>
      <c r="L43" s="163"/>
      <c r="M43" s="163"/>
      <c r="N43" s="163"/>
      <c r="O43" s="163"/>
      <c r="P43" s="163"/>
      <c r="Q43" s="5"/>
      <c r="R43" s="5"/>
      <c r="S43" s="5"/>
      <c r="T43" s="5"/>
      <c r="U43" s="5"/>
      <c r="V43" s="5"/>
    </row>
    <row r="44" spans="1:22" x14ac:dyDescent="0.25">
      <c r="A44" s="126" t="s">
        <v>47</v>
      </c>
      <c r="B44" s="26"/>
      <c r="C44" s="26"/>
      <c r="H44" s="3">
        <f>H42/H43</f>
        <v>61712.255083834083</v>
      </c>
      <c r="J44" s="163"/>
      <c r="K44" s="163"/>
      <c r="L44" s="163"/>
      <c r="M44" s="163"/>
      <c r="N44" s="163"/>
      <c r="O44" s="163"/>
      <c r="P44" s="163"/>
      <c r="Q44" s="5"/>
      <c r="R44" s="5"/>
      <c r="S44" s="5"/>
      <c r="T44" s="5"/>
      <c r="U44" s="5"/>
      <c r="V44" s="5"/>
    </row>
    <row r="45" spans="1:22" x14ac:dyDescent="0.25">
      <c r="A45" s="26" t="s">
        <v>48</v>
      </c>
      <c r="B45" s="26"/>
      <c r="C45" s="26" t="s">
        <v>49</v>
      </c>
      <c r="H45" s="3">
        <f>-SUM(H8:H10)</f>
        <v>0</v>
      </c>
      <c r="J45" s="163"/>
      <c r="K45" s="163"/>
      <c r="L45" s="163"/>
      <c r="M45" s="163"/>
      <c r="N45" s="163"/>
      <c r="O45" s="163"/>
      <c r="P45" s="163"/>
      <c r="Q45" s="5"/>
      <c r="R45" s="5"/>
      <c r="S45" s="5"/>
      <c r="T45" s="5"/>
      <c r="U45" s="5"/>
      <c r="V45" s="5"/>
    </row>
    <row r="46" spans="1:22" ht="17.25" x14ac:dyDescent="0.4">
      <c r="A46" s="26"/>
      <c r="B46" s="26"/>
      <c r="C46" s="26" t="s">
        <v>80</v>
      </c>
      <c r="H46" s="75">
        <v>0</v>
      </c>
      <c r="J46" s="163"/>
      <c r="K46" s="163"/>
      <c r="L46" s="163"/>
      <c r="M46" s="163"/>
      <c r="N46" s="163"/>
      <c r="O46" s="163"/>
      <c r="P46" s="163"/>
      <c r="Q46" s="5"/>
      <c r="R46" s="270"/>
      <c r="S46" s="5"/>
      <c r="T46" s="5"/>
      <c r="U46" s="5"/>
      <c r="V46" s="5"/>
    </row>
    <row r="47" spans="1:22" ht="17.25" x14ac:dyDescent="0.4">
      <c r="A47" s="126" t="s">
        <v>81</v>
      </c>
      <c r="B47" s="26"/>
      <c r="C47" s="26"/>
      <c r="H47" s="3">
        <f>H44+H45+H46</f>
        <v>61712.255083834083</v>
      </c>
      <c r="J47" s="69"/>
      <c r="K47" s="163"/>
      <c r="L47" s="163"/>
      <c r="M47" s="163"/>
      <c r="N47" s="163"/>
      <c r="O47" s="163"/>
      <c r="P47" s="163"/>
      <c r="Q47" s="5"/>
      <c r="R47" s="5"/>
      <c r="S47" s="270"/>
      <c r="T47" s="5"/>
      <c r="U47" s="5"/>
      <c r="V47" s="5"/>
    </row>
    <row r="48" spans="1:22" x14ac:dyDescent="0.25">
      <c r="A48" s="26" t="s">
        <v>48</v>
      </c>
      <c r="B48" s="26"/>
      <c r="C48" s="26" t="s">
        <v>52</v>
      </c>
      <c r="H48" s="75">
        <f>-H11</f>
        <v>-24341.279999999999</v>
      </c>
      <c r="J48" s="163"/>
      <c r="K48" s="163"/>
      <c r="L48" s="163"/>
      <c r="M48" s="163"/>
      <c r="N48" s="174"/>
      <c r="O48" s="163"/>
      <c r="P48" s="163"/>
      <c r="Q48" s="5"/>
      <c r="R48" s="5"/>
      <c r="S48" s="5"/>
      <c r="T48" s="5"/>
      <c r="U48" s="5"/>
      <c r="V48" s="5"/>
    </row>
    <row r="49" spans="1:22" x14ac:dyDescent="0.25">
      <c r="A49" s="126" t="s">
        <v>53</v>
      </c>
      <c r="B49" s="26"/>
      <c r="C49" s="26"/>
      <c r="H49" s="66">
        <f>+H47+H48</f>
        <v>37370.975083834084</v>
      </c>
      <c r="J49" s="163"/>
      <c r="K49" s="163"/>
      <c r="L49" s="163"/>
      <c r="M49" s="163"/>
      <c r="N49" s="163"/>
      <c r="O49" s="163"/>
      <c r="P49" s="163"/>
      <c r="Q49" s="5"/>
      <c r="R49" s="5"/>
      <c r="S49" s="5"/>
      <c r="T49" s="5"/>
      <c r="U49" s="5"/>
      <c r="V49" s="5"/>
    </row>
    <row r="50" spans="1:22" ht="15.75" x14ac:dyDescent="0.25">
      <c r="A50" s="126" t="s">
        <v>54</v>
      </c>
      <c r="B50" s="26"/>
      <c r="C50" s="26"/>
      <c r="H50" s="195">
        <f>ROUND(H49/-H48,4)</f>
        <v>1.5353000000000001</v>
      </c>
      <c r="I50"/>
      <c r="J50"/>
      <c r="K50"/>
      <c r="L50" s="163"/>
      <c r="M50" s="163"/>
      <c r="N50" s="163"/>
      <c r="O50" s="163"/>
      <c r="P50" s="163"/>
      <c r="Q50" s="5"/>
      <c r="R50" s="5"/>
      <c r="S50" s="5"/>
      <c r="T50" s="5"/>
      <c r="U50" s="5"/>
      <c r="V50" s="5"/>
    </row>
    <row r="51" spans="1:22" x14ac:dyDescent="0.25">
      <c r="A51" s="126"/>
      <c r="B51" s="26"/>
      <c r="C51" s="26"/>
      <c r="Q51" s="5"/>
      <c r="R51" s="5"/>
      <c r="S51" s="5"/>
      <c r="T51" s="5"/>
      <c r="U51" s="5"/>
      <c r="V51" s="5"/>
    </row>
  </sheetData>
  <mergeCells count="4">
    <mergeCell ref="A2:H2"/>
    <mergeCell ref="A3:H3"/>
    <mergeCell ref="A41:H41"/>
    <mergeCell ref="A1:H1"/>
  </mergeCells>
  <printOptions horizontalCentered="1"/>
  <pageMargins left="0.7" right="0.7" top="0.75" bottom="0.75" header="0.3" footer="0.3"/>
  <pageSetup scale="8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1808-9F77-403B-A536-E53112B87079}">
  <sheetPr>
    <pageSetUpPr fitToPage="1"/>
  </sheetPr>
  <dimension ref="A1:IY91"/>
  <sheetViews>
    <sheetView showGridLines="0" workbookViewId="0">
      <selection activeCell="I50" sqref="I50"/>
    </sheetView>
  </sheetViews>
  <sheetFormatPr defaultColWidth="8.88671875" defaultRowHeight="15.75" x14ac:dyDescent="0.25"/>
  <cols>
    <col min="1" max="1" width="3.6640625" style="22" customWidth="1"/>
    <col min="2" max="2" width="2.6640625" style="22" customWidth="1"/>
    <col min="3" max="3" width="28" style="22" customWidth="1"/>
    <col min="4" max="4" width="11.88671875" style="81" bestFit="1" customWidth="1"/>
    <col min="5" max="5" width="1.77734375" style="81" customWidth="1"/>
    <col min="6" max="6" width="7" style="22" bestFit="1" customWidth="1"/>
    <col min="7" max="7" width="8" style="23" customWidth="1"/>
    <col min="8" max="8" width="4.5546875" style="22" bestFit="1" customWidth="1"/>
    <col min="9" max="9" width="30.88671875" style="22" bestFit="1" customWidth="1"/>
    <col min="10" max="10" width="1.77734375" style="382" customWidth="1"/>
    <col min="11" max="252" width="9.6640625" style="22" customWidth="1"/>
    <col min="253" max="254" width="9.6640625" style="23" customWidth="1"/>
    <col min="255" max="16384" width="8.88671875" style="23"/>
  </cols>
  <sheetData>
    <row r="1" spans="1:16" ht="18.75" x14ac:dyDescent="0.25">
      <c r="A1" s="279" t="s">
        <v>82</v>
      </c>
      <c r="B1" s="20"/>
      <c r="C1" s="20"/>
      <c r="D1" s="170"/>
      <c r="E1" s="170"/>
      <c r="F1" s="21"/>
      <c r="G1" s="256"/>
      <c r="H1" s="21"/>
      <c r="I1" s="21"/>
      <c r="J1" s="380"/>
      <c r="K1" s="21"/>
      <c r="L1" s="21"/>
      <c r="M1" s="21"/>
    </row>
    <row r="2" spans="1:16" ht="18.75" customHeight="1" x14ac:dyDescent="0.25">
      <c r="A2" s="341" t="s">
        <v>1</v>
      </c>
      <c r="B2" s="341"/>
      <c r="C2" s="341"/>
      <c r="D2" s="341"/>
      <c r="E2" s="341"/>
      <c r="F2" s="104"/>
      <c r="G2" s="257"/>
      <c r="H2" s="21"/>
      <c r="I2" s="104"/>
      <c r="J2" s="381"/>
      <c r="K2" s="104"/>
      <c r="L2" s="104"/>
      <c r="M2" s="104"/>
      <c r="N2" s="104"/>
      <c r="O2" s="104"/>
      <c r="P2" s="104"/>
    </row>
    <row r="3" spans="1:16" ht="18.75" customHeight="1" x14ac:dyDescent="0.25">
      <c r="A3" s="341" t="s">
        <v>2</v>
      </c>
      <c r="B3" s="341"/>
      <c r="C3" s="341"/>
      <c r="D3" s="341"/>
      <c r="E3" s="341"/>
      <c r="F3" s="104"/>
      <c r="G3" s="257"/>
      <c r="H3" s="21"/>
      <c r="I3" s="104"/>
      <c r="J3" s="381"/>
      <c r="K3" s="104"/>
      <c r="L3" s="104"/>
      <c r="M3" s="104"/>
      <c r="N3" s="104"/>
      <c r="O3" s="104"/>
      <c r="P3" s="104"/>
    </row>
    <row r="4" spans="1:16" x14ac:dyDescent="0.25">
      <c r="A4" s="21"/>
      <c r="B4" s="21"/>
      <c r="C4" s="21"/>
      <c r="D4" s="172"/>
      <c r="E4" s="172"/>
      <c r="F4" s="21"/>
      <c r="G4" s="256"/>
      <c r="H4" s="21"/>
      <c r="I4" s="21"/>
      <c r="J4" s="380"/>
      <c r="K4" s="21"/>
      <c r="L4" s="21"/>
      <c r="M4" s="21"/>
    </row>
    <row r="5" spans="1:16" x14ac:dyDescent="0.25">
      <c r="A5" s="24"/>
      <c r="B5" s="24"/>
      <c r="C5" s="24"/>
      <c r="D5" s="124" t="s">
        <v>4</v>
      </c>
      <c r="E5" s="124"/>
      <c r="F5" s="26"/>
      <c r="G5" s="379" t="s">
        <v>318</v>
      </c>
      <c r="H5" s="26"/>
      <c r="I5" s="281" t="s">
        <v>319</v>
      </c>
      <c r="J5" s="282"/>
      <c r="K5" s="378" t="s">
        <v>320</v>
      </c>
      <c r="L5" s="21"/>
      <c r="M5" s="21"/>
    </row>
    <row r="6" spans="1:16" x14ac:dyDescent="0.25">
      <c r="A6" s="27" t="s">
        <v>7</v>
      </c>
      <c r="B6" s="24"/>
      <c r="C6" s="24"/>
      <c r="D6" s="26"/>
      <c r="E6" s="26"/>
      <c r="F6" s="26"/>
      <c r="G6" s="258"/>
      <c r="H6" s="26"/>
      <c r="I6" s="26"/>
      <c r="J6" s="282"/>
      <c r="K6" s="21"/>
      <c r="L6" s="21"/>
      <c r="M6" s="21"/>
    </row>
    <row r="7" spans="1:16" x14ac:dyDescent="0.25">
      <c r="A7" s="24"/>
      <c r="B7" s="24" t="s">
        <v>8</v>
      </c>
      <c r="C7" s="24"/>
      <c r="D7" s="301">
        <v>1399626</v>
      </c>
      <c r="E7" s="26"/>
      <c r="F7" s="32"/>
      <c r="G7">
        <v>461.01</v>
      </c>
      <c r="H7" s="276"/>
      <c r="I7" s="22" t="s">
        <v>83</v>
      </c>
      <c r="K7" s="22">
        <v>1326884</v>
      </c>
      <c r="L7" s="21"/>
      <c r="M7" s="21"/>
    </row>
    <row r="8" spans="1:16" x14ac:dyDescent="0.25">
      <c r="A8" s="24"/>
      <c r="B8" s="24"/>
      <c r="C8" s="24"/>
      <c r="D8" s="26"/>
      <c r="E8" s="26"/>
      <c r="F8" s="32"/>
      <c r="G8" s="21">
        <v>461.02</v>
      </c>
      <c r="H8" s="21"/>
      <c r="I8" s="22" t="s">
        <v>84</v>
      </c>
      <c r="K8" s="22">
        <v>75926</v>
      </c>
      <c r="L8"/>
      <c r="M8" s="275"/>
    </row>
    <row r="9" spans="1:16" x14ac:dyDescent="0.25">
      <c r="A9" s="24"/>
      <c r="B9" s="24" t="s">
        <v>11</v>
      </c>
      <c r="C9" s="24"/>
      <c r="D9" s="26"/>
      <c r="E9" s="26"/>
      <c r="F9" s="32"/>
      <c r="G9">
        <v>475</v>
      </c>
      <c r="H9" s="276"/>
      <c r="I9" s="22" t="s">
        <v>308</v>
      </c>
      <c r="K9" s="22">
        <v>-3187</v>
      </c>
      <c r="L9" s="373">
        <f>SUM(K7:K9)</f>
        <v>1399623</v>
      </c>
      <c r="M9" s="275"/>
    </row>
    <row r="10" spans="1:16" x14ac:dyDescent="0.25">
      <c r="A10" s="24"/>
      <c r="B10" s="24"/>
      <c r="C10" s="24" t="s">
        <v>12</v>
      </c>
      <c r="D10" s="26">
        <v>0</v>
      </c>
      <c r="E10" s="26"/>
      <c r="F10" s="26"/>
      <c r="G10" s="258"/>
      <c r="H10" s="272"/>
      <c r="I10" s="273"/>
      <c r="J10" s="383"/>
      <c r="K10" s="274"/>
      <c r="L10"/>
      <c r="M10" s="276"/>
    </row>
    <row r="11" spans="1:16" x14ac:dyDescent="0.25">
      <c r="A11" s="24"/>
      <c r="B11" s="24"/>
      <c r="C11" s="24" t="s">
        <v>13</v>
      </c>
      <c r="D11" s="26">
        <v>0</v>
      </c>
      <c r="E11" s="26"/>
      <c r="F11" s="32"/>
      <c r="G11" s="258"/>
      <c r="H11" s="26"/>
      <c r="I11" s="62"/>
      <c r="J11" s="384"/>
      <c r="K11" s="21"/>
      <c r="L11" s="21"/>
      <c r="M11" s="21"/>
    </row>
    <row r="12" spans="1:16" ht="17.25" x14ac:dyDescent="0.25">
      <c r="A12" s="24"/>
      <c r="B12" s="24"/>
      <c r="C12" s="24" t="s">
        <v>14</v>
      </c>
      <c r="D12" s="280"/>
      <c r="E12" s="26"/>
      <c r="F12" s="32"/>
      <c r="G12" s="258"/>
      <c r="H12" s="26"/>
      <c r="I12" s="26"/>
      <c r="J12" s="282"/>
      <c r="K12" s="21"/>
      <c r="L12" s="21"/>
      <c r="M12" s="21"/>
    </row>
    <row r="13" spans="1:16" x14ac:dyDescent="0.25">
      <c r="A13" s="29" t="s">
        <v>15</v>
      </c>
      <c r="B13" s="24"/>
      <c r="C13" s="24"/>
      <c r="D13" s="26">
        <f>SUM(D7:D12)</f>
        <v>1399626</v>
      </c>
      <c r="E13" s="26"/>
      <c r="F13" s="32"/>
      <c r="G13" s="258"/>
      <c r="H13" s="26"/>
      <c r="I13" s="26"/>
      <c r="J13" s="282"/>
      <c r="K13" s="21"/>
      <c r="L13" s="21"/>
      <c r="M13" s="21"/>
    </row>
    <row r="14" spans="1:16" ht="17.25" x14ac:dyDescent="0.25">
      <c r="A14" s="24"/>
      <c r="B14" s="24"/>
      <c r="C14" s="24"/>
      <c r="D14" s="26"/>
      <c r="E14" s="117"/>
      <c r="F14" s="32"/>
      <c r="G14" s="258"/>
      <c r="H14" s="26"/>
      <c r="I14" s="26"/>
      <c r="J14" s="282"/>
      <c r="K14" s="21"/>
      <c r="L14" s="21"/>
      <c r="M14" s="21"/>
    </row>
    <row r="15" spans="1:16" x14ac:dyDescent="0.25">
      <c r="A15" s="27" t="s">
        <v>16</v>
      </c>
      <c r="B15" s="24"/>
      <c r="C15" s="24"/>
      <c r="D15" s="26"/>
      <c r="E15" s="26"/>
      <c r="F15" s="26"/>
      <c r="G15" s="258"/>
      <c r="H15" s="26"/>
      <c r="I15" s="26"/>
      <c r="J15" s="282"/>
      <c r="K15" s="21"/>
      <c r="L15" s="21"/>
      <c r="M15" s="21"/>
    </row>
    <row r="16" spans="1:16" x14ac:dyDescent="0.25">
      <c r="A16" s="24"/>
      <c r="B16" s="24" t="s">
        <v>17</v>
      </c>
      <c r="C16" s="24"/>
      <c r="D16" s="26"/>
      <c r="E16" s="26"/>
      <c r="F16" s="26"/>
      <c r="G16" s="258"/>
      <c r="H16" s="26"/>
      <c r="I16" s="26"/>
      <c r="J16" s="282"/>
      <c r="L16" s="21"/>
      <c r="M16" s="21"/>
    </row>
    <row r="17" spans="1:259" x14ac:dyDescent="0.25">
      <c r="A17" s="24"/>
      <c r="B17" s="24"/>
      <c r="C17" s="24" t="s">
        <v>18</v>
      </c>
      <c r="D17" s="26">
        <v>179018</v>
      </c>
      <c r="E17" s="26"/>
      <c r="F17" s="26"/>
      <c r="G17" s="21">
        <v>601</v>
      </c>
      <c r="H17" s="21"/>
      <c r="I17" s="22" t="s">
        <v>70</v>
      </c>
      <c r="K17" s="22">
        <v>195342</v>
      </c>
      <c r="L17" s="21"/>
      <c r="M17" s="21"/>
    </row>
    <row r="18" spans="1:259" x14ac:dyDescent="0.25">
      <c r="A18" s="24"/>
      <c r="B18" s="24"/>
      <c r="C18" s="24"/>
      <c r="D18" s="26"/>
      <c r="E18" s="26"/>
      <c r="F18" s="26"/>
      <c r="G18" s="258"/>
      <c r="H18" s="26"/>
      <c r="I18" s="21"/>
      <c r="J18" s="380"/>
      <c r="K18" s="21"/>
      <c r="L18" s="21"/>
      <c r="M18" s="21"/>
    </row>
    <row r="19" spans="1:259" x14ac:dyDescent="0.25">
      <c r="A19" s="24"/>
      <c r="B19" s="24"/>
      <c r="C19" s="24"/>
      <c r="D19" s="26"/>
      <c r="E19" s="26"/>
      <c r="F19" s="32"/>
      <c r="G19" s="258"/>
      <c r="H19" s="26"/>
      <c r="I19" s="21"/>
      <c r="J19" s="380"/>
      <c r="K19" s="21"/>
      <c r="L19" s="21"/>
      <c r="M19" s="21"/>
    </row>
    <row r="20" spans="1:259" x14ac:dyDescent="0.25">
      <c r="A20" s="24"/>
      <c r="B20" s="24"/>
      <c r="C20" s="24" t="s">
        <v>21</v>
      </c>
      <c r="D20" s="26">
        <v>18000</v>
      </c>
      <c r="E20" s="26"/>
      <c r="F20" s="32"/>
      <c r="G20" s="258"/>
      <c r="H20" s="272"/>
      <c r="I20" s="273"/>
      <c r="J20" s="383"/>
      <c r="K20" s="274"/>
      <c r="L20"/>
      <c r="M20" s="276"/>
    </row>
    <row r="21" spans="1:259" x14ac:dyDescent="0.25">
      <c r="A21" s="24"/>
      <c r="B21" s="24"/>
      <c r="C21" s="24" t="s">
        <v>22</v>
      </c>
      <c r="D21" s="26">
        <v>34200</v>
      </c>
      <c r="E21" s="26"/>
      <c r="F21" s="26"/>
      <c r="G21" s="258">
        <v>604.01</v>
      </c>
      <c r="H21" s="26"/>
      <c r="I21" s="26" t="s">
        <v>311</v>
      </c>
      <c r="J21" s="282"/>
      <c r="K21" s="21">
        <v>-2020</v>
      </c>
      <c r="L21"/>
      <c r="M21" s="278"/>
    </row>
    <row r="22" spans="1:259" s="22" customFormat="1" x14ac:dyDescent="0.25">
      <c r="A22" s="24"/>
      <c r="B22" s="24"/>
      <c r="C22" s="24"/>
      <c r="D22" s="26"/>
      <c r="E22" s="26"/>
      <c r="F22" s="32"/>
      <c r="G22" s="1">
        <v>604.02</v>
      </c>
      <c r="I22" s="22" t="s">
        <v>312</v>
      </c>
      <c r="J22" s="382"/>
      <c r="K22" s="22">
        <v>20151</v>
      </c>
      <c r="L22"/>
      <c r="M22" s="276"/>
      <c r="IS22" s="23"/>
      <c r="IT22" s="23"/>
      <c r="IU22" s="23"/>
      <c r="IV22" s="23"/>
      <c r="IW22" s="23"/>
      <c r="IX22" s="23"/>
      <c r="IY22" s="23"/>
    </row>
    <row r="23" spans="1:259" s="22" customFormat="1" x14ac:dyDescent="0.25">
      <c r="A23" s="24"/>
      <c r="B23" s="24"/>
      <c r="C23" s="24"/>
      <c r="D23" s="26"/>
      <c r="E23" s="26"/>
      <c r="F23" s="32"/>
      <c r="G23" s="1">
        <v>604.03</v>
      </c>
      <c r="I23" s="22" t="s">
        <v>85</v>
      </c>
      <c r="J23" s="382"/>
      <c r="K23" s="22">
        <v>1318</v>
      </c>
      <c r="M23" s="275"/>
      <c r="IS23" s="23"/>
      <c r="IT23" s="23"/>
      <c r="IU23" s="23"/>
      <c r="IV23" s="23"/>
      <c r="IW23" s="23"/>
      <c r="IX23" s="23"/>
      <c r="IY23" s="23"/>
    </row>
    <row r="24" spans="1:259" s="22" customFormat="1" x14ac:dyDescent="0.25">
      <c r="A24" s="24"/>
      <c r="B24" s="24"/>
      <c r="C24" s="24"/>
      <c r="D24" s="26"/>
      <c r="E24" s="26"/>
      <c r="F24" s="32"/>
      <c r="G24" s="1">
        <v>408.03</v>
      </c>
      <c r="I24" s="22" t="s">
        <v>86</v>
      </c>
      <c r="J24" s="382"/>
      <c r="K24" s="22">
        <v>14771</v>
      </c>
      <c r="L24" s="373">
        <f>SUM(K21:K24)</f>
        <v>34220</v>
      </c>
      <c r="M24" s="275"/>
      <c r="IS24" s="23"/>
      <c r="IT24" s="23"/>
      <c r="IU24" s="23"/>
      <c r="IV24" s="23"/>
      <c r="IW24" s="23"/>
      <c r="IX24" s="23"/>
      <c r="IY24" s="23"/>
    </row>
    <row r="25" spans="1:259" s="22" customFormat="1" x14ac:dyDescent="0.25">
      <c r="A25" s="24"/>
      <c r="B25" s="24"/>
      <c r="C25" s="24"/>
      <c r="D25" s="26"/>
      <c r="E25" s="26"/>
      <c r="F25" s="32"/>
      <c r="G25" s="1"/>
      <c r="J25" s="382"/>
      <c r="L25" s="373"/>
      <c r="M25" s="275"/>
      <c r="IS25" s="23"/>
      <c r="IT25" s="23"/>
      <c r="IU25" s="23"/>
      <c r="IV25" s="23"/>
      <c r="IW25" s="23"/>
      <c r="IX25" s="23"/>
      <c r="IY25" s="23"/>
    </row>
    <row r="26" spans="1:259" s="22" customFormat="1" x14ac:dyDescent="0.25">
      <c r="A26" s="24"/>
      <c r="B26" s="24"/>
      <c r="C26" s="24" t="s">
        <v>25</v>
      </c>
      <c r="D26" s="26">
        <v>431242</v>
      </c>
      <c r="E26" s="26"/>
      <c r="F26" s="32"/>
      <c r="G26" s="1">
        <v>610</v>
      </c>
      <c r="I26" s="22" t="s">
        <v>25</v>
      </c>
      <c r="J26" s="382"/>
      <c r="K26" s="22">
        <v>431242</v>
      </c>
      <c r="L26"/>
      <c r="M26" s="276"/>
      <c r="IS26" s="23"/>
      <c r="IT26" s="23"/>
      <c r="IU26" s="23"/>
      <c r="IV26" s="23"/>
      <c r="IW26" s="23"/>
      <c r="IX26" s="23"/>
      <c r="IY26" s="23"/>
    </row>
    <row r="27" spans="1:259" s="22" customFormat="1" x14ac:dyDescent="0.25">
      <c r="A27" s="24"/>
      <c r="B27" s="24"/>
      <c r="C27" s="24" t="s">
        <v>26</v>
      </c>
      <c r="D27" s="26"/>
      <c r="E27" s="26"/>
      <c r="F27" s="32"/>
      <c r="G27" s="258"/>
      <c r="H27" s="272"/>
      <c r="I27" s="273"/>
      <c r="J27" s="383"/>
      <c r="K27" s="274"/>
      <c r="L27"/>
      <c r="M27" s="272"/>
      <c r="IS27" s="23"/>
      <c r="IT27" s="23"/>
      <c r="IU27" s="23"/>
      <c r="IV27" s="23"/>
      <c r="IW27" s="23"/>
      <c r="IX27" s="23"/>
      <c r="IY27" s="23"/>
    </row>
    <row r="28" spans="1:259" s="22" customFormat="1" x14ac:dyDescent="0.25">
      <c r="A28" s="24"/>
      <c r="B28" s="24"/>
      <c r="C28" s="24" t="s">
        <v>27</v>
      </c>
      <c r="D28" s="26"/>
      <c r="E28" s="26"/>
      <c r="F28" s="32"/>
      <c r="G28" s="258"/>
      <c r="H28" s="272"/>
      <c r="I28" s="273"/>
      <c r="J28" s="383"/>
      <c r="K28" s="274"/>
      <c r="L28"/>
      <c r="M28" s="276"/>
      <c r="N28" s="372"/>
      <c r="IS28" s="23"/>
      <c r="IT28" s="23"/>
      <c r="IU28" s="23"/>
      <c r="IV28" s="23"/>
      <c r="IW28" s="23"/>
      <c r="IX28" s="23"/>
      <c r="IY28" s="23"/>
    </row>
    <row r="29" spans="1:259" s="22" customFormat="1" x14ac:dyDescent="0.25">
      <c r="A29" s="24"/>
      <c r="B29" s="24"/>
      <c r="C29" s="24" t="s">
        <v>28</v>
      </c>
      <c r="D29" s="26">
        <v>83857</v>
      </c>
      <c r="E29" s="26"/>
      <c r="F29" s="32"/>
      <c r="G29" s="23">
        <v>620</v>
      </c>
      <c r="H29" s="23"/>
      <c r="I29" s="23" t="s">
        <v>28</v>
      </c>
      <c r="J29" s="385"/>
      <c r="K29" s="23">
        <v>32699</v>
      </c>
      <c r="L29" s="21"/>
      <c r="M29" s="21"/>
      <c r="IS29" s="23"/>
      <c r="IT29" s="23"/>
      <c r="IU29" s="23"/>
      <c r="IV29" s="23"/>
      <c r="IW29" s="23"/>
      <c r="IX29" s="23"/>
      <c r="IY29" s="23"/>
    </row>
    <row r="30" spans="1:259" s="22" customFormat="1" x14ac:dyDescent="0.25">
      <c r="A30" s="24"/>
      <c r="B30" s="24"/>
      <c r="C30" s="24"/>
      <c r="D30" s="26"/>
      <c r="E30" s="26"/>
      <c r="F30" s="32"/>
      <c r="G30" s="23">
        <v>616.01</v>
      </c>
      <c r="H30" s="23"/>
      <c r="I30" s="23" t="s">
        <v>313</v>
      </c>
      <c r="J30" s="385"/>
      <c r="K30" s="23">
        <v>31049</v>
      </c>
      <c r="L30" s="21"/>
      <c r="M30" s="21"/>
      <c r="IS30" s="23"/>
      <c r="IT30" s="23"/>
      <c r="IU30" s="23"/>
      <c r="IV30" s="23"/>
      <c r="IW30" s="23"/>
      <c r="IX30" s="23"/>
      <c r="IY30" s="23"/>
    </row>
    <row r="31" spans="1:259" s="22" customFormat="1" x14ac:dyDescent="0.25">
      <c r="A31" s="24"/>
      <c r="B31" s="24"/>
      <c r="C31" s="24"/>
      <c r="D31" s="26"/>
      <c r="E31" s="26"/>
      <c r="F31" s="32"/>
      <c r="G31" s="23">
        <v>620.02</v>
      </c>
      <c r="H31" s="23"/>
      <c r="I31" s="23" t="s">
        <v>87</v>
      </c>
      <c r="J31" s="385"/>
      <c r="K31" s="23">
        <v>20108</v>
      </c>
      <c r="L31" s="21">
        <f>SUM(K29:K31)</f>
        <v>83856</v>
      </c>
      <c r="M31" s="21"/>
      <c r="IS31" s="23"/>
      <c r="IT31" s="23"/>
      <c r="IU31" s="23"/>
      <c r="IV31" s="23"/>
      <c r="IW31" s="23"/>
      <c r="IX31" s="23"/>
      <c r="IY31" s="23"/>
    </row>
    <row r="32" spans="1:259" s="22" customFormat="1" x14ac:dyDescent="0.25">
      <c r="A32" s="24"/>
      <c r="B32" s="24"/>
      <c r="C32" s="24"/>
      <c r="D32" s="26"/>
      <c r="E32" s="26"/>
      <c r="F32" s="32"/>
      <c r="G32" s="23"/>
      <c r="H32" s="23"/>
      <c r="I32" s="23"/>
      <c r="J32" s="385"/>
      <c r="K32" s="23"/>
      <c r="L32" s="21"/>
      <c r="M32" s="21"/>
      <c r="IS32" s="23"/>
      <c r="IT32" s="23"/>
      <c r="IU32" s="23"/>
      <c r="IV32" s="23"/>
      <c r="IW32" s="23"/>
      <c r="IX32" s="23"/>
      <c r="IY32" s="23"/>
    </row>
    <row r="33" spans="1:259" s="22" customFormat="1" x14ac:dyDescent="0.25">
      <c r="A33" s="24"/>
      <c r="B33" s="24"/>
      <c r="C33" s="24" t="s">
        <v>29</v>
      </c>
      <c r="D33" s="26">
        <f>90070+12348+13216</f>
        <v>115634</v>
      </c>
      <c r="E33" s="26"/>
      <c r="F33" s="32"/>
      <c r="G33" s="23">
        <v>630.01</v>
      </c>
      <c r="H33" s="23"/>
      <c r="I33" s="23" t="s">
        <v>88</v>
      </c>
      <c r="J33" s="385"/>
      <c r="K33" s="23">
        <v>7666</v>
      </c>
      <c r="L33"/>
      <c r="M33" s="276"/>
      <c r="IS33" s="23"/>
      <c r="IT33" s="23"/>
      <c r="IU33" s="23"/>
      <c r="IV33" s="23"/>
      <c r="IW33" s="23"/>
      <c r="IX33" s="23"/>
      <c r="IY33" s="23"/>
    </row>
    <row r="34" spans="1:259" s="22" customFormat="1" x14ac:dyDescent="0.25">
      <c r="A34" s="24"/>
      <c r="B34" s="24"/>
      <c r="C34" s="24"/>
      <c r="D34" s="26"/>
      <c r="E34" s="26"/>
      <c r="F34" s="32"/>
      <c r="G34" s="23">
        <v>630.02</v>
      </c>
      <c r="H34" s="23"/>
      <c r="I34" s="23" t="s">
        <v>89</v>
      </c>
      <c r="J34" s="385"/>
      <c r="K34" s="23">
        <v>5550</v>
      </c>
      <c r="L34"/>
      <c r="M34" s="276"/>
      <c r="IS34" s="23"/>
      <c r="IT34" s="23"/>
      <c r="IU34" s="23"/>
      <c r="IV34" s="23"/>
      <c r="IW34" s="23"/>
      <c r="IX34" s="23"/>
      <c r="IY34" s="23"/>
    </row>
    <row r="35" spans="1:259" s="22" customFormat="1" x14ac:dyDescent="0.25">
      <c r="A35" s="24"/>
      <c r="B35" s="24"/>
      <c r="C35" s="24"/>
      <c r="D35" s="26"/>
      <c r="E35" s="26"/>
      <c r="F35" s="32"/>
      <c r="G35" s="23">
        <v>630.03</v>
      </c>
      <c r="H35" s="23"/>
      <c r="I35" s="23" t="s">
        <v>90</v>
      </c>
      <c r="J35" s="385"/>
      <c r="K35" s="23">
        <v>12348</v>
      </c>
      <c r="L35"/>
      <c r="M35" s="276"/>
      <c r="IS35" s="23"/>
      <c r="IT35" s="23"/>
      <c r="IU35" s="23"/>
      <c r="IV35" s="23"/>
      <c r="IW35" s="23"/>
      <c r="IX35" s="23"/>
      <c r="IY35" s="23"/>
    </row>
    <row r="36" spans="1:259" s="22" customFormat="1" x14ac:dyDescent="0.25">
      <c r="A36" s="24"/>
      <c r="B36" s="24"/>
      <c r="C36" s="24"/>
      <c r="D36" s="26"/>
      <c r="E36" s="26"/>
      <c r="F36" s="32"/>
      <c r="G36" s="23">
        <v>630.04</v>
      </c>
      <c r="H36" s="23"/>
      <c r="I36" s="23" t="s">
        <v>91</v>
      </c>
      <c r="J36" s="385"/>
      <c r="K36" s="23">
        <v>90070</v>
      </c>
      <c r="L36">
        <f>SUM(K33:K36)</f>
        <v>115634</v>
      </c>
      <c r="M36" s="276"/>
      <c r="IS36" s="23"/>
      <c r="IT36" s="23"/>
      <c r="IU36" s="23"/>
      <c r="IV36" s="23"/>
      <c r="IW36" s="23"/>
      <c r="IX36" s="23"/>
      <c r="IY36" s="23"/>
    </row>
    <row r="37" spans="1:259" s="22" customFormat="1" x14ac:dyDescent="0.25">
      <c r="A37" s="24"/>
      <c r="B37" s="24"/>
      <c r="C37" s="24"/>
      <c r="D37" s="26"/>
      <c r="E37" s="26"/>
      <c r="F37" s="32"/>
      <c r="G37" s="259"/>
      <c r="H37" s="272"/>
      <c r="I37" s="273"/>
      <c r="J37" s="383"/>
      <c r="K37" s="274"/>
      <c r="L37"/>
      <c r="M37" s="276"/>
      <c r="IS37" s="23"/>
      <c r="IT37" s="23"/>
      <c r="IU37" s="23"/>
      <c r="IV37" s="23"/>
      <c r="IW37" s="23"/>
      <c r="IX37" s="23"/>
      <c r="IY37" s="23"/>
    </row>
    <row r="38" spans="1:259" s="22" customFormat="1" x14ac:dyDescent="0.25">
      <c r="A38" s="24"/>
      <c r="B38" s="24"/>
      <c r="C38" s="24"/>
      <c r="D38" s="26"/>
      <c r="E38" s="26"/>
      <c r="F38" s="32"/>
      <c r="G38" s="259"/>
      <c r="H38" s="272"/>
      <c r="I38" s="273"/>
      <c r="J38" s="383"/>
      <c r="K38" s="274"/>
      <c r="L38"/>
      <c r="M38" s="276"/>
      <c r="IS38" s="23"/>
      <c r="IT38" s="23"/>
      <c r="IU38" s="23"/>
      <c r="IV38" s="23"/>
      <c r="IW38" s="23"/>
      <c r="IX38" s="23"/>
      <c r="IY38" s="23"/>
    </row>
    <row r="39" spans="1:259" s="22" customFormat="1" x14ac:dyDescent="0.25">
      <c r="A39" s="24"/>
      <c r="B39" s="24"/>
      <c r="C39" s="24"/>
      <c r="D39" s="26"/>
      <c r="E39" s="26"/>
      <c r="F39" s="32"/>
      <c r="G39" s="259"/>
      <c r="H39" s="272"/>
      <c r="I39" s="273"/>
      <c r="J39" s="383"/>
      <c r="K39" s="274"/>
      <c r="L39"/>
      <c r="M39" s="276"/>
      <c r="IS39" s="23"/>
      <c r="IT39" s="23"/>
      <c r="IU39" s="23"/>
      <c r="IV39" s="23"/>
      <c r="IW39" s="23"/>
      <c r="IX39" s="23"/>
      <c r="IY39" s="23"/>
    </row>
    <row r="40" spans="1:259" s="22" customFormat="1" x14ac:dyDescent="0.25">
      <c r="A40" s="24"/>
      <c r="B40" s="24"/>
      <c r="C40" s="24" t="s">
        <v>31</v>
      </c>
      <c r="D40" s="26">
        <v>24978</v>
      </c>
      <c r="E40" s="26"/>
      <c r="F40" s="32"/>
      <c r="G40" s="23">
        <v>655</v>
      </c>
      <c r="H40" s="23"/>
      <c r="I40" s="23" t="s">
        <v>314</v>
      </c>
      <c r="J40" s="385"/>
      <c r="K40" s="23">
        <v>29223</v>
      </c>
      <c r="L40" s="21"/>
      <c r="M40" s="21"/>
      <c r="IS40" s="23"/>
      <c r="IT40" s="23"/>
      <c r="IU40" s="23"/>
      <c r="IV40" s="23"/>
      <c r="IW40" s="23"/>
      <c r="IX40" s="23"/>
      <c r="IY40" s="23"/>
    </row>
    <row r="41" spans="1:259" s="22" customFormat="1" x14ac:dyDescent="0.25">
      <c r="A41" s="24"/>
      <c r="B41" s="24"/>
      <c r="C41" s="24" t="s">
        <v>32</v>
      </c>
      <c r="D41" s="26">
        <v>4246</v>
      </c>
      <c r="E41" s="26"/>
      <c r="F41" s="374">
        <f>SUM(D40:D41)</f>
        <v>29224</v>
      </c>
      <c r="G41" s="258"/>
      <c r="J41" s="382"/>
      <c r="IS41" s="23"/>
      <c r="IT41" s="23"/>
      <c r="IU41" s="23"/>
      <c r="IV41" s="23"/>
      <c r="IW41" s="23"/>
      <c r="IX41" s="23"/>
      <c r="IY41" s="23"/>
    </row>
    <row r="42" spans="1:259" s="22" customFormat="1" x14ac:dyDescent="0.25">
      <c r="A42" s="24"/>
      <c r="B42" s="24"/>
      <c r="C42" s="24" t="s">
        <v>33</v>
      </c>
      <c r="D42" s="26"/>
      <c r="E42" s="26"/>
      <c r="F42" s="32"/>
      <c r="G42" s="258"/>
      <c r="H42" s="272"/>
      <c r="I42" s="273"/>
      <c r="J42" s="383"/>
      <c r="K42" s="274"/>
      <c r="L42"/>
      <c r="M42" s="276"/>
      <c r="IS42" s="23"/>
      <c r="IT42" s="23"/>
      <c r="IU42" s="23"/>
      <c r="IV42" s="23"/>
      <c r="IW42" s="23"/>
      <c r="IX42" s="23"/>
      <c r="IY42" s="23"/>
    </row>
    <row r="43" spans="1:259" s="22" customFormat="1" x14ac:dyDescent="0.25">
      <c r="A43" s="24"/>
      <c r="B43" s="24"/>
      <c r="C43" s="24" t="s">
        <v>34</v>
      </c>
      <c r="D43" s="281">
        <v>86586</v>
      </c>
      <c r="E43" s="26"/>
      <c r="F43" s="32"/>
      <c r="G43" s="23">
        <v>675</v>
      </c>
      <c r="H43" s="23"/>
      <c r="I43" s="23" t="s">
        <v>315</v>
      </c>
      <c r="J43" s="385"/>
      <c r="K43" s="23">
        <v>86587</v>
      </c>
      <c r="L43"/>
      <c r="M43" s="276"/>
      <c r="IS43" s="23"/>
      <c r="IT43" s="23"/>
      <c r="IU43" s="23"/>
      <c r="IV43" s="23"/>
      <c r="IW43" s="23"/>
      <c r="IX43" s="23"/>
      <c r="IY43" s="23"/>
    </row>
    <row r="44" spans="1:259" s="22" customFormat="1" x14ac:dyDescent="0.25">
      <c r="A44" s="24"/>
      <c r="B44" s="29" t="s">
        <v>35</v>
      </c>
      <c r="C44" s="24"/>
      <c r="D44" s="26">
        <f>SUM(D17:D43)</f>
        <v>977761</v>
      </c>
      <c r="E44" s="26"/>
      <c r="F44" s="26"/>
      <c r="G44" s="258"/>
      <c r="H44" s="272"/>
      <c r="I44" s="273"/>
      <c r="J44" s="383"/>
      <c r="K44" s="274"/>
      <c r="L44"/>
      <c r="M44" s="276"/>
      <c r="IS44" s="23"/>
      <c r="IT44" s="23"/>
      <c r="IU44" s="23"/>
      <c r="IV44" s="23"/>
      <c r="IW44" s="23"/>
      <c r="IX44" s="23"/>
      <c r="IY44" s="23"/>
    </row>
    <row r="45" spans="1:259" s="22" customFormat="1" x14ac:dyDescent="0.25">
      <c r="A45" s="24"/>
      <c r="B45" s="24" t="s">
        <v>36</v>
      </c>
      <c r="C45" s="24"/>
      <c r="D45" s="26">
        <v>314285</v>
      </c>
      <c r="E45" s="26"/>
      <c r="F45" s="26"/>
      <c r="G45" s="258">
        <v>403</v>
      </c>
      <c r="H45" s="272"/>
      <c r="I45" s="376" t="s">
        <v>92</v>
      </c>
      <c r="J45" s="386"/>
      <c r="K45" s="377">
        <v>314285</v>
      </c>
      <c r="L45"/>
      <c r="M45" s="276"/>
      <c r="IS45" s="23"/>
      <c r="IT45" s="23"/>
      <c r="IU45" s="23"/>
      <c r="IV45" s="23"/>
      <c r="IW45" s="23"/>
      <c r="IX45" s="23"/>
      <c r="IY45" s="23"/>
    </row>
    <row r="46" spans="1:259" s="22" customFormat="1" x14ac:dyDescent="0.25">
      <c r="A46" s="24"/>
      <c r="B46" s="24" t="s">
        <v>38</v>
      </c>
      <c r="C46" s="24"/>
      <c r="D46" s="26">
        <v>0</v>
      </c>
      <c r="E46" s="26"/>
      <c r="F46" s="26"/>
      <c r="G46" s="258"/>
      <c r="H46" s="272"/>
      <c r="I46" s="273"/>
      <c r="J46" s="383"/>
      <c r="K46" s="274"/>
      <c r="L46"/>
      <c r="M46" s="276"/>
      <c r="IS46" s="23"/>
      <c r="IT46" s="23"/>
      <c r="IU46" s="23"/>
      <c r="IV46" s="23"/>
      <c r="IW46" s="23"/>
      <c r="IX46" s="23"/>
      <c r="IY46" s="23"/>
    </row>
    <row r="47" spans="1:259" s="22" customFormat="1" x14ac:dyDescent="0.25">
      <c r="A47" s="24"/>
      <c r="B47" s="24" t="s">
        <v>39</v>
      </c>
      <c r="C47" s="24"/>
      <c r="D47" s="282">
        <v>2236</v>
      </c>
      <c r="E47" s="26"/>
      <c r="F47" s="26"/>
      <c r="G47" s="258">
        <v>408.04</v>
      </c>
      <c r="H47" s="272"/>
      <c r="I47" s="376" t="s">
        <v>317</v>
      </c>
      <c r="J47" s="386"/>
      <c r="K47" s="375">
        <v>2236</v>
      </c>
      <c r="L47"/>
      <c r="M47" s="276"/>
      <c r="IS47" s="23"/>
      <c r="IT47" s="23"/>
      <c r="IU47" s="23"/>
      <c r="IV47" s="23"/>
      <c r="IW47" s="23"/>
      <c r="IX47" s="23"/>
      <c r="IY47" s="23"/>
    </row>
    <row r="48" spans="1:259" s="22" customFormat="1" x14ac:dyDescent="0.25">
      <c r="A48" s="24"/>
      <c r="B48" s="24"/>
      <c r="C48" s="24"/>
      <c r="D48" s="282"/>
      <c r="E48" s="26"/>
      <c r="F48" s="26"/>
      <c r="G48" s="258"/>
      <c r="H48" s="26"/>
      <c r="I48" s="26"/>
      <c r="J48" s="282"/>
      <c r="K48" s="21"/>
      <c r="L48" s="21"/>
      <c r="M48" s="21"/>
      <c r="IS48" s="23"/>
      <c r="IT48" s="23"/>
      <c r="IU48" s="23"/>
      <c r="IV48" s="23"/>
      <c r="IW48" s="23"/>
      <c r="IX48" s="23"/>
      <c r="IY48" s="23"/>
    </row>
    <row r="49" spans="1:259" s="22" customFormat="1" x14ac:dyDescent="0.25">
      <c r="A49" s="24"/>
      <c r="B49" s="23"/>
      <c r="C49" s="24"/>
      <c r="D49" s="316"/>
      <c r="E49" s="26"/>
      <c r="F49" s="26"/>
      <c r="G49" s="258"/>
      <c r="H49" s="26"/>
      <c r="I49" s="26"/>
      <c r="J49" s="282"/>
      <c r="K49" s="21"/>
      <c r="L49" s="21"/>
      <c r="M49" s="21"/>
      <c r="IS49" s="23"/>
      <c r="IT49" s="23"/>
      <c r="IU49" s="23"/>
      <c r="IV49" s="23"/>
      <c r="IW49" s="23"/>
      <c r="IX49" s="23"/>
      <c r="IY49" s="23"/>
    </row>
    <row r="50" spans="1:259" s="22" customFormat="1" x14ac:dyDescent="0.25">
      <c r="A50" s="29" t="s">
        <v>40</v>
      </c>
      <c r="B50" s="24"/>
      <c r="C50" s="24"/>
      <c r="D50" s="281">
        <f>SUM(D44:D49)</f>
        <v>1294282</v>
      </c>
      <c r="E50" s="26"/>
      <c r="F50" s="26"/>
      <c r="G50" s="258"/>
      <c r="H50" s="23"/>
      <c r="I50" s="26"/>
      <c r="J50" s="282"/>
      <c r="K50" s="21"/>
      <c r="L50" s="21"/>
      <c r="M50" s="21"/>
      <c r="IS50" s="23"/>
      <c r="IT50" s="23"/>
      <c r="IU50" s="23"/>
      <c r="IV50" s="23"/>
      <c r="IW50" s="23"/>
      <c r="IX50" s="23"/>
      <c r="IY50" s="23"/>
    </row>
    <row r="51" spans="1:259" s="22" customFormat="1" x14ac:dyDescent="0.25">
      <c r="A51" s="29" t="s">
        <v>41</v>
      </c>
      <c r="B51" s="24"/>
      <c r="C51" s="24"/>
      <c r="D51" s="301">
        <f>D13-D50</f>
        <v>105344</v>
      </c>
      <c r="E51" s="26"/>
      <c r="F51" s="26"/>
      <c r="G51" s="258"/>
      <c r="H51" s="272"/>
      <c r="I51" s="273"/>
      <c r="J51" s="383"/>
      <c r="K51" s="274"/>
      <c r="L51"/>
      <c r="M51" s="276"/>
      <c r="IS51" s="23"/>
      <c r="IT51" s="23"/>
      <c r="IU51" s="23"/>
      <c r="IV51" s="23"/>
      <c r="IW51" s="23"/>
      <c r="IX51" s="23"/>
      <c r="IY51" s="23"/>
    </row>
    <row r="52" spans="1:259" s="22" customFormat="1" x14ac:dyDescent="0.25">
      <c r="A52" s="26"/>
      <c r="B52" s="26"/>
      <c r="C52" s="258"/>
      <c r="D52" s="26"/>
      <c r="E52" s="26"/>
      <c r="F52" s="21"/>
      <c r="G52" s="21"/>
      <c r="H52" s="21"/>
      <c r="J52" s="382"/>
      <c r="IO52" s="23"/>
      <c r="IP52" s="23"/>
      <c r="IQ52" s="23"/>
      <c r="IR52" s="23"/>
      <c r="IS52" s="23"/>
      <c r="IT52" s="23"/>
      <c r="IU52" s="23"/>
    </row>
    <row r="53" spans="1:259" s="22" customFormat="1" x14ac:dyDescent="0.25">
      <c r="A53" s="26"/>
      <c r="B53" s="32"/>
      <c r="C53" s="258"/>
      <c r="D53" s="272"/>
      <c r="E53" s="273"/>
      <c r="F53" s="274"/>
      <c r="G53"/>
      <c r="H53" s="276"/>
      <c r="J53" s="382"/>
      <c r="IO53" s="23"/>
      <c r="IP53" s="23"/>
      <c r="IQ53" s="23"/>
      <c r="IR53" s="23"/>
      <c r="IS53" s="23"/>
      <c r="IT53" s="23"/>
      <c r="IU53" s="23"/>
    </row>
    <row r="54" spans="1:259" s="22" customFormat="1" ht="18.75" x14ac:dyDescent="0.25">
      <c r="A54" s="342" t="s">
        <v>55</v>
      </c>
      <c r="B54" s="342"/>
      <c r="C54" s="342"/>
      <c r="D54" s="342"/>
      <c r="E54" s="273"/>
      <c r="F54" s="274"/>
      <c r="J54" s="382"/>
      <c r="IO54" s="23"/>
      <c r="IP54" s="23"/>
      <c r="IQ54" s="23"/>
      <c r="IR54" s="23"/>
      <c r="IS54" s="23"/>
      <c r="IT54" s="23"/>
      <c r="IU54" s="23"/>
    </row>
    <row r="55" spans="1:259" s="22" customFormat="1" x14ac:dyDescent="0.25">
      <c r="A55" s="26"/>
      <c r="B55" s="26"/>
      <c r="C55" s="258"/>
      <c r="D55" s="26"/>
      <c r="E55" s="26"/>
      <c r="F55" s="21"/>
      <c r="J55" s="382"/>
      <c r="IO55" s="23"/>
      <c r="IP55" s="23"/>
      <c r="IQ55" s="23"/>
      <c r="IR55" s="23"/>
      <c r="IS55" s="23"/>
      <c r="IT55" s="23"/>
      <c r="IU55" s="23"/>
    </row>
    <row r="56" spans="1:259" s="22" customFormat="1" x14ac:dyDescent="0.25">
      <c r="A56" s="3"/>
      <c r="B56" s="3"/>
      <c r="C56" s="3"/>
      <c r="D56" s="124" t="s">
        <v>56</v>
      </c>
      <c r="E56" s="273"/>
      <c r="F56" s="274"/>
      <c r="G56" s="379" t="s">
        <v>318</v>
      </c>
      <c r="H56" s="26"/>
      <c r="I56" s="281" t="s">
        <v>319</v>
      </c>
      <c r="J56" s="282"/>
      <c r="K56" s="378" t="s">
        <v>320</v>
      </c>
      <c r="IO56" s="23"/>
      <c r="IP56" s="23"/>
      <c r="IQ56" s="23"/>
      <c r="IR56" s="23"/>
      <c r="IS56" s="23"/>
      <c r="IT56" s="23"/>
      <c r="IU56" s="23"/>
    </row>
    <row r="57" spans="1:259" s="22" customFormat="1" x14ac:dyDescent="0.25">
      <c r="A57" s="125" t="s">
        <v>7</v>
      </c>
      <c r="B57" s="26"/>
      <c r="C57" s="26"/>
      <c r="D57" s="3"/>
      <c r="E57" s="273"/>
      <c r="F57" s="274"/>
      <c r="J57" s="382"/>
      <c r="IO57" s="23"/>
      <c r="IP57" s="23"/>
      <c r="IQ57" s="23"/>
      <c r="IR57" s="23"/>
      <c r="IS57" s="23"/>
      <c r="IT57" s="23"/>
      <c r="IU57" s="23"/>
    </row>
    <row r="58" spans="1:259" s="22" customFormat="1" x14ac:dyDescent="0.25">
      <c r="A58" s="26"/>
      <c r="B58" s="26" t="s">
        <v>57</v>
      </c>
      <c r="C58" s="26"/>
      <c r="D58" s="66">
        <v>23463</v>
      </c>
      <c r="E58" s="26"/>
      <c r="G58">
        <v>522</v>
      </c>
      <c r="H58" s="276"/>
      <c r="I58" s="22" t="s">
        <v>309</v>
      </c>
      <c r="J58" s="382"/>
      <c r="K58" s="22">
        <v>14101</v>
      </c>
      <c r="IO58" s="23"/>
      <c r="IP58" s="23"/>
      <c r="IQ58" s="23"/>
      <c r="IR58" s="23"/>
      <c r="IS58" s="23"/>
      <c r="IT58" s="23"/>
      <c r="IU58" s="23"/>
    </row>
    <row r="59" spans="1:259" s="22" customFormat="1" x14ac:dyDescent="0.25">
      <c r="A59" s="26"/>
      <c r="B59" s="26" t="s">
        <v>58</v>
      </c>
      <c r="C59" s="26"/>
      <c r="D59" s="3"/>
      <c r="E59" s="26"/>
      <c r="G59" s="21">
        <v>522.01</v>
      </c>
      <c r="H59" s="21"/>
      <c r="I59" s="22" t="s">
        <v>310</v>
      </c>
      <c r="J59" s="382"/>
      <c r="K59" s="22">
        <v>9362</v>
      </c>
      <c r="L59" s="22">
        <f>SUM(K58:K59)</f>
        <v>23463</v>
      </c>
      <c r="IO59" s="23"/>
      <c r="IP59" s="23"/>
      <c r="IQ59" s="23"/>
      <c r="IR59" s="23"/>
      <c r="IS59" s="23"/>
      <c r="IT59" s="23"/>
      <c r="IU59" s="23"/>
    </row>
    <row r="60" spans="1:259" s="22" customFormat="1" x14ac:dyDescent="0.25">
      <c r="A60" s="26"/>
      <c r="B60" s="3"/>
      <c r="C60" s="26"/>
      <c r="D60" s="5"/>
      <c r="E60" s="26"/>
      <c r="F60" s="26"/>
      <c r="J60" s="382"/>
      <c r="L60" s="21"/>
      <c r="M60" s="21"/>
      <c r="IS60" s="23"/>
      <c r="IT60" s="23"/>
      <c r="IU60" s="23"/>
      <c r="IV60" s="23"/>
      <c r="IW60" s="23"/>
      <c r="IX60" s="23"/>
      <c r="IY60" s="23"/>
    </row>
    <row r="61" spans="1:259" s="22" customFormat="1" ht="18" x14ac:dyDescent="0.4">
      <c r="A61" s="26"/>
      <c r="B61" s="3" t="s">
        <v>12</v>
      </c>
      <c r="C61" s="26"/>
      <c r="D61" s="298"/>
      <c r="E61" s="173"/>
      <c r="F61" s="165"/>
      <c r="J61" s="382"/>
      <c r="IS61" s="23"/>
      <c r="IT61" s="23"/>
      <c r="IU61" s="23"/>
      <c r="IV61" s="23"/>
      <c r="IW61" s="23"/>
      <c r="IX61" s="23"/>
      <c r="IY61" s="23"/>
    </row>
    <row r="62" spans="1:259" s="22" customFormat="1" x14ac:dyDescent="0.25">
      <c r="A62" s="126" t="s">
        <v>15</v>
      </c>
      <c r="B62" s="26"/>
      <c r="C62" s="26"/>
      <c r="D62" s="3">
        <f>SUM(D58:D61)</f>
        <v>23463</v>
      </c>
      <c r="E62" s="173"/>
      <c r="F62" s="165"/>
      <c r="J62" s="382"/>
      <c r="IS62" s="23"/>
      <c r="IT62" s="23"/>
      <c r="IU62" s="23"/>
      <c r="IV62" s="23"/>
      <c r="IW62" s="23"/>
      <c r="IX62" s="23"/>
      <c r="IY62" s="23"/>
    </row>
    <row r="63" spans="1:259" s="22" customFormat="1" x14ac:dyDescent="0.25">
      <c r="A63" s="26"/>
      <c r="B63" s="26"/>
      <c r="C63" s="26"/>
      <c r="D63" s="3"/>
      <c r="E63" s="173"/>
      <c r="F63" s="166"/>
      <c r="J63" s="382"/>
      <c r="IS63" s="23"/>
      <c r="IT63" s="23"/>
      <c r="IU63" s="23"/>
      <c r="IV63" s="23"/>
      <c r="IW63" s="23"/>
      <c r="IX63" s="23"/>
      <c r="IY63" s="23"/>
    </row>
    <row r="64" spans="1:259" x14ac:dyDescent="0.25">
      <c r="A64" s="125" t="s">
        <v>16</v>
      </c>
      <c r="B64" s="26"/>
      <c r="C64" s="26"/>
      <c r="D64" s="3"/>
      <c r="H64" s="23"/>
      <c r="I64" s="23"/>
      <c r="J64" s="385"/>
      <c r="K64" s="23"/>
      <c r="L64" s="23"/>
      <c r="M64" s="23"/>
    </row>
    <row r="65" spans="1:13" x14ac:dyDescent="0.25">
      <c r="A65" s="26"/>
      <c r="B65" s="26" t="s">
        <v>59</v>
      </c>
      <c r="C65" s="26"/>
      <c r="D65" s="3"/>
      <c r="L65" s="23"/>
      <c r="M65" s="23"/>
    </row>
    <row r="66" spans="1:13" x14ac:dyDescent="0.25">
      <c r="A66" s="26"/>
      <c r="B66" s="26"/>
      <c r="C66" s="3" t="s">
        <v>60</v>
      </c>
      <c r="D66" s="3"/>
      <c r="H66" s="23"/>
      <c r="I66" s="23"/>
      <c r="J66" s="385"/>
      <c r="K66" s="23"/>
      <c r="L66" s="23"/>
      <c r="M66" s="23"/>
    </row>
    <row r="67" spans="1:13" x14ac:dyDescent="0.25">
      <c r="A67" s="26"/>
      <c r="B67" s="26"/>
      <c r="C67" s="26" t="s">
        <v>61</v>
      </c>
      <c r="D67" s="3"/>
      <c r="H67" s="23"/>
      <c r="I67" s="23"/>
      <c r="J67" s="385"/>
      <c r="K67" s="23"/>
      <c r="L67" s="23"/>
      <c r="M67" s="23"/>
    </row>
    <row r="68" spans="1:13" x14ac:dyDescent="0.25">
      <c r="A68" s="26"/>
      <c r="B68" s="26" t="s">
        <v>62</v>
      </c>
      <c r="C68" s="26"/>
      <c r="D68" s="3"/>
      <c r="H68" s="23"/>
      <c r="I68" s="23"/>
      <c r="J68" s="385"/>
      <c r="K68" s="23"/>
      <c r="L68" s="23"/>
      <c r="M68" s="23"/>
    </row>
    <row r="69" spans="1:13" x14ac:dyDescent="0.25">
      <c r="A69" s="26"/>
      <c r="B69" s="26"/>
      <c r="C69" s="26" t="s">
        <v>63</v>
      </c>
      <c r="D69" s="3"/>
      <c r="H69" s="23"/>
      <c r="I69" s="23"/>
      <c r="J69" s="385"/>
      <c r="K69" s="23"/>
      <c r="L69" s="23"/>
      <c r="M69" s="23"/>
    </row>
    <row r="70" spans="1:13" x14ac:dyDescent="0.25">
      <c r="A70" s="26"/>
      <c r="B70" s="26" t="s">
        <v>64</v>
      </c>
      <c r="C70" s="26"/>
      <c r="D70" s="3"/>
      <c r="H70" s="23"/>
      <c r="I70" s="23"/>
      <c r="J70" s="385"/>
      <c r="K70" s="23"/>
      <c r="L70" s="23"/>
      <c r="M70" s="23"/>
    </row>
    <row r="71" spans="1:13" x14ac:dyDescent="0.25">
      <c r="A71" s="26"/>
      <c r="B71" s="26"/>
      <c r="C71" s="26" t="s">
        <v>65</v>
      </c>
      <c r="D71" s="3">
        <v>27139</v>
      </c>
      <c r="G71" s="23">
        <v>705</v>
      </c>
      <c r="H71" s="23"/>
      <c r="I71" s="23" t="s">
        <v>316</v>
      </c>
      <c r="J71" s="385"/>
      <c r="K71" s="23">
        <v>27138</v>
      </c>
      <c r="L71" s="23"/>
      <c r="M71" s="23"/>
    </row>
    <row r="72" spans="1:13" x14ac:dyDescent="0.25">
      <c r="A72" s="26"/>
      <c r="B72" s="26" t="s">
        <v>66</v>
      </c>
      <c r="C72" s="3"/>
      <c r="D72" s="3"/>
      <c r="L72" s="23"/>
      <c r="M72" s="23"/>
    </row>
    <row r="73" spans="1:13" x14ac:dyDescent="0.25">
      <c r="A73" s="26"/>
      <c r="B73" s="26"/>
      <c r="C73" s="26" t="s">
        <v>12</v>
      </c>
      <c r="D73" s="3"/>
      <c r="L73" s="23"/>
      <c r="M73" s="23"/>
    </row>
    <row r="74" spans="1:13" x14ac:dyDescent="0.25">
      <c r="A74" s="26"/>
      <c r="B74" s="26"/>
      <c r="C74" s="26" t="s">
        <v>67</v>
      </c>
      <c r="D74" s="3"/>
      <c r="L74" s="23"/>
      <c r="M74" s="23"/>
    </row>
    <row r="75" spans="1:13" x14ac:dyDescent="0.25">
      <c r="A75" s="26"/>
      <c r="B75" s="26"/>
      <c r="C75" s="26" t="s">
        <v>68</v>
      </c>
      <c r="D75" s="3"/>
      <c r="L75" s="23"/>
      <c r="M75" s="23"/>
    </row>
    <row r="76" spans="1:13" x14ac:dyDescent="0.25">
      <c r="A76" s="26"/>
      <c r="B76" s="26" t="s">
        <v>69</v>
      </c>
      <c r="C76" s="26"/>
      <c r="D76" s="3"/>
      <c r="H76" s="23"/>
      <c r="I76" s="23"/>
      <c r="J76" s="385"/>
      <c r="K76" s="23"/>
      <c r="L76" s="23"/>
      <c r="M76" s="23"/>
    </row>
    <row r="77" spans="1:13" x14ac:dyDescent="0.25">
      <c r="A77" s="26"/>
      <c r="B77" s="26"/>
      <c r="C77" s="26" t="s">
        <v>70</v>
      </c>
      <c r="D77" s="3"/>
      <c r="H77" s="23"/>
      <c r="I77" s="23"/>
      <c r="J77" s="385"/>
      <c r="K77" s="23"/>
      <c r="L77" s="23"/>
      <c r="M77" s="23"/>
    </row>
    <row r="78" spans="1:13" x14ac:dyDescent="0.25">
      <c r="A78" s="26"/>
      <c r="B78" s="26"/>
      <c r="C78" s="26" t="s">
        <v>71</v>
      </c>
      <c r="D78" s="3"/>
      <c r="H78" s="272"/>
      <c r="I78" s="273"/>
      <c r="J78" s="383"/>
      <c r="K78" s="274"/>
      <c r="L78"/>
      <c r="M78" s="272"/>
    </row>
    <row r="79" spans="1:13" x14ac:dyDescent="0.25">
      <c r="A79" s="26"/>
      <c r="B79" s="26"/>
      <c r="C79" s="26" t="s">
        <v>72</v>
      </c>
      <c r="D79" s="3"/>
      <c r="H79" s="272"/>
      <c r="I79" s="273"/>
      <c r="J79" s="383"/>
      <c r="K79" s="274"/>
      <c r="L79"/>
      <c r="M79" s="275"/>
    </row>
    <row r="80" spans="1:13" x14ac:dyDescent="0.25">
      <c r="A80" s="26"/>
      <c r="B80" s="26"/>
      <c r="C80" s="26" t="s">
        <v>73</v>
      </c>
      <c r="D80" s="3"/>
      <c r="H80" s="272"/>
      <c r="I80" s="273"/>
      <c r="J80" s="383"/>
      <c r="K80" s="274"/>
      <c r="L80"/>
      <c r="M80" s="275"/>
    </row>
    <row r="81" spans="1:13" x14ac:dyDescent="0.25">
      <c r="A81" s="26"/>
      <c r="B81" s="26"/>
      <c r="C81" s="26" t="s">
        <v>22</v>
      </c>
      <c r="D81" s="3"/>
      <c r="H81" s="272"/>
      <c r="I81" s="273"/>
      <c r="J81" s="383"/>
      <c r="K81" s="274"/>
      <c r="L81"/>
      <c r="M81" s="278"/>
    </row>
    <row r="82" spans="1:13" x14ac:dyDescent="0.25">
      <c r="A82" s="26"/>
      <c r="B82" s="26"/>
      <c r="C82" s="26"/>
      <c r="D82" s="3"/>
      <c r="H82" s="272"/>
      <c r="I82" s="273"/>
      <c r="J82" s="383"/>
      <c r="K82" s="274"/>
      <c r="L82"/>
      <c r="M82" s="272"/>
    </row>
    <row r="83" spans="1:13" x14ac:dyDescent="0.25">
      <c r="A83" s="26"/>
      <c r="B83" s="26"/>
      <c r="C83" s="26" t="s">
        <v>74</v>
      </c>
      <c r="D83" s="3"/>
      <c r="H83" s="23"/>
      <c r="I83" s="23"/>
      <c r="J83" s="385"/>
      <c r="K83" s="23"/>
      <c r="L83" s="23"/>
      <c r="M83" s="23"/>
    </row>
    <row r="84" spans="1:13" x14ac:dyDescent="0.25">
      <c r="A84" s="26"/>
      <c r="B84" s="26"/>
      <c r="C84" s="26" t="s">
        <v>75</v>
      </c>
      <c r="D84" s="3"/>
      <c r="H84" s="23"/>
      <c r="I84" s="23"/>
      <c r="J84" s="385"/>
      <c r="K84" s="23"/>
      <c r="L84" s="23"/>
      <c r="M84" s="23"/>
    </row>
    <row r="85" spans="1:13" ht="18" x14ac:dyDescent="0.4">
      <c r="A85" s="26"/>
      <c r="B85" s="26"/>
      <c r="C85" s="26"/>
      <c r="D85" s="298"/>
      <c r="H85" s="272"/>
      <c r="I85" s="273"/>
      <c r="J85" s="383"/>
      <c r="K85" s="274"/>
      <c r="L85"/>
      <c r="M85" s="278"/>
    </row>
    <row r="86" spans="1:13" x14ac:dyDescent="0.25">
      <c r="A86" s="26"/>
      <c r="B86" s="126" t="s">
        <v>76</v>
      </c>
      <c r="C86" s="26"/>
      <c r="D86" s="75">
        <f>SUM(D66:D85)</f>
        <v>27139</v>
      </c>
      <c r="H86" s="272"/>
      <c r="I86" s="273"/>
      <c r="J86" s="383"/>
      <c r="K86" s="274"/>
      <c r="L86"/>
      <c r="M86" s="276"/>
    </row>
    <row r="87" spans="1:13" x14ac:dyDescent="0.25">
      <c r="A87" s="26"/>
      <c r="B87" s="26" t="s">
        <v>36</v>
      </c>
      <c r="C87" s="26"/>
      <c r="D87" s="3">
        <v>21693</v>
      </c>
      <c r="G87" s="23">
        <v>703</v>
      </c>
      <c r="H87" s="23"/>
      <c r="I87" s="23" t="s">
        <v>92</v>
      </c>
      <c r="J87" s="385"/>
      <c r="K87" s="23">
        <v>21693</v>
      </c>
      <c r="L87" s="23"/>
      <c r="M87" s="23"/>
    </row>
    <row r="88" spans="1:13" x14ac:dyDescent="0.25">
      <c r="A88" s="26"/>
      <c r="B88" s="26" t="s">
        <v>39</v>
      </c>
      <c r="C88" s="26"/>
      <c r="D88" s="75"/>
    </row>
    <row r="89" spans="1:13" x14ac:dyDescent="0.25">
      <c r="A89" s="126" t="s">
        <v>40</v>
      </c>
      <c r="B89" s="26"/>
      <c r="C89" s="26"/>
      <c r="D89" s="75">
        <f>SUM(D86:D88)</f>
        <v>48832</v>
      </c>
    </row>
    <row r="90" spans="1:13" x14ac:dyDescent="0.25">
      <c r="A90" s="126" t="s">
        <v>41</v>
      </c>
      <c r="B90" s="26"/>
      <c r="C90" s="26"/>
      <c r="D90" s="66">
        <f>D62-D89</f>
        <v>-25369</v>
      </c>
      <c r="H90" s="272"/>
      <c r="I90" s="273"/>
      <c r="J90" s="383"/>
      <c r="K90" s="277"/>
      <c r="L90" s="277"/>
      <c r="M90" s="275"/>
    </row>
    <row r="91" spans="1:13" x14ac:dyDescent="0.25">
      <c r="H91" s="272"/>
      <c r="I91" s="273"/>
      <c r="J91" s="383"/>
      <c r="K91" s="277"/>
      <c r="L91" s="277"/>
      <c r="M91" s="275"/>
    </row>
  </sheetData>
  <mergeCells count="3">
    <mergeCell ref="A2:E2"/>
    <mergeCell ref="A3:E3"/>
    <mergeCell ref="A54:D54"/>
  </mergeCells>
  <printOptions horizontalCentered="1"/>
  <pageMargins left="1.1000000000000001" right="1" top="0.6" bottom="0.5" header="0" footer="0"/>
  <pageSetup scale="8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29CE-C724-4669-9CCC-0E8B7CE4A835}">
  <dimension ref="C5:D12"/>
  <sheetViews>
    <sheetView showGridLines="0" workbookViewId="0">
      <selection activeCell="C5" sqref="C5:D12"/>
    </sheetView>
  </sheetViews>
  <sheetFormatPr defaultRowHeight="15" x14ac:dyDescent="0.2"/>
  <cols>
    <col min="3" max="3" width="22.21875" bestFit="1" customWidth="1"/>
    <col min="4" max="4" width="10" bestFit="1" customWidth="1"/>
  </cols>
  <sheetData>
    <row r="5" spans="3:4" x14ac:dyDescent="0.2">
      <c r="C5" t="s">
        <v>93</v>
      </c>
      <c r="D5" s="294">
        <v>37</v>
      </c>
    </row>
    <row r="6" spans="3:4" x14ac:dyDescent="0.2">
      <c r="C6" t="s">
        <v>94</v>
      </c>
      <c r="D6" s="293">
        <f>614+60</f>
        <v>674</v>
      </c>
    </row>
    <row r="7" spans="3:4" x14ac:dyDescent="0.2">
      <c r="C7" t="s">
        <v>95</v>
      </c>
      <c r="D7" s="293">
        <f>2010+3340</f>
        <v>5350</v>
      </c>
    </row>
    <row r="8" spans="3:4" x14ac:dyDescent="0.2">
      <c r="C8" t="s">
        <v>96</v>
      </c>
      <c r="D8" s="293">
        <f>30+1518</f>
        <v>1548</v>
      </c>
    </row>
    <row r="9" spans="3:4" x14ac:dyDescent="0.2">
      <c r="C9" t="s">
        <v>97</v>
      </c>
      <c r="D9" s="297">
        <v>492</v>
      </c>
    </row>
    <row r="11" spans="3:4" ht="15.75" thickBot="1" x14ac:dyDescent="0.25">
      <c r="C11" t="s">
        <v>98</v>
      </c>
      <c r="D11" s="387">
        <f>SUM(D5:D9)</f>
        <v>8101</v>
      </c>
    </row>
    <row r="12" spans="3:4" ht="15.75" thickTop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EC09-3680-44FA-A11B-C3E8887CC39F}">
  <dimension ref="D10:H31"/>
  <sheetViews>
    <sheetView showGridLines="0" workbookViewId="0">
      <selection activeCell="F29" sqref="F29"/>
    </sheetView>
  </sheetViews>
  <sheetFormatPr defaultRowHeight="15" x14ac:dyDescent="0.2"/>
  <cols>
    <col min="4" max="4" width="32.6640625" customWidth="1"/>
    <col min="5" max="5" width="1.77734375" customWidth="1"/>
    <col min="6" max="6" width="12" bestFit="1" customWidth="1"/>
    <col min="8" max="8" width="10" bestFit="1" customWidth="1"/>
  </cols>
  <sheetData>
    <row r="10" spans="4:7" x14ac:dyDescent="0.2">
      <c r="D10" t="s">
        <v>99</v>
      </c>
      <c r="F10">
        <v>106</v>
      </c>
      <c r="G10" s="284">
        <f>F10/F13</f>
        <v>3.5204251079375623E-2</v>
      </c>
    </row>
    <row r="11" spans="4:7" x14ac:dyDescent="0.2">
      <c r="D11" t="s">
        <v>100</v>
      </c>
      <c r="F11" s="285">
        <v>2905</v>
      </c>
      <c r="G11" s="284">
        <f>F11/F13</f>
        <v>0.96479574892062436</v>
      </c>
    </row>
    <row r="12" spans="4:7" x14ac:dyDescent="0.2">
      <c r="G12" s="284"/>
    </row>
    <row r="13" spans="4:7" ht="15.75" thickBot="1" x14ac:dyDescent="0.25">
      <c r="D13" t="s">
        <v>101</v>
      </c>
      <c r="F13" s="286">
        <f>SUM(F10:F11)</f>
        <v>3011</v>
      </c>
      <c r="G13" s="284">
        <f>SUM(G10:G11)</f>
        <v>1</v>
      </c>
    </row>
    <row r="14" spans="4:7" ht="15.75" thickTop="1" x14ac:dyDescent="0.2"/>
    <row r="22" spans="4:8" x14ac:dyDescent="0.2">
      <c r="F22" s="266" t="s">
        <v>102</v>
      </c>
      <c r="H22" s="266" t="s">
        <v>103</v>
      </c>
    </row>
    <row r="23" spans="4:8" x14ac:dyDescent="0.2">
      <c r="F23" s="266" t="s">
        <v>104</v>
      </c>
      <c r="H23" s="266" t="s">
        <v>105</v>
      </c>
    </row>
    <row r="25" spans="4:8" x14ac:dyDescent="0.2">
      <c r="D25" s="179" t="s">
        <v>106</v>
      </c>
      <c r="F25" s="294">
        <f>Wages!E9</f>
        <v>173423.08374999999</v>
      </c>
      <c r="G25" s="295">
        <f>$G$10</f>
        <v>3.5204251079375623E-2</v>
      </c>
      <c r="H25" s="296">
        <f>F25*G25</f>
        <v>6105.229783294586</v>
      </c>
    </row>
    <row r="26" spans="4:8" x14ac:dyDescent="0.2">
      <c r="D26" t="s">
        <v>107</v>
      </c>
      <c r="F26" s="293">
        <f>SAOw!D20</f>
        <v>18000</v>
      </c>
      <c r="G26" s="295">
        <f t="shared" ref="G26:G29" si="0">$G$10</f>
        <v>3.5204251079375623E-2</v>
      </c>
      <c r="H26" s="293">
        <f t="shared" ref="H26:H29" si="1">F26*G26</f>
        <v>633.67651942876125</v>
      </c>
    </row>
    <row r="27" spans="4:8" x14ac:dyDescent="0.2">
      <c r="D27" t="s">
        <v>22</v>
      </c>
      <c r="F27" s="293">
        <f>SAOw!D21+SAOw!F21+SAOw!F22</f>
        <v>68317</v>
      </c>
      <c r="G27" s="295">
        <f t="shared" si="0"/>
        <v>3.5204251079375623E-2</v>
      </c>
      <c r="H27" s="293">
        <f t="shared" si="1"/>
        <v>2405.0488209897044</v>
      </c>
    </row>
    <row r="28" spans="4:8" x14ac:dyDescent="0.2">
      <c r="D28" s="179" t="s">
        <v>108</v>
      </c>
      <c r="F28" s="293">
        <f>Wages!E15</f>
        <v>13266.865906874998</v>
      </c>
      <c r="G28" s="295">
        <f t="shared" si="0"/>
        <v>3.5204251079375623E-2</v>
      </c>
      <c r="H28" s="293">
        <f t="shared" si="1"/>
        <v>467.05007842203582</v>
      </c>
    </row>
    <row r="29" spans="4:8" x14ac:dyDescent="0.2">
      <c r="D29" t="s">
        <v>73</v>
      </c>
      <c r="F29" s="297">
        <f>SAOw!D29+SAOw!D30</f>
        <v>29224</v>
      </c>
      <c r="G29" s="295">
        <f t="shared" si="0"/>
        <v>3.5204251079375623E-2</v>
      </c>
      <c r="H29" s="297">
        <f t="shared" si="1"/>
        <v>1028.8090335436732</v>
      </c>
    </row>
    <row r="31" spans="4:8" x14ac:dyDescent="0.2">
      <c r="H31" s="296">
        <f>SUM(H25:H29)</f>
        <v>10639.814235678761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FF69-8A7A-4C4F-84DD-B476A95EF8D4}">
  <dimension ref="A1:J24"/>
  <sheetViews>
    <sheetView workbookViewId="0">
      <selection activeCell="E23" sqref="E23"/>
    </sheetView>
  </sheetViews>
  <sheetFormatPr defaultColWidth="8.88671875" defaultRowHeight="15" x14ac:dyDescent="0.25"/>
  <cols>
    <col min="1" max="1" width="8.88671875" style="1"/>
    <col min="2" max="2" width="8.88671875" style="250"/>
    <col min="3" max="3" width="26.33203125" style="1" bestFit="1" customWidth="1"/>
    <col min="4" max="4" width="8.88671875" style="1"/>
    <col min="5" max="5" width="10.44140625" style="1" customWidth="1"/>
    <col min="6" max="6" width="12.88671875" style="1" bestFit="1" customWidth="1"/>
    <col min="7" max="7" width="11.21875" style="1" bestFit="1" customWidth="1"/>
    <col min="8" max="8" width="9.88671875" style="1" bestFit="1" customWidth="1"/>
    <col min="9" max="9" width="10.33203125" style="1" bestFit="1" customWidth="1"/>
    <col min="10" max="16384" width="8.88671875" style="1"/>
  </cols>
  <sheetData>
    <row r="1" spans="1:10" x14ac:dyDescent="0.25">
      <c r="A1" s="246" t="s">
        <v>109</v>
      </c>
      <c r="B1" s="250" t="s">
        <v>110</v>
      </c>
      <c r="C1" s="1" t="s">
        <v>111</v>
      </c>
      <c r="D1" s="247" t="s">
        <v>112</v>
      </c>
      <c r="E1" s="65" t="s">
        <v>113</v>
      </c>
      <c r="F1" s="247" t="s">
        <v>114</v>
      </c>
      <c r="G1" s="247" t="s">
        <v>115</v>
      </c>
      <c r="H1" s="65" t="s">
        <v>116</v>
      </c>
    </row>
    <row r="2" spans="1:10" x14ac:dyDescent="0.25">
      <c r="A2" s="248" t="s">
        <v>117</v>
      </c>
      <c r="B2" s="250" t="s">
        <v>118</v>
      </c>
      <c r="C2" s="1" t="s">
        <v>119</v>
      </c>
      <c r="D2" s="247">
        <v>2080</v>
      </c>
      <c r="E2" s="65"/>
      <c r="F2" s="247"/>
      <c r="G2" s="247"/>
      <c r="H2" s="65">
        <v>51522</v>
      </c>
    </row>
    <row r="3" spans="1:10" x14ac:dyDescent="0.25">
      <c r="A3" s="248" t="s">
        <v>120</v>
      </c>
      <c r="B3" s="250">
        <v>18.03</v>
      </c>
      <c r="C3" s="1" t="s">
        <v>121</v>
      </c>
      <c r="D3" s="247">
        <f>1818.25+84+172</f>
        <v>2074.25</v>
      </c>
      <c r="E3" s="65">
        <f t="shared" ref="E3:E5" si="0">B3*D3</f>
        <v>37398.727500000001</v>
      </c>
      <c r="F3" s="247">
        <v>387.25</v>
      </c>
      <c r="G3" s="247">
        <f>B3*1.5*F3</f>
        <v>10473.17625</v>
      </c>
      <c r="H3" s="65">
        <f>E3+G3</f>
        <v>47871.903749999998</v>
      </c>
    </row>
    <row r="4" spans="1:10" x14ac:dyDescent="0.25">
      <c r="A4" s="248" t="s">
        <v>122</v>
      </c>
      <c r="B4" s="250">
        <v>15.25</v>
      </c>
      <c r="C4" s="1" t="s">
        <v>121</v>
      </c>
      <c r="D4" s="247">
        <f>1827+84+152.5</f>
        <v>2063.5</v>
      </c>
      <c r="E4" s="65">
        <f t="shared" si="0"/>
        <v>31468.375</v>
      </c>
      <c r="F4" s="247">
        <v>315.68</v>
      </c>
      <c r="G4" s="247">
        <f>B4*1.5*F4</f>
        <v>7221.18</v>
      </c>
      <c r="H4" s="65">
        <f t="shared" ref="H4:H5" si="1">E4+G4</f>
        <v>38689.555</v>
      </c>
    </row>
    <row r="5" spans="1:10" x14ac:dyDescent="0.25">
      <c r="A5" s="248" t="s">
        <v>123</v>
      </c>
      <c r="B5" s="250">
        <v>13.5</v>
      </c>
      <c r="C5" s="1" t="s">
        <v>121</v>
      </c>
      <c r="D5" s="249">
        <f>1722+52+144</f>
        <v>1918</v>
      </c>
      <c r="E5" s="251">
        <f t="shared" si="0"/>
        <v>25893</v>
      </c>
      <c r="F5" s="249">
        <v>466.5</v>
      </c>
      <c r="G5" s="249">
        <f>B5*1.5*F5</f>
        <v>9446.625</v>
      </c>
      <c r="H5" s="251">
        <f t="shared" si="1"/>
        <v>35339.625</v>
      </c>
    </row>
    <row r="6" spans="1:10" x14ac:dyDescent="0.25">
      <c r="A6" s="246"/>
      <c r="C6" s="1" t="s">
        <v>102</v>
      </c>
      <c r="D6" s="247">
        <f>SUM(D2:D5)</f>
        <v>8135.75</v>
      </c>
      <c r="E6" s="250">
        <f>SUM(E2:E5)</f>
        <v>94760.102500000008</v>
      </c>
      <c r="F6" s="127">
        <f>SUM(F2:F5)</f>
        <v>1169.43</v>
      </c>
      <c r="G6" s="250">
        <f>SUM(G2:G5)</f>
        <v>27140.981250000001</v>
      </c>
      <c r="H6" s="250">
        <f>SUM(H2:H5)</f>
        <v>173423.08374999999</v>
      </c>
      <c r="I6" s="65"/>
    </row>
    <row r="8" spans="1:10" x14ac:dyDescent="0.25">
      <c r="A8" s="246"/>
      <c r="E8" s="65" t="s">
        <v>5</v>
      </c>
      <c r="F8" s="65"/>
      <c r="G8" s="247"/>
      <c r="H8" s="247"/>
      <c r="I8" s="247"/>
    </row>
    <row r="9" spans="1:10" x14ac:dyDescent="0.25">
      <c r="A9" s="246"/>
      <c r="C9" s="1" t="s">
        <v>124</v>
      </c>
      <c r="E9" s="250">
        <f>H6</f>
        <v>173423.08374999999</v>
      </c>
      <c r="F9" s="65"/>
      <c r="G9" s="247"/>
      <c r="H9" s="247"/>
      <c r="I9" s="247"/>
      <c r="J9" s="65"/>
    </row>
    <row r="10" spans="1:10" x14ac:dyDescent="0.25">
      <c r="A10" s="246"/>
      <c r="C10" s="1" t="s">
        <v>125</v>
      </c>
      <c r="E10" s="252">
        <f>-SAOw!D17</f>
        <v>-179018</v>
      </c>
      <c r="F10" s="65"/>
      <c r="G10" s="247"/>
      <c r="H10" s="247"/>
      <c r="I10" s="247"/>
      <c r="J10" s="65"/>
    </row>
    <row r="11" spans="1:10" x14ac:dyDescent="0.25">
      <c r="A11" s="246"/>
      <c r="C11" s="1" t="s">
        <v>126</v>
      </c>
      <c r="E11" s="250">
        <f>SUM(E9:E10)</f>
        <v>-5594.9162500000093</v>
      </c>
      <c r="F11" s="253" t="s">
        <v>127</v>
      </c>
      <c r="G11" s="247"/>
      <c r="H11" s="247"/>
      <c r="I11" s="247"/>
      <c r="J11" s="65"/>
    </row>
    <row r="12" spans="1:10" x14ac:dyDescent="0.25">
      <c r="J12" s="65"/>
    </row>
    <row r="13" spans="1:10" x14ac:dyDescent="0.25">
      <c r="A13" s="246"/>
      <c r="C13" s="1" t="s">
        <v>128</v>
      </c>
      <c r="E13" s="90">
        <f>E9</f>
        <v>173423.08374999999</v>
      </c>
      <c r="F13" s="65"/>
      <c r="G13" s="247"/>
      <c r="H13" s="247"/>
      <c r="I13" s="247"/>
    </row>
    <row r="14" spans="1:10" x14ac:dyDescent="0.25">
      <c r="A14" s="246"/>
      <c r="C14" s="1" t="s">
        <v>129</v>
      </c>
      <c r="E14" s="245">
        <v>7.6499999999999999E-2</v>
      </c>
      <c r="F14" s="65"/>
      <c r="G14" s="247"/>
      <c r="H14" s="247"/>
      <c r="I14" s="247"/>
      <c r="J14" s="65"/>
    </row>
    <row r="15" spans="1:10" x14ac:dyDescent="0.25">
      <c r="A15" s="246"/>
      <c r="C15" s="1" t="s">
        <v>130</v>
      </c>
      <c r="E15" s="250">
        <f>E13*E14</f>
        <v>13266.865906874998</v>
      </c>
      <c r="F15" s="65"/>
      <c r="G15" s="247"/>
      <c r="H15" s="247"/>
      <c r="I15" s="247"/>
      <c r="J15" s="65"/>
    </row>
    <row r="16" spans="1:10" x14ac:dyDescent="0.25">
      <c r="A16" s="246"/>
      <c r="C16" s="1" t="s">
        <v>131</v>
      </c>
      <c r="E16" s="252">
        <v>14771</v>
      </c>
      <c r="F16" s="65" t="s">
        <v>132</v>
      </c>
      <c r="G16" s="247"/>
      <c r="H16" s="247"/>
      <c r="I16" s="247"/>
      <c r="J16" s="65"/>
    </row>
    <row r="17" spans="1:10" x14ac:dyDescent="0.25">
      <c r="A17" s="246"/>
      <c r="C17" s="1" t="s">
        <v>133</v>
      </c>
      <c r="E17" s="250">
        <f>E15-E16</f>
        <v>-1504.1340931250015</v>
      </c>
      <c r="F17" s="65"/>
      <c r="G17" s="247"/>
      <c r="H17" s="247"/>
      <c r="I17" s="247"/>
      <c r="J17" s="65"/>
    </row>
    <row r="18" spans="1:10" x14ac:dyDescent="0.25">
      <c r="J18" s="65"/>
    </row>
    <row r="19" spans="1:10" x14ac:dyDescent="0.25">
      <c r="A19" s="246"/>
      <c r="C19" s="1" t="s">
        <v>128</v>
      </c>
      <c r="E19" s="90">
        <f>H6</f>
        <v>173423.08374999999</v>
      </c>
      <c r="F19" s="65"/>
      <c r="G19" s="247"/>
      <c r="H19" s="247"/>
      <c r="I19" s="247"/>
    </row>
    <row r="20" spans="1:10" x14ac:dyDescent="0.25">
      <c r="A20" s="246"/>
      <c r="C20" s="1" t="s">
        <v>134</v>
      </c>
      <c r="E20" s="245">
        <v>0.2334</v>
      </c>
      <c r="F20" s="65"/>
      <c r="G20" s="247"/>
      <c r="H20" s="247"/>
      <c r="I20" s="247"/>
      <c r="J20" s="65"/>
    </row>
    <row r="21" spans="1:10" x14ac:dyDescent="0.25">
      <c r="A21" s="246"/>
      <c r="C21" s="1" t="s">
        <v>135</v>
      </c>
      <c r="E21" s="250">
        <f>E19*E20</f>
        <v>40476.94774725</v>
      </c>
      <c r="F21" s="65"/>
      <c r="G21" s="247"/>
      <c r="H21" s="247"/>
      <c r="I21" s="247"/>
      <c r="J21" s="65"/>
    </row>
    <row r="22" spans="1:10" x14ac:dyDescent="0.25">
      <c r="E22" s="252"/>
      <c r="F22" s="65"/>
      <c r="G22" s="247"/>
      <c r="H22" s="247"/>
      <c r="I22" s="247"/>
      <c r="J22" s="65"/>
    </row>
    <row r="23" spans="1:10" x14ac:dyDescent="0.25">
      <c r="E23" s="250"/>
      <c r="F23" s="65"/>
      <c r="G23" s="247"/>
      <c r="H23" s="247"/>
      <c r="I23" s="247"/>
      <c r="J23" s="65"/>
    </row>
    <row r="24" spans="1:10" x14ac:dyDescent="0.25">
      <c r="J24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7014-9138-4EA8-BD4C-4A4A86D801AE}">
  <dimension ref="A1:F37"/>
  <sheetViews>
    <sheetView workbookViewId="0">
      <selection activeCell="A32" sqref="A32"/>
    </sheetView>
  </sheetViews>
  <sheetFormatPr defaultRowHeight="15" x14ac:dyDescent="0.2"/>
  <cols>
    <col min="1" max="1" width="18.77734375" customWidth="1"/>
    <col min="2" max="2" width="9.88671875" bestFit="1" customWidth="1"/>
    <col min="3" max="3" width="8.88671875" bestFit="1" customWidth="1"/>
    <col min="4" max="4" width="9.6640625" bestFit="1" customWidth="1"/>
  </cols>
  <sheetData>
    <row r="1" spans="1:6" ht="15.75" x14ac:dyDescent="0.25">
      <c r="A1" s="1" t="s">
        <v>136</v>
      </c>
      <c r="B1" s="1"/>
      <c r="C1" s="1"/>
      <c r="D1" s="1"/>
      <c r="E1" s="1"/>
      <c r="F1" s="1"/>
    </row>
    <row r="2" spans="1:6" ht="15.75" x14ac:dyDescent="0.25">
      <c r="A2" s="1" t="s">
        <v>137</v>
      </c>
      <c r="B2" s="1"/>
      <c r="C2" s="1">
        <v>0</v>
      </c>
      <c r="D2" s="1"/>
      <c r="E2" s="1"/>
      <c r="F2" s="1"/>
    </row>
    <row r="3" spans="1:6" ht="15.75" x14ac:dyDescent="0.25">
      <c r="A3" s="1" t="s">
        <v>138</v>
      </c>
      <c r="B3" s="1"/>
      <c r="C3" s="48">
        <v>130598</v>
      </c>
      <c r="D3" s="1"/>
      <c r="E3" s="1"/>
      <c r="F3" s="1"/>
    </row>
    <row r="4" spans="1:6" ht="15.75" x14ac:dyDescent="0.25">
      <c r="A4" s="1" t="s">
        <v>139</v>
      </c>
      <c r="B4" s="1"/>
      <c r="C4" s="19">
        <f>C2+C3</f>
        <v>130598</v>
      </c>
      <c r="D4" s="1"/>
      <c r="E4" s="1"/>
      <c r="F4" s="1"/>
    </row>
    <row r="5" spans="1:6" ht="15.75" x14ac:dyDescent="0.25">
      <c r="A5" s="1"/>
      <c r="B5" s="1"/>
      <c r="C5" s="1"/>
      <c r="D5" s="1"/>
      <c r="E5" s="1"/>
      <c r="F5" s="1"/>
    </row>
    <row r="6" spans="1:6" ht="15.75" x14ac:dyDescent="0.25">
      <c r="A6" s="1" t="s">
        <v>140</v>
      </c>
      <c r="B6" s="1"/>
      <c r="C6" s="19">
        <v>101901</v>
      </c>
      <c r="D6" s="1"/>
      <c r="E6" s="1"/>
      <c r="F6" s="1"/>
    </row>
    <row r="7" spans="1:6" ht="15.75" x14ac:dyDescent="0.25">
      <c r="A7" s="1"/>
      <c r="B7" s="1"/>
      <c r="C7" s="1"/>
      <c r="D7" s="1"/>
      <c r="E7" s="1"/>
      <c r="F7" s="1"/>
    </row>
    <row r="8" spans="1:6" ht="15.75" x14ac:dyDescent="0.25">
      <c r="A8" s="1" t="s">
        <v>141</v>
      </c>
      <c r="B8" s="1"/>
      <c r="C8" s="1"/>
      <c r="D8" s="1"/>
      <c r="E8" s="1"/>
      <c r="F8" s="1"/>
    </row>
    <row r="9" spans="1:6" ht="15.75" x14ac:dyDescent="0.25">
      <c r="A9" s="1" t="s">
        <v>142</v>
      </c>
      <c r="B9" s="1">
        <v>0</v>
      </c>
      <c r="C9" s="1"/>
      <c r="D9" s="1"/>
      <c r="E9" s="1"/>
      <c r="F9" s="1"/>
    </row>
    <row r="10" spans="1:6" ht="15.75" x14ac:dyDescent="0.25">
      <c r="A10" s="1" t="s">
        <v>143</v>
      </c>
      <c r="B10" s="19">
        <v>9432</v>
      </c>
      <c r="C10" s="1"/>
      <c r="D10" s="1"/>
      <c r="E10" s="1"/>
      <c r="F10" s="1"/>
    </row>
    <row r="11" spans="1:6" ht="15.75" x14ac:dyDescent="0.25">
      <c r="A11" s="1" t="s">
        <v>144</v>
      </c>
      <c r="B11" s="19">
        <v>3</v>
      </c>
      <c r="C11" s="1"/>
      <c r="D11" s="1"/>
      <c r="E11" s="1"/>
      <c r="F11" s="1"/>
    </row>
    <row r="12" spans="1:6" ht="15.75" x14ac:dyDescent="0.25">
      <c r="A12" s="1" t="s">
        <v>145</v>
      </c>
      <c r="B12" s="1">
        <v>0</v>
      </c>
      <c r="C12" s="1"/>
      <c r="D12" s="1"/>
      <c r="E12" s="1"/>
      <c r="F12" s="1"/>
    </row>
    <row r="13" spans="1:6" ht="15.75" x14ac:dyDescent="0.25">
      <c r="A13" s="1" t="s">
        <v>146</v>
      </c>
      <c r="B13" s="1"/>
      <c r="C13" s="19">
        <f>SUM(B9:B12)</f>
        <v>9435</v>
      </c>
      <c r="D13" s="1"/>
      <c r="E13" s="1"/>
      <c r="F13" s="1"/>
    </row>
    <row r="14" spans="1:6" ht="15.75" x14ac:dyDescent="0.25">
      <c r="A14" s="1"/>
      <c r="B14" s="1"/>
      <c r="C14" s="1"/>
      <c r="D14" s="1"/>
      <c r="E14" s="1"/>
      <c r="F14" s="1"/>
    </row>
    <row r="15" spans="1:6" ht="15.75" x14ac:dyDescent="0.25">
      <c r="A15" s="1" t="s">
        <v>147</v>
      </c>
      <c r="B15" s="1"/>
      <c r="C15" s="1"/>
      <c r="D15" s="1"/>
      <c r="E15" s="1"/>
      <c r="F15" s="1"/>
    </row>
    <row r="16" spans="1:6" ht="15.75" x14ac:dyDescent="0.25">
      <c r="A16" s="1" t="s">
        <v>148</v>
      </c>
      <c r="B16" s="19">
        <v>0</v>
      </c>
      <c r="C16" s="1"/>
      <c r="D16" s="1"/>
      <c r="E16" s="1"/>
      <c r="F16" s="1"/>
    </row>
    <row r="17" spans="1:6" ht="15.75" x14ac:dyDescent="0.25">
      <c r="A17" s="1" t="s">
        <v>149</v>
      </c>
      <c r="B17" s="1">
        <v>1844</v>
      </c>
      <c r="C17" s="1"/>
      <c r="D17" s="1"/>
      <c r="E17" s="1"/>
      <c r="F17" s="1"/>
    </row>
    <row r="18" spans="1:6" ht="15.75" x14ac:dyDescent="0.25">
      <c r="A18" s="1" t="s">
        <v>150</v>
      </c>
      <c r="B18" s="1">
        <v>0</v>
      </c>
      <c r="C18" s="1"/>
      <c r="D18" s="1"/>
      <c r="E18" s="1"/>
      <c r="F18" s="1"/>
    </row>
    <row r="19" spans="1:6" ht="15.75" x14ac:dyDescent="0.25">
      <c r="A19" s="1" t="s">
        <v>151</v>
      </c>
      <c r="B19" s="19">
        <v>17418</v>
      </c>
      <c r="C19" s="1"/>
      <c r="D19" s="1"/>
      <c r="E19" s="1"/>
      <c r="F19" s="1"/>
    </row>
    <row r="20" spans="1:6" ht="15.75" x14ac:dyDescent="0.25">
      <c r="A20" s="1" t="s">
        <v>152</v>
      </c>
      <c r="B20" s="1"/>
      <c r="C20" s="48">
        <f>SUM(B16:B19)</f>
        <v>19262</v>
      </c>
      <c r="D20" s="1"/>
      <c r="E20" s="1"/>
      <c r="F20" s="1"/>
    </row>
    <row r="21" spans="1:6" ht="15.75" x14ac:dyDescent="0.25">
      <c r="A21" s="1" t="s">
        <v>153</v>
      </c>
      <c r="B21" s="1"/>
      <c r="C21" s="19">
        <f>C6+C13+C20</f>
        <v>130598</v>
      </c>
      <c r="D21" s="1"/>
      <c r="E21" s="1"/>
      <c r="F21" s="1"/>
    </row>
    <row r="22" spans="1:6" ht="15.75" x14ac:dyDescent="0.25">
      <c r="A22" s="1"/>
      <c r="B22" s="1"/>
      <c r="C22" s="1"/>
      <c r="D22" s="1"/>
      <c r="E22" s="1"/>
      <c r="F22" s="1"/>
    </row>
    <row r="23" spans="1:6" ht="15.75" x14ac:dyDescent="0.25">
      <c r="A23" s="1"/>
      <c r="B23" s="1"/>
      <c r="C23" s="1"/>
      <c r="D23" s="1"/>
      <c r="E23" s="1"/>
      <c r="F23" s="1"/>
    </row>
    <row r="24" spans="1:6" ht="15.75" x14ac:dyDescent="0.25">
      <c r="A24" s="1"/>
      <c r="B24" s="1"/>
      <c r="C24" s="1"/>
      <c r="D24" s="245">
        <f>C20/C21</f>
        <v>0.14749077321245349</v>
      </c>
      <c r="E24" s="1" t="s">
        <v>154</v>
      </c>
      <c r="F24" s="1"/>
    </row>
    <row r="25" spans="1:6" ht="15.75" x14ac:dyDescent="0.25">
      <c r="A25" s="1"/>
      <c r="B25" s="1"/>
      <c r="C25" s="1"/>
      <c r="D25" s="245">
        <v>0.15</v>
      </c>
      <c r="E25" s="1" t="s">
        <v>155</v>
      </c>
      <c r="F25" s="1"/>
    </row>
    <row r="26" spans="1:6" ht="15.75" x14ac:dyDescent="0.25">
      <c r="A26" s="1"/>
      <c r="B26" s="1"/>
      <c r="C26" s="1"/>
      <c r="D26" s="245">
        <f>D24-D25</f>
        <v>-2.5092267875465035E-3</v>
      </c>
      <c r="E26" s="1" t="s">
        <v>156</v>
      </c>
      <c r="F26" s="1"/>
    </row>
    <row r="27" spans="1:6" ht="15.75" x14ac:dyDescent="0.25">
      <c r="A27" s="1"/>
      <c r="B27" s="1"/>
      <c r="C27" s="1"/>
      <c r="D27" s="1"/>
      <c r="E27" s="1"/>
      <c r="F27" s="1"/>
    </row>
    <row r="28" spans="1:6" ht="15.75" x14ac:dyDescent="0.25">
      <c r="A28" s="1"/>
    </row>
    <row r="29" spans="1:6" ht="15.75" x14ac:dyDescent="0.25">
      <c r="A29" s="1"/>
    </row>
    <row r="30" spans="1:6" ht="15.75" x14ac:dyDescent="0.25">
      <c r="A30" s="1"/>
    </row>
    <row r="31" spans="1:6" ht="15.75" x14ac:dyDescent="0.25">
      <c r="A31" s="1"/>
    </row>
    <row r="32" spans="1:6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C64"/>
  <sheetViews>
    <sheetView showGridLines="0" topLeftCell="A28" workbookViewId="0">
      <selection activeCell="B2" sqref="B2:L59"/>
    </sheetView>
  </sheetViews>
  <sheetFormatPr defaultColWidth="8.88671875" defaultRowHeight="15" x14ac:dyDescent="0.25"/>
  <cols>
    <col min="1" max="1" width="1.88671875" style="1" customWidth="1"/>
    <col min="2" max="2" width="1.77734375" style="1" customWidth="1"/>
    <col min="3" max="3" width="1.6640625" style="19" customWidth="1"/>
    <col min="4" max="4" width="29.33203125" style="19" customWidth="1"/>
    <col min="5" max="5" width="7.77734375" style="213" customWidth="1"/>
    <col min="6" max="6" width="10.109375" style="221" customWidth="1"/>
    <col min="7" max="7" width="7.33203125" style="121" bestFit="1" customWidth="1"/>
    <col min="8" max="8" width="8.77734375" style="233" customWidth="1"/>
    <col min="9" max="9" width="5.77734375" style="53" customWidth="1"/>
    <col min="10" max="10" width="8.77734375" style="19" customWidth="1"/>
    <col min="11" max="11" width="10" style="19" customWidth="1"/>
    <col min="12" max="12" width="1.77734375" style="19" customWidth="1"/>
    <col min="13" max="13" width="2.33203125" style="19" customWidth="1"/>
    <col min="14" max="256" width="9.6640625" style="19" customWidth="1"/>
    <col min="257" max="16384" width="8.88671875" style="1"/>
  </cols>
  <sheetData>
    <row r="1" spans="2:25" x14ac:dyDescent="0.25">
      <c r="N1" s="38"/>
    </row>
    <row r="2" spans="2:25" x14ac:dyDescent="0.25">
      <c r="B2" s="39"/>
      <c r="C2" s="40"/>
      <c r="D2" s="40"/>
      <c r="E2" s="216"/>
      <c r="F2" s="222"/>
      <c r="G2" s="219"/>
      <c r="H2" s="234"/>
      <c r="I2" s="54"/>
      <c r="J2" s="40"/>
      <c r="K2" s="40"/>
      <c r="L2" s="41"/>
    </row>
    <row r="3" spans="2:25" ht="18.75" x14ac:dyDescent="0.3">
      <c r="B3" s="42"/>
      <c r="C3" s="346" t="s">
        <v>157</v>
      </c>
      <c r="D3" s="346"/>
      <c r="E3" s="346"/>
      <c r="F3" s="346"/>
      <c r="G3" s="346"/>
      <c r="H3" s="346"/>
      <c r="I3" s="346"/>
      <c r="J3" s="346"/>
      <c r="K3" s="346"/>
      <c r="L3" s="44"/>
    </row>
    <row r="4" spans="2:25" ht="18.75" x14ac:dyDescent="0.3">
      <c r="B4" s="42"/>
      <c r="C4" s="345" t="s">
        <v>158</v>
      </c>
      <c r="D4" s="345"/>
      <c r="E4" s="345"/>
      <c r="F4" s="345"/>
      <c r="G4" s="345"/>
      <c r="H4" s="345"/>
      <c r="I4" s="345"/>
      <c r="J4" s="345"/>
      <c r="K4" s="345"/>
      <c r="L4" s="44"/>
    </row>
    <row r="5" spans="2:25" ht="15" customHeight="1" x14ac:dyDescent="0.25">
      <c r="B5" s="42"/>
      <c r="C5" s="341" t="s">
        <v>1</v>
      </c>
      <c r="D5" s="341"/>
      <c r="E5" s="341"/>
      <c r="F5" s="341"/>
      <c r="G5" s="341"/>
      <c r="H5" s="341"/>
      <c r="I5" s="341"/>
      <c r="J5" s="341"/>
      <c r="K5" s="341"/>
      <c r="L5" s="44"/>
      <c r="Q5" s="60"/>
      <c r="R5" s="60"/>
      <c r="S5" s="60"/>
      <c r="T5" s="60"/>
      <c r="U5" s="60"/>
      <c r="V5" s="60"/>
      <c r="W5" s="60"/>
      <c r="X5" s="60"/>
      <c r="Y5" s="60"/>
    </row>
    <row r="6" spans="2:25" ht="15" customHeight="1" x14ac:dyDescent="0.25">
      <c r="B6" s="42"/>
      <c r="C6" s="104"/>
      <c r="D6" s="104"/>
      <c r="E6" s="104"/>
      <c r="F6" s="223"/>
      <c r="G6" s="210"/>
      <c r="H6" s="235"/>
      <c r="I6" s="104"/>
      <c r="J6" s="104"/>
      <c r="K6" s="104"/>
      <c r="L6" s="44"/>
      <c r="Q6" s="60"/>
      <c r="R6" s="60"/>
      <c r="S6" s="60"/>
      <c r="T6" s="60"/>
      <c r="U6" s="60"/>
      <c r="V6" s="60"/>
      <c r="W6" s="60"/>
      <c r="X6" s="60"/>
      <c r="Y6" s="60"/>
    </row>
    <row r="7" spans="2:25" ht="15" customHeight="1" x14ac:dyDescent="0.25">
      <c r="B7" s="42"/>
      <c r="F7" s="224"/>
      <c r="G7" s="192"/>
      <c r="H7" s="236"/>
      <c r="I7" s="55"/>
      <c r="K7" s="45" t="s">
        <v>92</v>
      </c>
      <c r="L7" s="44"/>
    </row>
    <row r="8" spans="2:25" ht="15" customHeight="1" x14ac:dyDescent="0.25">
      <c r="B8" s="42"/>
      <c r="C8" s="46"/>
      <c r="D8" s="46"/>
      <c r="E8" s="46" t="s">
        <v>159</v>
      </c>
      <c r="F8" s="225" t="s">
        <v>160</v>
      </c>
      <c r="G8" s="120" t="s">
        <v>161</v>
      </c>
      <c r="H8" s="237"/>
      <c r="I8" s="56" t="s">
        <v>162</v>
      </c>
      <c r="J8" s="43"/>
      <c r="K8" s="45" t="s">
        <v>104</v>
      </c>
      <c r="L8" s="44"/>
      <c r="N8" s="45"/>
    </row>
    <row r="9" spans="2:25" ht="15" customHeight="1" x14ac:dyDescent="0.25">
      <c r="B9" s="42"/>
      <c r="C9" s="45"/>
      <c r="D9" s="45" t="s">
        <v>163</v>
      </c>
      <c r="E9" s="45" t="s">
        <v>164</v>
      </c>
      <c r="F9" s="226" t="s">
        <v>165</v>
      </c>
      <c r="G9" s="120" t="s">
        <v>166</v>
      </c>
      <c r="H9" s="238" t="s">
        <v>167</v>
      </c>
      <c r="I9" s="57" t="s">
        <v>166</v>
      </c>
      <c r="J9" s="45" t="s">
        <v>167</v>
      </c>
      <c r="K9" s="45" t="s">
        <v>168</v>
      </c>
      <c r="L9" s="44"/>
      <c r="N9" s="45"/>
    </row>
    <row r="10" spans="2:25" ht="15" customHeight="1" x14ac:dyDescent="0.25">
      <c r="B10" s="42"/>
      <c r="C10" s="45"/>
      <c r="D10" s="45"/>
      <c r="E10" s="45"/>
      <c r="F10" s="226"/>
      <c r="G10" s="120"/>
      <c r="H10" s="238"/>
      <c r="I10" s="57"/>
      <c r="J10" s="45"/>
      <c r="K10" s="45"/>
      <c r="L10" s="44"/>
      <c r="N10" s="45"/>
    </row>
    <row r="11" spans="2:25" ht="24.95" customHeight="1" x14ac:dyDescent="0.25">
      <c r="B11" s="39"/>
      <c r="C11" s="344" t="s">
        <v>169</v>
      </c>
      <c r="D11" s="344"/>
      <c r="E11" s="145"/>
      <c r="F11" s="227"/>
      <c r="G11" s="211"/>
      <c r="H11" s="239"/>
      <c r="I11" s="146"/>
      <c r="J11" s="145"/>
      <c r="K11" s="145"/>
      <c r="L11" s="41"/>
      <c r="N11" s="45"/>
    </row>
    <row r="12" spans="2:25" ht="15" customHeight="1" x14ac:dyDescent="0.25">
      <c r="B12" s="42"/>
      <c r="C12" s="36"/>
      <c r="E12" s="34"/>
      <c r="F12" s="228"/>
      <c r="G12" s="192"/>
      <c r="H12" s="240"/>
      <c r="I12" s="55"/>
      <c r="J12" s="35"/>
      <c r="K12" s="35"/>
      <c r="L12" s="44"/>
      <c r="N12" s="45"/>
    </row>
    <row r="13" spans="2:25" ht="15" customHeight="1" x14ac:dyDescent="0.25">
      <c r="B13" s="42"/>
      <c r="C13" s="33" t="s">
        <v>170</v>
      </c>
      <c r="E13" s="34"/>
      <c r="F13" s="228"/>
      <c r="G13" s="192"/>
      <c r="H13" s="240"/>
      <c r="I13" s="55"/>
      <c r="J13" s="4"/>
      <c r="K13" s="4"/>
      <c r="L13" s="44"/>
      <c r="N13" s="45"/>
    </row>
    <row r="14" spans="2:25" ht="15" customHeight="1" x14ac:dyDescent="0.25">
      <c r="B14" s="42"/>
      <c r="C14" s="45"/>
      <c r="D14" s="19" t="s">
        <v>171</v>
      </c>
      <c r="E14" s="213" t="s">
        <v>172</v>
      </c>
      <c r="F14" s="229">
        <f>73976+34000-3631+1337+550+2100+2247</f>
        <v>110579</v>
      </c>
      <c r="G14" s="192" t="s">
        <v>173</v>
      </c>
      <c r="H14" s="241">
        <f>1813+3400</f>
        <v>5213</v>
      </c>
      <c r="I14" s="214">
        <v>37.5</v>
      </c>
      <c r="J14" s="121">
        <f>F14/I14</f>
        <v>2948.7733333333335</v>
      </c>
      <c r="K14" s="121">
        <f>J14-H14</f>
        <v>-2264.2266666666665</v>
      </c>
      <c r="L14" s="44"/>
      <c r="N14" s="45"/>
    </row>
    <row r="15" spans="2:25" ht="15" customHeight="1" x14ac:dyDescent="0.25">
      <c r="B15" s="42"/>
      <c r="C15" s="36"/>
      <c r="D15" s="19" t="s">
        <v>174</v>
      </c>
      <c r="E15" s="34">
        <v>41148</v>
      </c>
      <c r="F15" s="228">
        <f>1215+4753+5278+9695</f>
        <v>20941</v>
      </c>
      <c r="G15" s="192">
        <v>5</v>
      </c>
      <c r="H15" s="240">
        <f>243+951+1056+971</f>
        <v>3221</v>
      </c>
      <c r="I15" s="55">
        <v>10</v>
      </c>
      <c r="J15" s="3">
        <f>F15/I15</f>
        <v>2094.1</v>
      </c>
      <c r="K15" s="121">
        <f>J15-H15</f>
        <v>-1126.9000000000001</v>
      </c>
      <c r="L15" s="44"/>
      <c r="N15" s="45"/>
    </row>
    <row r="16" spans="2:25" ht="15" customHeight="1" x14ac:dyDescent="0.25">
      <c r="B16" s="42"/>
      <c r="C16" s="33"/>
      <c r="D16" s="19" t="s">
        <v>175</v>
      </c>
      <c r="E16" s="34" t="s">
        <v>172</v>
      </c>
      <c r="F16" s="228">
        <v>0</v>
      </c>
      <c r="G16" s="192" t="s">
        <v>173</v>
      </c>
      <c r="H16" s="240">
        <v>0</v>
      </c>
      <c r="I16" s="55">
        <v>22.5</v>
      </c>
      <c r="J16" s="121">
        <f>F16/I16</f>
        <v>0</v>
      </c>
      <c r="K16" s="121">
        <f>J16-H16</f>
        <v>0</v>
      </c>
      <c r="L16" s="44"/>
      <c r="N16" s="45"/>
    </row>
    <row r="17" spans="2:263" ht="15" customHeight="1" x14ac:dyDescent="0.25">
      <c r="B17" s="42"/>
      <c r="C17" s="33"/>
      <c r="D17" s="19" t="s">
        <v>176</v>
      </c>
      <c r="E17" s="34" t="s">
        <v>172</v>
      </c>
      <c r="F17" s="228">
        <f>2075+6000+3849+3700+2974</f>
        <v>18598</v>
      </c>
      <c r="G17" s="192" t="s">
        <v>177</v>
      </c>
      <c r="H17" s="240">
        <f>769+740+402+297+415+1200</f>
        <v>3823</v>
      </c>
      <c r="I17" s="55">
        <v>12.5</v>
      </c>
      <c r="J17" s="5">
        <f>F17/I17</f>
        <v>1487.84</v>
      </c>
      <c r="K17" s="5">
        <f>J17-H17</f>
        <v>-2335.16</v>
      </c>
      <c r="L17" s="44"/>
      <c r="N17" s="45"/>
    </row>
    <row r="18" spans="2:263" ht="15" customHeight="1" x14ac:dyDescent="0.25">
      <c r="B18" s="42"/>
      <c r="C18" s="33"/>
      <c r="D18" s="19" t="s">
        <v>178</v>
      </c>
      <c r="E18" s="34"/>
      <c r="F18" s="228"/>
      <c r="G18" s="192"/>
      <c r="H18" s="240"/>
      <c r="I18" s="55">
        <v>17.5</v>
      </c>
      <c r="J18" s="5"/>
      <c r="K18" s="5"/>
      <c r="L18" s="44"/>
      <c r="N18" s="45"/>
    </row>
    <row r="19" spans="2:263" ht="15" customHeight="1" x14ac:dyDescent="0.25">
      <c r="B19" s="42"/>
      <c r="C19" s="33"/>
      <c r="D19" s="19" t="s">
        <v>179</v>
      </c>
      <c r="E19" s="34"/>
      <c r="F19" s="228"/>
      <c r="G19" s="192"/>
      <c r="H19" s="240"/>
      <c r="I19" s="55">
        <v>15</v>
      </c>
      <c r="J19" s="5"/>
      <c r="K19" s="5"/>
      <c r="L19" s="44"/>
      <c r="N19" s="45"/>
    </row>
    <row r="20" spans="2:263" ht="15" customHeight="1" x14ac:dyDescent="0.25">
      <c r="B20" s="42"/>
      <c r="C20" s="33"/>
      <c r="E20" s="34"/>
      <c r="F20" s="228"/>
      <c r="G20" s="192"/>
      <c r="H20" s="240"/>
      <c r="I20" s="55"/>
      <c r="J20" s="5"/>
      <c r="K20" s="5"/>
      <c r="L20" s="44"/>
      <c r="N20" s="45"/>
    </row>
    <row r="21" spans="2:263" ht="15" customHeight="1" x14ac:dyDescent="0.25">
      <c r="B21" s="42"/>
      <c r="C21" s="33" t="s">
        <v>180</v>
      </c>
      <c r="E21" s="34"/>
      <c r="F21" s="228"/>
      <c r="G21" s="192"/>
      <c r="H21" s="240"/>
      <c r="I21" s="55"/>
      <c r="J21" s="5"/>
      <c r="K21" s="5"/>
      <c r="L21" s="44"/>
      <c r="N21" s="45"/>
    </row>
    <row r="22" spans="2:263" ht="15" customHeight="1" x14ac:dyDescent="0.25">
      <c r="B22" s="42"/>
      <c r="C22" s="33"/>
      <c r="D22" s="19" t="s">
        <v>181</v>
      </c>
      <c r="E22" s="34"/>
      <c r="F22" s="228"/>
      <c r="G22" s="192"/>
      <c r="H22" s="240"/>
      <c r="I22" s="55">
        <v>62.5</v>
      </c>
      <c r="J22" s="5"/>
      <c r="K22" s="5"/>
      <c r="L22" s="44"/>
      <c r="N22" s="45"/>
    </row>
    <row r="23" spans="2:263" ht="15" customHeight="1" x14ac:dyDescent="0.25">
      <c r="B23" s="42"/>
      <c r="C23" s="33"/>
      <c r="D23" s="19" t="s">
        <v>182</v>
      </c>
      <c r="E23" s="34"/>
      <c r="F23" s="228"/>
      <c r="G23" s="192"/>
      <c r="H23" s="240"/>
      <c r="I23" s="55">
        <v>62.5</v>
      </c>
      <c r="J23" s="5"/>
      <c r="K23" s="5"/>
      <c r="L23" s="44"/>
      <c r="N23" s="45"/>
    </row>
    <row r="24" spans="2:263" ht="15" customHeight="1" x14ac:dyDescent="0.25">
      <c r="B24" s="42"/>
      <c r="C24" s="1"/>
      <c r="D24" s="1"/>
      <c r="E24" s="2"/>
      <c r="F24" s="230"/>
      <c r="G24" s="45"/>
      <c r="H24" s="240"/>
      <c r="I24" s="1"/>
      <c r="J24" s="305"/>
      <c r="K24" s="3"/>
      <c r="L24" s="261"/>
      <c r="M24" s="5"/>
      <c r="N24" s="192"/>
      <c r="O24" s="5"/>
      <c r="P24" s="55"/>
      <c r="Q24" s="5"/>
      <c r="R24" s="5"/>
      <c r="S24" s="44"/>
      <c r="U24" s="45"/>
      <c r="IW24" s="19"/>
      <c r="IX24" s="19"/>
      <c r="IY24" s="19"/>
      <c r="IZ24" s="19"/>
      <c r="JA24" s="19"/>
      <c r="JB24" s="19"/>
      <c r="JC24" s="19"/>
    </row>
    <row r="25" spans="2:263" ht="15" customHeight="1" x14ac:dyDescent="0.25">
      <c r="B25" s="42"/>
      <c r="C25" s="33" t="s">
        <v>183</v>
      </c>
      <c r="E25" s="34"/>
      <c r="F25" s="228"/>
      <c r="G25" s="192"/>
      <c r="H25" s="240"/>
      <c r="I25" s="55"/>
      <c r="J25" s="5"/>
      <c r="K25" s="5"/>
      <c r="L25" s="44"/>
      <c r="N25" s="45"/>
    </row>
    <row r="26" spans="2:263" ht="15" customHeight="1" x14ac:dyDescent="0.25">
      <c r="B26" s="42"/>
      <c r="C26" s="33"/>
      <c r="D26" s="19" t="s">
        <v>171</v>
      </c>
      <c r="E26" s="34"/>
      <c r="F26" s="228"/>
      <c r="G26" s="192"/>
      <c r="H26" s="240"/>
      <c r="I26" s="55">
        <v>37.5</v>
      </c>
      <c r="J26" s="5"/>
      <c r="K26" s="5"/>
      <c r="L26" s="44"/>
      <c r="N26" s="45"/>
    </row>
    <row r="27" spans="2:263" ht="15" customHeight="1" x14ac:dyDescent="0.25">
      <c r="B27" s="42"/>
      <c r="C27" s="36"/>
      <c r="D27" s="19" t="s">
        <v>184</v>
      </c>
      <c r="E27" s="34"/>
      <c r="F27" s="228"/>
      <c r="G27" s="192"/>
      <c r="H27" s="240"/>
      <c r="I27" s="55">
        <v>10</v>
      </c>
      <c r="J27" s="5"/>
      <c r="K27" s="5"/>
      <c r="L27" s="44"/>
      <c r="N27" s="45"/>
    </row>
    <row r="28" spans="2:263" ht="15" customHeight="1" x14ac:dyDescent="0.25">
      <c r="B28" s="42"/>
      <c r="C28" s="33"/>
      <c r="D28" s="19" t="s">
        <v>185</v>
      </c>
      <c r="E28" s="34"/>
      <c r="F28" s="228"/>
      <c r="G28" s="192"/>
      <c r="H28" s="240"/>
      <c r="I28" s="55">
        <v>20</v>
      </c>
      <c r="J28" s="5"/>
      <c r="K28" s="5"/>
      <c r="L28" s="44"/>
      <c r="N28" s="45"/>
      <c r="P28" s="19">
        <f>34000+73976+307247</f>
        <v>415223</v>
      </c>
    </row>
    <row r="29" spans="2:263" ht="15" customHeight="1" x14ac:dyDescent="0.25">
      <c r="B29" s="42"/>
      <c r="C29" s="33"/>
      <c r="E29" s="119"/>
      <c r="F29" s="228"/>
      <c r="G29" s="192"/>
      <c r="H29" s="240"/>
      <c r="I29" s="55"/>
      <c r="J29" s="5"/>
      <c r="K29" s="5"/>
      <c r="L29" s="44"/>
      <c r="N29" s="45"/>
    </row>
    <row r="30" spans="2:263" ht="15" customHeight="1" x14ac:dyDescent="0.25">
      <c r="B30" s="42"/>
      <c r="C30" s="36" t="s">
        <v>186</v>
      </c>
      <c r="E30" s="119"/>
      <c r="F30" s="228"/>
      <c r="G30" s="192"/>
      <c r="H30" s="240"/>
      <c r="I30" s="55"/>
      <c r="J30" s="5"/>
      <c r="K30" s="5"/>
      <c r="L30" s="44"/>
      <c r="N30" s="45"/>
    </row>
    <row r="31" spans="2:263" ht="15" customHeight="1" x14ac:dyDescent="0.25">
      <c r="B31" s="42"/>
      <c r="C31" s="33"/>
      <c r="D31" s="19" t="s">
        <v>187</v>
      </c>
      <c r="E31" s="34" t="s">
        <v>172</v>
      </c>
      <c r="F31" s="228"/>
      <c r="G31" s="192" t="s">
        <v>173</v>
      </c>
      <c r="H31" s="240"/>
      <c r="I31" s="55">
        <v>50</v>
      </c>
      <c r="J31" s="121">
        <f t="shared" ref="J31:J33" si="0">F31/I31</f>
        <v>0</v>
      </c>
      <c r="K31" s="121">
        <f t="shared" ref="K31:K33" si="1">J31-H31</f>
        <v>0</v>
      </c>
      <c r="L31" s="44"/>
      <c r="N31" s="45"/>
    </row>
    <row r="32" spans="2:263" ht="15" customHeight="1" x14ac:dyDescent="0.25">
      <c r="B32" s="42"/>
      <c r="C32" s="33"/>
      <c r="D32" s="19" t="s">
        <v>188</v>
      </c>
      <c r="E32" s="34" t="s">
        <v>172</v>
      </c>
      <c r="F32" s="228">
        <f>164210+2635029+8563710-65907</f>
        <v>11297042</v>
      </c>
      <c r="G32" s="192" t="s">
        <v>173</v>
      </c>
      <c r="H32" s="240">
        <v>262878</v>
      </c>
      <c r="I32" s="55">
        <v>62.5</v>
      </c>
      <c r="J32" s="121">
        <f t="shared" si="0"/>
        <v>180752.67199999999</v>
      </c>
      <c r="K32" s="121">
        <f t="shared" si="1"/>
        <v>-82125.328000000009</v>
      </c>
      <c r="L32" s="44"/>
      <c r="N32" s="45"/>
    </row>
    <row r="33" spans="2:14" ht="15" customHeight="1" x14ac:dyDescent="0.25">
      <c r="B33" s="42"/>
      <c r="C33" s="33"/>
      <c r="D33" s="19" t="s">
        <v>189</v>
      </c>
      <c r="E33" s="34" t="s">
        <v>172</v>
      </c>
      <c r="F33" s="228"/>
      <c r="G33" s="192" t="s">
        <v>173</v>
      </c>
      <c r="H33" s="240"/>
      <c r="I33" s="55">
        <v>45</v>
      </c>
      <c r="J33" s="121">
        <f t="shared" si="0"/>
        <v>0</v>
      </c>
      <c r="K33" s="121">
        <f t="shared" si="1"/>
        <v>0</v>
      </c>
      <c r="L33" s="44"/>
      <c r="N33" s="45"/>
    </row>
    <row r="34" spans="2:14" ht="15" customHeight="1" x14ac:dyDescent="0.25">
      <c r="B34" s="42"/>
      <c r="C34" s="36"/>
      <c r="D34" s="19" t="s">
        <v>190</v>
      </c>
      <c r="E34" s="34"/>
      <c r="F34" s="228"/>
      <c r="G34" s="192"/>
      <c r="H34" s="240"/>
      <c r="I34" s="55">
        <v>15</v>
      </c>
      <c r="J34" s="5"/>
      <c r="K34" s="5"/>
      <c r="L34" s="44"/>
      <c r="N34" s="45"/>
    </row>
    <row r="35" spans="2:14" ht="15" customHeight="1" x14ac:dyDescent="0.25">
      <c r="B35" s="42"/>
      <c r="C35" s="33"/>
      <c r="D35" s="19" t="s">
        <v>191</v>
      </c>
      <c r="E35" s="34"/>
      <c r="F35" s="228"/>
      <c r="G35" s="192"/>
      <c r="H35" s="240"/>
      <c r="I35" s="55">
        <v>20</v>
      </c>
      <c r="J35" s="5"/>
      <c r="K35" s="5"/>
      <c r="L35" s="44"/>
      <c r="N35" s="45"/>
    </row>
    <row r="36" spans="2:14" ht="15" customHeight="1" x14ac:dyDescent="0.25">
      <c r="B36" s="42"/>
      <c r="C36" s="33"/>
      <c r="D36" s="19" t="s">
        <v>192</v>
      </c>
      <c r="E36" s="34">
        <v>41485</v>
      </c>
      <c r="F36" s="228">
        <v>7669</v>
      </c>
      <c r="G36" s="192">
        <v>10</v>
      </c>
      <c r="H36" s="240">
        <v>767</v>
      </c>
      <c r="I36" s="55">
        <v>37.5</v>
      </c>
      <c r="J36" s="5">
        <f>F36/I36</f>
        <v>204.50666666666666</v>
      </c>
      <c r="K36" s="5">
        <f>J36-H36</f>
        <v>-562.49333333333334</v>
      </c>
      <c r="L36" s="44"/>
      <c r="N36" s="45"/>
    </row>
    <row r="37" spans="2:14" ht="15" customHeight="1" x14ac:dyDescent="0.25">
      <c r="B37" s="42"/>
      <c r="C37" s="36"/>
      <c r="D37" s="19" t="s">
        <v>193</v>
      </c>
      <c r="E37" s="34" t="s">
        <v>172</v>
      </c>
      <c r="F37" s="228"/>
      <c r="G37" s="192" t="s">
        <v>173</v>
      </c>
      <c r="H37" s="240"/>
      <c r="I37" s="55">
        <v>40</v>
      </c>
      <c r="J37" s="121">
        <f>F37/I37</f>
        <v>0</v>
      </c>
      <c r="K37" s="121">
        <f>J37-H37</f>
        <v>0</v>
      </c>
      <c r="L37" s="44"/>
      <c r="N37" s="45"/>
    </row>
    <row r="38" spans="2:14" ht="15" customHeight="1" x14ac:dyDescent="0.25">
      <c r="B38" s="42"/>
      <c r="C38" s="33"/>
      <c r="D38" s="19" t="s">
        <v>194</v>
      </c>
      <c r="E38" s="34" t="s">
        <v>172</v>
      </c>
      <c r="F38" s="228">
        <f>56598</f>
        <v>56598</v>
      </c>
      <c r="G38" s="192" t="s">
        <v>177</v>
      </c>
      <c r="H38" s="240">
        <f>3773</f>
        <v>3773</v>
      </c>
      <c r="I38" s="55">
        <v>45</v>
      </c>
      <c r="J38" s="5">
        <f>F38/I38</f>
        <v>1257.7333333333333</v>
      </c>
      <c r="K38" s="5">
        <f>J38-H38</f>
        <v>-2515.2666666666664</v>
      </c>
      <c r="L38" s="44"/>
      <c r="N38" s="45"/>
    </row>
    <row r="39" spans="2:14" ht="15" customHeight="1" x14ac:dyDescent="0.25">
      <c r="B39" s="42"/>
      <c r="C39" s="33"/>
      <c r="D39" s="19" t="s">
        <v>195</v>
      </c>
      <c r="E39" s="34"/>
      <c r="F39" s="228"/>
      <c r="G39" s="192"/>
      <c r="H39" s="240"/>
      <c r="I39" s="55">
        <v>15</v>
      </c>
      <c r="J39" s="5"/>
      <c r="K39" s="5"/>
      <c r="L39" s="44"/>
      <c r="N39" s="45"/>
    </row>
    <row r="40" spans="2:14" ht="15" customHeight="1" x14ac:dyDescent="0.25">
      <c r="B40" s="42"/>
      <c r="C40" s="33"/>
      <c r="E40" s="119"/>
      <c r="F40" s="228"/>
      <c r="G40" s="192"/>
      <c r="H40" s="240"/>
      <c r="I40" s="55"/>
      <c r="J40" s="5"/>
      <c r="K40" s="5"/>
      <c r="L40" s="44"/>
      <c r="N40" s="45"/>
    </row>
    <row r="41" spans="2:14" ht="15" customHeight="1" x14ac:dyDescent="0.25">
      <c r="B41" s="42"/>
      <c r="C41" s="36" t="s">
        <v>196</v>
      </c>
      <c r="D41" s="36"/>
      <c r="F41" s="224"/>
      <c r="G41" s="192"/>
      <c r="H41" s="242"/>
      <c r="I41" s="59"/>
      <c r="J41" s="303"/>
      <c r="K41" s="303"/>
      <c r="L41" s="44"/>
    </row>
    <row r="42" spans="2:14" ht="15" customHeight="1" x14ac:dyDescent="0.25">
      <c r="B42" s="42"/>
      <c r="D42" s="19" t="s">
        <v>197</v>
      </c>
      <c r="E42" s="213" t="s">
        <v>172</v>
      </c>
      <c r="F42" s="224">
        <f>55000+88592+42079+11478</f>
        <v>197149</v>
      </c>
      <c r="G42" s="192" t="s">
        <v>177</v>
      </c>
      <c r="H42" s="240">
        <f>11000+8859+8416+2296</f>
        <v>30571</v>
      </c>
      <c r="I42" s="55">
        <v>7</v>
      </c>
      <c r="J42" s="121">
        <f>F42/I42</f>
        <v>28164.142857142859</v>
      </c>
      <c r="K42" s="121">
        <f>J42-H42</f>
        <v>-2406.8571428571413</v>
      </c>
      <c r="L42" s="44"/>
    </row>
    <row r="43" spans="2:14" ht="15" customHeight="1" x14ac:dyDescent="0.25">
      <c r="B43" s="42"/>
      <c r="C43" s="218"/>
      <c r="D43" s="218"/>
      <c r="F43" s="224"/>
      <c r="G43" s="192"/>
      <c r="H43" s="242"/>
      <c r="I43" s="59"/>
      <c r="J43" s="303"/>
      <c r="K43" s="303"/>
      <c r="L43" s="44"/>
    </row>
    <row r="44" spans="2:14" ht="15" customHeight="1" x14ac:dyDescent="0.25">
      <c r="B44" s="42"/>
      <c r="C44" s="36" t="s">
        <v>198</v>
      </c>
      <c r="E44" s="34"/>
      <c r="F44" s="228"/>
      <c r="G44" s="192"/>
      <c r="H44" s="240"/>
      <c r="I44" s="55"/>
      <c r="J44" s="3"/>
      <c r="K44" s="3"/>
      <c r="L44" s="44"/>
    </row>
    <row r="45" spans="2:14" ht="15" customHeight="1" x14ac:dyDescent="0.25">
      <c r="B45" s="42"/>
      <c r="D45" s="19" t="s">
        <v>199</v>
      </c>
      <c r="E45" s="34"/>
      <c r="F45" s="228"/>
      <c r="G45" s="192"/>
      <c r="H45" s="240"/>
      <c r="I45" s="55">
        <v>62.5</v>
      </c>
      <c r="J45" s="5"/>
      <c r="K45" s="5"/>
      <c r="L45" s="44"/>
    </row>
    <row r="46" spans="2:14" ht="15" customHeight="1" x14ac:dyDescent="0.25">
      <c r="B46" s="42"/>
      <c r="D46" s="19" t="s">
        <v>200</v>
      </c>
      <c r="F46" s="224"/>
      <c r="G46" s="192"/>
      <c r="H46" s="242"/>
      <c r="I46" s="55">
        <v>27.5</v>
      </c>
      <c r="J46" s="303"/>
      <c r="K46" s="303"/>
      <c r="L46" s="44"/>
    </row>
    <row r="47" spans="2:14" ht="15" customHeight="1" x14ac:dyDescent="0.25">
      <c r="B47" s="42"/>
      <c r="C47" s="36"/>
      <c r="D47" s="36"/>
      <c r="F47" s="224"/>
      <c r="G47" s="192"/>
      <c r="H47" s="242"/>
      <c r="I47" s="59"/>
      <c r="J47" s="303"/>
      <c r="K47" s="303"/>
      <c r="L47" s="44"/>
    </row>
    <row r="48" spans="2:14" ht="15" customHeight="1" x14ac:dyDescent="0.25">
      <c r="B48" s="42"/>
      <c r="C48" s="36" t="s">
        <v>201</v>
      </c>
      <c r="D48" s="36"/>
      <c r="E48" s="215"/>
      <c r="F48" s="220">
        <f>SUM(F14:F46)</f>
        <v>11708576</v>
      </c>
      <c r="G48" s="212"/>
      <c r="H48" s="220">
        <f>SUM(H14:H46)</f>
        <v>310246</v>
      </c>
      <c r="I48" s="59"/>
      <c r="J48" s="220">
        <f>SUM(J14:J46)</f>
        <v>216909.7681904762</v>
      </c>
      <c r="K48" s="304">
        <f>SUM(K14:K46)</f>
        <v>-93336.231809523815</v>
      </c>
      <c r="L48" s="44"/>
    </row>
    <row r="49" spans="2:17" ht="15" customHeight="1" x14ac:dyDescent="0.25">
      <c r="B49" s="47"/>
      <c r="C49" s="48"/>
      <c r="D49" s="48"/>
      <c r="E49" s="217"/>
      <c r="F49" s="231"/>
      <c r="G49" s="190"/>
      <c r="H49" s="243"/>
      <c r="I49" s="58"/>
      <c r="J49" s="48"/>
      <c r="K49" s="49"/>
      <c r="L49" s="50"/>
      <c r="M49" s="51"/>
      <c r="Q49" s="164"/>
    </row>
    <row r="50" spans="2:17" ht="15" customHeight="1" x14ac:dyDescent="0.25">
      <c r="F50" s="228"/>
      <c r="G50" s="192"/>
      <c r="H50" s="240"/>
      <c r="I50" s="52"/>
    </row>
    <row r="51" spans="2:17" ht="15.75" x14ac:dyDescent="0.25">
      <c r="B51" s="39"/>
      <c r="C51" s="344" t="s">
        <v>202</v>
      </c>
      <c r="D51" s="344"/>
      <c r="E51" s="216"/>
      <c r="F51" s="232"/>
      <c r="G51" s="219"/>
      <c r="H51" s="244"/>
      <c r="I51" s="144"/>
      <c r="J51" s="143"/>
      <c r="K51" s="143"/>
      <c r="L51" s="41"/>
    </row>
    <row r="52" spans="2:17" x14ac:dyDescent="0.25">
      <c r="B52" s="42"/>
      <c r="D52" s="36"/>
      <c r="F52" s="224"/>
      <c r="G52" s="192"/>
      <c r="H52" s="242"/>
      <c r="I52" s="59"/>
      <c r="J52" s="213"/>
      <c r="K52" s="213"/>
      <c r="L52" s="44"/>
    </row>
    <row r="53" spans="2:17" x14ac:dyDescent="0.25">
      <c r="B53" s="42"/>
      <c r="C53" s="36" t="s">
        <v>203</v>
      </c>
      <c r="D53" s="36"/>
      <c r="F53" s="224"/>
      <c r="G53" s="192"/>
      <c r="H53" s="242"/>
      <c r="I53" s="59"/>
      <c r="J53" s="213"/>
      <c r="K53" s="213"/>
      <c r="L53" s="44"/>
    </row>
    <row r="54" spans="2:17" x14ac:dyDescent="0.25">
      <c r="B54" s="42"/>
      <c r="D54" s="19" t="s">
        <v>204</v>
      </c>
      <c r="E54" s="34" t="s">
        <v>172</v>
      </c>
      <c r="F54" s="228">
        <v>867725</v>
      </c>
      <c r="G54" s="192">
        <v>40</v>
      </c>
      <c r="H54" s="240">
        <f>F54/G54</f>
        <v>21693.125</v>
      </c>
      <c r="I54" s="55">
        <v>52.5</v>
      </c>
      <c r="J54" s="213">
        <f t="shared" ref="J54" si="2">F54/I54</f>
        <v>16528.095238095237</v>
      </c>
      <c r="K54" s="213">
        <f t="shared" ref="K54" si="3">J54-H54</f>
        <v>-5165.0297619047633</v>
      </c>
      <c r="L54" s="44"/>
    </row>
    <row r="55" spans="2:17" x14ac:dyDescent="0.25">
      <c r="B55" s="42"/>
      <c r="D55" s="36"/>
      <c r="F55" s="224"/>
      <c r="G55" s="192"/>
      <c r="H55" s="242"/>
      <c r="I55" s="59"/>
      <c r="J55" s="37"/>
      <c r="K55" s="37"/>
      <c r="L55" s="44"/>
    </row>
    <row r="56" spans="2:17" x14ac:dyDescent="0.25">
      <c r="B56" s="42"/>
      <c r="D56" s="36" t="s">
        <v>205</v>
      </c>
      <c r="F56" s="242">
        <f>SUM(F52:F54)</f>
        <v>867725</v>
      </c>
      <c r="G56" s="192"/>
      <c r="H56" s="242">
        <f>SUM(H52:H54)</f>
        <v>21693.125</v>
      </c>
      <c r="I56" s="59"/>
      <c r="J56" s="242">
        <f>SUM(J52:J54)</f>
        <v>16528.095238095237</v>
      </c>
      <c r="K56" s="242">
        <f>SUM(K52:K54)</f>
        <v>-5165.0297619047633</v>
      </c>
      <c r="L56" s="44"/>
    </row>
    <row r="57" spans="2:17" x14ac:dyDescent="0.25">
      <c r="B57" s="47"/>
      <c r="C57" s="48"/>
      <c r="D57" s="48"/>
      <c r="E57" s="217"/>
      <c r="F57" s="231"/>
      <c r="G57" s="190"/>
      <c r="H57" s="243"/>
      <c r="I57" s="58"/>
      <c r="J57" s="48"/>
      <c r="K57" s="49"/>
      <c r="L57" s="50"/>
    </row>
    <row r="59" spans="2:17" x14ac:dyDescent="0.25">
      <c r="D59" s="19" t="s">
        <v>206</v>
      </c>
    </row>
    <row r="62" spans="2:17" x14ac:dyDescent="0.25">
      <c r="H62" s="233">
        <f>H48+H56</f>
        <v>331939.125</v>
      </c>
    </row>
    <row r="63" spans="2:17" x14ac:dyDescent="0.25">
      <c r="H63" s="233">
        <v>335978</v>
      </c>
    </row>
    <row r="64" spans="2:17" x14ac:dyDescent="0.25">
      <c r="H64" s="233">
        <f>H62-H63</f>
        <v>-4038.875</v>
      </c>
      <c r="I64" s="53" t="s">
        <v>207</v>
      </c>
    </row>
  </sheetData>
  <mergeCells count="5">
    <mergeCell ref="C51:D51"/>
    <mergeCell ref="C5:K5"/>
    <mergeCell ref="C4:K4"/>
    <mergeCell ref="C3:K3"/>
    <mergeCell ref="C11:D11"/>
  </mergeCells>
  <printOptions horizontalCentered="1"/>
  <pageMargins left="0.75" right="0.55000000000000004" top="0.75" bottom="0.25" header="0" footer="0"/>
  <pageSetup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D729-52A7-47B0-9A61-AC973A7BDE55}">
  <dimension ref="D7:F18"/>
  <sheetViews>
    <sheetView showGridLines="0" workbookViewId="0">
      <selection activeCell="K54" sqref="K54"/>
    </sheetView>
  </sheetViews>
  <sheetFormatPr defaultRowHeight="15" x14ac:dyDescent="0.2"/>
  <cols>
    <col min="4" max="4" width="24.21875" bestFit="1" customWidth="1"/>
    <col min="5" max="5" width="1.77734375" customWidth="1"/>
    <col min="6" max="6" width="11" bestFit="1" customWidth="1"/>
  </cols>
  <sheetData>
    <row r="7" spans="4:6" x14ac:dyDescent="0.2">
      <c r="D7" s="179" t="s">
        <v>208</v>
      </c>
      <c r="F7" s="294">
        <v>30224</v>
      </c>
    </row>
    <row r="8" spans="4:6" x14ac:dyDescent="0.2">
      <c r="D8" s="179" t="s">
        <v>209</v>
      </c>
      <c r="F8" s="297">
        <v>5</v>
      </c>
    </row>
    <row r="10" spans="4:6" x14ac:dyDescent="0.2">
      <c r="D10" s="179" t="s">
        <v>210</v>
      </c>
      <c r="F10" s="293">
        <f>F7/F8</f>
        <v>6044.8</v>
      </c>
    </row>
    <row r="14" spans="4:6" x14ac:dyDescent="0.2">
      <c r="D14" s="179" t="s">
        <v>211</v>
      </c>
      <c r="F14" s="293">
        <v>5116</v>
      </c>
    </row>
    <row r="15" spans="4:6" x14ac:dyDescent="0.2">
      <c r="D15" s="179" t="s">
        <v>212</v>
      </c>
      <c r="F15" s="297">
        <v>12</v>
      </c>
    </row>
    <row r="16" spans="4:6" x14ac:dyDescent="0.2">
      <c r="F16" s="293"/>
    </row>
    <row r="17" spans="4:6" x14ac:dyDescent="0.2">
      <c r="D17" s="179" t="s">
        <v>213</v>
      </c>
      <c r="F17" s="293">
        <f>F14*F15</f>
        <v>61392</v>
      </c>
    </row>
    <row r="18" spans="4:6" x14ac:dyDescent="0.2">
      <c r="F18" s="2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SAOw</vt:lpstr>
      <vt:lpstr>SAOs</vt:lpstr>
      <vt:lpstr>ATB to AR</vt:lpstr>
      <vt:lpstr>NRCs</vt:lpstr>
      <vt:lpstr>Allocations</vt:lpstr>
      <vt:lpstr>Wages</vt:lpstr>
      <vt:lpstr>Water Loss</vt:lpstr>
      <vt:lpstr>Depreciation</vt:lpstr>
      <vt:lpstr>United Upgrade</vt:lpstr>
      <vt:lpstr>Debt Service</vt:lpstr>
      <vt:lpstr>ExBAw</vt:lpstr>
      <vt:lpstr>ExBAs</vt:lpstr>
      <vt:lpstr>RatesW</vt:lpstr>
      <vt:lpstr>RatesS</vt:lpstr>
      <vt:lpstr>Bills</vt:lpstr>
      <vt:lpstr>PropBAw</vt:lpstr>
      <vt:lpstr>PropBAs</vt:lpstr>
      <vt:lpstr>'ATB to AR'!Print_Area</vt:lpstr>
      <vt:lpstr>Bills!Print_Area</vt:lpstr>
      <vt:lpstr>'Debt Service'!Print_Area</vt:lpstr>
      <vt:lpstr>Depreciation!Print_Area</vt:lpstr>
      <vt:lpstr>ExBAs!Print_Area</vt:lpstr>
      <vt:lpstr>ExBAw!Print_Area</vt:lpstr>
      <vt:lpstr>PropBAw!Print_Area</vt:lpstr>
      <vt:lpstr>RatesS!Print_Area</vt:lpstr>
      <vt:lpstr>RatesW!Print_Area</vt:lpstr>
      <vt:lpstr>SAOs!Print_Area</vt:lpstr>
      <vt:lpstr>SAOw!Print_Area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Ariel Miller</cp:lastModifiedBy>
  <cp:revision/>
  <cp:lastPrinted>2024-01-30T20:13:28Z</cp:lastPrinted>
  <dcterms:created xsi:type="dcterms:W3CDTF">2016-05-18T14:12:06Z</dcterms:created>
  <dcterms:modified xsi:type="dcterms:W3CDTF">2024-03-21T16:02:15Z</dcterms:modified>
  <cp:category/>
  <cp:contentStatus/>
</cp:coreProperties>
</file>