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cpas.sharepoint.com/sites/TC-Files/Shared Documents/1Hopkinsville Clients/Lyon County Water District/LCWD/"/>
    </mc:Choice>
  </mc:AlternateContent>
  <xr:revisionPtr revIDLastSave="1" documentId="8_{8DB274F9-A4B5-42E2-BF46-B8AF0613ECD1}" xr6:coauthVersionLast="47" xr6:coauthVersionMax="47" xr10:uidLastSave="{2C66A71B-750B-4768-936D-FF17E2CD84C4}"/>
  <bookViews>
    <workbookView xWindow="-28920" yWindow="-120" windowWidth="29040" windowHeight="15720" xr2:uid="{E2D15342-9AD4-45CA-80ED-2B408CC839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AX11" i="1"/>
  <c r="AY11" i="1"/>
  <c r="N5" i="1"/>
  <c r="I9" i="1"/>
  <c r="H9" i="1"/>
  <c r="G9" i="1"/>
  <c r="F9" i="1"/>
  <c r="E9" i="1"/>
  <c r="D9" i="1"/>
  <c r="C9" i="1"/>
  <c r="B9" i="1"/>
  <c r="AM7" i="1"/>
  <c r="AM11" i="1" s="1"/>
  <c r="J11" i="1"/>
  <c r="K11" i="1"/>
  <c r="N11" i="1"/>
  <c r="S11" i="1"/>
  <c r="V11" i="1"/>
  <c r="AA11" i="1"/>
  <c r="AD11" i="1"/>
  <c r="AH11" i="1"/>
  <c r="AJ11" i="1"/>
  <c r="AL11" i="1"/>
  <c r="AN11" i="1"/>
  <c r="AO11" i="1"/>
  <c r="AP11" i="1"/>
  <c r="AQ11" i="1"/>
  <c r="AR11" i="1"/>
  <c r="AS11" i="1"/>
  <c r="AT11" i="1"/>
  <c r="AU11" i="1"/>
  <c r="AV11" i="1"/>
  <c r="AW11" i="1"/>
  <c r="B11" i="1"/>
  <c r="AK7" i="1"/>
  <c r="AK11" i="1" s="1"/>
  <c r="AI7" i="1"/>
  <c r="AG7" i="1"/>
  <c r="AG11" i="1" s="1"/>
  <c r="AE7" i="1"/>
  <c r="AC7" i="1"/>
  <c r="AA7" i="1"/>
  <c r="Y7" i="1"/>
  <c r="Y11" i="1" s="1"/>
  <c r="W7" i="1"/>
  <c r="U7" i="1"/>
  <c r="S7" i="1"/>
  <c r="Q7" i="1"/>
  <c r="Q11" i="1" s="1"/>
  <c r="O7" i="1"/>
  <c r="M7" i="1"/>
  <c r="K7" i="1"/>
  <c r="K5" i="1"/>
  <c r="I7" i="1"/>
  <c r="G7" i="1"/>
  <c r="E7" i="1"/>
  <c r="C7" i="1"/>
  <c r="AI5" i="1"/>
  <c r="AI11" i="1" s="1"/>
  <c r="AG5" i="1"/>
  <c r="AF5" i="1"/>
  <c r="AF11" i="1" s="1"/>
  <c r="AE5" i="1"/>
  <c r="AE11" i="1" s="1"/>
  <c r="AD5" i="1"/>
  <c r="AC5" i="1"/>
  <c r="AC11" i="1" s="1"/>
  <c r="AB5" i="1"/>
  <c r="AB11" i="1" s="1"/>
  <c r="AA5" i="1"/>
  <c r="Z5" i="1"/>
  <c r="Z11" i="1" s="1"/>
  <c r="Y5" i="1"/>
  <c r="X5" i="1"/>
  <c r="X11" i="1" s="1"/>
  <c r="W5" i="1"/>
  <c r="W11" i="1" s="1"/>
  <c r="V5" i="1"/>
  <c r="U5" i="1"/>
  <c r="U11" i="1" s="1"/>
  <c r="T5" i="1"/>
  <c r="T11" i="1" s="1"/>
  <c r="S5" i="1"/>
  <c r="R5" i="1"/>
  <c r="R11" i="1" s="1"/>
  <c r="Q5" i="1"/>
  <c r="P5" i="1"/>
  <c r="P11" i="1" s="1"/>
  <c r="O5" i="1"/>
  <c r="O11" i="1" s="1"/>
  <c r="M5" i="1"/>
  <c r="M11" i="1" s="1"/>
  <c r="L5" i="1"/>
  <c r="L11" i="1" s="1"/>
  <c r="J5" i="1"/>
  <c r="I5" i="1"/>
  <c r="I11" i="1" s="1"/>
  <c r="H5" i="1"/>
  <c r="H11" i="1" s="1"/>
  <c r="G5" i="1"/>
  <c r="G11" i="1" s="1"/>
  <c r="F5" i="1"/>
  <c r="E5" i="1"/>
  <c r="D5" i="1"/>
  <c r="C5" i="1"/>
  <c r="C11" i="1" s="1"/>
  <c r="B5" i="1"/>
  <c r="F11" i="1" l="1"/>
  <c r="D11" i="1"/>
</calcChain>
</file>

<file path=xl/sharedStrings.xml><?xml version="1.0" encoding="utf-8"?>
<sst xmlns="http://schemas.openxmlformats.org/spreadsheetml/2006/main" count="78" uniqueCount="30">
  <si>
    <t>KIA</t>
  </si>
  <si>
    <t>Regions</t>
  </si>
  <si>
    <t>USDA</t>
  </si>
  <si>
    <t>CY 2022</t>
  </si>
  <si>
    <t>CY 2023</t>
  </si>
  <si>
    <t>CY 2024</t>
  </si>
  <si>
    <t>CY 2025</t>
  </si>
  <si>
    <t>CY 2026</t>
  </si>
  <si>
    <t>CY 2027</t>
  </si>
  <si>
    <t>CY 2028</t>
  </si>
  <si>
    <t>CY 2029</t>
  </si>
  <si>
    <t>CY 2030</t>
  </si>
  <si>
    <t>CY 2031</t>
  </si>
  <si>
    <t>CY 2032</t>
  </si>
  <si>
    <t>CY 2033</t>
  </si>
  <si>
    <t>CY 2034</t>
  </si>
  <si>
    <t>CY 2035</t>
  </si>
  <si>
    <t>CY 2036</t>
  </si>
  <si>
    <t>CY 2037</t>
  </si>
  <si>
    <t>CY 2038</t>
  </si>
  <si>
    <t>CY 2039</t>
  </si>
  <si>
    <t>CY 2040</t>
  </si>
  <si>
    <t>CY 2041</t>
  </si>
  <si>
    <t>CY 2042</t>
  </si>
  <si>
    <t>CY 2043</t>
  </si>
  <si>
    <t>CY 2044</t>
  </si>
  <si>
    <t>CY 2045</t>
  </si>
  <si>
    <t>CY 2046</t>
  </si>
  <si>
    <t>Principal</t>
  </si>
  <si>
    <t>Interest &amp; 
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</si>
</sst>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2" fillId="0" borderId="0" xfId="1" applyFont="1"/>
    <xf numFmtId="44" fontId="2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F729E-133A-49D3-B095-027A856AA902}">
  <dimension ref="A3:AY11"/>
  <sheetViews>
    <sheetView tabSelected="1" workbookViewId="0">
      <selection activeCell="E11" sqref="E11"/>
    </sheetView>
  </sheetViews>
  <sheetFormatPr defaultRowHeight="15.75" x14ac:dyDescent="0.25"/>
  <cols>
    <col min="1" max="1" width="9.140625" style="1"/>
    <col min="2" max="6" width="15.42578125" style="1" bestFit="1" customWidth="1"/>
    <col min="7" max="7" width="14.140625" style="1" bestFit="1" customWidth="1"/>
    <col min="8" max="8" width="15.42578125" style="1" bestFit="1" customWidth="1"/>
    <col min="9" max="9" width="14.140625" style="1" bestFit="1" customWidth="1"/>
    <col min="10" max="10" width="15.42578125" style="1" bestFit="1" customWidth="1"/>
    <col min="11" max="11" width="14.140625" style="1" bestFit="1" customWidth="1"/>
    <col min="12" max="12" width="15.42578125" style="1" bestFit="1" customWidth="1"/>
    <col min="13" max="13" width="14.140625" style="1" bestFit="1" customWidth="1"/>
    <col min="14" max="14" width="17.140625" style="1" bestFit="1" customWidth="1"/>
    <col min="15" max="15" width="14.140625" style="1" bestFit="1" customWidth="1"/>
    <col min="16" max="16" width="15.42578125" style="1" bestFit="1" customWidth="1"/>
    <col min="17" max="17" width="14.140625" style="1" bestFit="1" customWidth="1"/>
    <col min="18" max="18" width="15.42578125" style="1" bestFit="1" customWidth="1"/>
    <col min="19" max="19" width="14.140625" style="1" bestFit="1" customWidth="1"/>
    <col min="20" max="20" width="15.42578125" style="1" bestFit="1" customWidth="1"/>
    <col min="21" max="21" width="14.140625" style="1" bestFit="1" customWidth="1"/>
    <col min="22" max="22" width="15.42578125" style="1" bestFit="1" customWidth="1"/>
    <col min="23" max="23" width="14.140625" style="1" bestFit="1" customWidth="1"/>
    <col min="24" max="24" width="15.42578125" style="1" bestFit="1" customWidth="1"/>
    <col min="25" max="25" width="14.140625" style="1" bestFit="1" customWidth="1"/>
    <col min="26" max="26" width="15.42578125" style="1" bestFit="1" customWidth="1"/>
    <col min="27" max="27" width="14.140625" style="1" bestFit="1" customWidth="1"/>
    <col min="28" max="28" width="15.42578125" style="1" bestFit="1" customWidth="1"/>
    <col min="29" max="29" width="14.140625" style="1" bestFit="1" customWidth="1"/>
    <col min="30" max="30" width="15.42578125" style="1" bestFit="1" customWidth="1"/>
    <col min="31" max="31" width="14.140625" style="1" bestFit="1" customWidth="1"/>
    <col min="32" max="32" width="15.42578125" style="1" bestFit="1" customWidth="1"/>
    <col min="33" max="33" width="14.140625" style="1" bestFit="1" customWidth="1"/>
    <col min="34" max="34" width="15.42578125" style="1" bestFit="1" customWidth="1"/>
    <col min="35" max="35" width="14.140625" style="1" bestFit="1" customWidth="1"/>
    <col min="36" max="36" width="15.42578125" style="1" bestFit="1" customWidth="1"/>
    <col min="37" max="37" width="14.140625" style="1" bestFit="1" customWidth="1"/>
    <col min="38" max="38" width="15.42578125" style="1" bestFit="1" customWidth="1"/>
    <col min="39" max="42" width="14.140625" style="1" bestFit="1" customWidth="1"/>
    <col min="43" max="43" width="12.7109375" style="1" bestFit="1" customWidth="1"/>
    <col min="44" max="44" width="14.140625" style="1" bestFit="1" customWidth="1"/>
    <col min="45" max="45" width="12.7109375" style="1" bestFit="1" customWidth="1"/>
    <col min="46" max="46" width="14.140625" style="1" bestFit="1" customWidth="1"/>
    <col min="47" max="47" width="12.7109375" style="1" bestFit="1" customWidth="1"/>
    <col min="48" max="48" width="14.140625" style="1" bestFit="1" customWidth="1"/>
    <col min="49" max="49" width="12.7109375" style="1" bestFit="1" customWidth="1"/>
    <col min="50" max="50" width="14.140625" style="1" bestFit="1" customWidth="1"/>
    <col min="51" max="51" width="11.140625" style="1" bestFit="1" customWidth="1"/>
    <col min="52" max="16384" width="9.140625" style="1"/>
  </cols>
  <sheetData>
    <row r="3" spans="1:51" x14ac:dyDescent="0.25">
      <c r="B3" s="6" t="s">
        <v>3</v>
      </c>
      <c r="C3" s="6"/>
      <c r="D3" s="6" t="s">
        <v>4</v>
      </c>
      <c r="E3" s="6"/>
      <c r="F3" s="6" t="s">
        <v>5</v>
      </c>
      <c r="G3" s="6"/>
      <c r="H3" s="6" t="s">
        <v>6</v>
      </c>
      <c r="I3" s="6"/>
      <c r="J3" s="6" t="s">
        <v>7</v>
      </c>
      <c r="K3" s="6"/>
      <c r="L3" s="6" t="s">
        <v>8</v>
      </c>
      <c r="M3" s="6"/>
      <c r="N3" s="6" t="s">
        <v>9</v>
      </c>
      <c r="O3" s="6"/>
      <c r="P3" s="6" t="s">
        <v>10</v>
      </c>
      <c r="Q3" s="6"/>
      <c r="R3" s="6" t="s">
        <v>11</v>
      </c>
      <c r="S3" s="6"/>
      <c r="T3" s="6" t="s">
        <v>12</v>
      </c>
      <c r="U3" s="6"/>
      <c r="V3" s="6" t="s">
        <v>13</v>
      </c>
      <c r="W3" s="6"/>
      <c r="X3" s="6" t="s">
        <v>14</v>
      </c>
      <c r="Y3" s="6"/>
      <c r="Z3" s="6" t="s">
        <v>15</v>
      </c>
      <c r="AA3" s="6"/>
      <c r="AB3" s="6" t="s">
        <v>16</v>
      </c>
      <c r="AC3" s="6"/>
      <c r="AD3" s="6" t="s">
        <v>17</v>
      </c>
      <c r="AE3" s="6"/>
      <c r="AF3" s="6" t="s">
        <v>18</v>
      </c>
      <c r="AG3" s="6"/>
      <c r="AH3" s="6" t="s">
        <v>19</v>
      </c>
      <c r="AI3" s="6"/>
      <c r="AJ3" s="6" t="s">
        <v>20</v>
      </c>
      <c r="AK3" s="6"/>
      <c r="AL3" s="6" t="s">
        <v>21</v>
      </c>
      <c r="AM3" s="6"/>
      <c r="AN3" s="6" t="s">
        <v>22</v>
      </c>
      <c r="AO3" s="6"/>
      <c r="AP3" s="6" t="s">
        <v>23</v>
      </c>
      <c r="AQ3" s="6"/>
      <c r="AR3" s="6" t="s">
        <v>24</v>
      </c>
      <c r="AS3" s="6"/>
      <c r="AT3" s="6" t="s">
        <v>25</v>
      </c>
      <c r="AU3" s="6"/>
      <c r="AV3" s="6" t="s">
        <v>26</v>
      </c>
      <c r="AW3" s="6"/>
      <c r="AX3" s="6" t="s">
        <v>27</v>
      </c>
      <c r="AY3" s="6"/>
    </row>
    <row r="4" spans="1:51" ht="33" customHeight="1" x14ac:dyDescent="0.25">
      <c r="B4" s="2" t="s">
        <v>28</v>
      </c>
      <c r="C4" s="3" t="s">
        <v>29</v>
      </c>
      <c r="D4" s="2" t="s">
        <v>28</v>
      </c>
      <c r="E4" s="3" t="s">
        <v>29</v>
      </c>
      <c r="F4" s="2" t="s">
        <v>28</v>
      </c>
      <c r="G4" s="3" t="s">
        <v>29</v>
      </c>
      <c r="H4" s="2" t="s">
        <v>28</v>
      </c>
      <c r="I4" s="3" t="s">
        <v>29</v>
      </c>
      <c r="J4" s="2" t="s">
        <v>28</v>
      </c>
      <c r="K4" s="3" t="s">
        <v>29</v>
      </c>
      <c r="L4" s="2" t="s">
        <v>28</v>
      </c>
      <c r="M4" s="3" t="s">
        <v>29</v>
      </c>
      <c r="N4" s="2" t="s">
        <v>28</v>
      </c>
      <c r="O4" s="3" t="s">
        <v>29</v>
      </c>
      <c r="P4" s="2" t="s">
        <v>28</v>
      </c>
      <c r="Q4" s="3" t="s">
        <v>29</v>
      </c>
      <c r="R4" s="2" t="s">
        <v>28</v>
      </c>
      <c r="S4" s="3" t="s">
        <v>29</v>
      </c>
      <c r="T4" s="2" t="s">
        <v>28</v>
      </c>
      <c r="U4" s="3" t="s">
        <v>29</v>
      </c>
      <c r="V4" s="2" t="s">
        <v>28</v>
      </c>
      <c r="W4" s="3" t="s">
        <v>29</v>
      </c>
      <c r="X4" s="2" t="s">
        <v>28</v>
      </c>
      <c r="Y4" s="3" t="s">
        <v>29</v>
      </c>
      <c r="Z4" s="2" t="s">
        <v>28</v>
      </c>
      <c r="AA4" s="3" t="s">
        <v>29</v>
      </c>
      <c r="AB4" s="2" t="s">
        <v>28</v>
      </c>
      <c r="AC4" s="3" t="s">
        <v>29</v>
      </c>
      <c r="AD4" s="2" t="s">
        <v>28</v>
      </c>
      <c r="AE4" s="3" t="s">
        <v>29</v>
      </c>
      <c r="AF4" s="2" t="s">
        <v>28</v>
      </c>
      <c r="AG4" s="3" t="s">
        <v>29</v>
      </c>
      <c r="AH4" s="2" t="s">
        <v>28</v>
      </c>
      <c r="AI4" s="3" t="s">
        <v>29</v>
      </c>
      <c r="AJ4" s="2" t="s">
        <v>28</v>
      </c>
      <c r="AK4" s="3" t="s">
        <v>29</v>
      </c>
      <c r="AL4" s="2" t="s">
        <v>28</v>
      </c>
      <c r="AM4" s="3" t="s">
        <v>29</v>
      </c>
      <c r="AN4" s="2" t="s">
        <v>28</v>
      </c>
      <c r="AO4" s="3" t="s">
        <v>29</v>
      </c>
      <c r="AP4" s="2" t="s">
        <v>28</v>
      </c>
      <c r="AQ4" s="3" t="s">
        <v>29</v>
      </c>
      <c r="AR4" s="2" t="s">
        <v>28</v>
      </c>
      <c r="AS4" s="3" t="s">
        <v>29</v>
      </c>
      <c r="AT4" s="2" t="s">
        <v>28</v>
      </c>
      <c r="AU4" s="3" t="s">
        <v>29</v>
      </c>
      <c r="AV4" s="2" t="s">
        <v>28</v>
      </c>
      <c r="AW4" s="3" t="s">
        <v>29</v>
      </c>
      <c r="AX4" s="2" t="s">
        <v>28</v>
      </c>
      <c r="AY4" s="3" t="s">
        <v>29</v>
      </c>
    </row>
    <row r="5" spans="1:51" x14ac:dyDescent="0.25">
      <c r="A5" s="1" t="s">
        <v>0</v>
      </c>
      <c r="B5" s="4">
        <f>43862.34+44300.97</f>
        <v>88163.31</v>
      </c>
      <c r="C5" s="4">
        <f>17048.86+16610.23+2131.11+2076.28</f>
        <v>37866.479999999996</v>
      </c>
      <c r="D5" s="4">
        <f>44743.98+45191.42</f>
        <v>89935.4</v>
      </c>
      <c r="E5" s="4">
        <f>16167.22+15719.78+2020.9+1964.97</f>
        <v>35872.870000000003</v>
      </c>
      <c r="F5" s="4">
        <f>45643.33+46099.76</f>
        <v>91743.09</v>
      </c>
      <c r="G5" s="4">
        <f>15267.87+14811.44+1908.48+1851.43</f>
        <v>33839.22</v>
      </c>
      <c r="H5" s="4">
        <f>46560.76+47026.37</f>
        <v>93587.13</v>
      </c>
      <c r="I5" s="4">
        <f>14350.44+13884.83+1793.8+1735.6</f>
        <v>31764.67</v>
      </c>
      <c r="J5" s="4">
        <f>47496.63+47971.6</f>
        <v>95468.23</v>
      </c>
      <c r="K5" s="4">
        <f>13414.57+12939.6+1676.82+1617.45</f>
        <v>29648.44</v>
      </c>
      <c r="L5" s="4">
        <f>48451.32+48935.83</f>
        <v>97387.15</v>
      </c>
      <c r="M5" s="4">
        <f>12459.88+11975.37+1557.49+1496.92</f>
        <v>27489.660000000003</v>
      </c>
      <c r="N5" s="4">
        <f>49425.19+49919.44</f>
        <v>99344.63</v>
      </c>
      <c r="O5" s="4">
        <f>11486.01+10991.76+1435.75+1373.97</f>
        <v>25287.49</v>
      </c>
      <c r="P5" s="4">
        <f>50418.63+50922.82</f>
        <v>101341.45</v>
      </c>
      <c r="Q5" s="4">
        <f>10492.57+9988.38+1311.57+1248.55</f>
        <v>23041.069999999996</v>
      </c>
      <c r="R5" s="4">
        <f>51432.05+51946.37</f>
        <v>103378.42000000001</v>
      </c>
      <c r="S5" s="4">
        <f>9479.15+8964.83+1184.89+1120.6</f>
        <v>20749.469999999998</v>
      </c>
      <c r="T5" s="4">
        <f>52465.83+52990.49</f>
        <v>105456.32000000001</v>
      </c>
      <c r="U5" s="4">
        <f>8445.37+7920.71+1055.67+990.09</f>
        <v>18411.84</v>
      </c>
      <c r="V5" s="4">
        <f>53520.4+54055.6</f>
        <v>107576</v>
      </c>
      <c r="W5" s="4">
        <f>7390.8+6855.6+923.85+856.95</f>
        <v>16027.200000000003</v>
      </c>
      <c r="X5" s="4">
        <f>54596.16+55142.12</f>
        <v>109738.28</v>
      </c>
      <c r="Y5" s="4">
        <f>6315.04+5769.08+789.38+721.14</f>
        <v>13594.639999999998</v>
      </c>
      <c r="Z5" s="4">
        <f>55693.54+56250.47</f>
        <v>111944.01000000001</v>
      </c>
      <c r="AA5" s="4">
        <f>5217.66+4660.73+652.21+582.59</f>
        <v>11113.189999999999</v>
      </c>
      <c r="AB5" s="4">
        <f>56812.98+57381.11</f>
        <v>114194.09</v>
      </c>
      <c r="AC5" s="4">
        <f>4098.22+3530.09+512.28+441.26</f>
        <v>8581.85</v>
      </c>
      <c r="AD5" s="4">
        <f>57954.92+58534.47</f>
        <v>116489.39</v>
      </c>
      <c r="AE5" s="4">
        <f>2956.28+2376.73+369.54+297.09</f>
        <v>5999.64</v>
      </c>
      <c r="AF5" s="4">
        <f>59119.81+59711.01</f>
        <v>118830.82</v>
      </c>
      <c r="AG5" s="4">
        <f>1791.39+1200.19+223.92+150.02</f>
        <v>3365.52</v>
      </c>
      <c r="AH5" s="4">
        <v>60307.9</v>
      </c>
      <c r="AI5" s="4">
        <f>603.3+75.38</f>
        <v>678.68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5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51" x14ac:dyDescent="0.25">
      <c r="A7" s="1" t="s">
        <v>1</v>
      </c>
      <c r="B7" s="4">
        <v>50000</v>
      </c>
      <c r="C7" s="4">
        <f>18313.75+17238.75+450</f>
        <v>36002.5</v>
      </c>
      <c r="D7" s="4">
        <v>50000</v>
      </c>
      <c r="E7" s="4">
        <f>17238.75+16038.75+450</f>
        <v>33727.5</v>
      </c>
      <c r="F7" s="4">
        <v>50000</v>
      </c>
      <c r="G7" s="4">
        <f>16038.75+14838.75+450</f>
        <v>31327.5</v>
      </c>
      <c r="H7" s="4">
        <v>55000</v>
      </c>
      <c r="I7" s="4">
        <f>14838.75+13656.25+450</f>
        <v>28945</v>
      </c>
      <c r="J7" s="4">
        <v>55000</v>
      </c>
      <c r="K7" s="4">
        <f>13656.25+12817.5+450</f>
        <v>26923.75</v>
      </c>
      <c r="L7" s="4">
        <v>60000</v>
      </c>
      <c r="M7" s="4">
        <f>12817.5+11827.5+450</f>
        <v>25095</v>
      </c>
      <c r="N7" s="4">
        <v>60000</v>
      </c>
      <c r="O7" s="4">
        <f>11827.5+10837.5+450</f>
        <v>23115</v>
      </c>
      <c r="P7" s="4">
        <v>65000</v>
      </c>
      <c r="Q7" s="4">
        <f>10837.5+9765+450</f>
        <v>21052.5</v>
      </c>
      <c r="R7" s="4">
        <v>65000</v>
      </c>
      <c r="S7" s="4">
        <f>9765+8611.25+450</f>
        <v>18826.25</v>
      </c>
      <c r="T7" s="4">
        <v>65000</v>
      </c>
      <c r="U7" s="4">
        <f>8611.25+7457.5+450</f>
        <v>16518.75</v>
      </c>
      <c r="V7" s="4">
        <v>70000</v>
      </c>
      <c r="W7" s="4">
        <f>7457.5+6215+450</f>
        <v>14122.5</v>
      </c>
      <c r="X7" s="4">
        <v>70000</v>
      </c>
      <c r="Y7" s="4">
        <f>6215+4972.5+450</f>
        <v>11637.5</v>
      </c>
      <c r="Z7" s="4">
        <v>75000</v>
      </c>
      <c r="AA7" s="4">
        <f>4972.5+3641.25+450</f>
        <v>9063.75</v>
      </c>
      <c r="AB7" s="4">
        <v>80000</v>
      </c>
      <c r="AC7" s="4">
        <f>3641.25+2121.25+450</f>
        <v>6212.5</v>
      </c>
      <c r="AD7" s="4">
        <v>20000</v>
      </c>
      <c r="AE7" s="4">
        <f>2121.25+1741.25+450</f>
        <v>4312.5</v>
      </c>
      <c r="AF7" s="4">
        <v>20000</v>
      </c>
      <c r="AG7" s="4">
        <f>1741.25+1361.25+450</f>
        <v>3552.5</v>
      </c>
      <c r="AH7" s="4">
        <v>20000</v>
      </c>
      <c r="AI7" s="4">
        <f>1361.25+981.25+450</f>
        <v>2792.5</v>
      </c>
      <c r="AJ7" s="4">
        <v>25000</v>
      </c>
      <c r="AK7" s="4">
        <f>981.25+490.63+450</f>
        <v>1921.88</v>
      </c>
      <c r="AL7" s="4">
        <v>25000</v>
      </c>
      <c r="AM7" s="4">
        <f>490.63+450</f>
        <v>940.63</v>
      </c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5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51" x14ac:dyDescent="0.25">
      <c r="A9" s="1" t="s">
        <v>2</v>
      </c>
      <c r="B9" s="4">
        <f>186663-138163.31</f>
        <v>48499.69</v>
      </c>
      <c r="C9" s="4">
        <f>106020-73868.98</f>
        <v>32151.020000000004</v>
      </c>
      <c r="D9" s="4">
        <f>189935-139935.4</f>
        <v>49999.600000000006</v>
      </c>
      <c r="E9" s="4">
        <f>100829-69600.37</f>
        <v>31228.630000000005</v>
      </c>
      <c r="F9" s="4">
        <f>193243-141743.09</f>
        <v>51499.91</v>
      </c>
      <c r="G9" s="4">
        <f>95443-65166.72</f>
        <v>30276.28</v>
      </c>
      <c r="H9" s="4">
        <f>201587-148587.13</f>
        <v>52999.869999999995</v>
      </c>
      <c r="I9" s="4">
        <f>90007-60709.67</f>
        <v>29297.33</v>
      </c>
      <c r="J9" s="4">
        <v>54500</v>
      </c>
      <c r="K9" s="4">
        <v>28347.33</v>
      </c>
      <c r="L9" s="4">
        <v>56000</v>
      </c>
      <c r="M9" s="4">
        <v>27397.33</v>
      </c>
      <c r="N9" s="4">
        <v>57500</v>
      </c>
      <c r="O9" s="4">
        <v>26447.33</v>
      </c>
      <c r="P9" s="4">
        <v>59000</v>
      </c>
      <c r="Q9" s="4">
        <v>25497.33</v>
      </c>
      <c r="R9" s="4">
        <v>62500</v>
      </c>
      <c r="S9" s="4">
        <v>23068.05</v>
      </c>
      <c r="T9" s="4">
        <v>64000</v>
      </c>
      <c r="U9" s="4">
        <v>22118.05</v>
      </c>
      <c r="V9" s="4">
        <v>65500</v>
      </c>
      <c r="W9" s="4">
        <v>21168.05</v>
      </c>
      <c r="X9" s="4">
        <v>67000</v>
      </c>
      <c r="Y9" s="4">
        <v>20218.05</v>
      </c>
      <c r="Z9" s="4">
        <v>68500</v>
      </c>
      <c r="AA9" s="4">
        <v>19268.05</v>
      </c>
      <c r="AB9" s="4">
        <v>70000</v>
      </c>
      <c r="AC9" s="4">
        <v>17877.02</v>
      </c>
      <c r="AD9" s="4">
        <v>72500</v>
      </c>
      <c r="AE9" s="4">
        <v>15437.02</v>
      </c>
      <c r="AF9" s="4">
        <v>75000</v>
      </c>
      <c r="AG9" s="4">
        <v>14487.02</v>
      </c>
      <c r="AH9" s="4">
        <v>77500</v>
      </c>
      <c r="AI9" s="4">
        <v>13537</v>
      </c>
      <c r="AJ9" s="4">
        <v>80000</v>
      </c>
      <c r="AK9" s="4">
        <v>12587.02</v>
      </c>
      <c r="AL9" s="4">
        <v>83500</v>
      </c>
      <c r="AM9" s="4">
        <v>11636</v>
      </c>
      <c r="AN9" s="4">
        <v>85000</v>
      </c>
      <c r="AO9" s="4">
        <v>8931</v>
      </c>
      <c r="AP9" s="4">
        <v>87500</v>
      </c>
      <c r="AQ9" s="4">
        <v>7531</v>
      </c>
      <c r="AR9" s="4">
        <v>90000</v>
      </c>
      <c r="AS9" s="4">
        <v>6131</v>
      </c>
      <c r="AT9" s="4">
        <v>92500</v>
      </c>
      <c r="AU9" s="4">
        <v>4731</v>
      </c>
      <c r="AV9" s="4">
        <v>95500</v>
      </c>
      <c r="AW9" s="4">
        <v>3327</v>
      </c>
      <c r="AX9" s="4">
        <v>96500</v>
      </c>
      <c r="AY9" s="4">
        <v>484</v>
      </c>
    </row>
    <row r="10" spans="1:5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51" x14ac:dyDescent="0.25">
      <c r="B11" s="5">
        <f>SUM(B5:B9)</f>
        <v>186663</v>
      </c>
      <c r="C11" s="5">
        <f t="shared" ref="C11:AY11" si="0">SUM(C5:C9)</f>
        <v>106020</v>
      </c>
      <c r="D11" s="5">
        <f t="shared" si="0"/>
        <v>189935</v>
      </c>
      <c r="E11" s="5">
        <f>SUM(E5:E9)</f>
        <v>100829</v>
      </c>
      <c r="F11" s="5">
        <f t="shared" si="0"/>
        <v>193243</v>
      </c>
      <c r="G11" s="5">
        <f t="shared" si="0"/>
        <v>95443</v>
      </c>
      <c r="H11" s="5">
        <f t="shared" si="0"/>
        <v>201587</v>
      </c>
      <c r="I11" s="5">
        <f t="shared" si="0"/>
        <v>90007</v>
      </c>
      <c r="J11" s="5">
        <f t="shared" si="0"/>
        <v>204968.22999999998</v>
      </c>
      <c r="K11" s="5">
        <f t="shared" si="0"/>
        <v>84919.52</v>
      </c>
      <c r="L11" s="5">
        <f t="shared" si="0"/>
        <v>213387.15</v>
      </c>
      <c r="M11" s="5">
        <f t="shared" si="0"/>
        <v>79981.990000000005</v>
      </c>
      <c r="N11" s="5">
        <f t="shared" si="0"/>
        <v>216844.63</v>
      </c>
      <c r="O11" s="5">
        <f t="shared" si="0"/>
        <v>74849.820000000007</v>
      </c>
      <c r="P11" s="5">
        <f t="shared" si="0"/>
        <v>225341.45</v>
      </c>
      <c r="Q11" s="5">
        <f t="shared" si="0"/>
        <v>69590.899999999994</v>
      </c>
      <c r="R11" s="5">
        <f t="shared" si="0"/>
        <v>230878.42</v>
      </c>
      <c r="S11" s="5">
        <f t="shared" si="0"/>
        <v>62643.770000000004</v>
      </c>
      <c r="T11" s="5">
        <f t="shared" si="0"/>
        <v>234456.32000000001</v>
      </c>
      <c r="U11" s="5">
        <f t="shared" si="0"/>
        <v>57048.639999999999</v>
      </c>
      <c r="V11" s="5">
        <f t="shared" si="0"/>
        <v>243076</v>
      </c>
      <c r="W11" s="5">
        <f t="shared" si="0"/>
        <v>51317.75</v>
      </c>
      <c r="X11" s="5">
        <f t="shared" si="0"/>
        <v>246738.28</v>
      </c>
      <c r="Y11" s="5">
        <f t="shared" si="0"/>
        <v>45450.19</v>
      </c>
      <c r="Z11" s="5">
        <f t="shared" si="0"/>
        <v>255444.01</v>
      </c>
      <c r="AA11" s="5">
        <f t="shared" si="0"/>
        <v>39444.99</v>
      </c>
      <c r="AB11" s="5">
        <f t="shared" si="0"/>
        <v>264194.08999999997</v>
      </c>
      <c r="AC11" s="5">
        <f t="shared" si="0"/>
        <v>32671.370000000003</v>
      </c>
      <c r="AD11" s="5">
        <f t="shared" si="0"/>
        <v>208989.39</v>
      </c>
      <c r="AE11" s="5">
        <f t="shared" si="0"/>
        <v>25749.16</v>
      </c>
      <c r="AF11" s="5">
        <f t="shared" si="0"/>
        <v>213830.82</v>
      </c>
      <c r="AG11" s="5">
        <f t="shared" si="0"/>
        <v>21405.040000000001</v>
      </c>
      <c r="AH11" s="5">
        <f t="shared" si="0"/>
        <v>157807.9</v>
      </c>
      <c r="AI11" s="5">
        <f t="shared" si="0"/>
        <v>17008.18</v>
      </c>
      <c r="AJ11" s="5">
        <f t="shared" si="0"/>
        <v>105000</v>
      </c>
      <c r="AK11" s="5">
        <f t="shared" si="0"/>
        <v>14508.900000000001</v>
      </c>
      <c r="AL11" s="5">
        <f t="shared" si="0"/>
        <v>108500</v>
      </c>
      <c r="AM11" s="5">
        <f t="shared" si="0"/>
        <v>12576.63</v>
      </c>
      <c r="AN11" s="5">
        <f t="shared" si="0"/>
        <v>85000</v>
      </c>
      <c r="AO11" s="5">
        <f t="shared" si="0"/>
        <v>8931</v>
      </c>
      <c r="AP11" s="5">
        <f t="shared" si="0"/>
        <v>87500</v>
      </c>
      <c r="AQ11" s="5">
        <f t="shared" si="0"/>
        <v>7531</v>
      </c>
      <c r="AR11" s="5">
        <f t="shared" si="0"/>
        <v>90000</v>
      </c>
      <c r="AS11" s="5">
        <f t="shared" si="0"/>
        <v>6131</v>
      </c>
      <c r="AT11" s="5">
        <f t="shared" si="0"/>
        <v>92500</v>
      </c>
      <c r="AU11" s="5">
        <f t="shared" si="0"/>
        <v>4731</v>
      </c>
      <c r="AV11" s="5">
        <f t="shared" si="0"/>
        <v>95500</v>
      </c>
      <c r="AW11" s="5">
        <f t="shared" si="0"/>
        <v>3327</v>
      </c>
      <c r="AX11" s="5">
        <f t="shared" si="0"/>
        <v>96500</v>
      </c>
      <c r="AY11" s="5">
        <f t="shared" si="0"/>
        <v>484</v>
      </c>
    </row>
  </sheetData>
  <mergeCells count="25">
    <mergeCell ref="L3:M3"/>
    <mergeCell ref="B3:C3"/>
    <mergeCell ref="D3:E3"/>
    <mergeCell ref="F3:G3"/>
    <mergeCell ref="H3:I3"/>
    <mergeCell ref="J3:K3"/>
    <mergeCell ref="AJ3:AK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X3:AY3"/>
    <mergeCell ref="AL3:AM3"/>
    <mergeCell ref="AN3:AO3"/>
    <mergeCell ref="AP3:AQ3"/>
    <mergeCell ref="AR3:AS3"/>
    <mergeCell ref="AT3:AU3"/>
    <mergeCell ref="AV3:AW3"/>
  </mergeCells>
  <phoneticPr fontId="3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C95C4A7727F4980D55764A29C15F8" ma:contentTypeVersion="18" ma:contentTypeDescription="Create a new document." ma:contentTypeScope="" ma:versionID="9337c81aa49ce0c2a304af7d7232fd12">
  <xsd:schema xmlns:xsd="http://www.w3.org/2001/XMLSchema" xmlns:xs="http://www.w3.org/2001/XMLSchema" xmlns:p="http://schemas.microsoft.com/office/2006/metadata/properties" xmlns:ns2="8dd1516d-0f0b-40ea-b2b6-379b6f8c9690" xmlns:ns3="b1f949f3-afe9-4300-90ba-b61bb47db177" targetNamespace="http://schemas.microsoft.com/office/2006/metadata/properties" ma:root="true" ma:fieldsID="f194ca94fa209bf423c4f12065cb85e1" ns2:_="" ns3:_="">
    <xsd:import namespace="8dd1516d-0f0b-40ea-b2b6-379b6f8c9690"/>
    <xsd:import namespace="b1f949f3-afe9-4300-90ba-b61bb47db1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1516d-0f0b-40ea-b2b6-379b6f8c96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b21198e-a2b8-4a36-8435-a707680e80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949f3-afe9-4300-90ba-b61bb47db1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afe9033-e0fa-4c6a-bf41-b0c0abf9646b}" ma:internalName="TaxCatchAll" ma:showField="CatchAllData" ma:web="b1f949f3-afe9-4300-90ba-b61bb47db1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f949f3-afe9-4300-90ba-b61bb47db177" xsi:nil="true"/>
    <lcf76f155ced4ddcb4097134ff3c332f xmlns="8dd1516d-0f0b-40ea-b2b6-379b6f8c9690">
      <Terms xmlns="http://schemas.microsoft.com/office/infopath/2007/PartnerControls"/>
    </lcf76f155ced4ddcb4097134ff3c332f>
    <_Flow_SignoffStatus xmlns="8dd1516d-0f0b-40ea-b2b6-379b6f8c96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04631-E8F8-486C-BAA0-B581B2BF32C9}"/>
</file>

<file path=customXml/itemProps2.xml><?xml version="1.0" encoding="utf-8"?>
<ds:datastoreItem xmlns:ds="http://schemas.openxmlformats.org/officeDocument/2006/customXml" ds:itemID="{E0444313-46E9-43CE-AA1F-46CA441AD6DC}">
  <ds:schemaRefs>
    <ds:schemaRef ds:uri="http://schemas.microsoft.com/office/2006/metadata/properties"/>
    <ds:schemaRef ds:uri="http://schemas.microsoft.com/office/infopath/2007/PartnerControls"/>
    <ds:schemaRef ds:uri="b1f949f3-afe9-4300-90ba-b61bb47db177"/>
    <ds:schemaRef ds:uri="8dd1516d-0f0b-40ea-b2b6-379b6f8c9690"/>
  </ds:schemaRefs>
</ds:datastoreItem>
</file>

<file path=customXml/itemProps3.xml><?xml version="1.0" encoding="utf-8"?>
<ds:datastoreItem xmlns:ds="http://schemas.openxmlformats.org/officeDocument/2006/customXml" ds:itemID="{F13ADFEA-2DDF-4532-AC60-2240E9C3B5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Elaina Bond</dc:creator>
  <cp:lastModifiedBy>Beau Roberts</cp:lastModifiedBy>
  <dcterms:created xsi:type="dcterms:W3CDTF">2021-11-16T17:21:55Z</dcterms:created>
  <dcterms:modified xsi:type="dcterms:W3CDTF">2023-02-03T22:57:59Z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0x010100CD1C95C4A7727F4980D55764A29C15F8</vt:lpwstr>
  </property>
  <property fmtid="{D5CDD505-2E9C-101B-9397-08002B2CF9AE}" pid="3" name="MediaServiceImageTags">
    <vt:lpwstr/>
  </property>
</Properties>
</file>