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D3C49946-3AFE-4DDB-9FCA-EF417DBEFC83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DEKOTHERS!$A$1:$I$145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3" l="1"/>
  <c r="I24" i="3" l="1"/>
  <c r="F96" i="3"/>
  <c r="F55" i="3"/>
  <c r="E125" i="3"/>
  <c r="I96" i="3" l="1"/>
  <c r="I28" i="3"/>
  <c r="D130" i="3" l="1"/>
  <c r="I55" i="3" l="1"/>
  <c r="I86" i="3" l="1"/>
  <c r="I57" i="3" l="1"/>
  <c r="I27" i="3" l="1"/>
  <c r="I20" i="3" l="1"/>
  <c r="F125" i="3" l="1"/>
  <c r="E126" i="3" s="1"/>
  <c r="I41" i="3"/>
  <c r="I99" i="3" l="1"/>
  <c r="G37" i="2" l="1"/>
  <c r="I74" i="3" l="1"/>
  <c r="A114" i="3" l="1"/>
  <c r="B7" i="2"/>
  <c r="I85" i="3" l="1"/>
  <c r="I90" i="3" s="1"/>
  <c r="G19" i="2" l="1"/>
  <c r="D129" i="3" l="1"/>
  <c r="D140" i="3" l="1"/>
  <c r="G20" i="2"/>
  <c r="I39" i="3"/>
  <c r="I40" i="3"/>
  <c r="I19" i="3"/>
  <c r="I31" i="3" s="1"/>
  <c r="I78" i="3"/>
  <c r="E25" i="2"/>
  <c r="E118" i="3"/>
  <c r="F118" i="3" s="1"/>
  <c r="E119" i="3" s="1"/>
  <c r="F119" i="3" s="1"/>
  <c r="F120" i="3" s="1"/>
  <c r="F121" i="3" s="1"/>
  <c r="G29" i="2" s="1"/>
  <c r="F126" i="3"/>
  <c r="F127" i="3" s="1"/>
  <c r="F128" i="3" s="1"/>
  <c r="E137" i="3"/>
  <c r="F137" i="3" s="1"/>
  <c r="F138" i="3" s="1"/>
  <c r="F139" i="3" s="1"/>
  <c r="G32" i="2" s="1"/>
  <c r="A108" i="3"/>
  <c r="A64" i="3"/>
  <c r="G17" i="2" l="1"/>
  <c r="I46" i="3"/>
  <c r="G16" i="2" s="1"/>
  <c r="G18" i="2"/>
  <c r="G15" i="2"/>
  <c r="E129" i="3"/>
  <c r="F129" i="3" s="1"/>
  <c r="E130" i="3" s="1"/>
  <c r="F130" i="3" s="1"/>
  <c r="F131" i="3" s="1"/>
  <c r="F132" i="3" s="1"/>
  <c r="G31" i="2" s="1"/>
  <c r="G33" i="2" s="1"/>
  <c r="G21" i="2" l="1"/>
  <c r="C25" i="2" s="1"/>
  <c r="G25" i="2" s="1"/>
  <c r="G39" i="2" l="1"/>
  <c r="C18" i="1" s="1"/>
</calcChain>
</file>

<file path=xl/sharedStrings.xml><?xml version="1.0" encoding="utf-8"?>
<sst xmlns="http://schemas.openxmlformats.org/spreadsheetml/2006/main" count="950" uniqueCount="132">
  <si>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</si>
  <si>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</si>
  <si>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</si>
  <si>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</si>
  <si>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</si>
  <si>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</si>
  <si>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</si>
  <si>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</si>
  <si>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</si>
  <si>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</si>
  <si>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</si>
  <si>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</si>
  <si>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</si>
  <si>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</si>
  <si>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</si>
  <si>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</si>
  <si>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</si>
  <si>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</si>
  <si>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</si>
  <si>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</si>
  <si>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</si>
  <si>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</si>
  <si>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</si>
  <si>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</si>
  <si>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</si>
  <si>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</si>
  <si>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</si>
  <si>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</si>
  <si>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</si>
  <si>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</si>
  <si>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</si>
  <si>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</si>
  <si>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</si>
  <si>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</si>
  <si>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</si>
  <si>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</si>
  <si>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</si>
  <si>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</si>
  <si>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</si>
  <si>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</si>
  <si>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</si>
  <si>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</si>
  <si>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</si>
  <si>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</si>
  <si>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</si>
  <si>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</si>
  <si>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</si>
  <si>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</si>
  <si>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</si>
  <si>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</si>
  <si>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</si>
  <si>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</si>
  <si>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</si>
  <si>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</si>
  <si>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</si>
  <si>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</si>
  <si>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</si>
  <si>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</si>
  <si>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</si>
  <si>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</si>
  <si>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</si>
  <si>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</si>
  <si>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</si>
  <si>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</si>
  <si>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</si>
  <si>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</si>
  <si>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</si>
  <si>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</si>
  <si>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</si>
  <si>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</si>
  <si>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</si>
  <si>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</si>
  <si>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</si>
  <si>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</si>
  <si>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</si>
  <si>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</si>
  <si>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</si>
  <si>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</si>
  <si>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</si>
  <si>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</si>
  <si>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</si>
  <si>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</si>
  <si>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</si>
  <si>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</si>
  <si>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</si>
  <si>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</si>
  <si>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</si>
  <si>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</si>
  <si>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</si>
  <si>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</si>
  <si>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</si>
  <si>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</si>
  <si>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</si>
  <si>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</si>
  <si>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</si>
  <si>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</si>
  <si>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</si>
  <si>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</si>
  <si>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</si>
  <si>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</si>
  <si>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</si>
  <si>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</si>
  <si>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</si>
  <si>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</si>
  <si>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</si>
  <si>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</si>
  <si>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</si>
  <si>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</si>
  <si>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</si>
  <si>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</si>
  <si>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</si>
  <si>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</si>
  <si>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</si>
  <si>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</si>
  <si>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</si>
  <si>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</si>
  <si>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</si>
  <si>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</si>
  <si>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</si>
  <si>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</si>
  <si>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FTS-1: 08/01/2020</t>
  </si>
  <si>
    <t>11/1/2021 to 10/31/2024</t>
  </si>
  <si>
    <t>April thru Oct</t>
  </si>
  <si>
    <t>Nov thru Mar</t>
  </si>
  <si>
    <t>FT-A:  11/1/2022</t>
  </si>
  <si>
    <t>BILLING DEMAN - TARIFF RATE FTS</t>
  </si>
  <si>
    <t>FSS:  4/1/2023</t>
  </si>
  <si>
    <t>SST: 5/1/2023</t>
  </si>
  <si>
    <t>FTS:  7/1/2023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</si>
  <si>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October 27, 2023</t>
    </r>
  </si>
  <si>
    <t xml:space="preserve">      GAS COST RECOVERY RATES EFFECTIVE FROM:  DECEMBER 1, 2023 THROUGH FEBRUARY 29, 2024</t>
  </si>
  <si>
    <t>DETAILS FOR THE EGC RATE IN EFFECT AS OF : DECEMBER 01,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</si>
</sst>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10" fillId="0" borderId="0" xfId="0" quotePrefix="1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166" fontId="1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5" fillId="0" borderId="0" xfId="0" applyFont="1" applyFill="1" applyBorder="1"/>
    <xf numFmtId="165" fontId="5" fillId="0" borderId="0" xfId="1" applyNumberFormat="1" applyFon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74" fontId="1" fillId="0" borderId="0" xfId="0" applyNumberFormat="1" applyFont="1" applyFill="1" applyAlignment="1"/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71" fontId="5" fillId="0" borderId="0" xfId="0" applyNumberFormat="1" applyFont="1" applyFill="1" applyBorder="1" applyAlignment="1"/>
    <xf numFmtId="173" fontId="5" fillId="0" borderId="0" xfId="1" applyNumberFormat="1" applyFont="1" applyFill="1" applyBorder="1" applyAlignment="1"/>
    <xf numFmtId="0" fontId="3" fillId="0" borderId="0" xfId="0" applyFont="1" applyFill="1"/>
    <xf numFmtId="172" fontId="5" fillId="0" borderId="0" xfId="0" applyNumberFormat="1" applyFont="1" applyFill="1"/>
    <xf numFmtId="39" fontId="5" fillId="0" borderId="0" xfId="0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/>
    <xf numFmtId="43" fontId="1" fillId="0" borderId="0" xfId="1" applyFont="1" applyFill="1"/>
    <xf numFmtId="0" fontId="1" fillId="0" borderId="0" xfId="0" quotePrefix="1" applyFont="1" applyFill="1" applyBorder="1" applyAlignment="1">
      <alignment horizontal="left"/>
    </xf>
    <xf numFmtId="164" fontId="1" fillId="0" borderId="0" xfId="0" applyNumberFormat="1" applyFont="1" applyFill="1"/>
    <xf numFmtId="174" fontId="1" fillId="0" borderId="0" xfId="0" applyNumberFormat="1" applyFont="1" applyFill="1"/>
    <xf numFmtId="10" fontId="1" fillId="0" borderId="0" xfId="3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0" fontId="1" fillId="0" borderId="0" xfId="0" quotePrefix="1" applyFont="1" applyFill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3.2" x14ac:dyDescent="0.25"/>
  <cols>
    <col min="1" max="1" width="62.77734375" customWidth="1"/>
    <col min="2" max="2" width="18.77734375" customWidth="1"/>
    <col min="3" max="3" width="25" customWidth="1"/>
  </cols>
  <sheetData>
    <row r="1" spans="1:8" ht="12.75" customHeight="1" x14ac:dyDescent="0.25">
      <c r="A1" s="21" t="s">
        <v>98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91" t="s">
        <v>1</v>
      </c>
      <c r="B3" s="92"/>
      <c r="C3" s="92"/>
    </row>
    <row r="4" spans="1:8" ht="12.75" customHeight="1" x14ac:dyDescent="0.25">
      <c r="A4" s="91"/>
      <c r="B4" s="92"/>
      <c r="C4" s="92"/>
    </row>
    <row r="5" spans="1:8" ht="12.75" customHeight="1" x14ac:dyDescent="0.25">
      <c r="A5" s="155" t="s">
        <v>130</v>
      </c>
      <c r="B5" s="93"/>
      <c r="C5" s="94"/>
    </row>
    <row r="6" spans="1:8" ht="12.75" customHeight="1" x14ac:dyDescent="0.25">
      <c r="A6" s="95"/>
      <c r="B6" s="92"/>
      <c r="C6" s="92"/>
    </row>
    <row r="7" spans="1:8" ht="12.75" customHeight="1" x14ac:dyDescent="0.25">
      <c r="A7" s="96" t="s">
        <v>2</v>
      </c>
      <c r="B7" s="97" t="s">
        <v>3</v>
      </c>
      <c r="C7" s="97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5.8849999999999998</v>
      </c>
      <c r="D18" s="98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/>
  </sheetViews>
  <sheetFormatPr defaultRowHeight="13.2" x14ac:dyDescent="0.25"/>
  <cols>
    <col min="1" max="1" width="3.77734375" customWidth="1"/>
    <col min="2" max="2" width="44.21875" customWidth="1"/>
    <col min="3" max="3" width="17.77734375" customWidth="1"/>
    <col min="4" max="4" width="4.77734375" customWidth="1"/>
    <col min="5" max="5" width="14.77734375" customWidth="1"/>
    <col min="6" max="6" width="4.77734375" customWidth="1"/>
    <col min="7" max="7" width="17.77734375" customWidth="1"/>
    <col min="8" max="8" width="6.7773437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" customHeight="1" x14ac:dyDescent="0.25">
      <c r="B3" s="64" t="s">
        <v>36</v>
      </c>
      <c r="C3" s="1"/>
      <c r="D3" s="1"/>
      <c r="E3" s="1"/>
      <c r="F3" s="1"/>
      <c r="G3" s="1"/>
    </row>
    <row r="4" spans="2:7" ht="14.1" customHeight="1" x14ac:dyDescent="0.25">
      <c r="B4" s="64" t="s">
        <v>98</v>
      </c>
      <c r="C4" s="1"/>
      <c r="D4" s="1"/>
      <c r="E4" s="1"/>
      <c r="F4" s="1"/>
      <c r="G4" s="1"/>
    </row>
    <row r="5" spans="2:7" ht="14.1" customHeight="1" x14ac:dyDescent="0.25">
      <c r="B5" s="64" t="s">
        <v>37</v>
      </c>
      <c r="C5" s="1"/>
      <c r="D5" s="1"/>
      <c r="E5" s="1"/>
      <c r="F5" s="1"/>
      <c r="G5" s="1"/>
    </row>
    <row r="6" spans="2:7" ht="14.1" customHeight="1" x14ac:dyDescent="0.25">
      <c r="C6" s="56"/>
      <c r="D6" s="57"/>
      <c r="E6" s="1"/>
      <c r="F6" s="1"/>
      <c r="G6" s="1"/>
    </row>
    <row r="7" spans="2:7" ht="14.1" customHeight="1" x14ac:dyDescent="0.25">
      <c r="B7" s="75" t="str">
        <f>"SUMMARY FOR THE EGC RATE IN EFFECT AS OF "&amp;UPPER(RIGHT(DEKOTHERS!A7,LEN(DEKOTHERS!A7)-41))</f>
        <v>SUMMARY FOR THE EGC RATE IN EFFECT AS OF : DECEMBER 01, 2023</v>
      </c>
      <c r="C7" s="56"/>
      <c r="D7" s="57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1"/>
    </row>
    <row r="10" spans="2:7" ht="14.1" customHeight="1" x14ac:dyDescent="0.25">
      <c r="G10" s="10"/>
    </row>
    <row r="11" spans="2:7" ht="14.1" customHeight="1" x14ac:dyDescent="0.25">
      <c r="B11" s="9" t="s">
        <v>5</v>
      </c>
      <c r="C11" s="12"/>
      <c r="D11" s="12"/>
      <c r="E11" s="9"/>
      <c r="F11" s="9"/>
      <c r="G11" s="13"/>
    </row>
    <row r="12" spans="2:7" ht="14.1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" customHeight="1" x14ac:dyDescent="0.25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" customHeight="1" x14ac:dyDescent="0.25">
      <c r="B15" s="6" t="s">
        <v>109</v>
      </c>
      <c r="C15" s="6"/>
      <c r="D15" s="6"/>
      <c r="E15" s="6"/>
      <c r="F15" s="6"/>
      <c r="G15" s="60">
        <f>+DEKOTHERS!I31</f>
        <v>17972782.380000003</v>
      </c>
    </row>
    <row r="16" spans="2:7" ht="14.1" customHeight="1" x14ac:dyDescent="0.25">
      <c r="B16" s="6" t="s">
        <v>110</v>
      </c>
      <c r="C16" s="22" t="s">
        <v>5</v>
      </c>
      <c r="D16" s="22"/>
      <c r="E16" s="81" t="s">
        <v>5</v>
      </c>
      <c r="F16" s="15"/>
      <c r="G16" s="61">
        <f>+DEKOTHERS!I46</f>
        <v>1023975</v>
      </c>
    </row>
    <row r="17" spans="2:9" ht="14.1" customHeight="1" x14ac:dyDescent="0.25">
      <c r="B17" s="72" t="s">
        <v>114</v>
      </c>
      <c r="C17" s="22"/>
      <c r="D17" s="22"/>
      <c r="E17" s="81"/>
      <c r="F17" s="15"/>
      <c r="G17" s="61">
        <f>+DEKOTHERS!I57</f>
        <v>2150331</v>
      </c>
    </row>
    <row r="18" spans="2:9" ht="14.1" customHeight="1" x14ac:dyDescent="0.25">
      <c r="B18" s="6" t="s">
        <v>111</v>
      </c>
      <c r="C18" s="22" t="s">
        <v>5</v>
      </c>
      <c r="D18" s="22"/>
      <c r="E18" s="81"/>
      <c r="F18" s="15"/>
      <c r="G18" s="61">
        <f>+DEKOTHERS!I78</f>
        <v>0</v>
      </c>
    </row>
    <row r="19" spans="2:9" ht="14.1" customHeight="1" x14ac:dyDescent="0.25">
      <c r="B19" s="73" t="s">
        <v>118</v>
      </c>
      <c r="C19" s="22"/>
      <c r="D19" s="22"/>
      <c r="E19" s="81"/>
      <c r="F19" s="15"/>
      <c r="G19" s="61">
        <f>+DEKOTHERS!I90</f>
        <v>586502</v>
      </c>
    </row>
    <row r="20" spans="2:9" ht="14.1" customHeight="1" x14ac:dyDescent="0.25">
      <c r="B20" s="6" t="s">
        <v>106</v>
      </c>
      <c r="C20" s="23" t="s">
        <v>5</v>
      </c>
      <c r="D20" s="23"/>
      <c r="E20" s="78" t="s">
        <v>5</v>
      </c>
      <c r="F20" s="24"/>
      <c r="G20" s="70">
        <f>+DEKOTHERS!I99</f>
        <v>284850</v>
      </c>
    </row>
    <row r="21" spans="2:9" ht="14.1" customHeight="1" x14ac:dyDescent="0.25">
      <c r="B21" s="28"/>
      <c r="C21" s="29" t="s">
        <v>40</v>
      </c>
      <c r="D21" s="25"/>
      <c r="E21" s="73"/>
      <c r="F21" s="6"/>
      <c r="G21" s="61">
        <f>SUM(G15:G20)</f>
        <v>22018440.380000003</v>
      </c>
    </row>
    <row r="22" spans="2:9" ht="14.1" customHeight="1" x14ac:dyDescent="0.25">
      <c r="B22" s="14"/>
      <c r="C22" s="6"/>
      <c r="D22" s="6"/>
      <c r="E22" s="73"/>
      <c r="F22" s="6"/>
      <c r="G22" s="61"/>
    </row>
    <row r="23" spans="2:9" ht="14.1" customHeight="1" x14ac:dyDescent="0.25">
      <c r="C23" s="27" t="s">
        <v>97</v>
      </c>
      <c r="D23" s="30"/>
      <c r="E23" s="109">
        <v>9434557</v>
      </c>
      <c r="F23" s="32" t="s">
        <v>41</v>
      </c>
      <c r="G23" s="126" t="s">
        <v>5</v>
      </c>
      <c r="H23" s="69"/>
      <c r="I23" s="69"/>
    </row>
    <row r="24" spans="2:9" ht="14.1" customHeight="1" x14ac:dyDescent="0.25">
      <c r="B24" s="6"/>
      <c r="C24" s="30"/>
      <c r="D24" s="30"/>
      <c r="E24" s="99"/>
      <c r="F24" s="31"/>
      <c r="G24" s="126"/>
      <c r="H24" s="69"/>
      <c r="I24" s="69"/>
    </row>
    <row r="25" spans="2:9" ht="14.1" customHeight="1" x14ac:dyDescent="0.25">
      <c r="B25" s="6" t="s">
        <v>42</v>
      </c>
      <c r="C25" s="33">
        <f>+G21</f>
        <v>22018440.380000003</v>
      </c>
      <c r="D25" s="34" t="s">
        <v>43</v>
      </c>
      <c r="E25" s="100">
        <f>+E23</f>
        <v>9434557</v>
      </c>
      <c r="F25" s="32" t="s">
        <v>41</v>
      </c>
      <c r="G25" s="127">
        <f>ROUND(C25/E25,3)</f>
        <v>2.3340000000000001</v>
      </c>
      <c r="H25" s="128" t="s">
        <v>44</v>
      </c>
      <c r="I25" s="69"/>
    </row>
    <row r="26" spans="2:9" ht="14.1" customHeight="1" x14ac:dyDescent="0.25">
      <c r="B26" s="6" t="s">
        <v>5</v>
      </c>
      <c r="C26" s="29"/>
      <c r="D26" s="29"/>
      <c r="E26" s="99"/>
      <c r="F26" s="29"/>
      <c r="G26" s="129" t="s">
        <v>5</v>
      </c>
      <c r="H26" s="69"/>
      <c r="I26" s="69"/>
    </row>
    <row r="27" spans="2:9" ht="14.1" customHeight="1" x14ac:dyDescent="0.25">
      <c r="E27" s="67"/>
      <c r="G27" s="69"/>
      <c r="H27" s="69"/>
      <c r="I27" s="69"/>
    </row>
    <row r="28" spans="2:9" ht="14.1" customHeight="1" x14ac:dyDescent="0.25">
      <c r="B28" s="62" t="s">
        <v>45</v>
      </c>
      <c r="E28" s="67"/>
      <c r="G28" s="69"/>
      <c r="H28" s="69"/>
      <c r="I28" s="69"/>
    </row>
    <row r="29" spans="2:9" ht="14.1" customHeight="1" x14ac:dyDescent="0.25">
      <c r="B29" s="6" t="s">
        <v>106</v>
      </c>
      <c r="E29" s="67"/>
      <c r="G29" s="130">
        <f>+DEKOTHERS!F121</f>
        <v>2.6070000000000002</v>
      </c>
      <c r="H29" s="128" t="s">
        <v>44</v>
      </c>
      <c r="I29" s="69"/>
    </row>
    <row r="30" spans="2:9" ht="14.1" customHeight="1" x14ac:dyDescent="0.25">
      <c r="B30" s="6" t="s">
        <v>107</v>
      </c>
      <c r="E30" s="67"/>
      <c r="G30" s="69"/>
      <c r="H30" s="69"/>
      <c r="I30" s="69"/>
    </row>
    <row r="31" spans="2:9" ht="14.1" customHeight="1" x14ac:dyDescent="0.25">
      <c r="B31" s="71" t="s">
        <v>105</v>
      </c>
      <c r="E31" s="67"/>
      <c r="G31" s="131">
        <f>+DEKOTHERS!F132</f>
        <v>0.94399999999999995</v>
      </c>
      <c r="H31" s="128" t="s">
        <v>44</v>
      </c>
      <c r="I31" s="69"/>
    </row>
    <row r="32" spans="2:9" ht="14.1" customHeight="1" x14ac:dyDescent="0.25">
      <c r="B32" s="63" t="s">
        <v>108</v>
      </c>
      <c r="E32" s="67"/>
      <c r="G32" s="132">
        <f>+DEKOTHERS!F139</f>
        <v>0</v>
      </c>
      <c r="H32" s="128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27">
        <f>SUM(G29:G32)</f>
        <v>3.5510000000000002</v>
      </c>
      <c r="H33" s="128" t="s">
        <v>44</v>
      </c>
      <c r="I33" s="69"/>
    </row>
    <row r="34" spans="2:10" x14ac:dyDescent="0.25">
      <c r="C34" s="67"/>
      <c r="D34" s="67"/>
      <c r="E34" s="67"/>
      <c r="G34" s="131"/>
      <c r="H34" s="69"/>
      <c r="I34" s="69"/>
    </row>
    <row r="35" spans="2:10" x14ac:dyDescent="0.25">
      <c r="C35" s="67"/>
      <c r="D35" s="67"/>
      <c r="E35" s="67"/>
      <c r="G35" s="131"/>
      <c r="H35" s="69"/>
      <c r="I35" s="69"/>
    </row>
    <row r="36" spans="2:10" x14ac:dyDescent="0.25">
      <c r="B36" t="s">
        <v>102</v>
      </c>
      <c r="C36" s="67"/>
      <c r="D36" s="67"/>
      <c r="E36" s="67"/>
      <c r="G36" s="131"/>
      <c r="H36" s="69"/>
      <c r="I36" s="69"/>
    </row>
    <row r="37" spans="2:10" ht="15.6" x14ac:dyDescent="0.25">
      <c r="B37" s="68" t="s">
        <v>103</v>
      </c>
      <c r="C37" s="86">
        <v>0</v>
      </c>
      <c r="D37" s="101" t="s">
        <v>43</v>
      </c>
      <c r="E37" s="109">
        <v>1589923</v>
      </c>
      <c r="F37" s="16"/>
      <c r="G37" s="74">
        <f>ROUND(+C37/E37,3)</f>
        <v>0</v>
      </c>
      <c r="H37" s="128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.8" thickBot="1" x14ac:dyDescent="0.3">
      <c r="B39" t="s">
        <v>47</v>
      </c>
      <c r="E39" s="67"/>
      <c r="G39" s="133">
        <f>G25+G33+G37</f>
        <v>5.8849999999999998</v>
      </c>
      <c r="H39" s="128" t="s">
        <v>44</v>
      </c>
      <c r="I39" s="69"/>
    </row>
    <row r="40" spans="2:10" ht="13.8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5.6" x14ac:dyDescent="0.25">
      <c r="B43" s="69" t="s">
        <v>119</v>
      </c>
      <c r="E43" s="67"/>
    </row>
    <row r="44" spans="2:10" x14ac:dyDescent="0.25"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3"/>
  <sheetViews>
    <sheetView zoomScaleNormal="100" workbookViewId="0">
      <pane ySplit="11" topLeftCell="A12" activePane="bottomLeft" state="frozen"/>
      <selection pane="bottomLeft"/>
    </sheetView>
  </sheetViews>
  <sheetFormatPr defaultColWidth="8.77734375" defaultRowHeight="13.2" x14ac:dyDescent="0.25"/>
  <cols>
    <col min="1" max="1" width="14" style="98" customWidth="1"/>
    <col min="2" max="2" width="9.77734375" style="98" customWidth="1"/>
    <col min="3" max="3" width="9.5546875" style="98" customWidth="1"/>
    <col min="4" max="4" width="25.21875" style="98" customWidth="1"/>
    <col min="5" max="6" width="13.77734375" style="98" customWidth="1"/>
    <col min="7" max="7" width="2.21875" style="98" customWidth="1"/>
    <col min="8" max="8" width="13.21875" style="98" customWidth="1"/>
    <col min="9" max="9" width="17.77734375" style="98" customWidth="1"/>
    <col min="10" max="10" width="8.77734375" style="98"/>
    <col min="11" max="12" width="9.21875" style="98" bestFit="1" customWidth="1"/>
    <col min="13" max="15" width="8.77734375" style="98"/>
    <col min="16" max="16" width="9.77734375" style="98" customWidth="1"/>
    <col min="17" max="17" width="12.77734375" style="98" bestFit="1" customWidth="1"/>
    <col min="18" max="18" width="8.77734375" style="98"/>
    <col min="19" max="19" width="10.21875" style="98" bestFit="1" customWidth="1"/>
    <col min="20" max="16384" width="8.77734375" style="98"/>
  </cols>
  <sheetData>
    <row r="1" spans="1:9" ht="12.75" customHeight="1" x14ac:dyDescent="0.25">
      <c r="A1" s="136"/>
      <c r="B1" s="136"/>
      <c r="C1" s="136"/>
      <c r="D1" s="136"/>
      <c r="E1" s="136"/>
      <c r="F1" s="136"/>
      <c r="G1" s="136"/>
      <c r="H1" s="136"/>
      <c r="I1" s="136" t="s">
        <v>49</v>
      </c>
    </row>
    <row r="2" spans="1:9" ht="12.75" customHeight="1" x14ac:dyDescent="0.25">
      <c r="A2" s="136"/>
      <c r="B2" s="136"/>
      <c r="C2" s="136"/>
      <c r="D2" s="136"/>
      <c r="E2" s="136"/>
      <c r="F2" s="136"/>
      <c r="G2" s="136"/>
      <c r="H2" s="136"/>
      <c r="I2" s="136" t="s">
        <v>50</v>
      </c>
    </row>
    <row r="3" spans="1:9" ht="12.75" customHeight="1" x14ac:dyDescent="0.25">
      <c r="A3" s="139"/>
      <c r="B3" s="139"/>
      <c r="C3" s="139"/>
    </row>
    <row r="4" spans="1:9" ht="12.75" customHeight="1" x14ac:dyDescent="0.25">
      <c r="A4" s="136" t="s">
        <v>36</v>
      </c>
      <c r="B4" s="136"/>
      <c r="C4" s="136"/>
      <c r="D4" s="136"/>
      <c r="E4" s="136"/>
      <c r="F4" s="136"/>
      <c r="G4" s="136"/>
      <c r="H4" s="136"/>
      <c r="I4" s="136"/>
    </row>
    <row r="5" spans="1:9" ht="12.75" customHeight="1" x14ac:dyDescent="0.25">
      <c r="A5" s="136" t="s">
        <v>98</v>
      </c>
      <c r="B5" s="136"/>
      <c r="C5" s="136"/>
      <c r="D5" s="136"/>
      <c r="E5" s="136"/>
      <c r="F5" s="136"/>
      <c r="G5" s="136"/>
      <c r="H5" s="136"/>
      <c r="I5" s="136"/>
    </row>
    <row r="6" spans="1:9" ht="12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ht="12.75" customHeight="1" x14ac:dyDescent="0.25">
      <c r="A7" s="156" t="s">
        <v>131</v>
      </c>
      <c r="B7" s="121"/>
      <c r="C7" s="121"/>
      <c r="D7" s="104"/>
      <c r="E7" s="76"/>
      <c r="F7" s="139"/>
      <c r="G7" s="139"/>
      <c r="H7" s="139"/>
      <c r="I7" s="136"/>
    </row>
    <row r="8" spans="1:9" ht="12.75" customHeight="1" x14ac:dyDescent="0.25">
      <c r="A8" s="140"/>
      <c r="B8" s="140"/>
      <c r="C8" s="140"/>
      <c r="D8" s="140"/>
      <c r="E8" s="135"/>
      <c r="F8" s="140"/>
      <c r="G8" s="140"/>
      <c r="H8" s="140"/>
      <c r="I8" s="140"/>
    </row>
    <row r="9" spans="1:9" ht="12.75" customHeight="1" x14ac:dyDescent="0.25">
      <c r="E9" s="141"/>
      <c r="F9" s="141" t="s">
        <v>51</v>
      </c>
      <c r="G9" s="141"/>
      <c r="H9" s="141" t="s">
        <v>52</v>
      </c>
      <c r="I9" s="142" t="s">
        <v>53</v>
      </c>
    </row>
    <row r="10" spans="1:9" ht="12.75" customHeight="1" x14ac:dyDescent="0.25">
      <c r="A10" s="141" t="s">
        <v>5</v>
      </c>
      <c r="B10" s="141"/>
      <c r="C10" s="141"/>
      <c r="D10" s="141"/>
      <c r="E10" s="141" t="s">
        <v>54</v>
      </c>
      <c r="F10" s="141" t="s">
        <v>55</v>
      </c>
      <c r="G10" s="141"/>
      <c r="H10" s="141" t="s">
        <v>56</v>
      </c>
      <c r="I10" s="142" t="s">
        <v>57</v>
      </c>
    </row>
    <row r="11" spans="1:9" ht="12.75" customHeight="1" x14ac:dyDescent="0.25">
      <c r="A11" s="143"/>
      <c r="B11" s="143"/>
      <c r="C11" s="143"/>
      <c r="D11" s="143"/>
      <c r="E11" s="144" t="s">
        <v>58</v>
      </c>
      <c r="F11" s="144" t="s">
        <v>59</v>
      </c>
      <c r="G11" s="144"/>
      <c r="H11" s="144" t="s">
        <v>60</v>
      </c>
      <c r="I11" s="145" t="s">
        <v>61</v>
      </c>
    </row>
    <row r="12" spans="1:9" ht="12.75" customHeight="1" x14ac:dyDescent="0.25">
      <c r="A12" s="102"/>
      <c r="B12" s="102"/>
      <c r="C12" s="102"/>
      <c r="D12" s="102"/>
      <c r="E12" s="87"/>
      <c r="F12" s="87"/>
      <c r="G12" s="87"/>
      <c r="H12" s="87"/>
      <c r="I12" s="87"/>
    </row>
    <row r="13" spans="1:9" ht="12.75" customHeight="1" x14ac:dyDescent="0.25">
      <c r="A13" s="121" t="s">
        <v>62</v>
      </c>
      <c r="B13" s="121"/>
      <c r="C13" s="121" t="s">
        <v>100</v>
      </c>
      <c r="D13" s="104"/>
      <c r="E13" s="87"/>
      <c r="F13" s="87"/>
      <c r="G13" s="87"/>
      <c r="H13" s="87"/>
      <c r="I13" s="87"/>
    </row>
    <row r="14" spans="1:9" ht="12.75" customHeight="1" x14ac:dyDescent="0.25">
      <c r="A14" s="139" t="s">
        <v>63</v>
      </c>
      <c r="B14" s="139"/>
      <c r="C14" s="139"/>
      <c r="D14" s="87" t="s">
        <v>126</v>
      </c>
      <c r="E14" s="87"/>
      <c r="F14" s="87"/>
      <c r="G14" s="87"/>
      <c r="H14" s="87"/>
      <c r="I14" s="87"/>
    </row>
    <row r="15" spans="1:9" ht="12.75" customHeight="1" x14ac:dyDescent="0.25">
      <c r="A15" s="139"/>
      <c r="B15" s="139"/>
      <c r="C15" s="139"/>
      <c r="D15" s="89" t="s">
        <v>127</v>
      </c>
      <c r="E15" s="87"/>
      <c r="F15" s="87"/>
      <c r="G15" s="87"/>
      <c r="H15" s="87"/>
      <c r="I15" s="87"/>
    </row>
    <row r="16" spans="1:9" ht="12.75" customHeight="1" x14ac:dyDescent="0.25">
      <c r="A16" s="102"/>
      <c r="B16" s="102"/>
      <c r="C16" s="102"/>
      <c r="D16" s="87" t="s">
        <v>128</v>
      </c>
      <c r="E16" s="87"/>
      <c r="F16" s="87"/>
      <c r="G16" s="87"/>
      <c r="H16" s="87"/>
      <c r="I16" s="87"/>
    </row>
    <row r="17" spans="1:9" ht="12.75" customHeight="1" x14ac:dyDescent="0.25">
      <c r="A17" s="102"/>
      <c r="B17" s="102"/>
      <c r="C17" s="102"/>
      <c r="D17" s="87"/>
      <c r="E17" s="87"/>
      <c r="F17" s="87"/>
      <c r="G17" s="87"/>
      <c r="H17" s="87"/>
      <c r="I17" s="87"/>
    </row>
    <row r="18" spans="1:9" ht="12.75" customHeight="1" x14ac:dyDescent="0.25">
      <c r="A18" s="77" t="s">
        <v>64</v>
      </c>
      <c r="B18" s="77"/>
      <c r="C18" s="77"/>
      <c r="D18" s="102"/>
      <c r="E18" s="102"/>
      <c r="F18" s="102"/>
      <c r="G18" s="102"/>
      <c r="H18" s="102"/>
      <c r="I18" s="102"/>
    </row>
    <row r="19" spans="1:9" ht="12.75" customHeight="1" x14ac:dyDescent="0.25">
      <c r="A19" s="114"/>
      <c r="B19" s="87"/>
      <c r="C19" s="89"/>
      <c r="D19" s="102" t="s">
        <v>65</v>
      </c>
      <c r="E19" s="134">
        <v>2.823</v>
      </c>
      <c r="F19" s="90">
        <v>39656</v>
      </c>
      <c r="G19" s="90"/>
      <c r="H19" s="90">
        <v>12</v>
      </c>
      <c r="I19" s="146">
        <f>ROUND(E19*F19*H19,0)</f>
        <v>1343387</v>
      </c>
    </row>
    <row r="20" spans="1:9" ht="12.75" customHeight="1" x14ac:dyDescent="0.25">
      <c r="A20" s="114"/>
      <c r="B20" s="87"/>
      <c r="C20" s="89"/>
      <c r="D20" s="102" t="s">
        <v>66</v>
      </c>
      <c r="E20" s="134">
        <v>5.13E-3</v>
      </c>
      <c r="F20" s="90">
        <v>1365276</v>
      </c>
      <c r="G20" s="90"/>
      <c r="H20" s="90">
        <v>12</v>
      </c>
      <c r="I20" s="146">
        <f>ROUND(E20*F20*H20,0)</f>
        <v>84046</v>
      </c>
    </row>
    <row r="21" spans="1:9" ht="12.75" customHeight="1" x14ac:dyDescent="0.25">
      <c r="A21" s="110" t="s">
        <v>5</v>
      </c>
      <c r="B21" s="87" t="s">
        <v>5</v>
      </c>
      <c r="C21" s="102"/>
      <c r="D21" s="102"/>
      <c r="E21" s="110" t="s">
        <v>5</v>
      </c>
      <c r="F21" s="90" t="s">
        <v>5</v>
      </c>
      <c r="G21" s="90"/>
      <c r="H21" s="90"/>
      <c r="I21" s="146" t="s">
        <v>5</v>
      </c>
    </row>
    <row r="22" spans="1:9" ht="12.75" customHeight="1" x14ac:dyDescent="0.25">
      <c r="A22" s="159" t="s">
        <v>125</v>
      </c>
      <c r="B22" s="141"/>
      <c r="E22" s="110"/>
      <c r="F22" s="90"/>
      <c r="G22" s="90"/>
      <c r="H22" s="90"/>
      <c r="I22" s="146"/>
    </row>
    <row r="23" spans="1:9" ht="12.75" customHeight="1" x14ac:dyDescent="0.25">
      <c r="A23" s="110"/>
      <c r="B23" s="141"/>
      <c r="E23" s="110"/>
      <c r="F23" s="90"/>
      <c r="G23" s="90"/>
      <c r="H23" s="90"/>
      <c r="I23" s="146"/>
    </row>
    <row r="24" spans="1:9" ht="12.75" customHeight="1" x14ac:dyDescent="0.25">
      <c r="A24" s="110"/>
      <c r="B24" s="141"/>
      <c r="D24" s="98" t="s">
        <v>68</v>
      </c>
      <c r="E24" s="110">
        <v>10.185</v>
      </c>
      <c r="F24" s="90">
        <v>105979</v>
      </c>
      <c r="G24" s="90"/>
      <c r="H24" s="90">
        <v>12</v>
      </c>
      <c r="I24" s="146">
        <f>+H24*F24*E24</f>
        <v>12952753.380000001</v>
      </c>
    </row>
    <row r="25" spans="1:9" ht="12.75" customHeight="1" x14ac:dyDescent="0.25">
      <c r="A25" s="114"/>
      <c r="B25" s="87"/>
      <c r="C25" s="89"/>
      <c r="D25" s="102"/>
      <c r="E25" s="134"/>
      <c r="F25" s="90"/>
      <c r="G25" s="90"/>
      <c r="H25" s="90"/>
      <c r="I25" s="146"/>
    </row>
    <row r="26" spans="1:9" ht="12.75" customHeight="1" x14ac:dyDescent="0.25">
      <c r="A26" s="77" t="s">
        <v>67</v>
      </c>
      <c r="B26" s="77"/>
      <c r="C26" s="77"/>
      <c r="D26" s="102"/>
      <c r="E26" s="88" t="s">
        <v>5</v>
      </c>
      <c r="F26" s="90" t="s">
        <v>5</v>
      </c>
      <c r="G26" s="90"/>
      <c r="H26" s="90"/>
      <c r="I26" s="146" t="s">
        <v>5</v>
      </c>
    </row>
    <row r="27" spans="1:9" ht="12.75" customHeight="1" x14ac:dyDescent="0.25">
      <c r="A27" s="114"/>
      <c r="B27" s="87"/>
      <c r="C27" s="89"/>
      <c r="D27" s="102" t="s">
        <v>68</v>
      </c>
      <c r="E27" s="88">
        <v>10.066000000000001</v>
      </c>
      <c r="F27" s="90">
        <v>19828</v>
      </c>
      <c r="G27" s="90"/>
      <c r="H27" s="90">
        <v>6</v>
      </c>
      <c r="I27" s="146">
        <f>ROUND(E27*F27*H27,0)</f>
        <v>1197532</v>
      </c>
    </row>
    <row r="28" spans="1:9" ht="12.75" customHeight="1" x14ac:dyDescent="0.25">
      <c r="D28" s="102" t="s">
        <v>68</v>
      </c>
      <c r="E28" s="88">
        <v>10.066000000000001</v>
      </c>
      <c r="F28" s="90">
        <v>39656</v>
      </c>
      <c r="G28" s="90"/>
      <c r="H28" s="90">
        <v>6</v>
      </c>
      <c r="I28" s="146">
        <f>ROUND(E28*F28*H28,0)</f>
        <v>2395064</v>
      </c>
    </row>
    <row r="29" spans="1:9" ht="12.75" customHeight="1" x14ac:dyDescent="0.25">
      <c r="A29" s="102"/>
      <c r="G29" s="90"/>
      <c r="I29" s="147"/>
    </row>
    <row r="30" spans="1:9" ht="12.75" customHeight="1" x14ac:dyDescent="0.25">
      <c r="A30" s="102"/>
      <c r="I30" s="148"/>
    </row>
    <row r="31" spans="1:9" ht="12.75" customHeight="1" x14ac:dyDescent="0.25">
      <c r="C31" s="163" t="s">
        <v>101</v>
      </c>
      <c r="E31" s="103"/>
      <c r="F31" s="85"/>
      <c r="G31" s="85"/>
      <c r="H31" s="85"/>
      <c r="I31" s="123">
        <f>SUM(I19:I29)</f>
        <v>17972782.380000003</v>
      </c>
    </row>
    <row r="32" spans="1:9" ht="12.75" customHeight="1" x14ac:dyDescent="0.25">
      <c r="C32" s="163"/>
      <c r="E32" s="103"/>
      <c r="F32" s="85"/>
      <c r="G32" s="85"/>
      <c r="H32" s="85"/>
      <c r="I32" s="123"/>
    </row>
    <row r="33" spans="1:12" ht="12.75" customHeight="1" x14ac:dyDescent="0.25">
      <c r="C33" s="163"/>
      <c r="E33" s="103"/>
      <c r="F33" s="85"/>
      <c r="G33" s="85"/>
      <c r="H33" s="85"/>
      <c r="I33" s="123"/>
    </row>
    <row r="34" spans="1:12" ht="12.75" customHeight="1" x14ac:dyDescent="0.25">
      <c r="A34" s="121" t="s">
        <v>62</v>
      </c>
      <c r="B34" s="121"/>
      <c r="C34" s="121" t="s">
        <v>70</v>
      </c>
      <c r="D34" s="104"/>
      <c r="E34" s="87"/>
      <c r="F34" s="87"/>
      <c r="G34" s="87"/>
      <c r="H34" s="87"/>
      <c r="I34" s="87"/>
      <c r="K34" s="164"/>
      <c r="L34" s="164"/>
    </row>
    <row r="35" spans="1:12" ht="12.75" customHeight="1" x14ac:dyDescent="0.25">
      <c r="A35" s="139" t="s">
        <v>63</v>
      </c>
      <c r="B35" s="139"/>
      <c r="C35" s="139"/>
      <c r="D35" s="87" t="s">
        <v>120</v>
      </c>
      <c r="E35" s="87"/>
      <c r="F35" s="87"/>
      <c r="G35" s="87"/>
      <c r="H35" s="87"/>
      <c r="I35" s="87"/>
      <c r="K35" s="164"/>
      <c r="L35" s="164"/>
    </row>
    <row r="36" spans="1:12" ht="12.75" customHeight="1" x14ac:dyDescent="0.25">
      <c r="A36" s="139"/>
      <c r="B36" s="139"/>
      <c r="C36" s="139"/>
      <c r="D36" s="87"/>
      <c r="E36" s="87"/>
      <c r="F36" s="87"/>
      <c r="G36" s="87"/>
      <c r="H36" s="87"/>
      <c r="I36" s="87"/>
      <c r="K36" s="164"/>
      <c r="L36" s="164"/>
    </row>
    <row r="37" spans="1:12" ht="12.75" customHeight="1" x14ac:dyDescent="0.25">
      <c r="A37" s="102"/>
      <c r="B37" s="102"/>
      <c r="C37" s="102"/>
      <c r="D37" s="102"/>
      <c r="E37" s="87"/>
      <c r="F37" s="87"/>
      <c r="G37" s="87"/>
      <c r="H37" s="87"/>
      <c r="I37" s="87"/>
      <c r="K37" s="164"/>
      <c r="L37" s="164"/>
    </row>
    <row r="38" spans="1:12" ht="12.75" customHeight="1" x14ac:dyDescent="0.25">
      <c r="A38" s="77" t="s">
        <v>71</v>
      </c>
      <c r="B38" s="77"/>
      <c r="C38" s="77"/>
      <c r="D38" s="102"/>
      <c r="E38" s="102"/>
      <c r="F38" s="102"/>
      <c r="G38" s="102"/>
      <c r="H38" s="102"/>
      <c r="I38" s="102"/>
    </row>
    <row r="39" spans="1:12" ht="12.75" customHeight="1" x14ac:dyDescent="0.25">
      <c r="A39" s="114"/>
      <c r="B39" s="87"/>
      <c r="C39" s="89"/>
      <c r="D39" s="102" t="s">
        <v>68</v>
      </c>
      <c r="E39" s="88">
        <v>3.33</v>
      </c>
      <c r="F39" s="90">
        <v>21000</v>
      </c>
      <c r="G39" s="90"/>
      <c r="H39" s="90">
        <v>5</v>
      </c>
      <c r="I39" s="146">
        <f>ROUND(E39*F39*H39,0)</f>
        <v>349650</v>
      </c>
    </row>
    <row r="40" spans="1:12" ht="12.75" customHeight="1" x14ac:dyDescent="0.25">
      <c r="A40" s="114"/>
      <c r="B40" s="87"/>
      <c r="C40" s="89"/>
      <c r="D40" s="102" t="s">
        <v>68</v>
      </c>
      <c r="E40" s="88">
        <v>3.33</v>
      </c>
      <c r="F40" s="90">
        <v>13500</v>
      </c>
      <c r="G40" s="90"/>
      <c r="H40" s="90">
        <v>7</v>
      </c>
      <c r="I40" s="146">
        <f>ROUND(E40*F40*H40,0)</f>
        <v>314685</v>
      </c>
    </row>
    <row r="41" spans="1:12" ht="12.75" customHeight="1" x14ac:dyDescent="0.25">
      <c r="A41" s="114"/>
      <c r="B41" s="87"/>
      <c r="C41" s="89"/>
      <c r="D41" s="102" t="s">
        <v>68</v>
      </c>
      <c r="E41" s="88">
        <v>3.33</v>
      </c>
      <c r="F41" s="90">
        <v>9000</v>
      </c>
      <c r="G41" s="90"/>
      <c r="H41" s="90">
        <v>12</v>
      </c>
      <c r="I41" s="146">
        <f>ROUND(E41*F41*H41,0)</f>
        <v>359640</v>
      </c>
    </row>
    <row r="42" spans="1:12" ht="12.75" customHeight="1" x14ac:dyDescent="0.25">
      <c r="A42" s="114"/>
      <c r="B42" s="87"/>
      <c r="C42" s="89"/>
      <c r="D42" s="102"/>
      <c r="E42" s="88"/>
      <c r="F42" s="90"/>
      <c r="G42" s="90"/>
      <c r="H42" s="90"/>
      <c r="I42" s="146"/>
    </row>
    <row r="43" spans="1:12" ht="12.75" customHeight="1" x14ac:dyDescent="0.25">
      <c r="D43" s="102"/>
      <c r="E43" s="88"/>
      <c r="F43" s="90"/>
      <c r="G43" s="90"/>
      <c r="H43" s="90"/>
      <c r="I43" s="146"/>
    </row>
    <row r="44" spans="1:12" ht="12.75" customHeight="1" x14ac:dyDescent="0.25">
      <c r="A44" s="102"/>
      <c r="I44" s="148"/>
    </row>
    <row r="45" spans="1:12" ht="12.75" customHeight="1" x14ac:dyDescent="0.25">
      <c r="A45" s="102"/>
      <c r="I45" s="148"/>
    </row>
    <row r="46" spans="1:12" ht="12.75" customHeight="1" x14ac:dyDescent="0.25">
      <c r="C46" s="163" t="s">
        <v>72</v>
      </c>
      <c r="E46" s="103"/>
      <c r="F46" s="85"/>
      <c r="G46" s="85"/>
      <c r="H46" s="85"/>
      <c r="I46" s="123">
        <f>SUM(I39:I44)</f>
        <v>1023975</v>
      </c>
    </row>
    <row r="47" spans="1:12" ht="12.75" customHeight="1" x14ac:dyDescent="0.25">
      <c r="C47" s="163"/>
      <c r="E47" s="103"/>
      <c r="F47" s="85"/>
      <c r="G47" s="85"/>
      <c r="H47" s="85"/>
      <c r="I47" s="123"/>
    </row>
    <row r="48" spans="1:12" ht="12.75" customHeight="1" x14ac:dyDescent="0.25">
      <c r="C48" s="163"/>
      <c r="I48" s="149"/>
    </row>
    <row r="49" spans="1:9" ht="12.75" customHeight="1" x14ac:dyDescent="0.25">
      <c r="A49" s="121" t="s">
        <v>62</v>
      </c>
      <c r="B49" s="121"/>
      <c r="C49" s="121" t="s">
        <v>112</v>
      </c>
      <c r="D49" s="104"/>
      <c r="E49" s="87"/>
      <c r="F49" s="87"/>
      <c r="G49" s="87"/>
      <c r="H49" s="87"/>
      <c r="I49" s="87"/>
    </row>
    <row r="50" spans="1:9" ht="12.75" customHeight="1" x14ac:dyDescent="0.25">
      <c r="A50" s="139" t="s">
        <v>63</v>
      </c>
      <c r="B50" s="139"/>
      <c r="C50" s="139"/>
      <c r="D50" s="89" t="s">
        <v>124</v>
      </c>
      <c r="E50" s="87"/>
      <c r="F50" s="87"/>
      <c r="G50" s="87"/>
      <c r="H50" s="87"/>
      <c r="I50" s="87"/>
    </row>
    <row r="51" spans="1:9" ht="12.75" customHeight="1" x14ac:dyDescent="0.25">
      <c r="A51" s="139"/>
      <c r="B51" s="139"/>
      <c r="C51" s="139"/>
      <c r="D51" s="87"/>
      <c r="E51" s="87"/>
      <c r="F51" s="87"/>
      <c r="G51" s="87"/>
      <c r="H51" s="87"/>
      <c r="I51" s="87"/>
    </row>
    <row r="52" spans="1:9" ht="12.75" customHeight="1" x14ac:dyDescent="0.25">
      <c r="A52" s="102"/>
      <c r="B52" s="102"/>
      <c r="C52" s="102"/>
      <c r="D52" s="102"/>
      <c r="E52" s="87"/>
      <c r="F52" s="87"/>
      <c r="G52" s="87"/>
      <c r="H52" s="87"/>
      <c r="I52" s="87"/>
    </row>
    <row r="53" spans="1:9" ht="12.75" customHeight="1" x14ac:dyDescent="0.25">
      <c r="A53" s="77" t="s">
        <v>71</v>
      </c>
      <c r="B53" s="77"/>
      <c r="C53" s="77"/>
      <c r="D53" s="102"/>
      <c r="E53" s="102"/>
      <c r="F53" s="102"/>
      <c r="G53" s="102"/>
      <c r="H53" s="102"/>
      <c r="I53" s="102"/>
    </row>
    <row r="54" spans="1:9" ht="12.75" customHeight="1" x14ac:dyDescent="0.25">
      <c r="A54" s="114"/>
      <c r="B54" s="87"/>
      <c r="C54" s="89"/>
      <c r="D54" s="102"/>
      <c r="E54" s="88"/>
      <c r="F54" s="90"/>
      <c r="G54" s="90"/>
      <c r="H54" s="90"/>
      <c r="I54" s="146"/>
    </row>
    <row r="55" spans="1:9" ht="12.75" customHeight="1" x14ac:dyDescent="0.25">
      <c r="A55" s="114"/>
      <c r="B55" s="87"/>
      <c r="C55" s="89"/>
      <c r="D55" s="102" t="s">
        <v>68</v>
      </c>
      <c r="E55" s="88">
        <f>4.867+0.0462</f>
        <v>4.9131999999999998</v>
      </c>
      <c r="F55" s="90">
        <f>23000+13472</f>
        <v>36472</v>
      </c>
      <c r="G55" s="90"/>
      <c r="H55" s="90">
        <v>12</v>
      </c>
      <c r="I55" s="146">
        <f>ROUND(E55*F55*H55,0)</f>
        <v>2150331</v>
      </c>
    </row>
    <row r="56" spans="1:9" ht="12.75" customHeight="1" x14ac:dyDescent="0.25">
      <c r="A56" s="114"/>
      <c r="B56" s="87"/>
      <c r="C56" s="89"/>
      <c r="D56" s="102"/>
      <c r="E56" s="88"/>
      <c r="F56" s="90"/>
      <c r="G56" s="90"/>
      <c r="H56" s="90"/>
      <c r="I56" s="146"/>
    </row>
    <row r="57" spans="1:9" ht="12.75" customHeight="1" x14ac:dyDescent="0.25">
      <c r="C57" s="163" t="s">
        <v>113</v>
      </c>
      <c r="D57" s="102"/>
      <c r="E57" s="88"/>
      <c r="F57" s="90"/>
      <c r="G57" s="90"/>
      <c r="H57" s="90"/>
      <c r="I57" s="146">
        <f>+I54+I55</f>
        <v>2150331</v>
      </c>
    </row>
    <row r="58" spans="1:9" ht="12.75" customHeight="1" x14ac:dyDescent="0.25">
      <c r="A58" s="102"/>
      <c r="I58" s="136" t="s">
        <v>49</v>
      </c>
    </row>
    <row r="59" spans="1:9" ht="12.75" customHeight="1" x14ac:dyDescent="0.25">
      <c r="A59" s="102"/>
      <c r="I59" s="136" t="s">
        <v>115</v>
      </c>
    </row>
    <row r="60" spans="1:9" ht="12.75" customHeight="1" x14ac:dyDescent="0.25">
      <c r="A60" s="102"/>
      <c r="I60" s="148"/>
    </row>
    <row r="61" spans="1:9" ht="12.75" customHeight="1" x14ac:dyDescent="0.25">
      <c r="A61" s="136" t="s">
        <v>36</v>
      </c>
      <c r="B61" s="136"/>
      <c r="C61" s="136"/>
      <c r="D61" s="136"/>
      <c r="E61" s="136"/>
      <c r="F61" s="136"/>
      <c r="G61" s="136"/>
      <c r="H61" s="136"/>
      <c r="I61" s="136"/>
    </row>
    <row r="62" spans="1:9" ht="12.75" customHeight="1" x14ac:dyDescent="0.25">
      <c r="A62" s="136" t="s">
        <v>98</v>
      </c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5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5">
      <c r="A64" s="121" t="str">
        <f>A7</f>
        <v>DETAILS FOR THE EGC RATE IN EFFECT AS OF : DECEMBER 01, 2023</v>
      </c>
      <c r="B64" s="121"/>
      <c r="C64" s="121"/>
      <c r="D64" s="104"/>
      <c r="E64" s="76"/>
      <c r="F64" s="139"/>
      <c r="G64" s="139"/>
      <c r="H64" s="139"/>
      <c r="I64" s="136"/>
    </row>
    <row r="65" spans="1:9" ht="12.75" customHeight="1" x14ac:dyDescent="0.25">
      <c r="A65" s="140"/>
      <c r="B65" s="140"/>
      <c r="C65" s="140"/>
      <c r="D65" s="140"/>
      <c r="E65" s="135"/>
      <c r="F65" s="140"/>
      <c r="G65" s="140"/>
      <c r="H65" s="140"/>
      <c r="I65" s="140"/>
    </row>
    <row r="66" spans="1:9" ht="12.75" customHeight="1" x14ac:dyDescent="0.25">
      <c r="A66" s="102"/>
      <c r="B66" s="102"/>
      <c r="C66" s="102"/>
      <c r="D66" s="102"/>
      <c r="E66" s="87"/>
      <c r="F66" s="87" t="s">
        <v>51</v>
      </c>
      <c r="G66" s="87"/>
      <c r="H66" s="87" t="s">
        <v>52</v>
      </c>
      <c r="I66" s="150" t="s">
        <v>53</v>
      </c>
    </row>
    <row r="67" spans="1:9" ht="12.75" customHeight="1" x14ac:dyDescent="0.25">
      <c r="A67" s="141" t="s">
        <v>5</v>
      </c>
      <c r="B67" s="141"/>
      <c r="C67" s="141"/>
      <c r="D67" s="141"/>
      <c r="E67" s="141" t="s">
        <v>54</v>
      </c>
      <c r="F67" s="141" t="s">
        <v>55</v>
      </c>
      <c r="G67" s="141"/>
      <c r="H67" s="141" t="s">
        <v>56</v>
      </c>
      <c r="I67" s="142" t="s">
        <v>57</v>
      </c>
    </row>
    <row r="68" spans="1:9" ht="12.75" customHeight="1" x14ac:dyDescent="0.25">
      <c r="A68" s="143"/>
      <c r="B68" s="143"/>
      <c r="C68" s="143"/>
      <c r="D68" s="143"/>
      <c r="E68" s="144" t="s">
        <v>58</v>
      </c>
      <c r="F68" s="144" t="s">
        <v>59</v>
      </c>
      <c r="G68" s="144"/>
      <c r="H68" s="144" t="s">
        <v>60</v>
      </c>
      <c r="I68" s="145" t="s">
        <v>61</v>
      </c>
    </row>
    <row r="69" spans="1:9" ht="12.75" customHeight="1" x14ac:dyDescent="0.25">
      <c r="A69" s="102"/>
      <c r="B69" s="102"/>
      <c r="C69" s="102"/>
      <c r="D69" s="102"/>
      <c r="E69" s="87"/>
      <c r="F69" s="87"/>
      <c r="G69" s="87"/>
      <c r="H69" s="87"/>
      <c r="I69" s="87"/>
    </row>
    <row r="70" spans="1:9" ht="12.75" customHeight="1" x14ac:dyDescent="0.25">
      <c r="A70" s="121" t="s">
        <v>62</v>
      </c>
      <c r="B70" s="121"/>
      <c r="C70" s="121" t="s">
        <v>73</v>
      </c>
      <c r="D70" s="104"/>
      <c r="E70" s="102"/>
      <c r="F70" s="85"/>
      <c r="G70" s="85"/>
      <c r="H70" s="85"/>
      <c r="I70" s="123" t="s">
        <v>5</v>
      </c>
    </row>
    <row r="71" spans="1:9" ht="12.75" customHeight="1" x14ac:dyDescent="0.25">
      <c r="A71" s="139" t="s">
        <v>63</v>
      </c>
      <c r="B71" s="139"/>
      <c r="C71" s="139"/>
      <c r="D71" s="122">
        <v>43922</v>
      </c>
      <c r="E71" s="102"/>
      <c r="F71" s="85"/>
      <c r="G71" s="85"/>
      <c r="H71" s="85"/>
      <c r="I71" s="102"/>
    </row>
    <row r="72" spans="1:9" ht="12.75" customHeight="1" x14ac:dyDescent="0.25">
      <c r="A72" s="102"/>
      <c r="B72" s="102"/>
      <c r="C72" s="102"/>
      <c r="D72" s="102"/>
      <c r="E72" s="102"/>
      <c r="F72" s="85"/>
      <c r="G72" s="85"/>
      <c r="H72" s="85"/>
      <c r="I72" s="102"/>
    </row>
    <row r="73" spans="1:9" ht="12.75" customHeight="1" x14ac:dyDescent="0.25">
      <c r="A73" s="77" t="s">
        <v>69</v>
      </c>
      <c r="B73" s="77"/>
      <c r="C73" s="77"/>
      <c r="D73" s="102"/>
      <c r="E73" s="88" t="s">
        <v>5</v>
      </c>
      <c r="F73" s="90" t="s">
        <v>5</v>
      </c>
      <c r="G73" s="90"/>
      <c r="H73" s="90"/>
      <c r="I73" s="146" t="s">
        <v>5</v>
      </c>
    </row>
    <row r="74" spans="1:9" ht="12.75" customHeight="1" x14ac:dyDescent="0.25">
      <c r="A74" s="114"/>
      <c r="B74" s="87"/>
      <c r="C74" s="89"/>
      <c r="D74" s="102" t="s">
        <v>68</v>
      </c>
      <c r="E74" s="88">
        <v>0</v>
      </c>
      <c r="F74" s="114">
        <v>0</v>
      </c>
      <c r="G74" s="114"/>
      <c r="H74" s="90">
        <v>0</v>
      </c>
      <c r="I74" s="146">
        <f>ROUND(E74*F74*H74,0)</f>
        <v>0</v>
      </c>
    </row>
    <row r="75" spans="1:9" ht="12.75" customHeight="1" x14ac:dyDescent="0.25">
      <c r="A75" s="102"/>
      <c r="B75" s="102"/>
      <c r="C75" s="102"/>
      <c r="D75" s="102"/>
      <c r="E75" s="102"/>
      <c r="F75" s="85"/>
      <c r="G75" s="85"/>
      <c r="H75" s="85"/>
    </row>
    <row r="76" spans="1:9" ht="12.75" customHeight="1" x14ac:dyDescent="0.25">
      <c r="A76" s="102"/>
      <c r="I76" s="147"/>
    </row>
    <row r="77" spans="1:9" ht="12.75" customHeight="1" x14ac:dyDescent="0.25"/>
    <row r="78" spans="1:9" ht="12.75" customHeight="1" x14ac:dyDescent="0.25">
      <c r="A78" s="102" t="s">
        <v>74</v>
      </c>
      <c r="B78" s="102"/>
      <c r="D78" s="102"/>
      <c r="E78" s="102"/>
      <c r="F78" s="85"/>
      <c r="G78" s="85"/>
      <c r="H78" s="85"/>
      <c r="I78" s="123">
        <f>SUM(I74:I76)</f>
        <v>0</v>
      </c>
    </row>
    <row r="79" spans="1:9" ht="12.75" customHeight="1" x14ac:dyDescent="0.25">
      <c r="A79" s="102"/>
      <c r="B79" s="102"/>
      <c r="C79" s="102"/>
      <c r="D79" s="102"/>
      <c r="E79" s="102"/>
      <c r="F79" s="85"/>
      <c r="G79" s="85"/>
      <c r="H79" s="85"/>
      <c r="I79" s="123"/>
    </row>
    <row r="80" spans="1:9" ht="12.75" customHeight="1" x14ac:dyDescent="0.25">
      <c r="A80" s="121" t="s">
        <v>62</v>
      </c>
      <c r="B80" s="121"/>
      <c r="C80" s="121" t="s">
        <v>116</v>
      </c>
      <c r="D80" s="104"/>
      <c r="E80" s="102"/>
      <c r="F80" s="85"/>
      <c r="G80" s="85"/>
      <c r="H80" s="85"/>
      <c r="I80" s="123" t="s">
        <v>5</v>
      </c>
    </row>
    <row r="81" spans="1:19" ht="12.75" customHeight="1" x14ac:dyDescent="0.25">
      <c r="A81" s="139" t="s">
        <v>63</v>
      </c>
      <c r="B81" s="139"/>
      <c r="C81" s="139"/>
      <c r="D81" s="122" t="s">
        <v>121</v>
      </c>
      <c r="E81" s="102"/>
      <c r="F81" s="85"/>
      <c r="G81" s="85"/>
      <c r="H81" s="85"/>
      <c r="I81" s="102"/>
    </row>
    <row r="82" spans="1:19" ht="12.75" customHeight="1" x14ac:dyDescent="0.25">
      <c r="A82" s="102"/>
      <c r="B82" s="102"/>
      <c r="C82" s="102"/>
      <c r="E82" s="102"/>
      <c r="F82" s="85"/>
      <c r="G82" s="85"/>
      <c r="H82" s="85"/>
      <c r="I82" s="102"/>
    </row>
    <row r="83" spans="1:19" ht="12.75" customHeight="1" x14ac:dyDescent="0.25">
      <c r="A83" s="77" t="s">
        <v>69</v>
      </c>
      <c r="B83" s="77"/>
      <c r="C83" s="77"/>
      <c r="D83" s="102"/>
      <c r="E83" s="88" t="s">
        <v>5</v>
      </c>
      <c r="F83" s="90" t="s">
        <v>5</v>
      </c>
      <c r="G83" s="90"/>
      <c r="H83" s="90"/>
      <c r="I83" s="146" t="s">
        <v>5</v>
      </c>
    </row>
    <row r="84" spans="1:19" ht="12.75" customHeight="1" x14ac:dyDescent="0.25">
      <c r="A84" s="114"/>
      <c r="B84" s="87"/>
      <c r="C84" s="89"/>
      <c r="D84" s="102"/>
      <c r="E84" s="88"/>
      <c r="F84" s="114"/>
      <c r="G84" s="114"/>
      <c r="H84" s="90"/>
      <c r="I84" s="146"/>
      <c r="K84" s="115"/>
    </row>
    <row r="85" spans="1:19" ht="12.75" customHeight="1" x14ac:dyDescent="0.25">
      <c r="A85" s="114"/>
      <c r="B85" s="87"/>
      <c r="C85" s="89"/>
      <c r="D85" s="102" t="s">
        <v>68</v>
      </c>
      <c r="E85" s="88">
        <v>0.22500000000000001</v>
      </c>
      <c r="F85" s="114">
        <v>14000</v>
      </c>
      <c r="G85" s="114"/>
      <c r="H85" s="90">
        <v>151</v>
      </c>
      <c r="I85" s="146">
        <f>ROUND(E85*F85*H85,0)</f>
        <v>475650</v>
      </c>
      <c r="K85" s="115" t="s">
        <v>123</v>
      </c>
    </row>
    <row r="86" spans="1:19" ht="12.75" customHeight="1" x14ac:dyDescent="0.25">
      <c r="A86" s="114"/>
      <c r="B86" s="87"/>
      <c r="C86" s="89"/>
      <c r="D86" s="102" t="s">
        <v>68</v>
      </c>
      <c r="E86" s="88">
        <v>0.14000000000000001</v>
      </c>
      <c r="F86" s="114">
        <v>3700</v>
      </c>
      <c r="G86" s="114"/>
      <c r="H86" s="90">
        <v>214</v>
      </c>
      <c r="I86" s="146">
        <f>ROUND(E86*F86*H86,0)</f>
        <v>110852</v>
      </c>
      <c r="K86" s="115" t="s">
        <v>122</v>
      </c>
    </row>
    <row r="87" spans="1:19" ht="12.75" customHeight="1" x14ac:dyDescent="0.25">
      <c r="A87" s="102"/>
      <c r="B87" s="102"/>
      <c r="C87" s="102"/>
      <c r="D87" s="102"/>
      <c r="E87" s="88"/>
      <c r="F87" s="114"/>
      <c r="G87" s="114"/>
      <c r="H87" s="90"/>
      <c r="I87" s="146"/>
    </row>
    <row r="88" spans="1:19" ht="12.75" customHeight="1" x14ac:dyDescent="0.25">
      <c r="A88" s="102"/>
      <c r="I88" s="147"/>
    </row>
    <row r="89" spans="1:19" ht="12.75" customHeight="1" x14ac:dyDescent="0.25">
      <c r="S89" s="165"/>
    </row>
    <row r="90" spans="1:19" ht="12.75" customHeight="1" x14ac:dyDescent="0.25">
      <c r="A90" s="166" t="s">
        <v>117</v>
      </c>
      <c r="B90" s="102"/>
      <c r="D90" s="102"/>
      <c r="E90" s="102"/>
      <c r="F90" s="85"/>
      <c r="G90" s="85"/>
      <c r="H90" s="85"/>
      <c r="I90" s="123">
        <f>SUM(I84:I88)</f>
        <v>586502</v>
      </c>
    </row>
    <row r="91" spans="1:19" ht="12.75" customHeight="1" x14ac:dyDescent="0.25">
      <c r="A91" s="102"/>
      <c r="B91" s="102"/>
      <c r="C91" s="102"/>
      <c r="D91" s="102"/>
      <c r="E91" s="80"/>
      <c r="F91" s="137"/>
      <c r="G91" s="137"/>
      <c r="H91" s="137"/>
      <c r="I91" s="125"/>
    </row>
    <row r="92" spans="1:19" ht="12.75" customHeight="1" x14ac:dyDescent="0.25">
      <c r="A92" s="102"/>
      <c r="B92" s="102"/>
      <c r="C92" s="166"/>
      <c r="D92" s="102"/>
      <c r="E92" s="102"/>
      <c r="F92" s="85"/>
      <c r="G92" s="85"/>
      <c r="H92" s="85"/>
      <c r="I92" s="123"/>
    </row>
    <row r="93" spans="1:19" ht="12.75" customHeight="1" x14ac:dyDescent="0.25">
      <c r="A93" s="102"/>
      <c r="B93" s="102"/>
      <c r="C93" s="102"/>
      <c r="D93" s="102"/>
      <c r="E93" s="102"/>
      <c r="F93" s="85"/>
      <c r="G93" s="85"/>
      <c r="H93" s="85"/>
      <c r="I93" s="123"/>
    </row>
    <row r="94" spans="1:19" ht="12.75" customHeight="1" x14ac:dyDescent="0.25">
      <c r="A94" s="102"/>
      <c r="B94" s="102"/>
      <c r="C94" s="102"/>
      <c r="D94" s="102"/>
      <c r="E94" s="102"/>
      <c r="F94" s="85"/>
      <c r="G94" s="85"/>
      <c r="H94" s="85"/>
      <c r="I94" s="123"/>
    </row>
    <row r="95" spans="1:19" ht="12.75" customHeight="1" x14ac:dyDescent="0.25">
      <c r="A95" s="102" t="s">
        <v>104</v>
      </c>
      <c r="B95" s="102"/>
      <c r="C95" s="102"/>
      <c r="D95" s="102"/>
      <c r="E95" s="102"/>
      <c r="F95" s="85"/>
      <c r="G95" s="85"/>
      <c r="H95" s="85"/>
      <c r="I95" s="123"/>
    </row>
    <row r="96" spans="1:19" ht="12.75" customHeight="1" x14ac:dyDescent="0.25">
      <c r="A96" s="139" t="s">
        <v>5</v>
      </c>
      <c r="B96" s="139"/>
      <c r="C96" s="139"/>
      <c r="D96" s="98" t="s">
        <v>75</v>
      </c>
      <c r="E96" s="151">
        <v>0.05</v>
      </c>
      <c r="F96" s="108">
        <f>63300*90</f>
        <v>5697000</v>
      </c>
      <c r="G96" s="152"/>
      <c r="H96" s="121"/>
      <c r="I96" s="114">
        <f>+F96*E96</f>
        <v>284850</v>
      </c>
    </row>
    <row r="97" spans="1:18" ht="12.75" customHeight="1" x14ac:dyDescent="0.25">
      <c r="A97" s="139" t="s">
        <v>5</v>
      </c>
      <c r="B97" s="139"/>
      <c r="C97" s="139"/>
      <c r="E97" s="121"/>
      <c r="F97" s="108"/>
      <c r="G97" s="152"/>
      <c r="H97" s="121"/>
      <c r="I97" s="114"/>
    </row>
    <row r="98" spans="1:18" ht="12.75" customHeight="1" x14ac:dyDescent="0.25">
      <c r="A98" s="139"/>
      <c r="B98" s="139"/>
      <c r="C98" s="139"/>
      <c r="F98" s="149"/>
    </row>
    <row r="99" spans="1:18" ht="12.75" customHeight="1" x14ac:dyDescent="0.25">
      <c r="A99" s="98" t="s">
        <v>76</v>
      </c>
      <c r="I99" s="149">
        <f>SUM(I96:I97)</f>
        <v>284850</v>
      </c>
      <c r="J99" s="167"/>
    </row>
    <row r="100" spans="1:18" ht="12.75" customHeight="1" x14ac:dyDescent="0.25"/>
    <row r="101" spans="1:18" ht="12.75" customHeight="1" x14ac:dyDescent="0.25">
      <c r="A101" s="136"/>
      <c r="B101" s="136"/>
      <c r="C101" s="136"/>
      <c r="D101" s="136"/>
      <c r="E101" s="136"/>
      <c r="F101" s="136"/>
      <c r="G101" s="136"/>
      <c r="H101" s="136"/>
      <c r="I101" s="136"/>
    </row>
    <row r="102" spans="1:18" ht="12.75" customHeight="1" x14ac:dyDescent="0.25">
      <c r="A102" s="136"/>
      <c r="B102" s="136"/>
      <c r="C102" s="136"/>
      <c r="D102" s="136"/>
      <c r="E102" s="136"/>
      <c r="F102" s="136"/>
      <c r="G102" s="136"/>
      <c r="H102" s="136"/>
      <c r="I102" s="136" t="s">
        <v>49</v>
      </c>
      <c r="L102" s="168"/>
    </row>
    <row r="103" spans="1:18" ht="12.75" customHeight="1" x14ac:dyDescent="0.25">
      <c r="A103" s="136"/>
      <c r="B103" s="136"/>
      <c r="C103" s="136"/>
      <c r="D103" s="136"/>
      <c r="E103" s="136"/>
      <c r="F103" s="136"/>
      <c r="G103" s="136"/>
      <c r="H103" s="136"/>
      <c r="I103" s="136" t="s">
        <v>77</v>
      </c>
    </row>
    <row r="104" spans="1:18" ht="12.75" customHeight="1" x14ac:dyDescent="0.25">
      <c r="A104" s="139"/>
      <c r="B104" s="139"/>
      <c r="C104" s="139"/>
    </row>
    <row r="105" spans="1:18" ht="12.75" customHeight="1" x14ac:dyDescent="0.25">
      <c r="A105" s="136" t="s">
        <v>36</v>
      </c>
      <c r="B105" s="136"/>
      <c r="C105" s="136"/>
      <c r="D105" s="136"/>
      <c r="E105" s="136"/>
      <c r="F105" s="136"/>
      <c r="G105" s="136"/>
      <c r="H105" s="136"/>
      <c r="I105" s="136"/>
    </row>
    <row r="106" spans="1:18" ht="12.75" customHeight="1" x14ac:dyDescent="0.25">
      <c r="A106" s="136" t="s">
        <v>98</v>
      </c>
      <c r="B106" s="136"/>
      <c r="C106" s="136"/>
      <c r="D106" s="136"/>
      <c r="E106" s="136"/>
      <c r="F106" s="136"/>
      <c r="G106" s="136"/>
      <c r="H106" s="136"/>
      <c r="I106" s="136"/>
    </row>
    <row r="107" spans="1:18" ht="12.75" customHeight="1" x14ac:dyDescent="0.25">
      <c r="A107" s="136"/>
      <c r="B107" s="136"/>
      <c r="C107" s="136"/>
      <c r="D107" s="136"/>
      <c r="E107" s="136"/>
      <c r="F107" s="136"/>
      <c r="G107" s="136"/>
      <c r="H107" s="136"/>
      <c r="I107" s="136"/>
    </row>
    <row r="108" spans="1:18" ht="12.75" customHeight="1" x14ac:dyDescent="0.25">
      <c r="A108" s="121" t="str">
        <f>A7</f>
        <v>DETAILS FOR THE EGC RATE IN EFFECT AS OF : DECEMBER 01, 2023</v>
      </c>
      <c r="B108" s="121"/>
      <c r="C108" s="121"/>
      <c r="D108" s="104"/>
      <c r="E108" s="76"/>
      <c r="F108" s="139"/>
      <c r="G108" s="139"/>
      <c r="H108" s="139"/>
      <c r="I108" s="136"/>
    </row>
    <row r="109" spans="1:18" ht="12.75" customHeight="1" x14ac:dyDescent="0.25">
      <c r="A109" s="140"/>
      <c r="B109" s="140"/>
      <c r="C109" s="140"/>
      <c r="D109" s="140"/>
      <c r="E109" s="135"/>
      <c r="F109" s="140"/>
      <c r="G109" s="140"/>
      <c r="H109" s="140"/>
      <c r="I109" s="140"/>
    </row>
    <row r="110" spans="1:18" ht="12.75" customHeight="1" x14ac:dyDescent="0.25">
      <c r="A110" s="102"/>
      <c r="B110" s="102"/>
      <c r="C110" s="102"/>
      <c r="D110" s="102"/>
      <c r="E110" s="87"/>
      <c r="F110" s="87"/>
      <c r="G110" s="87"/>
      <c r="H110" s="87"/>
      <c r="I110" s="150"/>
    </row>
    <row r="111" spans="1:18" ht="12.75" customHeight="1" x14ac:dyDescent="0.25">
      <c r="A111" s="141" t="s">
        <v>5</v>
      </c>
      <c r="B111" s="141"/>
      <c r="C111" s="141"/>
      <c r="D111" s="141"/>
      <c r="E111" s="141"/>
      <c r="F111" s="141"/>
      <c r="G111" s="141"/>
      <c r="H111" s="141"/>
      <c r="I111" s="142"/>
      <c r="Q111" s="152"/>
    </row>
    <row r="112" spans="1:18" ht="12.75" customHeight="1" x14ac:dyDescent="0.25">
      <c r="A112" s="143"/>
      <c r="B112" s="143"/>
      <c r="C112" s="143"/>
      <c r="D112" s="143"/>
      <c r="E112" s="144"/>
      <c r="F112" s="144"/>
      <c r="G112" s="144"/>
      <c r="H112" s="144"/>
      <c r="I112" s="145"/>
      <c r="Q112" s="152"/>
      <c r="R112" s="169"/>
    </row>
    <row r="113" spans="1:18" ht="12.75" customHeight="1" x14ac:dyDescent="0.25">
      <c r="Q113" s="152"/>
      <c r="R113" s="169"/>
    </row>
    <row r="114" spans="1:18" ht="12.75" customHeight="1" x14ac:dyDescent="0.25">
      <c r="A114" s="156" t="str">
        <f>"GAS COMMODITY RATE FOR "&amp;UPPER(MID(DEKOTHERS!A7,43,LEN(DEKOTHERS!A7)-50))&amp;" "&amp;UPPER(RIGHT(DEKOTHERS!A7,4))</f>
        <v>GAS COMMODITY RATE FOR  DECEMBER  2023</v>
      </c>
      <c r="B114" s="121"/>
      <c r="C114" s="121"/>
      <c r="D114" s="104"/>
      <c r="E114" s="76"/>
      <c r="I114" s="136"/>
      <c r="Q114" s="152"/>
    </row>
    <row r="115" spans="1:18" ht="12.75" customHeight="1" x14ac:dyDescent="0.25">
      <c r="B115" s="121"/>
      <c r="C115" s="121"/>
      <c r="D115" s="104"/>
      <c r="E115" s="76"/>
      <c r="F115" s="121"/>
      <c r="G115" s="121"/>
      <c r="H115" s="121"/>
      <c r="I115" s="121"/>
      <c r="Q115" s="152"/>
    </row>
    <row r="116" spans="1:18" ht="12.75" customHeight="1" x14ac:dyDescent="0.25">
      <c r="A116" s="77" t="s">
        <v>78</v>
      </c>
    </row>
    <row r="117" spans="1:18" ht="12.75" customHeight="1" x14ac:dyDescent="0.25">
      <c r="A117" s="102" t="s">
        <v>79</v>
      </c>
      <c r="B117" s="102"/>
      <c r="C117" s="102"/>
      <c r="D117" s="102"/>
      <c r="E117" s="110"/>
      <c r="F117" s="162">
        <v>3.3601000000000001</v>
      </c>
      <c r="G117" s="111"/>
      <c r="H117" s="112" t="s">
        <v>80</v>
      </c>
      <c r="I117" s="112"/>
    </row>
    <row r="118" spans="1:18" ht="12.75" customHeight="1" x14ac:dyDescent="0.25">
      <c r="A118" s="104" t="s">
        <v>99</v>
      </c>
      <c r="B118" s="87"/>
      <c r="C118" s="87"/>
      <c r="D118" s="157">
        <v>2.5999999999999999E-2</v>
      </c>
      <c r="E118" s="113">
        <f>ROUND(F117*D118,4)</f>
        <v>8.7400000000000005E-2</v>
      </c>
      <c r="F118" s="113">
        <f>F117+E118</f>
        <v>3.4475000000000002</v>
      </c>
      <c r="G118" s="113"/>
      <c r="H118" s="112" t="s">
        <v>80</v>
      </c>
      <c r="I118" s="112"/>
    </row>
    <row r="119" spans="1:18" ht="12.75" customHeight="1" x14ac:dyDescent="0.25">
      <c r="A119" s="98" t="s">
        <v>81</v>
      </c>
      <c r="D119" s="160">
        <v>1.0778000000000001</v>
      </c>
      <c r="E119" s="113">
        <f>ROUND((F118*D119)-F118,4)</f>
        <v>0.26819999999999999</v>
      </c>
      <c r="F119" s="113">
        <f>F118+E119</f>
        <v>3.7157</v>
      </c>
      <c r="G119" s="113"/>
      <c r="H119" s="112" t="s">
        <v>82</v>
      </c>
      <c r="I119" s="119"/>
    </row>
    <row r="120" spans="1:18" ht="12.75" customHeight="1" x14ac:dyDescent="0.25">
      <c r="A120" s="98" t="s">
        <v>83</v>
      </c>
      <c r="D120" s="157">
        <v>0.70157999999999998</v>
      </c>
      <c r="F120" s="106">
        <f>ROUND(F119*D120,4)</f>
        <v>2.6069</v>
      </c>
      <c r="G120" s="106"/>
      <c r="H120" s="112" t="s">
        <v>82</v>
      </c>
      <c r="I120" s="112"/>
    </row>
    <row r="121" spans="1:18" ht="12.75" customHeight="1" x14ac:dyDescent="0.25">
      <c r="A121" s="102"/>
      <c r="B121" s="98" t="s">
        <v>84</v>
      </c>
      <c r="C121" s="125"/>
      <c r="D121" s="102"/>
      <c r="E121" s="79"/>
      <c r="F121" s="117">
        <f>ROUND(F120,3)</f>
        <v>2.6070000000000002</v>
      </c>
      <c r="G121" s="117"/>
      <c r="H121" s="112" t="s">
        <v>82</v>
      </c>
      <c r="I121" s="112"/>
    </row>
    <row r="122" spans="1:18" ht="12.75" customHeight="1" x14ac:dyDescent="0.25">
      <c r="A122" s="102"/>
      <c r="B122" s="102"/>
      <c r="C122" s="102"/>
      <c r="D122" s="102"/>
      <c r="E122" s="110"/>
      <c r="F122" s="111"/>
      <c r="G122" s="111"/>
      <c r="H122" s="112"/>
      <c r="I122" s="112"/>
    </row>
    <row r="123" spans="1:18" ht="12.75" customHeight="1" x14ac:dyDescent="0.25">
      <c r="A123" s="77" t="s">
        <v>85</v>
      </c>
      <c r="B123" s="104"/>
      <c r="C123" s="104"/>
      <c r="D123" s="104" t="s">
        <v>5</v>
      </c>
      <c r="E123" s="80" t="s">
        <v>5</v>
      </c>
      <c r="F123" s="114"/>
      <c r="G123" s="114"/>
      <c r="H123" s="114"/>
      <c r="I123" s="112"/>
    </row>
    <row r="124" spans="1:18" ht="12.75" customHeight="1" x14ac:dyDescent="0.25">
      <c r="A124" s="104" t="s">
        <v>86</v>
      </c>
      <c r="B124" s="102"/>
      <c r="C124" s="102"/>
      <c r="D124" s="102"/>
      <c r="E124" s="80"/>
      <c r="F124" s="170">
        <v>2.7735599999999998</v>
      </c>
      <c r="G124" s="116"/>
      <c r="H124" s="112" t="s">
        <v>80</v>
      </c>
      <c r="I124" s="112"/>
    </row>
    <row r="125" spans="1:18" ht="12.75" customHeight="1" x14ac:dyDescent="0.25">
      <c r="A125" s="104" t="s">
        <v>87</v>
      </c>
      <c r="E125" s="171">
        <f>1.53/100</f>
        <v>1.5300000000000001E-2</v>
      </c>
      <c r="F125" s="113">
        <f>F124+E125</f>
        <v>2.7888599999999997</v>
      </c>
      <c r="G125" s="113"/>
      <c r="H125" s="112" t="s">
        <v>80</v>
      </c>
      <c r="I125" s="112"/>
    </row>
    <row r="126" spans="1:18" ht="12.75" customHeight="1" x14ac:dyDescent="0.25">
      <c r="A126" s="153" t="s">
        <v>88</v>
      </c>
      <c r="B126" s="87"/>
      <c r="C126" s="87"/>
      <c r="D126" s="172">
        <v>2.1319999999999999E-2</v>
      </c>
      <c r="E126" s="113">
        <f>ROUND(F125*D126,4)</f>
        <v>5.9499999999999997E-2</v>
      </c>
      <c r="F126" s="113">
        <f t="shared" ref="F126:F130" si="0">F125+E126</f>
        <v>2.8483599999999996</v>
      </c>
      <c r="G126" s="113"/>
      <c r="H126" s="112" t="s">
        <v>80</v>
      </c>
      <c r="I126" s="112"/>
    </row>
    <row r="127" spans="1:18" ht="12.75" customHeight="1" x14ac:dyDescent="0.25">
      <c r="A127" s="102" t="s">
        <v>89</v>
      </c>
      <c r="B127" s="102"/>
      <c r="C127" s="102"/>
      <c r="D127" s="102"/>
      <c r="E127" s="171">
        <v>1.32E-2</v>
      </c>
      <c r="F127" s="113">
        <f t="shared" si="0"/>
        <v>2.8615599999999994</v>
      </c>
      <c r="G127" s="113"/>
      <c r="H127" s="112" t="s">
        <v>80</v>
      </c>
      <c r="I127" s="112"/>
    </row>
    <row r="128" spans="1:18" ht="12.75" customHeight="1" x14ac:dyDescent="0.25">
      <c r="A128" s="102" t="s">
        <v>90</v>
      </c>
      <c r="B128" s="102"/>
      <c r="C128" s="102"/>
      <c r="D128" s="105"/>
      <c r="E128" s="171">
        <v>0</v>
      </c>
      <c r="F128" s="113">
        <f t="shared" si="0"/>
        <v>2.8615599999999994</v>
      </c>
      <c r="G128" s="113"/>
      <c r="H128" s="112" t="s">
        <v>80</v>
      </c>
      <c r="I128" s="112"/>
    </row>
    <row r="129" spans="1:9" ht="12.75" customHeight="1" x14ac:dyDescent="0.25">
      <c r="A129" s="104" t="s">
        <v>99</v>
      </c>
      <c r="B129" s="87"/>
      <c r="C129" s="87"/>
      <c r="D129" s="82">
        <f>+D118</f>
        <v>2.5999999999999999E-2</v>
      </c>
      <c r="E129" s="113">
        <f>ROUND(F128*D129,4)</f>
        <v>7.4399999999999994E-2</v>
      </c>
      <c r="F129" s="113">
        <f t="shared" si="0"/>
        <v>2.9359599999999992</v>
      </c>
      <c r="G129" s="113"/>
      <c r="H129" s="112" t="s">
        <v>80</v>
      </c>
    </row>
    <row r="130" spans="1:9" ht="12.75" customHeight="1" x14ac:dyDescent="0.25">
      <c r="A130" s="98" t="s">
        <v>81</v>
      </c>
      <c r="D130" s="83">
        <f>+D119</f>
        <v>1.0778000000000001</v>
      </c>
      <c r="E130" s="113">
        <f>ROUND((F129*D130)-F129,4)</f>
        <v>0.22839999999999999</v>
      </c>
      <c r="F130" s="113">
        <f t="shared" si="0"/>
        <v>3.1643599999999994</v>
      </c>
      <c r="G130" s="113"/>
      <c r="H130" s="112" t="s">
        <v>82</v>
      </c>
      <c r="I130" s="123"/>
    </row>
    <row r="131" spans="1:9" ht="12.75" customHeight="1" x14ac:dyDescent="0.25">
      <c r="A131" s="98" t="s">
        <v>83</v>
      </c>
      <c r="D131" s="157">
        <v>0.29842000000000002</v>
      </c>
      <c r="F131" s="106">
        <f>ROUND(F130*D131,4)</f>
        <v>0.94430000000000003</v>
      </c>
      <c r="G131" s="106"/>
      <c r="H131" s="112" t="s">
        <v>82</v>
      </c>
      <c r="I131" s="120"/>
    </row>
    <row r="132" spans="1:9" ht="12.75" customHeight="1" x14ac:dyDescent="0.25">
      <c r="A132" s="102"/>
      <c r="B132" s="98" t="s">
        <v>91</v>
      </c>
      <c r="C132" s="125"/>
      <c r="D132" s="102"/>
      <c r="E132" s="79"/>
      <c r="F132" s="117">
        <f>ROUND(F131,3)</f>
        <v>0.94399999999999995</v>
      </c>
      <c r="G132" s="117"/>
      <c r="H132" s="112" t="s">
        <v>82</v>
      </c>
      <c r="I132" s="123"/>
    </row>
    <row r="133" spans="1:9" ht="12.75" customHeight="1" x14ac:dyDescent="0.25">
      <c r="A133" s="102"/>
      <c r="C133" s="125"/>
      <c r="D133" s="102"/>
      <c r="E133" s="79"/>
      <c r="F133" s="117"/>
      <c r="G133" s="117"/>
      <c r="H133" s="112"/>
      <c r="I133" s="123"/>
    </row>
    <row r="134" spans="1:9" x14ac:dyDescent="0.25">
      <c r="D134" s="98" t="s">
        <v>5</v>
      </c>
      <c r="I134" s="120"/>
    </row>
    <row r="135" spans="1:9" x14ac:dyDescent="0.25">
      <c r="A135" s="77" t="s">
        <v>92</v>
      </c>
      <c r="B135" s="102"/>
      <c r="C135" s="102"/>
      <c r="D135" s="102"/>
      <c r="E135" s="79"/>
      <c r="F135" s="109"/>
      <c r="G135" s="109"/>
      <c r="H135" s="109"/>
      <c r="I135" s="109" t="s">
        <v>5</v>
      </c>
    </row>
    <row r="136" spans="1:9" x14ac:dyDescent="0.25">
      <c r="A136" s="102" t="s">
        <v>93</v>
      </c>
      <c r="B136" s="102"/>
      <c r="C136" s="102"/>
      <c r="D136" s="102"/>
      <c r="E136" s="84"/>
      <c r="F136" s="158">
        <v>0</v>
      </c>
      <c r="G136" s="118"/>
      <c r="H136" s="112" t="s">
        <v>94</v>
      </c>
      <c r="I136" s="109"/>
    </row>
    <row r="137" spans="1:9" x14ac:dyDescent="0.25">
      <c r="A137" s="98" t="s">
        <v>95</v>
      </c>
      <c r="B137" s="102"/>
      <c r="C137" s="102"/>
      <c r="D137" s="161">
        <v>15.38</v>
      </c>
      <c r="E137" s="113">
        <f>ROUND((F136*D137)-F136,4)</f>
        <v>0</v>
      </c>
      <c r="F137" s="113">
        <f>F136+E137</f>
        <v>0</v>
      </c>
      <c r="G137" s="113"/>
      <c r="H137" s="112" t="s">
        <v>82</v>
      </c>
      <c r="I137" s="123"/>
    </row>
    <row r="138" spans="1:9" x14ac:dyDescent="0.25">
      <c r="A138" s="98" t="s">
        <v>83</v>
      </c>
      <c r="D138" s="157">
        <v>0</v>
      </c>
      <c r="F138" s="106">
        <f>ROUND(F137*D138,4)</f>
        <v>0</v>
      </c>
      <c r="G138" s="106"/>
      <c r="H138" s="112" t="s">
        <v>82</v>
      </c>
      <c r="I138" s="123"/>
    </row>
    <row r="139" spans="1:9" x14ac:dyDescent="0.25">
      <c r="A139" s="102" t="s">
        <v>5</v>
      </c>
      <c r="B139" s="98" t="s">
        <v>96</v>
      </c>
      <c r="C139" s="125"/>
      <c r="E139" s="79"/>
      <c r="F139" s="117">
        <f>ROUND(F138,3)</f>
        <v>0</v>
      </c>
      <c r="G139" s="117"/>
      <c r="H139" s="112" t="s">
        <v>82</v>
      </c>
      <c r="I139" s="102"/>
    </row>
    <row r="140" spans="1:9" x14ac:dyDescent="0.25">
      <c r="A140" s="98" t="s">
        <v>5</v>
      </c>
      <c r="D140" s="107" t="str">
        <f>IF(D138+D131+D120=100%,"","Percentages do not add to 100%!")</f>
        <v/>
      </c>
      <c r="I140" s="124" t="s">
        <v>5</v>
      </c>
    </row>
    <row r="141" spans="1:9" x14ac:dyDescent="0.25">
      <c r="A141" s="156" t="s">
        <v>129</v>
      </c>
    </row>
    <row r="142" spans="1:9" x14ac:dyDescent="0.25">
      <c r="A142" s="173"/>
    </row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spans="1:9" ht="13.2" customHeight="1" x14ac:dyDescent="0.25">
      <c r="A209" s="98" t="s">
        <v>5</v>
      </c>
    </row>
    <row r="210" spans="1:9" ht="13.2" customHeight="1" x14ac:dyDescent="0.25">
      <c r="A210" s="98" t="s">
        <v>5</v>
      </c>
    </row>
    <row r="211" spans="1:9" ht="13.2" customHeight="1" x14ac:dyDescent="0.25">
      <c r="A211" s="98" t="s">
        <v>5</v>
      </c>
      <c r="E211" s="102"/>
      <c r="F211" s="102"/>
      <c r="G211" s="102"/>
      <c r="H211" s="102"/>
      <c r="I211" s="102"/>
    </row>
    <row r="212" spans="1:9" ht="13.2" customHeight="1" x14ac:dyDescent="0.25">
      <c r="A212" s="98" t="s">
        <v>5</v>
      </c>
      <c r="E212" s="102"/>
      <c r="F212" s="102"/>
      <c r="G212" s="102"/>
      <c r="H212" s="102"/>
      <c r="I212" s="102"/>
    </row>
    <row r="213" spans="1:9" ht="13.2" customHeight="1" x14ac:dyDescent="0.25">
      <c r="A213" s="98" t="s">
        <v>5</v>
      </c>
      <c r="E213" s="102"/>
      <c r="F213" s="102"/>
      <c r="G213" s="102"/>
      <c r="H213" s="102"/>
      <c r="I213" s="102"/>
    </row>
    <row r="214" spans="1:9" ht="13.2" customHeight="1" x14ac:dyDescent="0.25">
      <c r="A214" s="98" t="s">
        <v>5</v>
      </c>
    </row>
    <row r="215" spans="1:9" ht="13.2" customHeight="1" x14ac:dyDescent="0.25"/>
    <row r="216" spans="1:9" ht="13.2" customHeight="1" x14ac:dyDescent="0.25">
      <c r="A216" s="136"/>
      <c r="B216" s="136"/>
      <c r="C216" s="136"/>
      <c r="D216" s="136"/>
      <c r="E216" s="136"/>
      <c r="F216" s="136"/>
      <c r="G216" s="136"/>
      <c r="H216" s="136"/>
      <c r="I216" s="136"/>
    </row>
    <row r="217" spans="1:9" x14ac:dyDescent="0.25">
      <c r="A217" s="95"/>
      <c r="B217" s="95"/>
      <c r="C217" s="95"/>
      <c r="D217" s="95"/>
      <c r="E217" s="95"/>
      <c r="F217" s="95"/>
      <c r="G217" s="95"/>
      <c r="H217" s="95"/>
      <c r="I217" s="95"/>
    </row>
    <row r="218" spans="1:9" x14ac:dyDescent="0.25">
      <c r="A218" s="95"/>
      <c r="B218" s="95"/>
      <c r="C218" s="95"/>
      <c r="D218" s="95"/>
      <c r="E218" s="95"/>
      <c r="F218" s="95"/>
      <c r="G218" s="95"/>
      <c r="H218" s="95"/>
      <c r="I218" s="95"/>
    </row>
    <row r="219" spans="1:9" x14ac:dyDescent="0.25">
      <c r="A219" s="153"/>
      <c r="B219" s="153"/>
      <c r="C219" s="153"/>
      <c r="D219" s="102"/>
      <c r="E219" s="102"/>
      <c r="F219" s="102"/>
      <c r="G219" s="102"/>
      <c r="H219" s="102"/>
      <c r="I219" s="102"/>
    </row>
    <row r="220" spans="1:9" x14ac:dyDescent="0.25">
      <c r="A220" s="153"/>
      <c r="B220" s="153"/>
      <c r="C220" s="153"/>
      <c r="D220" s="102"/>
      <c r="E220" s="102"/>
      <c r="F220" s="102"/>
      <c r="G220" s="102"/>
      <c r="H220" s="102"/>
      <c r="I220" s="102"/>
    </row>
    <row r="221" spans="1:9" x14ac:dyDescent="0.25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x14ac:dyDescent="0.25">
      <c r="A222" s="95"/>
      <c r="B222" s="95"/>
      <c r="C222" s="95"/>
      <c r="D222" s="95"/>
      <c r="E222" s="95"/>
      <c r="F222" s="95"/>
      <c r="G222" s="95"/>
      <c r="H222" s="95"/>
      <c r="I222" s="95"/>
    </row>
    <row r="223" spans="1:9" x14ac:dyDescent="0.25">
      <c r="A223" s="95"/>
      <c r="B223" s="95"/>
      <c r="C223" s="95"/>
      <c r="D223" s="95"/>
      <c r="E223" s="95"/>
      <c r="F223" s="95"/>
      <c r="G223" s="95"/>
      <c r="H223" s="95"/>
      <c r="I223" s="95"/>
    </row>
    <row r="224" spans="1:9" x14ac:dyDescent="0.25">
      <c r="A224" s="104"/>
      <c r="B224" s="104"/>
      <c r="C224" s="104"/>
      <c r="D224" s="104"/>
      <c r="E224" s="76"/>
      <c r="F224" s="153"/>
      <c r="G224" s="153"/>
      <c r="H224" s="153"/>
      <c r="I224" s="95"/>
    </row>
    <row r="225" spans="1:9" x14ac:dyDescent="0.25">
      <c r="A225" s="104"/>
      <c r="B225" s="104"/>
      <c r="C225" s="104"/>
      <c r="D225" s="104"/>
      <c r="E225" s="76"/>
      <c r="F225" s="102"/>
      <c r="G225" s="102"/>
      <c r="H225" s="102"/>
      <c r="I225" s="104"/>
    </row>
    <row r="226" spans="1:9" x14ac:dyDescent="0.25">
      <c r="A226" s="153"/>
      <c r="B226" s="153"/>
      <c r="C226" s="153"/>
      <c r="D226" s="102"/>
      <c r="E226" s="122"/>
      <c r="F226" s="87"/>
      <c r="G226" s="87"/>
      <c r="H226" s="87"/>
      <c r="I226" s="102"/>
    </row>
    <row r="227" spans="1:9" x14ac:dyDescent="0.25">
      <c r="A227" s="153"/>
      <c r="B227" s="153"/>
      <c r="C227" s="153"/>
      <c r="D227" s="102"/>
      <c r="E227" s="87"/>
      <c r="F227" s="87"/>
      <c r="G227" s="87"/>
      <c r="H227" s="87"/>
      <c r="I227" s="102"/>
    </row>
    <row r="228" spans="1:9" x14ac:dyDescent="0.25">
      <c r="A228" s="153"/>
      <c r="B228" s="125"/>
      <c r="C228" s="125"/>
      <c r="D228" s="125"/>
      <c r="E228" s="102"/>
      <c r="F228" s="102"/>
      <c r="G228" s="102"/>
      <c r="H228" s="102"/>
      <c r="I228" s="102"/>
    </row>
    <row r="229" spans="1:9" x14ac:dyDescent="0.25">
      <c r="A229" s="102"/>
      <c r="B229" s="102"/>
      <c r="C229" s="102"/>
      <c r="D229" s="102"/>
      <c r="E229" s="87"/>
      <c r="F229" s="87"/>
      <c r="G229" s="87"/>
      <c r="H229" s="87"/>
      <c r="I229" s="87"/>
    </row>
    <row r="230" spans="1:9" x14ac:dyDescent="0.25">
      <c r="A230" s="154"/>
      <c r="B230" s="125"/>
      <c r="C230" s="125"/>
      <c r="D230" s="87"/>
      <c r="E230" s="87"/>
      <c r="F230" s="87"/>
      <c r="G230" s="87"/>
      <c r="H230" s="87"/>
      <c r="I230" s="87"/>
    </row>
    <row r="231" spans="1:9" x14ac:dyDescent="0.25">
      <c r="A231" s="77"/>
      <c r="B231" s="102"/>
      <c r="C231" s="102"/>
      <c r="D231" s="102"/>
      <c r="E231" s="87"/>
      <c r="F231" s="87"/>
      <c r="G231" s="87"/>
      <c r="H231" s="87"/>
      <c r="I231" s="87"/>
    </row>
    <row r="232" spans="1:9" x14ac:dyDescent="0.25">
      <c r="A232" s="153"/>
      <c r="B232" s="77"/>
      <c r="C232" s="77"/>
      <c r="D232" s="102"/>
      <c r="E232" s="102"/>
      <c r="F232" s="102"/>
      <c r="G232" s="102"/>
      <c r="H232" s="102"/>
      <c r="I232" s="102"/>
    </row>
    <row r="233" spans="1:9" x14ac:dyDescent="0.25">
      <c r="A233" s="153"/>
      <c r="B233" s="77"/>
      <c r="C233" s="77"/>
      <c r="D233" s="102"/>
      <c r="E233" s="138"/>
      <c r="F233" s="114"/>
      <c r="G233" s="114"/>
      <c r="H233" s="114"/>
      <c r="I233" s="114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7" max="8" man="1"/>
    <brk id="10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2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2020-07-27T15:13:33Z</cp:lastPrinted>
  <dcterms:created xsi:type="dcterms:W3CDTF">1997-04-18T20:20:30Z</dcterms:created>
  <dcterms:modified xsi:type="dcterms:W3CDTF">2023-10-31T19:47:13Z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