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onica.Braun\2023 PRP Filing\"/>
    </mc:Choice>
  </mc:AlternateContent>
  <xr:revisionPtr revIDLastSave="0" documentId="13_ncr:1_{484CC2A4-FB37-4307-9B77-682966F4B00C}" xr6:coauthVersionLast="47" xr6:coauthVersionMax="47" xr10:uidLastSave="{00000000-0000-0000-0000-000000000000}"/>
  <bookViews>
    <workbookView xWindow="-110" yWindow="-110" windowWidth="19420" windowHeight="10420" tabRatio="948" xr2:uid="{00000000-000D-0000-FFFF-FFFF00000000}"/>
  </bookViews>
  <sheets>
    <sheet name="Sch I Summary" sheetId="5" r:id="rId1"/>
    <sheet name="Sch II 2023 Yr 1" sheetId="41" r:id="rId2"/>
    <sheet name="Sch II 2023" sheetId="35" r:id="rId3"/>
    <sheet name="Sch II 2024" sheetId="34" r:id="rId4"/>
    <sheet name="Schedule III" sheetId="26" r:id="rId5"/>
    <sheet name="Schedule IV 2023" sheetId="44" r:id="rId6"/>
    <sheet name="Schedule IV 2024" sheetId="37" r:id="rId7"/>
    <sheet name="Schedule VI" sheetId="42" r:id="rId8"/>
    <sheet name="Schedule VII" sheetId="16" r:id="rId9"/>
    <sheet name="Schedule VIII" sheetId="24" r:id="rId10"/>
    <sheet name="Schedule IX" sheetId="43" r:id="rId11"/>
    <sheet name="Tax Rates" sheetId="4" r:id="rId12"/>
  </sheets>
  <definedNames>
    <definedName name="_2019_Capital_Actual_Query" localSheetId="1">#REF!</definedName>
    <definedName name="_2019_Capital_Actual_Query">#REF!</definedName>
    <definedName name="_2021_Capital_Budget_Prep_Query" localSheetId="1">#REF!</definedName>
    <definedName name="_2021_Capital_Budget_Prep_Query">#REF!</definedName>
    <definedName name="_xlnm.Print_Area" localSheetId="4">'Schedule III'!$A$1:$G$38</definedName>
    <definedName name="_xlnm.Print_Area" localSheetId="5">'Schedule IV 2023'!$A$1:$E$133</definedName>
    <definedName name="_xlnm.Print_Area" localSheetId="6">'Schedule IV 2024'!$A$1:$E$60</definedName>
    <definedName name="_xlnm.Print_Area" localSheetId="10">'Schedule IX'!$A$1:$F$36</definedName>
    <definedName name="_xlnm.Print_Titles" localSheetId="5">'Schedule IV 2023'!$5:$6</definedName>
    <definedName name="_xlnm.Print_Titles" localSheetId="6">'Schedule IV 2024'!$1:$6</definedName>
    <definedName name="_xlnm.Print_Titles" localSheetId="10">'Schedule IX'!$1:$7</definedName>
    <definedName name="_xlnm.Print_Titles" localSheetId="7">'Schedule VI'!$A:$A,'Schedule VI'!$4:$4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3" l="1"/>
  <c r="C13" i="43"/>
  <c r="E12" i="43"/>
  <c r="D12" i="43"/>
  <c r="D13" i="43" s="1"/>
  <c r="D34" i="43" s="1"/>
  <c r="C10" i="43"/>
  <c r="E9" i="43"/>
  <c r="E10" i="43" s="1"/>
  <c r="D9" i="43"/>
  <c r="D10" i="43" s="1"/>
  <c r="E14" i="16"/>
  <c r="C14" i="16"/>
  <c r="BP149" i="42"/>
  <c r="BO149" i="42"/>
  <c r="BN149" i="42"/>
  <c r="BM149" i="42"/>
  <c r="BL149" i="42"/>
  <c r="BK149" i="42"/>
  <c r="BJ149" i="42"/>
  <c r="BI149" i="42"/>
  <c r="BH149" i="42"/>
  <c r="BG149" i="42"/>
  <c r="BF149" i="42"/>
  <c r="BE149" i="42"/>
  <c r="BD149" i="42"/>
  <c r="BC149" i="42"/>
  <c r="BB149" i="42"/>
  <c r="BA149" i="42"/>
  <c r="AZ149" i="42"/>
  <c r="AY149" i="42"/>
  <c r="AX149" i="42"/>
  <c r="AW149" i="42"/>
  <c r="AV149" i="42"/>
  <c r="AU149" i="42"/>
  <c r="AT149" i="42"/>
  <c r="AS149" i="42"/>
  <c r="AR149" i="42"/>
  <c r="AQ149" i="42"/>
  <c r="AP149" i="42"/>
  <c r="AO149" i="42"/>
  <c r="AN149" i="42"/>
  <c r="AM149" i="42"/>
  <c r="AL149" i="42"/>
  <c r="AK149" i="42"/>
  <c r="AJ149" i="42"/>
  <c r="AI149" i="42"/>
  <c r="AH149" i="42"/>
  <c r="AG149" i="42"/>
  <c r="AF149" i="42"/>
  <c r="AE149" i="42"/>
  <c r="AD149" i="42"/>
  <c r="AC149" i="42"/>
  <c r="AB149" i="42"/>
  <c r="AA149" i="42"/>
  <c r="Z149" i="42"/>
  <c r="Y149" i="42"/>
  <c r="X149" i="42"/>
  <c r="W149" i="42"/>
  <c r="V149" i="42"/>
  <c r="U149" i="42"/>
  <c r="T149" i="42"/>
  <c r="S149" i="42"/>
  <c r="R149" i="42"/>
  <c r="Q149" i="42"/>
  <c r="P149" i="42"/>
  <c r="O149" i="42"/>
  <c r="N149" i="42"/>
  <c r="M149" i="42"/>
  <c r="L149" i="42"/>
  <c r="K149" i="42"/>
  <c r="J149" i="42"/>
  <c r="I149" i="42"/>
  <c r="H149" i="42"/>
  <c r="G149" i="42"/>
  <c r="F149" i="42"/>
  <c r="B149" i="42" s="1"/>
  <c r="E149" i="42"/>
  <c r="D149" i="42"/>
  <c r="C149" i="42"/>
  <c r="BP148" i="42"/>
  <c r="BO148" i="42"/>
  <c r="BN148" i="42"/>
  <c r="BM148" i="42"/>
  <c r="BL148" i="42"/>
  <c r="BK148" i="42"/>
  <c r="BJ148" i="42"/>
  <c r="BI148" i="42"/>
  <c r="BH148" i="42"/>
  <c r="BG148" i="42"/>
  <c r="BF148" i="42"/>
  <c r="BE148" i="42"/>
  <c r="BD148" i="42"/>
  <c r="BC148" i="42"/>
  <c r="BB148" i="42"/>
  <c r="BA148" i="42"/>
  <c r="AZ148" i="42"/>
  <c r="AY148" i="42"/>
  <c r="AX148" i="42"/>
  <c r="AW148" i="42"/>
  <c r="AV148" i="42"/>
  <c r="AU148" i="42"/>
  <c r="AT148" i="42"/>
  <c r="AS148" i="42"/>
  <c r="AR148" i="42"/>
  <c r="AQ148" i="42"/>
  <c r="AP148" i="42"/>
  <c r="AO148" i="42"/>
  <c r="AN148" i="42"/>
  <c r="AM148" i="42"/>
  <c r="AL148" i="42"/>
  <c r="AK148" i="42"/>
  <c r="AJ148" i="42"/>
  <c r="AI148" i="42"/>
  <c r="AH148" i="42"/>
  <c r="AG148" i="42"/>
  <c r="AF148" i="42"/>
  <c r="AE148" i="42"/>
  <c r="AD148" i="42"/>
  <c r="AC148" i="42"/>
  <c r="AB148" i="42"/>
  <c r="AA148" i="42"/>
  <c r="Z148" i="42"/>
  <c r="Y148" i="42"/>
  <c r="X148" i="42"/>
  <c r="W148" i="42"/>
  <c r="V148" i="42"/>
  <c r="U148" i="42"/>
  <c r="T148" i="42"/>
  <c r="S148" i="42"/>
  <c r="R148" i="42"/>
  <c r="Q148" i="42"/>
  <c r="P148" i="42"/>
  <c r="O148" i="42"/>
  <c r="N148" i="42"/>
  <c r="M148" i="42"/>
  <c r="L148" i="42"/>
  <c r="K148" i="42"/>
  <c r="J148" i="42"/>
  <c r="I148" i="42"/>
  <c r="H148" i="42"/>
  <c r="G148" i="42"/>
  <c r="F148" i="42"/>
  <c r="E148" i="42"/>
  <c r="D148" i="42"/>
  <c r="C148" i="42"/>
  <c r="BP147" i="42"/>
  <c r="BO147" i="42"/>
  <c r="BN147" i="42"/>
  <c r="BM147" i="42"/>
  <c r="BL147" i="42"/>
  <c r="BK147" i="42"/>
  <c r="BJ147" i="42"/>
  <c r="BI147" i="42"/>
  <c r="BH147" i="42"/>
  <c r="BG147" i="42"/>
  <c r="BF147" i="42"/>
  <c r="BE147" i="42"/>
  <c r="BD147" i="42"/>
  <c r="BC147" i="42"/>
  <c r="BB147" i="42"/>
  <c r="BA147" i="42"/>
  <c r="AZ147" i="42"/>
  <c r="AY147" i="42"/>
  <c r="AX147" i="42"/>
  <c r="AW147" i="42"/>
  <c r="AV147" i="42"/>
  <c r="AU147" i="42"/>
  <c r="AT147" i="42"/>
  <c r="AS147" i="42"/>
  <c r="AR147" i="42"/>
  <c r="AQ147" i="42"/>
  <c r="AP147" i="42"/>
  <c r="AO147" i="42"/>
  <c r="AN147" i="42"/>
  <c r="AM147" i="42"/>
  <c r="AL147" i="42"/>
  <c r="AK147" i="42"/>
  <c r="AJ147" i="42"/>
  <c r="AI147" i="42"/>
  <c r="AH147" i="42"/>
  <c r="AG147" i="42"/>
  <c r="AF147" i="42"/>
  <c r="AE147" i="42"/>
  <c r="AD147" i="42"/>
  <c r="AC147" i="42"/>
  <c r="AB147" i="42"/>
  <c r="AA147" i="42"/>
  <c r="Z147" i="42"/>
  <c r="Y147" i="42"/>
  <c r="X147" i="42"/>
  <c r="W147" i="42"/>
  <c r="V147" i="42"/>
  <c r="U147" i="42"/>
  <c r="T147" i="42"/>
  <c r="S147" i="42"/>
  <c r="R147" i="42"/>
  <c r="Q147" i="42"/>
  <c r="P147" i="42"/>
  <c r="O147" i="42"/>
  <c r="N147" i="42"/>
  <c r="M147" i="42"/>
  <c r="L147" i="42"/>
  <c r="K147" i="42"/>
  <c r="J147" i="42"/>
  <c r="I147" i="42"/>
  <c r="H147" i="42"/>
  <c r="G147" i="42"/>
  <c r="F147" i="42"/>
  <c r="E147" i="42"/>
  <c r="D147" i="42"/>
  <c r="C147" i="42"/>
  <c r="BP146" i="42"/>
  <c r="BO146" i="42"/>
  <c r="BN146" i="42"/>
  <c r="BM146" i="42"/>
  <c r="BL146" i="42"/>
  <c r="BK146" i="42"/>
  <c r="BJ146" i="42"/>
  <c r="BI146" i="42"/>
  <c r="BH146" i="42"/>
  <c r="BG146" i="42"/>
  <c r="BF146" i="42"/>
  <c r="BE146" i="42"/>
  <c r="BD146" i="42"/>
  <c r="BC146" i="42"/>
  <c r="BB146" i="42"/>
  <c r="BA146" i="42"/>
  <c r="AZ146" i="42"/>
  <c r="AY146" i="42"/>
  <c r="AX146" i="42"/>
  <c r="AW146" i="42"/>
  <c r="AV146" i="42"/>
  <c r="AU146" i="42"/>
  <c r="AT146" i="42"/>
  <c r="AS146" i="42"/>
  <c r="AR146" i="42"/>
  <c r="AQ146" i="42"/>
  <c r="AP146" i="42"/>
  <c r="AO146" i="42"/>
  <c r="AN146" i="42"/>
  <c r="AM146" i="42"/>
  <c r="AL146" i="42"/>
  <c r="AK146" i="42"/>
  <c r="AJ146" i="42"/>
  <c r="AI146" i="42"/>
  <c r="AH146" i="42"/>
  <c r="AG146" i="42"/>
  <c r="AF146" i="42"/>
  <c r="AE146" i="42"/>
  <c r="AD146" i="42"/>
  <c r="AC146" i="42"/>
  <c r="AB146" i="42"/>
  <c r="AA146" i="42"/>
  <c r="Z146" i="42"/>
  <c r="Y146" i="42"/>
  <c r="X146" i="42"/>
  <c r="W146" i="42"/>
  <c r="V146" i="42"/>
  <c r="U146" i="42"/>
  <c r="T146" i="42"/>
  <c r="S146" i="42"/>
  <c r="R146" i="42"/>
  <c r="Q146" i="42"/>
  <c r="P146" i="42"/>
  <c r="O146" i="42"/>
  <c r="N146" i="42"/>
  <c r="M146" i="42"/>
  <c r="L146" i="42"/>
  <c r="K146" i="42"/>
  <c r="J146" i="42"/>
  <c r="I146" i="42"/>
  <c r="H146" i="42"/>
  <c r="G146" i="42"/>
  <c r="F146" i="42"/>
  <c r="E146" i="42"/>
  <c r="D146" i="42"/>
  <c r="C146" i="42"/>
  <c r="BP145" i="42"/>
  <c r="BO145" i="42"/>
  <c r="BN145" i="42"/>
  <c r="BM145" i="42"/>
  <c r="BL145" i="42"/>
  <c r="BK145" i="42"/>
  <c r="BJ145" i="42"/>
  <c r="BI145" i="42"/>
  <c r="BH145" i="42"/>
  <c r="BG145" i="42"/>
  <c r="BF145" i="42"/>
  <c r="BE145" i="42"/>
  <c r="BD145" i="42"/>
  <c r="BC145" i="42"/>
  <c r="BB145" i="42"/>
  <c r="BA145" i="42"/>
  <c r="AZ145" i="42"/>
  <c r="AY145" i="42"/>
  <c r="AX145" i="42"/>
  <c r="AW145" i="42"/>
  <c r="AV145" i="42"/>
  <c r="AU145" i="42"/>
  <c r="AT145" i="42"/>
  <c r="AS145" i="42"/>
  <c r="AR145" i="42"/>
  <c r="AQ145" i="42"/>
  <c r="AP145" i="42"/>
  <c r="AO145" i="42"/>
  <c r="AN145" i="42"/>
  <c r="AM145" i="42"/>
  <c r="AL145" i="42"/>
  <c r="AK145" i="42"/>
  <c r="AJ145" i="42"/>
  <c r="AI145" i="42"/>
  <c r="AH145" i="42"/>
  <c r="AG145" i="42"/>
  <c r="AF145" i="42"/>
  <c r="AE145" i="42"/>
  <c r="AD145" i="42"/>
  <c r="AC145" i="42"/>
  <c r="AB145" i="42"/>
  <c r="AA145" i="42"/>
  <c r="Z145" i="42"/>
  <c r="Y145" i="42"/>
  <c r="X145" i="42"/>
  <c r="W145" i="42"/>
  <c r="V145" i="42"/>
  <c r="U145" i="42"/>
  <c r="T145" i="42"/>
  <c r="S145" i="42"/>
  <c r="R145" i="42"/>
  <c r="Q145" i="42"/>
  <c r="P145" i="42"/>
  <c r="O145" i="42"/>
  <c r="N145" i="42"/>
  <c r="M145" i="42"/>
  <c r="L145" i="42"/>
  <c r="K145" i="42"/>
  <c r="J145" i="42"/>
  <c r="I145" i="42"/>
  <c r="H145" i="42"/>
  <c r="G145" i="42"/>
  <c r="F145" i="42"/>
  <c r="E145" i="42"/>
  <c r="D145" i="42"/>
  <c r="C145" i="42"/>
  <c r="BP144" i="42"/>
  <c r="BO144" i="42"/>
  <c r="BN144" i="42"/>
  <c r="BM144" i="42"/>
  <c r="BL144" i="42"/>
  <c r="BK144" i="42"/>
  <c r="BJ144" i="42"/>
  <c r="BI144" i="42"/>
  <c r="BH144" i="42"/>
  <c r="BG144" i="42"/>
  <c r="BF144" i="42"/>
  <c r="BE144" i="42"/>
  <c r="BD144" i="42"/>
  <c r="BC144" i="42"/>
  <c r="BB144" i="42"/>
  <c r="BA144" i="42"/>
  <c r="AZ144" i="42"/>
  <c r="AY144" i="42"/>
  <c r="AX144" i="42"/>
  <c r="AW144" i="42"/>
  <c r="AV144" i="42"/>
  <c r="AU144" i="42"/>
  <c r="AT144" i="42"/>
  <c r="AS144" i="42"/>
  <c r="AR144" i="42"/>
  <c r="AQ144" i="42"/>
  <c r="AP144" i="42"/>
  <c r="AO144" i="42"/>
  <c r="AN144" i="42"/>
  <c r="AM144" i="42"/>
  <c r="AL144" i="42"/>
  <c r="AK144" i="42"/>
  <c r="AJ144" i="42"/>
  <c r="AI144" i="42"/>
  <c r="AH144" i="42"/>
  <c r="AG144" i="42"/>
  <c r="AF144" i="42"/>
  <c r="AE144" i="42"/>
  <c r="AD144" i="42"/>
  <c r="AC144" i="42"/>
  <c r="AB144" i="42"/>
  <c r="AA144" i="42"/>
  <c r="Z144" i="42"/>
  <c r="Y144" i="42"/>
  <c r="X144" i="42"/>
  <c r="W144" i="42"/>
  <c r="V144" i="42"/>
  <c r="U144" i="42"/>
  <c r="T144" i="42"/>
  <c r="S144" i="42"/>
  <c r="R144" i="42"/>
  <c r="Q144" i="42"/>
  <c r="P144" i="42"/>
  <c r="O144" i="42"/>
  <c r="N144" i="42"/>
  <c r="M144" i="42"/>
  <c r="L144" i="42"/>
  <c r="K144" i="42"/>
  <c r="J144" i="42"/>
  <c r="I144" i="42"/>
  <c r="H144" i="42"/>
  <c r="G144" i="42"/>
  <c r="F144" i="42"/>
  <c r="E144" i="42"/>
  <c r="D144" i="42"/>
  <c r="C144" i="42"/>
  <c r="BP143" i="42"/>
  <c r="BO143" i="42"/>
  <c r="BN143" i="42"/>
  <c r="BM143" i="42"/>
  <c r="BL143" i="42"/>
  <c r="BK143" i="42"/>
  <c r="BJ143" i="42"/>
  <c r="BI143" i="42"/>
  <c r="BH143" i="42"/>
  <c r="BG143" i="42"/>
  <c r="BF143" i="42"/>
  <c r="BE143" i="42"/>
  <c r="BD143" i="42"/>
  <c r="BC143" i="42"/>
  <c r="BB143" i="42"/>
  <c r="BA143" i="42"/>
  <c r="AZ143" i="42"/>
  <c r="AY143" i="42"/>
  <c r="AX143" i="42"/>
  <c r="AW143" i="42"/>
  <c r="AV143" i="42"/>
  <c r="AU143" i="42"/>
  <c r="AT143" i="42"/>
  <c r="AS143" i="42"/>
  <c r="AR143" i="42"/>
  <c r="AQ143" i="42"/>
  <c r="AP143" i="42"/>
  <c r="AO143" i="42"/>
  <c r="AN143" i="42"/>
  <c r="AM143" i="42"/>
  <c r="AL143" i="42"/>
  <c r="AK143" i="42"/>
  <c r="AJ143" i="42"/>
  <c r="AI143" i="42"/>
  <c r="AH143" i="42"/>
  <c r="AG143" i="42"/>
  <c r="AF143" i="42"/>
  <c r="AE143" i="42"/>
  <c r="AD143" i="42"/>
  <c r="AC143" i="42"/>
  <c r="AB143" i="42"/>
  <c r="AA143" i="42"/>
  <c r="Z143" i="42"/>
  <c r="Y143" i="42"/>
  <c r="X143" i="42"/>
  <c r="W143" i="42"/>
  <c r="V143" i="42"/>
  <c r="U143" i="42"/>
  <c r="T143" i="42"/>
  <c r="S143" i="42"/>
  <c r="R143" i="42"/>
  <c r="Q143" i="42"/>
  <c r="P143" i="42"/>
  <c r="O143" i="42"/>
  <c r="N143" i="42"/>
  <c r="M143" i="42"/>
  <c r="L143" i="42"/>
  <c r="K143" i="42"/>
  <c r="J143" i="42"/>
  <c r="I143" i="42"/>
  <c r="H143" i="42"/>
  <c r="G143" i="42"/>
  <c r="F143" i="42"/>
  <c r="E143" i="42"/>
  <c r="D143" i="42"/>
  <c r="C143" i="42"/>
  <c r="BP142" i="42"/>
  <c r="BO142" i="42"/>
  <c r="BN142" i="42"/>
  <c r="BM142" i="42"/>
  <c r="BL142" i="42"/>
  <c r="BK142" i="42"/>
  <c r="BJ142" i="42"/>
  <c r="BI142" i="42"/>
  <c r="BH142" i="42"/>
  <c r="BG142" i="42"/>
  <c r="BF142" i="42"/>
  <c r="BE142" i="42"/>
  <c r="BD142" i="42"/>
  <c r="BC142" i="42"/>
  <c r="BB142" i="42"/>
  <c r="BA142" i="42"/>
  <c r="AZ142" i="42"/>
  <c r="AY142" i="42"/>
  <c r="AX142" i="42"/>
  <c r="AW142" i="42"/>
  <c r="AV142" i="42"/>
  <c r="AU142" i="42"/>
  <c r="AT142" i="42"/>
  <c r="AS142" i="42"/>
  <c r="AR142" i="42"/>
  <c r="AQ142" i="42"/>
  <c r="AP142" i="42"/>
  <c r="AO142" i="42"/>
  <c r="AN142" i="42"/>
  <c r="AM142" i="42"/>
  <c r="AL142" i="42"/>
  <c r="AK142" i="42"/>
  <c r="AJ142" i="42"/>
  <c r="AI142" i="42"/>
  <c r="AH142" i="42"/>
  <c r="AG142" i="42"/>
  <c r="AF142" i="42"/>
  <c r="AE142" i="42"/>
  <c r="AD142" i="42"/>
  <c r="AC142" i="42"/>
  <c r="AB142" i="42"/>
  <c r="AA142" i="42"/>
  <c r="Z142" i="42"/>
  <c r="Y142" i="42"/>
  <c r="X142" i="42"/>
  <c r="W142" i="42"/>
  <c r="V142" i="42"/>
  <c r="U142" i="42"/>
  <c r="T142" i="42"/>
  <c r="S142" i="42"/>
  <c r="R142" i="42"/>
  <c r="Q142" i="42"/>
  <c r="P142" i="42"/>
  <c r="O142" i="42"/>
  <c r="N142" i="42"/>
  <c r="M142" i="42"/>
  <c r="L142" i="42"/>
  <c r="K142" i="42"/>
  <c r="J142" i="42"/>
  <c r="I142" i="42"/>
  <c r="H142" i="42"/>
  <c r="G142" i="42"/>
  <c r="F142" i="42"/>
  <c r="E142" i="42"/>
  <c r="D142" i="42"/>
  <c r="C142" i="42"/>
  <c r="BP141" i="42"/>
  <c r="BO141" i="42"/>
  <c r="BN141" i="42"/>
  <c r="BM141" i="42"/>
  <c r="BL141" i="42"/>
  <c r="BK141" i="42"/>
  <c r="BJ141" i="42"/>
  <c r="BI141" i="42"/>
  <c r="BH141" i="42"/>
  <c r="BG141" i="42"/>
  <c r="BF141" i="42"/>
  <c r="BE141" i="42"/>
  <c r="BD141" i="42"/>
  <c r="BC141" i="42"/>
  <c r="BB141" i="42"/>
  <c r="BA141" i="42"/>
  <c r="AZ141" i="42"/>
  <c r="AY141" i="42"/>
  <c r="AX141" i="42"/>
  <c r="AW141" i="42"/>
  <c r="AV141" i="42"/>
  <c r="AU141" i="42"/>
  <c r="AT141" i="42"/>
  <c r="AS141" i="42"/>
  <c r="AR141" i="42"/>
  <c r="AQ141" i="42"/>
  <c r="AP141" i="42"/>
  <c r="AO141" i="42"/>
  <c r="AN141" i="42"/>
  <c r="AM141" i="42"/>
  <c r="AL141" i="42"/>
  <c r="AK141" i="42"/>
  <c r="AJ141" i="42"/>
  <c r="AI141" i="42"/>
  <c r="AH141" i="42"/>
  <c r="AG141" i="42"/>
  <c r="AF141" i="42"/>
  <c r="AE141" i="42"/>
  <c r="AD141" i="42"/>
  <c r="AC141" i="42"/>
  <c r="AB141" i="42"/>
  <c r="AA141" i="42"/>
  <c r="Z141" i="42"/>
  <c r="Y141" i="42"/>
  <c r="X141" i="42"/>
  <c r="W141" i="42"/>
  <c r="V141" i="42"/>
  <c r="U141" i="42"/>
  <c r="T141" i="42"/>
  <c r="S141" i="42"/>
  <c r="R141" i="42"/>
  <c r="Q141" i="42"/>
  <c r="P141" i="42"/>
  <c r="O141" i="42"/>
  <c r="N141" i="42"/>
  <c r="M141" i="42"/>
  <c r="L141" i="42"/>
  <c r="K141" i="42"/>
  <c r="J141" i="42"/>
  <c r="I141" i="42"/>
  <c r="H141" i="42"/>
  <c r="G141" i="42"/>
  <c r="F141" i="42"/>
  <c r="E141" i="42"/>
  <c r="D141" i="42"/>
  <c r="C141" i="42"/>
  <c r="BP140" i="42"/>
  <c r="BO140" i="42"/>
  <c r="BN140" i="42"/>
  <c r="BM140" i="42"/>
  <c r="BL140" i="42"/>
  <c r="BK140" i="42"/>
  <c r="BJ140" i="42"/>
  <c r="BI140" i="42"/>
  <c r="BH140" i="42"/>
  <c r="BG140" i="42"/>
  <c r="BF140" i="42"/>
  <c r="BE140" i="42"/>
  <c r="BD140" i="42"/>
  <c r="BC140" i="42"/>
  <c r="BB140" i="42"/>
  <c r="BA140" i="42"/>
  <c r="AZ140" i="42"/>
  <c r="AY140" i="42"/>
  <c r="AX140" i="42"/>
  <c r="AW140" i="42"/>
  <c r="AV140" i="42"/>
  <c r="AU140" i="42"/>
  <c r="AT140" i="42"/>
  <c r="AS140" i="42"/>
  <c r="AR140" i="42"/>
  <c r="AQ140" i="42"/>
  <c r="AP140" i="42"/>
  <c r="AO140" i="42"/>
  <c r="AN140" i="42"/>
  <c r="AM140" i="42"/>
  <c r="AL140" i="42"/>
  <c r="AK140" i="42"/>
  <c r="AJ140" i="42"/>
  <c r="AI140" i="42"/>
  <c r="AH140" i="42"/>
  <c r="AG140" i="42"/>
  <c r="AF140" i="42"/>
  <c r="AE140" i="42"/>
  <c r="AD140" i="42"/>
  <c r="AC140" i="42"/>
  <c r="AB140" i="42"/>
  <c r="AA140" i="42"/>
  <c r="Z140" i="42"/>
  <c r="Y140" i="42"/>
  <c r="X140" i="42"/>
  <c r="W140" i="42"/>
  <c r="V140" i="42"/>
  <c r="U140" i="42"/>
  <c r="T140" i="42"/>
  <c r="S140" i="42"/>
  <c r="R140" i="42"/>
  <c r="Q140" i="42"/>
  <c r="P140" i="42"/>
  <c r="O140" i="42"/>
  <c r="N140" i="42"/>
  <c r="M140" i="42"/>
  <c r="L140" i="42"/>
  <c r="K140" i="42"/>
  <c r="J140" i="42"/>
  <c r="I140" i="42"/>
  <c r="H140" i="42"/>
  <c r="G140" i="42"/>
  <c r="F140" i="42"/>
  <c r="E140" i="42"/>
  <c r="D140" i="42"/>
  <c r="C140" i="42"/>
  <c r="BP139" i="42"/>
  <c r="BO139" i="42"/>
  <c r="BN139" i="42"/>
  <c r="BM139" i="42"/>
  <c r="BL139" i="42"/>
  <c r="BK139" i="42"/>
  <c r="BJ139" i="42"/>
  <c r="BI139" i="42"/>
  <c r="BH139" i="42"/>
  <c r="BG139" i="42"/>
  <c r="BF139" i="42"/>
  <c r="BE139" i="42"/>
  <c r="BD139" i="42"/>
  <c r="BC139" i="42"/>
  <c r="BB139" i="42"/>
  <c r="BA139" i="42"/>
  <c r="AZ139" i="42"/>
  <c r="AY139" i="42"/>
  <c r="AX139" i="42"/>
  <c r="AW139" i="42"/>
  <c r="AV139" i="42"/>
  <c r="AU139" i="42"/>
  <c r="AT139" i="42"/>
  <c r="AS139" i="42"/>
  <c r="AR139" i="42"/>
  <c r="AQ139" i="42"/>
  <c r="AP139" i="42"/>
  <c r="AO139" i="42"/>
  <c r="AN139" i="42"/>
  <c r="AM139" i="42"/>
  <c r="AL139" i="42"/>
  <c r="AK139" i="42"/>
  <c r="AJ139" i="42"/>
  <c r="AI139" i="42"/>
  <c r="AH139" i="42"/>
  <c r="AG139" i="42"/>
  <c r="AF139" i="42"/>
  <c r="AE139" i="42"/>
  <c r="AD139" i="42"/>
  <c r="AC139" i="42"/>
  <c r="AB139" i="42"/>
  <c r="AA139" i="42"/>
  <c r="Z139" i="42"/>
  <c r="Y139" i="42"/>
  <c r="X139" i="42"/>
  <c r="W139" i="42"/>
  <c r="V139" i="42"/>
  <c r="U139" i="42"/>
  <c r="T139" i="42"/>
  <c r="S139" i="42"/>
  <c r="R139" i="42"/>
  <c r="Q139" i="42"/>
  <c r="P139" i="42"/>
  <c r="O139" i="42"/>
  <c r="N139" i="42"/>
  <c r="M139" i="42"/>
  <c r="L139" i="42"/>
  <c r="K139" i="42"/>
  <c r="J139" i="42"/>
  <c r="I139" i="42"/>
  <c r="H139" i="42"/>
  <c r="G139" i="42"/>
  <c r="F139" i="42"/>
  <c r="E139" i="42"/>
  <c r="D139" i="42"/>
  <c r="C139" i="42"/>
  <c r="BP138" i="42"/>
  <c r="BO138" i="42"/>
  <c r="BN138" i="42"/>
  <c r="BM138" i="42"/>
  <c r="BL138" i="42"/>
  <c r="BK138" i="42"/>
  <c r="BJ138" i="42"/>
  <c r="BI138" i="42"/>
  <c r="BH138" i="42"/>
  <c r="BG138" i="42"/>
  <c r="BF138" i="42"/>
  <c r="BE138" i="42"/>
  <c r="BD138" i="42"/>
  <c r="BC138" i="42"/>
  <c r="BB138" i="42"/>
  <c r="BA138" i="42"/>
  <c r="AZ138" i="42"/>
  <c r="AY138" i="42"/>
  <c r="AX138" i="42"/>
  <c r="AW138" i="42"/>
  <c r="AV138" i="42"/>
  <c r="AU138" i="42"/>
  <c r="AT138" i="42"/>
  <c r="AS138" i="42"/>
  <c r="AR138" i="42"/>
  <c r="AQ138" i="42"/>
  <c r="AP138" i="42"/>
  <c r="AO138" i="42"/>
  <c r="AN138" i="42"/>
  <c r="AM138" i="42"/>
  <c r="AL138" i="42"/>
  <c r="AK138" i="42"/>
  <c r="AJ138" i="42"/>
  <c r="AI138" i="42"/>
  <c r="AH138" i="42"/>
  <c r="AG138" i="42"/>
  <c r="AF138" i="42"/>
  <c r="AE138" i="42"/>
  <c r="AD138" i="42"/>
  <c r="AC138" i="42"/>
  <c r="AB138" i="42"/>
  <c r="AA138" i="42"/>
  <c r="Z138" i="42"/>
  <c r="Y138" i="42"/>
  <c r="X138" i="42"/>
  <c r="W138" i="42"/>
  <c r="V138" i="42"/>
  <c r="U138" i="42"/>
  <c r="T138" i="42"/>
  <c r="S138" i="42"/>
  <c r="R138" i="42"/>
  <c r="Q138" i="42"/>
  <c r="P138" i="42"/>
  <c r="O138" i="42"/>
  <c r="N138" i="42"/>
  <c r="M138" i="42"/>
  <c r="L138" i="42"/>
  <c r="K138" i="42"/>
  <c r="J138" i="42"/>
  <c r="I138" i="42"/>
  <c r="H138" i="42"/>
  <c r="G138" i="42"/>
  <c r="F138" i="42"/>
  <c r="E138" i="42"/>
  <c r="D138" i="42"/>
  <c r="C138" i="42"/>
  <c r="BP137" i="42"/>
  <c r="BO137" i="42"/>
  <c r="BN137" i="42"/>
  <c r="BM137" i="42"/>
  <c r="BL137" i="42"/>
  <c r="BK137" i="42"/>
  <c r="BJ137" i="42"/>
  <c r="BI137" i="42"/>
  <c r="BH137" i="42"/>
  <c r="BG137" i="42"/>
  <c r="BF137" i="42"/>
  <c r="BE137" i="42"/>
  <c r="BD137" i="42"/>
  <c r="BC137" i="42"/>
  <c r="BB137" i="42"/>
  <c r="BA137" i="42"/>
  <c r="AZ137" i="42"/>
  <c r="AY137" i="42"/>
  <c r="AX137" i="42"/>
  <c r="AW137" i="42"/>
  <c r="AV137" i="42"/>
  <c r="AU137" i="42"/>
  <c r="AT137" i="42"/>
  <c r="AS137" i="42"/>
  <c r="AR137" i="42"/>
  <c r="AQ137" i="42"/>
  <c r="AP137" i="42"/>
  <c r="AO137" i="42"/>
  <c r="AN137" i="42"/>
  <c r="AM137" i="42"/>
  <c r="AL137" i="42"/>
  <c r="AK137" i="42"/>
  <c r="AJ137" i="42"/>
  <c r="AI137" i="42"/>
  <c r="AH137" i="42"/>
  <c r="AG137" i="42"/>
  <c r="AF137" i="42"/>
  <c r="AE137" i="42"/>
  <c r="AD137" i="42"/>
  <c r="AC137" i="42"/>
  <c r="AB137" i="42"/>
  <c r="AA137" i="42"/>
  <c r="Z137" i="42"/>
  <c r="Y137" i="42"/>
  <c r="X137" i="42"/>
  <c r="W137" i="42"/>
  <c r="V137" i="42"/>
  <c r="U137" i="42"/>
  <c r="T137" i="42"/>
  <c r="S137" i="42"/>
  <c r="R137" i="42"/>
  <c r="Q137" i="42"/>
  <c r="P137" i="42"/>
  <c r="O137" i="42"/>
  <c r="N137" i="42"/>
  <c r="M137" i="42"/>
  <c r="L137" i="42"/>
  <c r="K137" i="42"/>
  <c r="J137" i="42"/>
  <c r="I137" i="42"/>
  <c r="H137" i="42"/>
  <c r="G137" i="42"/>
  <c r="F137" i="42"/>
  <c r="E137" i="42"/>
  <c r="D137" i="42"/>
  <c r="C137" i="42"/>
  <c r="BP136" i="42"/>
  <c r="BO136" i="42"/>
  <c r="BN136" i="42"/>
  <c r="BM136" i="42"/>
  <c r="BL136" i="42"/>
  <c r="BK136" i="42"/>
  <c r="BJ136" i="42"/>
  <c r="BI136" i="42"/>
  <c r="BH136" i="42"/>
  <c r="BG136" i="42"/>
  <c r="BF136" i="42"/>
  <c r="BE136" i="42"/>
  <c r="BD136" i="42"/>
  <c r="BC136" i="42"/>
  <c r="BB136" i="42"/>
  <c r="BA136" i="42"/>
  <c r="AZ136" i="42"/>
  <c r="AY136" i="42"/>
  <c r="AX136" i="42"/>
  <c r="AW136" i="42"/>
  <c r="AV136" i="42"/>
  <c r="AU136" i="42"/>
  <c r="AT136" i="42"/>
  <c r="AS136" i="42"/>
  <c r="AR136" i="42"/>
  <c r="AQ136" i="42"/>
  <c r="AP136" i="42"/>
  <c r="AO136" i="42"/>
  <c r="AN136" i="42"/>
  <c r="AM136" i="42"/>
  <c r="AL136" i="42"/>
  <c r="AK136" i="42"/>
  <c r="AJ136" i="42"/>
  <c r="AI136" i="42"/>
  <c r="AH136" i="42"/>
  <c r="AG136" i="42"/>
  <c r="AF136" i="42"/>
  <c r="AE136" i="42"/>
  <c r="AD136" i="42"/>
  <c r="AC136" i="42"/>
  <c r="AB136" i="42"/>
  <c r="AA136" i="42"/>
  <c r="Z136" i="42"/>
  <c r="Y136" i="42"/>
  <c r="X136" i="42"/>
  <c r="W136" i="42"/>
  <c r="V136" i="42"/>
  <c r="U136" i="42"/>
  <c r="T136" i="42"/>
  <c r="S136" i="42"/>
  <c r="R136" i="42"/>
  <c r="Q136" i="42"/>
  <c r="P136" i="42"/>
  <c r="O136" i="42"/>
  <c r="N136" i="42"/>
  <c r="M136" i="42"/>
  <c r="L136" i="42"/>
  <c r="K136" i="42"/>
  <c r="J136" i="42"/>
  <c r="I136" i="42"/>
  <c r="H136" i="42"/>
  <c r="G136" i="42"/>
  <c r="F136" i="42"/>
  <c r="E136" i="42"/>
  <c r="D136" i="42"/>
  <c r="C136" i="42"/>
  <c r="BP135" i="42"/>
  <c r="BO135" i="42"/>
  <c r="BN135" i="42"/>
  <c r="BM135" i="42"/>
  <c r="BL135" i="42"/>
  <c r="BK135" i="42"/>
  <c r="BJ135" i="42"/>
  <c r="BI135" i="42"/>
  <c r="BH135" i="42"/>
  <c r="BG135" i="42"/>
  <c r="BF135" i="42"/>
  <c r="BE135" i="42"/>
  <c r="BD135" i="42"/>
  <c r="BC135" i="42"/>
  <c r="BB135" i="42"/>
  <c r="BA135" i="42"/>
  <c r="AZ135" i="42"/>
  <c r="AY135" i="42"/>
  <c r="AX135" i="42"/>
  <c r="AW135" i="42"/>
  <c r="AV135" i="42"/>
  <c r="AU135" i="42"/>
  <c r="AT135" i="42"/>
  <c r="AS135" i="42"/>
  <c r="AR135" i="42"/>
  <c r="AQ135" i="42"/>
  <c r="AP135" i="42"/>
  <c r="AO135" i="42"/>
  <c r="AN135" i="42"/>
  <c r="AM135" i="42"/>
  <c r="AL135" i="42"/>
  <c r="AK135" i="42"/>
  <c r="AJ135" i="42"/>
  <c r="AI135" i="42"/>
  <c r="AH135" i="42"/>
  <c r="AG135" i="42"/>
  <c r="AF135" i="42"/>
  <c r="AE135" i="42"/>
  <c r="AD135" i="42"/>
  <c r="AC135" i="42"/>
  <c r="AB135" i="42"/>
  <c r="AA135" i="42"/>
  <c r="Z135" i="42"/>
  <c r="Y135" i="42"/>
  <c r="X135" i="42"/>
  <c r="W135" i="42"/>
  <c r="V135" i="42"/>
  <c r="U135" i="42"/>
  <c r="T135" i="42"/>
  <c r="S135" i="42"/>
  <c r="R135" i="42"/>
  <c r="Q135" i="42"/>
  <c r="P135" i="42"/>
  <c r="O135" i="42"/>
  <c r="N135" i="42"/>
  <c r="M135" i="42"/>
  <c r="L135" i="42"/>
  <c r="K135" i="42"/>
  <c r="J135" i="42"/>
  <c r="I135" i="42"/>
  <c r="H135" i="42"/>
  <c r="G135" i="42"/>
  <c r="F135" i="42"/>
  <c r="E135" i="42"/>
  <c r="D135" i="42"/>
  <c r="C135" i="42"/>
  <c r="C134" i="42"/>
  <c r="B134" i="42"/>
  <c r="BP133" i="42"/>
  <c r="BO133" i="42"/>
  <c r="BN133" i="42"/>
  <c r="BM133" i="42"/>
  <c r="BL133" i="42"/>
  <c r="BK133" i="42"/>
  <c r="BJ133" i="42"/>
  <c r="BI133" i="42"/>
  <c r="BH133" i="42"/>
  <c r="BG133" i="42"/>
  <c r="BF133" i="42"/>
  <c r="BE133" i="42"/>
  <c r="BD133" i="42"/>
  <c r="BC133" i="42"/>
  <c r="BB133" i="42"/>
  <c r="BA133" i="42"/>
  <c r="AZ133" i="42"/>
  <c r="AY133" i="42"/>
  <c r="AX133" i="42"/>
  <c r="AW133" i="42"/>
  <c r="AV133" i="42"/>
  <c r="AU133" i="42"/>
  <c r="AT133" i="42"/>
  <c r="AS133" i="42"/>
  <c r="AR133" i="42"/>
  <c r="AQ133" i="42"/>
  <c r="AP133" i="42"/>
  <c r="AO133" i="42"/>
  <c r="AN133" i="42"/>
  <c r="AM133" i="42"/>
  <c r="AL133" i="42"/>
  <c r="AK133" i="42"/>
  <c r="AJ133" i="42"/>
  <c r="AI133" i="42"/>
  <c r="AH133" i="42"/>
  <c r="AG133" i="42"/>
  <c r="AF133" i="42"/>
  <c r="AE133" i="42"/>
  <c r="AD133" i="42"/>
  <c r="AC133" i="42"/>
  <c r="AB133" i="42"/>
  <c r="AA133" i="42"/>
  <c r="Z133" i="42"/>
  <c r="Y133" i="42"/>
  <c r="X133" i="42"/>
  <c r="W133" i="42"/>
  <c r="V133" i="42"/>
  <c r="U133" i="42"/>
  <c r="T133" i="42"/>
  <c r="S133" i="42"/>
  <c r="R133" i="42"/>
  <c r="Q133" i="42"/>
  <c r="P133" i="42"/>
  <c r="O133" i="42"/>
  <c r="N133" i="42"/>
  <c r="M133" i="42"/>
  <c r="L133" i="42"/>
  <c r="K133" i="42"/>
  <c r="J133" i="42"/>
  <c r="I133" i="42"/>
  <c r="H133" i="42"/>
  <c r="G133" i="42"/>
  <c r="F133" i="42"/>
  <c r="E133" i="42"/>
  <c r="D133" i="42"/>
  <c r="C133" i="42"/>
  <c r="BP132" i="42"/>
  <c r="BO132" i="42"/>
  <c r="BN132" i="42"/>
  <c r="BM132" i="42"/>
  <c r="BL132" i="42"/>
  <c r="BK132" i="42"/>
  <c r="BJ132" i="42"/>
  <c r="BI132" i="42"/>
  <c r="BH132" i="42"/>
  <c r="BG132" i="42"/>
  <c r="BF132" i="42"/>
  <c r="BE132" i="42"/>
  <c r="BD132" i="42"/>
  <c r="BC132" i="42"/>
  <c r="BB132" i="42"/>
  <c r="BA132" i="42"/>
  <c r="AZ132" i="42"/>
  <c r="AY132" i="42"/>
  <c r="AX132" i="42"/>
  <c r="AW132" i="42"/>
  <c r="AV132" i="42"/>
  <c r="AU132" i="42"/>
  <c r="AT132" i="42"/>
  <c r="AS132" i="42"/>
  <c r="AR132" i="42"/>
  <c r="AQ132" i="42"/>
  <c r="AP132" i="42"/>
  <c r="AO132" i="42"/>
  <c r="AN132" i="42"/>
  <c r="AM132" i="42"/>
  <c r="AL132" i="42"/>
  <c r="AK132" i="42"/>
  <c r="AJ132" i="42"/>
  <c r="AI132" i="42"/>
  <c r="AH132" i="42"/>
  <c r="AG132" i="42"/>
  <c r="AF132" i="42"/>
  <c r="AE132" i="42"/>
  <c r="AD132" i="42"/>
  <c r="AC132" i="42"/>
  <c r="AB132" i="42"/>
  <c r="AA132" i="42"/>
  <c r="Z132" i="42"/>
  <c r="Y132" i="42"/>
  <c r="X132" i="42"/>
  <c r="W132" i="42"/>
  <c r="V132" i="42"/>
  <c r="U132" i="42"/>
  <c r="T132" i="42"/>
  <c r="S132" i="42"/>
  <c r="R132" i="42"/>
  <c r="Q132" i="42"/>
  <c r="P132" i="42"/>
  <c r="O132" i="42"/>
  <c r="N132" i="42"/>
  <c r="M132" i="42"/>
  <c r="L132" i="42"/>
  <c r="K132" i="42"/>
  <c r="J132" i="42"/>
  <c r="I132" i="42"/>
  <c r="H132" i="42"/>
  <c r="G132" i="42"/>
  <c r="F132" i="42"/>
  <c r="E132" i="42"/>
  <c r="D132" i="42"/>
  <c r="C132" i="42"/>
  <c r="BP131" i="42"/>
  <c r="BO131" i="42"/>
  <c r="BN131" i="42"/>
  <c r="BM131" i="42"/>
  <c r="BL131" i="42"/>
  <c r="BK131" i="42"/>
  <c r="BJ131" i="42"/>
  <c r="BI131" i="42"/>
  <c r="BH131" i="42"/>
  <c r="BG131" i="42"/>
  <c r="BF131" i="42"/>
  <c r="BE131" i="42"/>
  <c r="BD131" i="42"/>
  <c r="BC131" i="42"/>
  <c r="BB131" i="42"/>
  <c r="BA131" i="42"/>
  <c r="AZ131" i="42"/>
  <c r="AY131" i="42"/>
  <c r="AX131" i="42"/>
  <c r="AW131" i="42"/>
  <c r="AV131" i="42"/>
  <c r="AU131" i="42"/>
  <c r="AT131" i="42"/>
  <c r="AS131" i="42"/>
  <c r="AR131" i="42"/>
  <c r="AQ131" i="42"/>
  <c r="AP131" i="42"/>
  <c r="AO131" i="42"/>
  <c r="AN131" i="42"/>
  <c r="AM131" i="42"/>
  <c r="AL131" i="42"/>
  <c r="AK131" i="42"/>
  <c r="AJ131" i="42"/>
  <c r="AI131" i="42"/>
  <c r="AH131" i="42"/>
  <c r="AG131" i="42"/>
  <c r="AF131" i="42"/>
  <c r="AE131" i="42"/>
  <c r="AD131" i="42"/>
  <c r="AC131" i="42"/>
  <c r="AB131" i="42"/>
  <c r="AA131" i="42"/>
  <c r="Z131" i="42"/>
  <c r="Y131" i="42"/>
  <c r="X131" i="42"/>
  <c r="W131" i="42"/>
  <c r="V131" i="42"/>
  <c r="U131" i="42"/>
  <c r="T131" i="42"/>
  <c r="S131" i="42"/>
  <c r="R131" i="42"/>
  <c r="Q131" i="42"/>
  <c r="P131" i="42"/>
  <c r="O131" i="42"/>
  <c r="N131" i="42"/>
  <c r="M131" i="42"/>
  <c r="L131" i="42"/>
  <c r="K131" i="42"/>
  <c r="J131" i="42"/>
  <c r="I131" i="42"/>
  <c r="H131" i="42"/>
  <c r="G131" i="42"/>
  <c r="F131" i="42"/>
  <c r="E131" i="42"/>
  <c r="D131" i="42"/>
  <c r="C131" i="42"/>
  <c r="BP130" i="42"/>
  <c r="BO130" i="42"/>
  <c r="BN130" i="42"/>
  <c r="BM130" i="42"/>
  <c r="BL130" i="42"/>
  <c r="BK130" i="42"/>
  <c r="BJ130" i="42"/>
  <c r="BI130" i="42"/>
  <c r="BH130" i="42"/>
  <c r="BG130" i="42"/>
  <c r="BF130" i="42"/>
  <c r="BE130" i="42"/>
  <c r="BD130" i="42"/>
  <c r="BC130" i="42"/>
  <c r="BB130" i="42"/>
  <c r="BA130" i="42"/>
  <c r="AZ130" i="42"/>
  <c r="AY130" i="42"/>
  <c r="AX130" i="42"/>
  <c r="AW130" i="42"/>
  <c r="AV130" i="42"/>
  <c r="AU130" i="42"/>
  <c r="AT130" i="42"/>
  <c r="AS130" i="42"/>
  <c r="AR130" i="42"/>
  <c r="AQ130" i="42"/>
  <c r="AP130" i="42"/>
  <c r="AO130" i="42"/>
  <c r="AN130" i="42"/>
  <c r="AM130" i="42"/>
  <c r="AL130" i="42"/>
  <c r="AK130" i="42"/>
  <c r="AJ130" i="42"/>
  <c r="AI130" i="42"/>
  <c r="AH130" i="42"/>
  <c r="AG130" i="42"/>
  <c r="AF130" i="42"/>
  <c r="AE130" i="42"/>
  <c r="AD130" i="42"/>
  <c r="AC130" i="42"/>
  <c r="AB130" i="42"/>
  <c r="AA130" i="42"/>
  <c r="Z130" i="42"/>
  <c r="Y130" i="42"/>
  <c r="X130" i="42"/>
  <c r="W130" i="42"/>
  <c r="V130" i="42"/>
  <c r="U130" i="42"/>
  <c r="T130" i="42"/>
  <c r="S130" i="42"/>
  <c r="R130" i="42"/>
  <c r="Q130" i="42"/>
  <c r="P130" i="42"/>
  <c r="O130" i="42"/>
  <c r="N130" i="42"/>
  <c r="M130" i="42"/>
  <c r="L130" i="42"/>
  <c r="K130" i="42"/>
  <c r="J130" i="42"/>
  <c r="I130" i="42"/>
  <c r="H130" i="42"/>
  <c r="G130" i="42"/>
  <c r="F130" i="42"/>
  <c r="E130" i="42"/>
  <c r="D130" i="42"/>
  <c r="C130" i="42"/>
  <c r="BP129" i="42"/>
  <c r="BO129" i="42"/>
  <c r="BN129" i="42"/>
  <c r="BM129" i="42"/>
  <c r="BL129" i="42"/>
  <c r="BK129" i="42"/>
  <c r="BJ129" i="42"/>
  <c r="BI129" i="42"/>
  <c r="BH129" i="42"/>
  <c r="BG129" i="42"/>
  <c r="BF129" i="42"/>
  <c r="BE129" i="42"/>
  <c r="BD129" i="42"/>
  <c r="BC129" i="42"/>
  <c r="BB129" i="42"/>
  <c r="BA129" i="42"/>
  <c r="AZ129" i="42"/>
  <c r="AY129" i="42"/>
  <c r="AX129" i="42"/>
  <c r="AW129" i="42"/>
  <c r="AV129" i="42"/>
  <c r="AU129" i="42"/>
  <c r="AT129" i="42"/>
  <c r="AS129" i="42"/>
  <c r="AR129" i="42"/>
  <c r="AQ129" i="42"/>
  <c r="AP129" i="42"/>
  <c r="AO129" i="42"/>
  <c r="AN129" i="42"/>
  <c r="AM129" i="42"/>
  <c r="AL129" i="42"/>
  <c r="AK129" i="42"/>
  <c r="AJ129" i="42"/>
  <c r="AI129" i="42"/>
  <c r="AH129" i="42"/>
  <c r="AG129" i="42"/>
  <c r="AF129" i="42"/>
  <c r="AE129" i="42"/>
  <c r="AD129" i="42"/>
  <c r="AC129" i="42"/>
  <c r="AB129" i="42"/>
  <c r="AA129" i="42"/>
  <c r="Z129" i="42"/>
  <c r="Y129" i="42"/>
  <c r="X129" i="42"/>
  <c r="W129" i="42"/>
  <c r="V129" i="42"/>
  <c r="U129" i="42"/>
  <c r="T129" i="42"/>
  <c r="S129" i="42"/>
  <c r="R129" i="42"/>
  <c r="Q129" i="42"/>
  <c r="P129" i="42"/>
  <c r="O129" i="42"/>
  <c r="N129" i="42"/>
  <c r="M129" i="42"/>
  <c r="L129" i="42"/>
  <c r="K129" i="42"/>
  <c r="J129" i="42"/>
  <c r="I129" i="42"/>
  <c r="H129" i="42"/>
  <c r="G129" i="42"/>
  <c r="F129" i="42"/>
  <c r="E129" i="42"/>
  <c r="D129" i="42"/>
  <c r="C129" i="42"/>
  <c r="BP128" i="42"/>
  <c r="BO128" i="42"/>
  <c r="BN128" i="42"/>
  <c r="BM128" i="42"/>
  <c r="BL128" i="42"/>
  <c r="BK128" i="42"/>
  <c r="BJ128" i="42"/>
  <c r="BI128" i="42"/>
  <c r="BH128" i="42"/>
  <c r="BG128" i="42"/>
  <c r="BF128" i="42"/>
  <c r="BE128" i="42"/>
  <c r="BD128" i="42"/>
  <c r="BC128" i="42"/>
  <c r="BB128" i="42"/>
  <c r="BA128" i="42"/>
  <c r="AZ128" i="42"/>
  <c r="AY128" i="42"/>
  <c r="AX128" i="42"/>
  <c r="AW128" i="42"/>
  <c r="AV128" i="42"/>
  <c r="AU128" i="42"/>
  <c r="AT128" i="42"/>
  <c r="AS128" i="42"/>
  <c r="AR128" i="42"/>
  <c r="AQ128" i="42"/>
  <c r="AP128" i="42"/>
  <c r="AO128" i="42"/>
  <c r="AN128" i="42"/>
  <c r="AM128" i="42"/>
  <c r="AL128" i="42"/>
  <c r="AK128" i="42"/>
  <c r="AJ128" i="42"/>
  <c r="AI128" i="42"/>
  <c r="AH128" i="42"/>
  <c r="AG128" i="42"/>
  <c r="AF128" i="42"/>
  <c r="AE128" i="42"/>
  <c r="AD128" i="42"/>
  <c r="AC128" i="42"/>
  <c r="AB128" i="42"/>
  <c r="AA128" i="42"/>
  <c r="Z128" i="42"/>
  <c r="Y128" i="42"/>
  <c r="X128" i="42"/>
  <c r="W128" i="42"/>
  <c r="V128" i="42"/>
  <c r="U128" i="42"/>
  <c r="T128" i="42"/>
  <c r="S128" i="42"/>
  <c r="R128" i="42"/>
  <c r="Q128" i="42"/>
  <c r="P128" i="42"/>
  <c r="O128" i="42"/>
  <c r="N128" i="42"/>
  <c r="M128" i="42"/>
  <c r="L128" i="42"/>
  <c r="K128" i="42"/>
  <c r="J128" i="42"/>
  <c r="I128" i="42"/>
  <c r="H128" i="42"/>
  <c r="G128" i="42"/>
  <c r="F128" i="42"/>
  <c r="E128" i="42"/>
  <c r="D128" i="42"/>
  <c r="C128" i="42"/>
  <c r="BP127" i="42"/>
  <c r="BO127" i="42"/>
  <c r="BN127" i="42"/>
  <c r="BM127" i="42"/>
  <c r="BL127" i="42"/>
  <c r="BK127" i="42"/>
  <c r="BJ127" i="42"/>
  <c r="BI127" i="42"/>
  <c r="BH127" i="42"/>
  <c r="BG127" i="42"/>
  <c r="BG150" i="42" s="1"/>
  <c r="BF127" i="42"/>
  <c r="BE127" i="42"/>
  <c r="BD127" i="42"/>
  <c r="BC127" i="42"/>
  <c r="BB127" i="42"/>
  <c r="BA127" i="42"/>
  <c r="AZ127" i="42"/>
  <c r="AY127" i="42"/>
  <c r="AX127" i="42"/>
  <c r="AW127" i="42"/>
  <c r="AV127" i="42"/>
  <c r="AU127" i="42"/>
  <c r="AT127" i="42"/>
  <c r="AS127" i="42"/>
  <c r="AR127" i="42"/>
  <c r="AQ127" i="42"/>
  <c r="AP127" i="42"/>
  <c r="AO127" i="42"/>
  <c r="AN127" i="42"/>
  <c r="AM127" i="42"/>
  <c r="AL127" i="42"/>
  <c r="AK127" i="42"/>
  <c r="AJ127" i="42"/>
  <c r="AI127" i="42"/>
  <c r="AI150" i="42" s="1"/>
  <c r="AH127" i="42"/>
  <c r="AG127" i="42"/>
  <c r="AF127" i="42"/>
  <c r="AE127" i="42"/>
  <c r="AD127" i="42"/>
  <c r="AC127" i="42"/>
  <c r="AB127" i="42"/>
  <c r="AA127" i="42"/>
  <c r="Z127" i="42"/>
  <c r="Y127" i="42"/>
  <c r="X127" i="42"/>
  <c r="W127" i="42"/>
  <c r="V127" i="42"/>
  <c r="U127" i="42"/>
  <c r="T127" i="42"/>
  <c r="S127" i="42"/>
  <c r="R127" i="42"/>
  <c r="Q127" i="42"/>
  <c r="P127" i="42"/>
  <c r="O127" i="42"/>
  <c r="N127" i="42"/>
  <c r="M127" i="42"/>
  <c r="L127" i="42"/>
  <c r="K127" i="42"/>
  <c r="K150" i="42" s="1"/>
  <c r="J127" i="42"/>
  <c r="I127" i="42"/>
  <c r="H127" i="42"/>
  <c r="G127" i="42"/>
  <c r="F127" i="42"/>
  <c r="E127" i="42"/>
  <c r="D127" i="42"/>
  <c r="C127" i="42"/>
  <c r="BP124" i="42"/>
  <c r="BO124" i="42"/>
  <c r="BN124" i="42"/>
  <c r="BM124" i="42"/>
  <c r="BL124" i="42"/>
  <c r="BK124" i="42"/>
  <c r="BJ124" i="42"/>
  <c r="BI124" i="42"/>
  <c r="BH124" i="42"/>
  <c r="BG124" i="42"/>
  <c r="BF124" i="42"/>
  <c r="BE124" i="42"/>
  <c r="BD124" i="42"/>
  <c r="BC124" i="42"/>
  <c r="BB124" i="42"/>
  <c r="BA124" i="42"/>
  <c r="AZ124" i="42"/>
  <c r="AY124" i="42"/>
  <c r="AX124" i="42"/>
  <c r="AW124" i="42"/>
  <c r="AV124" i="42"/>
  <c r="AU124" i="42"/>
  <c r="AT124" i="42"/>
  <c r="AS124" i="42"/>
  <c r="AR124" i="42"/>
  <c r="AQ124" i="42"/>
  <c r="AP124" i="42"/>
  <c r="AO124" i="42"/>
  <c r="AN124" i="42"/>
  <c r="AM124" i="42"/>
  <c r="AL124" i="42"/>
  <c r="AK124" i="42"/>
  <c r="AJ124" i="42"/>
  <c r="AI124" i="42"/>
  <c r="AH124" i="42"/>
  <c r="AG124" i="42"/>
  <c r="AF124" i="42"/>
  <c r="AE124" i="42"/>
  <c r="AD124" i="42"/>
  <c r="AC124" i="42"/>
  <c r="AB124" i="42"/>
  <c r="AA124" i="42"/>
  <c r="Z124" i="42"/>
  <c r="Y124" i="42"/>
  <c r="X124" i="42"/>
  <c r="W124" i="42"/>
  <c r="V124" i="42"/>
  <c r="U124" i="42"/>
  <c r="T124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D124" i="42"/>
  <c r="C124" i="42"/>
  <c r="B124" i="42"/>
  <c r="BP115" i="42"/>
  <c r="BO115" i="42"/>
  <c r="BN115" i="42"/>
  <c r="BM115" i="42"/>
  <c r="BL115" i="42"/>
  <c r="BK115" i="42"/>
  <c r="BJ115" i="42"/>
  <c r="BI115" i="42"/>
  <c r="BH115" i="42"/>
  <c r="BG115" i="42"/>
  <c r="BF115" i="42"/>
  <c r="BE115" i="42"/>
  <c r="BD115" i="42"/>
  <c r="BC115" i="42"/>
  <c r="BB115" i="42"/>
  <c r="BA115" i="42"/>
  <c r="AZ115" i="42"/>
  <c r="AY115" i="42"/>
  <c r="AX115" i="42"/>
  <c r="AW115" i="42"/>
  <c r="AV115" i="42"/>
  <c r="AU115" i="42"/>
  <c r="AT115" i="42"/>
  <c r="AS115" i="42"/>
  <c r="AR115" i="42"/>
  <c r="AQ115" i="42"/>
  <c r="AP115" i="42"/>
  <c r="AO115" i="42"/>
  <c r="AN115" i="42"/>
  <c r="AM115" i="42"/>
  <c r="AL115" i="42"/>
  <c r="AK115" i="42"/>
  <c r="AJ115" i="42"/>
  <c r="AI115" i="42"/>
  <c r="AH115" i="42"/>
  <c r="AG115" i="42"/>
  <c r="AF115" i="42"/>
  <c r="AE115" i="42"/>
  <c r="AD115" i="42"/>
  <c r="AC115" i="42"/>
  <c r="AB115" i="42"/>
  <c r="AA115" i="42"/>
  <c r="Z115" i="42"/>
  <c r="Y115" i="42"/>
  <c r="X115" i="42"/>
  <c r="W115" i="42"/>
  <c r="V115" i="42"/>
  <c r="U115" i="42"/>
  <c r="T115" i="42"/>
  <c r="S115" i="42"/>
  <c r="R115" i="42"/>
  <c r="Q115" i="42"/>
  <c r="P115" i="42"/>
  <c r="O115" i="42"/>
  <c r="N115" i="42"/>
  <c r="M115" i="42"/>
  <c r="L115" i="42"/>
  <c r="K115" i="42"/>
  <c r="J115" i="42"/>
  <c r="I115" i="42"/>
  <c r="H115" i="42"/>
  <c r="G115" i="42"/>
  <c r="F115" i="42"/>
  <c r="E115" i="42"/>
  <c r="D115" i="42"/>
  <c r="C115" i="42"/>
  <c r="B114" i="42"/>
  <c r="B113" i="42"/>
  <c r="BP110" i="42"/>
  <c r="BO110" i="42"/>
  <c r="BN110" i="42"/>
  <c r="BM110" i="42"/>
  <c r="BL110" i="42"/>
  <c r="BK110" i="42"/>
  <c r="BJ110" i="42"/>
  <c r="BI110" i="42"/>
  <c r="BH110" i="42"/>
  <c r="BG110" i="42"/>
  <c r="BF110" i="42"/>
  <c r="BE110" i="42"/>
  <c r="BD110" i="42"/>
  <c r="BC110" i="42"/>
  <c r="BB110" i="42"/>
  <c r="BA110" i="42"/>
  <c r="AZ110" i="42"/>
  <c r="AY110" i="42"/>
  <c r="AX110" i="42"/>
  <c r="AW110" i="42"/>
  <c r="AV110" i="42"/>
  <c r="AU110" i="42"/>
  <c r="AT110" i="42"/>
  <c r="AS110" i="42"/>
  <c r="AR110" i="42"/>
  <c r="AQ110" i="42"/>
  <c r="AP110" i="42"/>
  <c r="AO110" i="42"/>
  <c r="AN110" i="42"/>
  <c r="AM110" i="42"/>
  <c r="AL110" i="42"/>
  <c r="AK110" i="42"/>
  <c r="AJ110" i="42"/>
  <c r="AI110" i="42"/>
  <c r="AH110" i="42"/>
  <c r="AG110" i="42"/>
  <c r="AF110" i="42"/>
  <c r="AE110" i="42"/>
  <c r="AD110" i="42"/>
  <c r="AC110" i="42"/>
  <c r="AB110" i="42"/>
  <c r="AA110" i="42"/>
  <c r="Z110" i="42"/>
  <c r="Y110" i="42"/>
  <c r="X110" i="42"/>
  <c r="W110" i="42"/>
  <c r="V110" i="42"/>
  <c r="U110" i="42"/>
  <c r="T110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D110" i="42"/>
  <c r="C110" i="42"/>
  <c r="B109" i="42"/>
  <c r="B108" i="42"/>
  <c r="B107" i="42"/>
  <c r="B106" i="42"/>
  <c r="B105" i="42"/>
  <c r="B104" i="42"/>
  <c r="B103" i="42"/>
  <c r="B102" i="42"/>
  <c r="BP99" i="42"/>
  <c r="BO99" i="42"/>
  <c r="BN99" i="42"/>
  <c r="BM99" i="42"/>
  <c r="BL99" i="42"/>
  <c r="BK99" i="42"/>
  <c r="BJ99" i="42"/>
  <c r="BI99" i="42"/>
  <c r="BH99" i="42"/>
  <c r="BG99" i="42"/>
  <c r="BF99" i="42"/>
  <c r="BE99" i="42"/>
  <c r="BD99" i="42"/>
  <c r="BC99" i="42"/>
  <c r="BB99" i="42"/>
  <c r="BA99" i="42"/>
  <c r="AZ99" i="42"/>
  <c r="AY99" i="42"/>
  <c r="AX99" i="42"/>
  <c r="AW99" i="42"/>
  <c r="AV99" i="42"/>
  <c r="AU99" i="42"/>
  <c r="AT99" i="42"/>
  <c r="AS99" i="42"/>
  <c r="AR99" i="42"/>
  <c r="AQ99" i="42"/>
  <c r="AP99" i="42"/>
  <c r="AO99" i="42"/>
  <c r="AN99" i="42"/>
  <c r="AM99" i="42"/>
  <c r="AL99" i="42"/>
  <c r="AK99" i="42"/>
  <c r="AJ99" i="42"/>
  <c r="AI99" i="42"/>
  <c r="AH99" i="42"/>
  <c r="AG99" i="42"/>
  <c r="AF99" i="42"/>
  <c r="AE99" i="42"/>
  <c r="AD99" i="42"/>
  <c r="AC99" i="42"/>
  <c r="AB99" i="42"/>
  <c r="AA99" i="42"/>
  <c r="Z99" i="42"/>
  <c r="Y99" i="42"/>
  <c r="X99" i="42"/>
  <c r="W99" i="42"/>
  <c r="V99" i="42"/>
  <c r="U99" i="42"/>
  <c r="T99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D99" i="42"/>
  <c r="C99" i="42"/>
  <c r="B98" i="42"/>
  <c r="B97" i="42"/>
  <c r="B96" i="42"/>
  <c r="B95" i="42"/>
  <c r="B94" i="42"/>
  <c r="B93" i="42"/>
  <c r="B92" i="42"/>
  <c r="B91" i="42"/>
  <c r="B90" i="42"/>
  <c r="B89" i="42"/>
  <c r="B88" i="42"/>
  <c r="B87" i="42"/>
  <c r="B86" i="42"/>
  <c r="BP83" i="42"/>
  <c r="BO83" i="42"/>
  <c r="BN83" i="42"/>
  <c r="BM83" i="42"/>
  <c r="BL83" i="42"/>
  <c r="BK83" i="42"/>
  <c r="BJ83" i="42"/>
  <c r="BI83" i="42"/>
  <c r="BH83" i="42"/>
  <c r="BG83" i="42"/>
  <c r="BF83" i="42"/>
  <c r="BE83" i="42"/>
  <c r="BD83" i="42"/>
  <c r="BC83" i="42"/>
  <c r="BB83" i="42"/>
  <c r="BA83" i="42"/>
  <c r="AZ83" i="42"/>
  <c r="AY83" i="42"/>
  <c r="AX83" i="42"/>
  <c r="AW83" i="42"/>
  <c r="AV83" i="42"/>
  <c r="AU83" i="42"/>
  <c r="AT83" i="42"/>
  <c r="AS83" i="42"/>
  <c r="AR83" i="42"/>
  <c r="AQ83" i="42"/>
  <c r="AP83" i="42"/>
  <c r="AO83" i="42"/>
  <c r="AN83" i="42"/>
  <c r="AM83" i="42"/>
  <c r="AL83" i="42"/>
  <c r="AK83" i="42"/>
  <c r="AJ83" i="42"/>
  <c r="AI83" i="42"/>
  <c r="AH83" i="42"/>
  <c r="AG83" i="42"/>
  <c r="AF83" i="42"/>
  <c r="AE83" i="42"/>
  <c r="AD83" i="42"/>
  <c r="AC83" i="42"/>
  <c r="AB83" i="42"/>
  <c r="AA83" i="42"/>
  <c r="Z83" i="42"/>
  <c r="Y83" i="42"/>
  <c r="X83" i="42"/>
  <c r="W83" i="42"/>
  <c r="V83" i="42"/>
  <c r="U83" i="42"/>
  <c r="T83" i="42"/>
  <c r="S83" i="42"/>
  <c r="R83" i="42"/>
  <c r="Q83" i="42"/>
  <c r="P83" i="42"/>
  <c r="O83" i="42"/>
  <c r="N83" i="42"/>
  <c r="M83" i="42"/>
  <c r="L83" i="42"/>
  <c r="K83" i="42"/>
  <c r="J83" i="42"/>
  <c r="I83" i="42"/>
  <c r="H83" i="42"/>
  <c r="G83" i="42"/>
  <c r="F83" i="42"/>
  <c r="E83" i="42"/>
  <c r="D83" i="42"/>
  <c r="C83" i="42"/>
  <c r="B82" i="42"/>
  <c r="B81" i="42"/>
  <c r="B80" i="42"/>
  <c r="B79" i="42"/>
  <c r="B78" i="42"/>
  <c r="B77" i="42"/>
  <c r="B76" i="42"/>
  <c r="B75" i="42"/>
  <c r="B74" i="42"/>
  <c r="BP71" i="42"/>
  <c r="BO71" i="42"/>
  <c r="BN71" i="42"/>
  <c r="BM71" i="42"/>
  <c r="BL71" i="42"/>
  <c r="BK71" i="42"/>
  <c r="BJ71" i="42"/>
  <c r="BI71" i="42"/>
  <c r="BH71" i="42"/>
  <c r="BG71" i="42"/>
  <c r="BF71" i="42"/>
  <c r="BE71" i="42"/>
  <c r="BD71" i="42"/>
  <c r="BC71" i="42"/>
  <c r="BB71" i="42"/>
  <c r="BA71" i="42"/>
  <c r="AZ71" i="42"/>
  <c r="AY71" i="42"/>
  <c r="AX71" i="42"/>
  <c r="AW71" i="42"/>
  <c r="AV71" i="42"/>
  <c r="AU71" i="42"/>
  <c r="AT71" i="42"/>
  <c r="AS71" i="42"/>
  <c r="AR71" i="42"/>
  <c r="AQ71" i="42"/>
  <c r="AP71" i="42"/>
  <c r="AO71" i="42"/>
  <c r="AN71" i="42"/>
  <c r="AM71" i="42"/>
  <c r="AL71" i="42"/>
  <c r="AK71" i="42"/>
  <c r="AJ71" i="42"/>
  <c r="AI71" i="42"/>
  <c r="AH71" i="42"/>
  <c r="AG71" i="42"/>
  <c r="AF71" i="42"/>
  <c r="AE71" i="42"/>
  <c r="AD71" i="42"/>
  <c r="AC71" i="42"/>
  <c r="AB71" i="42"/>
  <c r="AA71" i="42"/>
  <c r="Z71" i="42"/>
  <c r="Y71" i="42"/>
  <c r="X71" i="42"/>
  <c r="W71" i="42"/>
  <c r="V71" i="42"/>
  <c r="U71" i="42"/>
  <c r="T71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C71" i="42"/>
  <c r="B70" i="42"/>
  <c r="B69" i="42"/>
  <c r="B68" i="42"/>
  <c r="B67" i="42"/>
  <c r="BP64" i="42"/>
  <c r="BO64" i="42"/>
  <c r="BN64" i="42"/>
  <c r="BM64" i="42"/>
  <c r="BL64" i="42"/>
  <c r="BK64" i="42"/>
  <c r="BJ64" i="42"/>
  <c r="BI64" i="42"/>
  <c r="BH64" i="42"/>
  <c r="BG64" i="42"/>
  <c r="BF64" i="42"/>
  <c r="BE64" i="42"/>
  <c r="BD64" i="42"/>
  <c r="BC64" i="42"/>
  <c r="BB64" i="42"/>
  <c r="BA64" i="42"/>
  <c r="AZ64" i="42"/>
  <c r="AY64" i="42"/>
  <c r="AX64" i="42"/>
  <c r="AW64" i="42"/>
  <c r="AV64" i="42"/>
  <c r="AU64" i="42"/>
  <c r="AT64" i="42"/>
  <c r="AS64" i="42"/>
  <c r="AR64" i="42"/>
  <c r="AQ64" i="42"/>
  <c r="AP64" i="42"/>
  <c r="AO64" i="42"/>
  <c r="AN64" i="42"/>
  <c r="AM64" i="42"/>
  <c r="AL64" i="42"/>
  <c r="AK64" i="42"/>
  <c r="AJ64" i="42"/>
  <c r="AI64" i="42"/>
  <c r="AH64" i="42"/>
  <c r="AG64" i="42"/>
  <c r="AF64" i="42"/>
  <c r="AE64" i="42"/>
  <c r="AD64" i="42"/>
  <c r="AC64" i="42"/>
  <c r="AB64" i="42"/>
  <c r="AA64" i="42"/>
  <c r="Z64" i="42"/>
  <c r="Y64" i="42"/>
  <c r="X64" i="42"/>
  <c r="W64" i="42"/>
  <c r="V64" i="42"/>
  <c r="U64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B63" i="42"/>
  <c r="B62" i="42"/>
  <c r="B61" i="42"/>
  <c r="BP58" i="42"/>
  <c r="BO58" i="42"/>
  <c r="BN58" i="42"/>
  <c r="BM58" i="42"/>
  <c r="BL58" i="42"/>
  <c r="BK58" i="42"/>
  <c r="BJ58" i="42"/>
  <c r="BI58" i="42"/>
  <c r="BH58" i="42"/>
  <c r="BG58" i="42"/>
  <c r="BF58" i="42"/>
  <c r="BE58" i="42"/>
  <c r="BD58" i="42"/>
  <c r="BC58" i="42"/>
  <c r="BB58" i="42"/>
  <c r="BA58" i="42"/>
  <c r="AZ58" i="42"/>
  <c r="AY58" i="42"/>
  <c r="AX58" i="42"/>
  <c r="AW58" i="42"/>
  <c r="AV58" i="42"/>
  <c r="AU58" i="42"/>
  <c r="AT58" i="42"/>
  <c r="AS58" i="42"/>
  <c r="AR58" i="42"/>
  <c r="AQ58" i="42"/>
  <c r="AP58" i="42"/>
  <c r="AO58" i="42"/>
  <c r="AN58" i="42"/>
  <c r="AM58" i="42"/>
  <c r="AL58" i="42"/>
  <c r="AK58" i="42"/>
  <c r="AJ58" i="42"/>
  <c r="AI58" i="42"/>
  <c r="AH58" i="42"/>
  <c r="AG58" i="42"/>
  <c r="AF58" i="42"/>
  <c r="AE58" i="42"/>
  <c r="AD58" i="42"/>
  <c r="AC58" i="42"/>
  <c r="AB58" i="42"/>
  <c r="AA58" i="42"/>
  <c r="Z58" i="42"/>
  <c r="Y58" i="42"/>
  <c r="X58" i="42"/>
  <c r="W58" i="42"/>
  <c r="V58" i="42"/>
  <c r="U58" i="42"/>
  <c r="T58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C58" i="42"/>
  <c r="B57" i="42"/>
  <c r="B56" i="42"/>
  <c r="B55" i="42"/>
  <c r="B54" i="42"/>
  <c r="B53" i="42"/>
  <c r="BP50" i="42"/>
  <c r="BO50" i="42"/>
  <c r="BN50" i="42"/>
  <c r="BM50" i="42"/>
  <c r="BL50" i="42"/>
  <c r="BK50" i="42"/>
  <c r="BJ50" i="42"/>
  <c r="BI50" i="42"/>
  <c r="BH50" i="42"/>
  <c r="BG50" i="42"/>
  <c r="BF50" i="42"/>
  <c r="BE50" i="42"/>
  <c r="BD50" i="42"/>
  <c r="BC50" i="42"/>
  <c r="BB50" i="42"/>
  <c r="BA50" i="42"/>
  <c r="AZ50" i="42"/>
  <c r="AY50" i="42"/>
  <c r="AX50" i="42"/>
  <c r="AW50" i="42"/>
  <c r="AV50" i="42"/>
  <c r="AU50" i="42"/>
  <c r="AT50" i="42"/>
  <c r="AS50" i="42"/>
  <c r="AR50" i="42"/>
  <c r="AQ50" i="42"/>
  <c r="AP50" i="42"/>
  <c r="AO50" i="42"/>
  <c r="AN50" i="42"/>
  <c r="AM50" i="42"/>
  <c r="AL50" i="42"/>
  <c r="AK50" i="42"/>
  <c r="AJ50" i="42"/>
  <c r="AI50" i="42"/>
  <c r="AH50" i="42"/>
  <c r="AG50" i="42"/>
  <c r="AF50" i="42"/>
  <c r="AE50" i="42"/>
  <c r="AD50" i="42"/>
  <c r="AC50" i="42"/>
  <c r="AB50" i="42"/>
  <c r="AA50" i="42"/>
  <c r="Z50" i="42"/>
  <c r="Y50" i="42"/>
  <c r="X50" i="42"/>
  <c r="W50" i="42"/>
  <c r="V50" i="42"/>
  <c r="U50" i="42"/>
  <c r="T50" i="42"/>
  <c r="S50" i="42"/>
  <c r="R50" i="42"/>
  <c r="Q50" i="42"/>
  <c r="P50" i="42"/>
  <c r="O50" i="42"/>
  <c r="N50" i="42"/>
  <c r="M50" i="42"/>
  <c r="L50" i="42"/>
  <c r="K50" i="42"/>
  <c r="J50" i="42"/>
  <c r="I50" i="42"/>
  <c r="H50" i="42"/>
  <c r="G50" i="42"/>
  <c r="F50" i="42"/>
  <c r="E50" i="42"/>
  <c r="D50" i="42"/>
  <c r="C50" i="42"/>
  <c r="B49" i="42"/>
  <c r="B48" i="42"/>
  <c r="B47" i="42"/>
  <c r="B46" i="42"/>
  <c r="B45" i="42"/>
  <c r="B44" i="42"/>
  <c r="B43" i="42"/>
  <c r="B42" i="42"/>
  <c r="B41" i="42"/>
  <c r="BP38" i="42"/>
  <c r="BO38" i="42"/>
  <c r="BN38" i="42"/>
  <c r="BM38" i="42"/>
  <c r="BL38" i="42"/>
  <c r="BK38" i="42"/>
  <c r="BJ38" i="42"/>
  <c r="BI38" i="42"/>
  <c r="BH38" i="42"/>
  <c r="BG38" i="42"/>
  <c r="BF38" i="42"/>
  <c r="BE38" i="42"/>
  <c r="BD38" i="42"/>
  <c r="BC38" i="42"/>
  <c r="BB38" i="42"/>
  <c r="BA38" i="42"/>
  <c r="AZ38" i="42"/>
  <c r="AY38" i="42"/>
  <c r="AX38" i="42"/>
  <c r="AW38" i="42"/>
  <c r="AV38" i="42"/>
  <c r="AU38" i="42"/>
  <c r="AT38" i="42"/>
  <c r="AS38" i="42"/>
  <c r="AR38" i="42"/>
  <c r="AQ38" i="42"/>
  <c r="AP38" i="42"/>
  <c r="AO38" i="42"/>
  <c r="AN38" i="42"/>
  <c r="AM38" i="42"/>
  <c r="AL38" i="42"/>
  <c r="AK38" i="42"/>
  <c r="AJ38" i="42"/>
  <c r="AI38" i="42"/>
  <c r="AH38" i="42"/>
  <c r="AG38" i="42"/>
  <c r="AF38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D38" i="42"/>
  <c r="C38" i="42"/>
  <c r="B37" i="42"/>
  <c r="B36" i="42"/>
  <c r="B35" i="42"/>
  <c r="B34" i="42"/>
  <c r="B33" i="42"/>
  <c r="B32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C29" i="42"/>
  <c r="B28" i="42"/>
  <c r="B27" i="42"/>
  <c r="B26" i="42"/>
  <c r="B25" i="42"/>
  <c r="B24" i="42"/>
  <c r="B23" i="42"/>
  <c r="B22" i="42"/>
  <c r="BP19" i="42"/>
  <c r="BO19" i="42"/>
  <c r="BN19" i="42"/>
  <c r="BM19" i="42"/>
  <c r="BL19" i="42"/>
  <c r="BK19" i="42"/>
  <c r="BJ19" i="42"/>
  <c r="BI19" i="42"/>
  <c r="BH19" i="42"/>
  <c r="BG19" i="42"/>
  <c r="BF19" i="42"/>
  <c r="BE19" i="42"/>
  <c r="BD19" i="42"/>
  <c r="BC19" i="42"/>
  <c r="BB19" i="42"/>
  <c r="BA19" i="42"/>
  <c r="AZ19" i="42"/>
  <c r="AY19" i="42"/>
  <c r="AX19" i="42"/>
  <c r="AW19" i="42"/>
  <c r="AV19" i="42"/>
  <c r="AU19" i="42"/>
  <c r="AT19" i="42"/>
  <c r="AS19" i="42"/>
  <c r="AR19" i="42"/>
  <c r="AQ19" i="42"/>
  <c r="AP19" i="42"/>
  <c r="AO19" i="42"/>
  <c r="AN19" i="42"/>
  <c r="AM19" i="42"/>
  <c r="AL19" i="42"/>
  <c r="AK19" i="42"/>
  <c r="AJ19" i="42"/>
  <c r="AI19" i="42"/>
  <c r="AH19" i="42"/>
  <c r="AG19" i="42"/>
  <c r="AF19" i="42"/>
  <c r="AE19" i="42"/>
  <c r="AD19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B6" i="42"/>
  <c r="H27" i="37"/>
  <c r="H48" i="37"/>
  <c r="I56" i="37"/>
  <c r="C7" i="34" s="1"/>
  <c r="D53" i="37"/>
  <c r="E52" i="37"/>
  <c r="J52" i="37" s="1"/>
  <c r="K52" i="37" s="1"/>
  <c r="E51" i="37"/>
  <c r="H51" i="37" s="1"/>
  <c r="K51" i="37" s="1"/>
  <c r="L51" i="37" s="1"/>
  <c r="E50" i="37"/>
  <c r="H50" i="37" s="1"/>
  <c r="E49" i="37"/>
  <c r="E48" i="37"/>
  <c r="D45" i="37"/>
  <c r="E44" i="37"/>
  <c r="J44" i="37" s="1"/>
  <c r="E43" i="37"/>
  <c r="D41" i="37"/>
  <c r="E40" i="37"/>
  <c r="J40" i="37" s="1"/>
  <c r="E39" i="37"/>
  <c r="E38" i="37"/>
  <c r="H38" i="37" s="1"/>
  <c r="D36" i="37"/>
  <c r="E35" i="37"/>
  <c r="J35" i="37" s="1"/>
  <c r="E34" i="37"/>
  <c r="H34" i="37" s="1"/>
  <c r="E33" i="37"/>
  <c r="H33" i="37" s="1"/>
  <c r="E32" i="37"/>
  <c r="E31" i="37"/>
  <c r="D29" i="37"/>
  <c r="E28" i="37"/>
  <c r="E27" i="37"/>
  <c r="E26" i="37"/>
  <c r="E29" i="37" s="1"/>
  <c r="E23" i="37"/>
  <c r="J23" i="37" s="1"/>
  <c r="E22" i="37"/>
  <c r="H22" i="37" s="1"/>
  <c r="D21" i="37"/>
  <c r="E21" i="37" s="1"/>
  <c r="E20" i="37"/>
  <c r="H20" i="37" s="1"/>
  <c r="D18" i="37"/>
  <c r="E17" i="37"/>
  <c r="J17" i="37" s="1"/>
  <c r="E16" i="37"/>
  <c r="D14" i="37"/>
  <c r="E13" i="37"/>
  <c r="J13" i="37" s="1"/>
  <c r="E12" i="37"/>
  <c r="H12" i="37" s="1"/>
  <c r="E11" i="37"/>
  <c r="E10" i="37"/>
  <c r="E14" i="37" s="1"/>
  <c r="H123" i="44"/>
  <c r="L123" i="44" s="1"/>
  <c r="M123" i="44" s="1"/>
  <c r="H117" i="44"/>
  <c r="L117" i="44" s="1"/>
  <c r="M117" i="44" s="1"/>
  <c r="H113" i="44"/>
  <c r="L113" i="44" s="1"/>
  <c r="M113" i="44" s="1"/>
  <c r="H112" i="44"/>
  <c r="H108" i="44"/>
  <c r="L108" i="44" s="1"/>
  <c r="M108" i="44" s="1"/>
  <c r="H104" i="44"/>
  <c r="L104" i="44" s="1"/>
  <c r="M104" i="44" s="1"/>
  <c r="H96" i="44"/>
  <c r="L96" i="44" s="1"/>
  <c r="M96" i="44" s="1"/>
  <c r="K128" i="44"/>
  <c r="G128" i="44"/>
  <c r="C11" i="35" s="1"/>
  <c r="L112" i="44"/>
  <c r="M112" i="44" s="1"/>
  <c r="E95" i="44"/>
  <c r="E98" i="44" s="1"/>
  <c r="H91" i="44"/>
  <c r="L91" i="44" s="1"/>
  <c r="M91" i="44" s="1"/>
  <c r="H87" i="44"/>
  <c r="H83" i="44"/>
  <c r="H79" i="44"/>
  <c r="H75" i="44"/>
  <c r="I71" i="44"/>
  <c r="H67" i="44"/>
  <c r="J64" i="44"/>
  <c r="H63" i="44"/>
  <c r="H59" i="44"/>
  <c r="H50" i="44"/>
  <c r="H49" i="44"/>
  <c r="H45" i="44"/>
  <c r="H44" i="44"/>
  <c r="J41" i="44"/>
  <c r="H40" i="44"/>
  <c r="H39" i="44"/>
  <c r="H38" i="44"/>
  <c r="H34" i="44"/>
  <c r="H24" i="44"/>
  <c r="I20" i="44"/>
  <c r="I16" i="44"/>
  <c r="I128" i="44" s="1"/>
  <c r="H12" i="44"/>
  <c r="H11" i="44"/>
  <c r="E124" i="44"/>
  <c r="E125" i="44" s="1"/>
  <c r="D121" i="44"/>
  <c r="E120" i="44"/>
  <c r="J120" i="44" s="1"/>
  <c r="L120" i="44" s="1"/>
  <c r="M120" i="44" s="1"/>
  <c r="E119" i="44"/>
  <c r="H119" i="44" s="1"/>
  <c r="L119" i="44" s="1"/>
  <c r="M119" i="44" s="1"/>
  <c r="E118" i="44"/>
  <c r="H118" i="44" s="1"/>
  <c r="E117" i="44"/>
  <c r="D115" i="44"/>
  <c r="E114" i="44"/>
  <c r="E115" i="44" s="1"/>
  <c r="D110" i="44"/>
  <c r="E109" i="44"/>
  <c r="E110" i="44" s="1"/>
  <c r="D106" i="44"/>
  <c r="E105" i="44"/>
  <c r="J105" i="44" s="1"/>
  <c r="L105" i="44" s="1"/>
  <c r="M105" i="44" s="1"/>
  <c r="D102" i="44"/>
  <c r="E101" i="44"/>
  <c r="E100" i="44"/>
  <c r="H100" i="44" s="1"/>
  <c r="L100" i="44" s="1"/>
  <c r="M100" i="44" s="1"/>
  <c r="D98" i="44"/>
  <c r="E97" i="44"/>
  <c r="J97" i="44" s="1"/>
  <c r="L97" i="44" s="1"/>
  <c r="M97" i="44" s="1"/>
  <c r="D93" i="44"/>
  <c r="E92" i="44"/>
  <c r="E93" i="44" s="1"/>
  <c r="D89" i="44"/>
  <c r="E88" i="44"/>
  <c r="E89" i="44" s="1"/>
  <c r="D85" i="44"/>
  <c r="E84" i="44"/>
  <c r="E85" i="44" s="1"/>
  <c r="D81" i="44"/>
  <c r="E80" i="44"/>
  <c r="E81" i="44" s="1"/>
  <c r="D77" i="44"/>
  <c r="E76" i="44"/>
  <c r="J76" i="44" s="1"/>
  <c r="D73" i="44"/>
  <c r="E72" i="44"/>
  <c r="E73" i="44" s="1"/>
  <c r="D69" i="44"/>
  <c r="E68" i="44"/>
  <c r="E69" i="44" s="1"/>
  <c r="D65" i="44"/>
  <c r="E64" i="44"/>
  <c r="E65" i="44" s="1"/>
  <c r="D61" i="44"/>
  <c r="E60" i="44"/>
  <c r="E61" i="44" s="1"/>
  <c r="D57" i="44"/>
  <c r="E56" i="44"/>
  <c r="J56" i="44" s="1"/>
  <c r="E55" i="44"/>
  <c r="H55" i="44" s="1"/>
  <c r="E54" i="44"/>
  <c r="E57" i="44" s="1"/>
  <c r="D52" i="44"/>
  <c r="E51" i="44"/>
  <c r="J51" i="44" s="1"/>
  <c r="D47" i="44"/>
  <c r="E46" i="44"/>
  <c r="E47" i="44" s="1"/>
  <c r="D42" i="44"/>
  <c r="E41" i="44"/>
  <c r="E42" i="44" s="1"/>
  <c r="D36" i="44"/>
  <c r="E35" i="44"/>
  <c r="E36" i="44" s="1"/>
  <c r="D32" i="44"/>
  <c r="E31" i="44"/>
  <c r="J31" i="44" s="1"/>
  <c r="E30" i="44"/>
  <c r="H30" i="44" s="1"/>
  <c r="E29" i="44"/>
  <c r="D27" i="44"/>
  <c r="E26" i="44"/>
  <c r="J26" i="44" s="1"/>
  <c r="E25" i="44"/>
  <c r="H25" i="44" s="1"/>
  <c r="E24" i="44"/>
  <c r="D22" i="44"/>
  <c r="E21" i="44"/>
  <c r="E22" i="44" s="1"/>
  <c r="D18" i="44"/>
  <c r="E17" i="44"/>
  <c r="J17" i="44" s="1"/>
  <c r="D14" i="44"/>
  <c r="E13" i="44"/>
  <c r="J13" i="44" s="1"/>
  <c r="L13" i="44" s="1"/>
  <c r="M13" i="44" s="1"/>
  <c r="E24" i="37" l="1"/>
  <c r="E45" i="37"/>
  <c r="B115" i="42"/>
  <c r="U150" i="42"/>
  <c r="AS150" i="42"/>
  <c r="B148" i="42"/>
  <c r="J68" i="44"/>
  <c r="E52" i="44"/>
  <c r="B64" i="42"/>
  <c r="V150" i="42"/>
  <c r="AT150" i="42"/>
  <c r="B128" i="42"/>
  <c r="C34" i="43"/>
  <c r="AU150" i="42"/>
  <c r="W150" i="42"/>
  <c r="B141" i="42"/>
  <c r="B145" i="42"/>
  <c r="E102" i="44"/>
  <c r="B137" i="42"/>
  <c r="J60" i="44"/>
  <c r="E14" i="44"/>
  <c r="H95" i="44"/>
  <c r="L95" i="44" s="1"/>
  <c r="M95" i="44" s="1"/>
  <c r="I150" i="42"/>
  <c r="AG150" i="42"/>
  <c r="BE150" i="42"/>
  <c r="B130" i="42"/>
  <c r="B146" i="42"/>
  <c r="B71" i="42"/>
  <c r="B110" i="42"/>
  <c r="J150" i="42"/>
  <c r="AH150" i="42"/>
  <c r="BF150" i="42"/>
  <c r="C7" i="35"/>
  <c r="C7" i="41"/>
  <c r="B19" i="42"/>
  <c r="B58" i="42"/>
  <c r="G150" i="42"/>
  <c r="S150" i="42"/>
  <c r="AE150" i="42"/>
  <c r="AQ150" i="42"/>
  <c r="BC150" i="42"/>
  <c r="BO150" i="42"/>
  <c r="B138" i="42"/>
  <c r="B140" i="42"/>
  <c r="E106" i="44"/>
  <c r="J114" i="44"/>
  <c r="L114" i="44" s="1"/>
  <c r="M114" i="44" s="1"/>
  <c r="L52" i="37"/>
  <c r="B155" i="42"/>
  <c r="H150" i="42"/>
  <c r="T150" i="42"/>
  <c r="AF150" i="42"/>
  <c r="AR150" i="42"/>
  <c r="BD150" i="42"/>
  <c r="BP150" i="42"/>
  <c r="B136" i="42"/>
  <c r="B142" i="42"/>
  <c r="B144" i="42"/>
  <c r="B132" i="42"/>
  <c r="J35" i="44"/>
  <c r="E18" i="44"/>
  <c r="E77" i="44"/>
  <c r="E18" i="37"/>
  <c r="E56" i="37" s="1"/>
  <c r="E36" i="37"/>
  <c r="H43" i="37"/>
  <c r="B83" i="42"/>
  <c r="L150" i="42"/>
  <c r="X150" i="42"/>
  <c r="AJ150" i="42"/>
  <c r="AV150" i="42"/>
  <c r="BH150" i="42"/>
  <c r="E53" i="37"/>
  <c r="M150" i="42"/>
  <c r="Y150" i="42"/>
  <c r="AK150" i="42"/>
  <c r="AW150" i="42"/>
  <c r="BI150" i="42"/>
  <c r="B135" i="42"/>
  <c r="E121" i="44"/>
  <c r="H54" i="44"/>
  <c r="J101" i="44"/>
  <c r="L101" i="44" s="1"/>
  <c r="M101" i="44" s="1"/>
  <c r="E27" i="44"/>
  <c r="J21" i="44"/>
  <c r="J80" i="44"/>
  <c r="J92" i="44"/>
  <c r="L92" i="44" s="1"/>
  <c r="M92" i="44" s="1"/>
  <c r="J124" i="44"/>
  <c r="L124" i="44" s="1"/>
  <c r="M124" i="44" s="1"/>
  <c r="N150" i="42"/>
  <c r="Z150" i="42"/>
  <c r="AL150" i="42"/>
  <c r="AX150" i="42"/>
  <c r="BJ150" i="42"/>
  <c r="B139" i="42"/>
  <c r="L118" i="44"/>
  <c r="M118" i="44" s="1"/>
  <c r="H49" i="37"/>
  <c r="B29" i="42"/>
  <c r="B99" i="42"/>
  <c r="B127" i="42"/>
  <c r="B156" i="42" s="1"/>
  <c r="O150" i="42"/>
  <c r="AA150" i="42"/>
  <c r="AM150" i="42"/>
  <c r="AY150" i="42"/>
  <c r="BK150" i="42"/>
  <c r="B143" i="42"/>
  <c r="H21" i="37"/>
  <c r="B50" i="42"/>
  <c r="D150" i="42"/>
  <c r="P150" i="42"/>
  <c r="AB150" i="42"/>
  <c r="AN150" i="42"/>
  <c r="AZ150" i="42"/>
  <c r="BL150" i="42"/>
  <c r="B131" i="42"/>
  <c r="B150" i="42" s="1"/>
  <c r="B147" i="42"/>
  <c r="J84" i="44"/>
  <c r="D128" i="44"/>
  <c r="J109" i="44"/>
  <c r="L109" i="44" s="1"/>
  <c r="M109" i="44" s="1"/>
  <c r="J72" i="44"/>
  <c r="E41" i="37"/>
  <c r="B38" i="42"/>
  <c r="E150" i="42"/>
  <c r="Q150" i="42"/>
  <c r="AC150" i="42"/>
  <c r="AO150" i="42"/>
  <c r="BA150" i="42"/>
  <c r="BM150" i="42"/>
  <c r="B129" i="42"/>
  <c r="E32" i="44"/>
  <c r="H29" i="44"/>
  <c r="H128" i="44" s="1"/>
  <c r="J46" i="44"/>
  <c r="J88" i="44"/>
  <c r="H10" i="37"/>
  <c r="K10" i="37" s="1"/>
  <c r="L10" i="37" s="1"/>
  <c r="H32" i="37"/>
  <c r="F150" i="42"/>
  <c r="R150" i="42"/>
  <c r="AD150" i="42"/>
  <c r="AP150" i="42"/>
  <c r="BB150" i="42"/>
  <c r="BN150" i="42"/>
  <c r="B133" i="42"/>
  <c r="C11" i="41"/>
  <c r="E34" i="43"/>
  <c r="C150" i="42"/>
  <c r="D24" i="37"/>
  <c r="D56" i="37" s="1"/>
  <c r="E128" i="44" l="1"/>
  <c r="B153" i="42"/>
  <c r="B157" i="42" s="1"/>
  <c r="B158" i="42" s="1"/>
  <c r="J128" i="44"/>
  <c r="B154" i="42"/>
  <c r="C6" i="35"/>
  <c r="C6" i="41"/>
  <c r="C8" i="35"/>
  <c r="C8" i="41"/>
  <c r="C29" i="26"/>
  <c r="C30" i="5" l="1"/>
  <c r="D26" i="5" s="1"/>
  <c r="F30" i="5"/>
  <c r="D29" i="5" l="1"/>
  <c r="D28" i="5"/>
  <c r="D27" i="5"/>
  <c r="D30" i="5"/>
  <c r="C20" i="26" l="1"/>
  <c r="L88" i="44" l="1"/>
  <c r="M88" i="44" s="1"/>
  <c r="L87" i="44"/>
  <c r="M87" i="44" s="1"/>
  <c r="L84" i="44"/>
  <c r="M84" i="44" s="1"/>
  <c r="L83" i="44"/>
  <c r="M83" i="44" s="1"/>
  <c r="L80" i="44"/>
  <c r="M80" i="44" s="1"/>
  <c r="L79" i="44"/>
  <c r="M79" i="44"/>
  <c r="L76" i="44"/>
  <c r="M76" i="44" s="1"/>
  <c r="L75" i="44"/>
  <c r="M75" i="44" s="1"/>
  <c r="L72" i="44"/>
  <c r="M72" i="44" s="1"/>
  <c r="L68" i="44"/>
  <c r="M68" i="44" s="1"/>
  <c r="L67" i="44"/>
  <c r="M67" i="44" s="1"/>
  <c r="L64" i="44"/>
  <c r="M64" i="44" s="1"/>
  <c r="L63" i="44"/>
  <c r="M63" i="44" s="1"/>
  <c r="L60" i="44"/>
  <c r="M60" i="44" s="1"/>
  <c r="L59" i="44"/>
  <c r="M59" i="44" s="1"/>
  <c r="L56" i="44"/>
  <c r="M56" i="44" s="1"/>
  <c r="L55" i="44"/>
  <c r="L54" i="44"/>
  <c r="M54" i="44" s="1"/>
  <c r="L51" i="44"/>
  <c r="M51" i="44" s="1"/>
  <c r="L50" i="44"/>
  <c r="M50" i="44" s="1"/>
  <c r="L49" i="44"/>
  <c r="M49" i="44" s="1"/>
  <c r="L46" i="44"/>
  <c r="M46" i="44" s="1"/>
  <c r="L45" i="44"/>
  <c r="M45" i="44" s="1"/>
  <c r="L44" i="44"/>
  <c r="M44" i="44" s="1"/>
  <c r="L41" i="44"/>
  <c r="M41" i="44" s="1"/>
  <c r="L40" i="44"/>
  <c r="M40" i="44" s="1"/>
  <c r="L39" i="44"/>
  <c r="M39" i="44" s="1"/>
  <c r="L38" i="44"/>
  <c r="M38" i="44" s="1"/>
  <c r="L35" i="44"/>
  <c r="M35" i="44" s="1"/>
  <c r="L34" i="44"/>
  <c r="M34" i="44" s="1"/>
  <c r="L31" i="44"/>
  <c r="M31" i="44" s="1"/>
  <c r="L30" i="44"/>
  <c r="M30" i="44" s="1"/>
  <c r="L29" i="44"/>
  <c r="L25" i="44"/>
  <c r="M25" i="44" s="1"/>
  <c r="L24" i="44"/>
  <c r="M24" i="44" s="1"/>
  <c r="L21" i="44"/>
  <c r="M21" i="44" s="1"/>
  <c r="L20" i="44"/>
  <c r="M20" i="44" s="1"/>
  <c r="L16" i="44"/>
  <c r="M16" i="44" s="1"/>
  <c r="L12" i="44"/>
  <c r="M12" i="44" s="1"/>
  <c r="L11" i="44"/>
  <c r="M11" i="44" s="1"/>
  <c r="M29" i="44" l="1"/>
  <c r="C24" i="41"/>
  <c r="L17" i="44"/>
  <c r="M17" i="44" s="1"/>
  <c r="L8" i="44"/>
  <c r="L26" i="44"/>
  <c r="M26" i="44" s="1"/>
  <c r="L71" i="44"/>
  <c r="M71" i="44" s="1"/>
  <c r="L128" i="44" l="1"/>
  <c r="M128" i="44" s="1"/>
  <c r="G7" i="41"/>
  <c r="H7" i="41" s="1"/>
  <c r="J7" i="41" s="1"/>
  <c r="P6" i="35"/>
  <c r="C19" i="41" l="1"/>
  <c r="G6" i="41"/>
  <c r="H6" i="41" s="1"/>
  <c r="J6" i="41" s="1"/>
  <c r="D31" i="41" s="1"/>
  <c r="P6" i="41"/>
  <c r="E19" i="24"/>
  <c r="E18" i="24"/>
  <c r="L18" i="24" s="1"/>
  <c r="E17" i="24"/>
  <c r="I17" i="24" s="1"/>
  <c r="E16" i="24"/>
  <c r="J16" i="24" l="1"/>
  <c r="F16" i="24"/>
  <c r="E19" i="41"/>
  <c r="M19" i="41" s="1"/>
  <c r="N18" i="24"/>
  <c r="J17" i="24"/>
  <c r="M18" i="24"/>
  <c r="L17" i="24"/>
  <c r="G19" i="24"/>
  <c r="K17" i="24"/>
  <c r="M17" i="24"/>
  <c r="N17" i="24"/>
  <c r="G16" i="24"/>
  <c r="H19" i="24"/>
  <c r="L16" i="24"/>
  <c r="N16" i="24"/>
  <c r="H18" i="24"/>
  <c r="K19" i="24"/>
  <c r="I16" i="24"/>
  <c r="K16" i="24"/>
  <c r="G18" i="24"/>
  <c r="I18" i="24"/>
  <c r="L19" i="24"/>
  <c r="I19" i="24"/>
  <c r="F17" i="24"/>
  <c r="G17" i="24"/>
  <c r="J18" i="24"/>
  <c r="M19" i="24"/>
  <c r="M16" i="24"/>
  <c r="F18" i="24"/>
  <c r="H17" i="24"/>
  <c r="K18" i="24"/>
  <c r="N19" i="24"/>
  <c r="H16" i="24"/>
  <c r="J19" i="24"/>
  <c r="F19" i="24"/>
  <c r="F19" i="41" l="1"/>
  <c r="G19" i="41" l="1"/>
  <c r="N19" i="41" s="1"/>
  <c r="H19" i="41" l="1"/>
  <c r="K50" i="37" l="1"/>
  <c r="L50" i="37" s="1"/>
  <c r="K48" i="37"/>
  <c r="L48" i="37" s="1"/>
  <c r="K47" i="37"/>
  <c r="L47" i="37" s="1"/>
  <c r="K44" i="37"/>
  <c r="L44" i="37" s="1"/>
  <c r="K38" i="37"/>
  <c r="L38" i="37" s="1"/>
  <c r="K34" i="37"/>
  <c r="L34" i="37" s="1"/>
  <c r="K33" i="37"/>
  <c r="L33" i="37" s="1"/>
  <c r="K23" i="37"/>
  <c r="L23" i="37" s="1"/>
  <c r="K13" i="37"/>
  <c r="L13" i="37" s="1"/>
  <c r="K9" i="37"/>
  <c r="H39" i="37"/>
  <c r="K39" i="37" s="1"/>
  <c r="L39" i="37" s="1"/>
  <c r="K35" i="37"/>
  <c r="L35" i="37" s="1"/>
  <c r="H31" i="37"/>
  <c r="K31" i="37" s="1"/>
  <c r="L31" i="37" s="1"/>
  <c r="K27" i="37"/>
  <c r="L27" i="37" s="1"/>
  <c r="H26" i="37"/>
  <c r="K26" i="37" s="1"/>
  <c r="L26" i="37" s="1"/>
  <c r="K21" i="37"/>
  <c r="L21" i="37" s="1"/>
  <c r="K17" i="37"/>
  <c r="L17" i="37" s="1"/>
  <c r="H16" i="37"/>
  <c r="K16" i="37" s="1"/>
  <c r="L16" i="37" s="1"/>
  <c r="K40" i="37"/>
  <c r="L40" i="37" s="1"/>
  <c r="K20" i="37"/>
  <c r="L20" i="37" s="1"/>
  <c r="H11" i="37"/>
  <c r="K11" i="37" s="1"/>
  <c r="L11" i="37" s="1"/>
  <c r="G8" i="37"/>
  <c r="G56" i="37" s="1"/>
  <c r="C11" i="34" s="1"/>
  <c r="K8" i="37" l="1"/>
  <c r="L8" i="37" s="1"/>
  <c r="L9" i="37"/>
  <c r="C20" i="34"/>
  <c r="E20" i="34" s="1"/>
  <c r="H56" i="37" l="1"/>
  <c r="C6" i="34" s="1"/>
  <c r="G36" i="41"/>
  <c r="E36" i="41"/>
  <c r="G35" i="41"/>
  <c r="G34" i="41"/>
  <c r="G33" i="41"/>
  <c r="G32" i="41"/>
  <c r="L25" i="41"/>
  <c r="M24" i="41"/>
  <c r="G24" i="41"/>
  <c r="H24" i="41" s="1"/>
  <c r="C23" i="41"/>
  <c r="E23" i="41" s="1"/>
  <c r="F23" i="41" s="1"/>
  <c r="C22" i="41"/>
  <c r="K18" i="41"/>
  <c r="K19" i="41" s="1"/>
  <c r="O19" i="41" s="1"/>
  <c r="P19" i="41" s="1"/>
  <c r="R19" i="41" s="1"/>
  <c r="E31" i="41" s="1"/>
  <c r="F12" i="41"/>
  <c r="P11" i="41"/>
  <c r="P10" i="41"/>
  <c r="G10" i="41"/>
  <c r="H10" i="41" s="1"/>
  <c r="P9" i="41"/>
  <c r="G9" i="41"/>
  <c r="H9" i="41" s="1"/>
  <c r="N24" i="41" l="1"/>
  <c r="J9" i="41"/>
  <c r="D34" i="41" s="1"/>
  <c r="F9" i="35"/>
  <c r="J10" i="41"/>
  <c r="D35" i="41" s="1"/>
  <c r="F10" i="35"/>
  <c r="P24" i="41"/>
  <c r="L24" i="35" s="1"/>
  <c r="G23" i="41"/>
  <c r="N23" i="41" s="1"/>
  <c r="E22" i="41"/>
  <c r="M22" i="41" s="1"/>
  <c r="K22" i="41"/>
  <c r="M23" i="41"/>
  <c r="K23" i="41"/>
  <c r="K21" i="41"/>
  <c r="K20" i="41"/>
  <c r="F22" i="41" l="1"/>
  <c r="G22" i="41" s="1"/>
  <c r="N22" i="41" s="1"/>
  <c r="H23" i="41"/>
  <c r="O23" i="41" s="1"/>
  <c r="P23" i="41" s="1"/>
  <c r="R23" i="41" l="1"/>
  <c r="E35" i="41" s="1"/>
  <c r="F35" i="41" s="1"/>
  <c r="H35" i="41" s="1"/>
  <c r="L23" i="35"/>
  <c r="H22" i="41"/>
  <c r="O22" i="41" s="1"/>
  <c r="P22" i="41" s="1"/>
  <c r="R22" i="41" l="1"/>
  <c r="E34" i="41" s="1"/>
  <c r="F34" i="41" s="1"/>
  <c r="H34" i="41" s="1"/>
  <c r="L22" i="35"/>
  <c r="P8" i="41" l="1"/>
  <c r="C21" i="41"/>
  <c r="G8" i="41"/>
  <c r="H8" i="41" s="1"/>
  <c r="C20" i="35"/>
  <c r="E20" i="35" s="1"/>
  <c r="C20" i="41"/>
  <c r="P7" i="41"/>
  <c r="J8" i="41" l="1"/>
  <c r="D33" i="41" s="1"/>
  <c r="F8" i="35"/>
  <c r="D32" i="41"/>
  <c r="F7" i="35"/>
  <c r="E21" i="41"/>
  <c r="M21" i="41" s="1"/>
  <c r="F21" i="41" l="1"/>
  <c r="G21" i="41" s="1"/>
  <c r="N21" i="41" s="1"/>
  <c r="P12" i="41"/>
  <c r="C12" i="41"/>
  <c r="G11" i="41" l="1"/>
  <c r="H11" i="41" s="1"/>
  <c r="J11" i="41" s="1"/>
  <c r="D36" i="41" s="1"/>
  <c r="F36" i="41" s="1"/>
  <c r="H36" i="41" s="1"/>
  <c r="F11" i="35"/>
  <c r="H21" i="41"/>
  <c r="O21" i="41" s="1"/>
  <c r="P21" i="41" s="1"/>
  <c r="F6" i="35"/>
  <c r="C25" i="41"/>
  <c r="K22" i="37"/>
  <c r="L22" i="37" s="1"/>
  <c r="J28" i="37"/>
  <c r="K28" i="37" s="1"/>
  <c r="L28" i="37" s="1"/>
  <c r="K32" i="37"/>
  <c r="L32" i="37" s="1"/>
  <c r="K43" i="37"/>
  <c r="L43" i="37" s="1"/>
  <c r="G12" i="41" l="1"/>
  <c r="K12" i="37"/>
  <c r="J56" i="37"/>
  <c r="C8" i="34" s="1"/>
  <c r="R21" i="41"/>
  <c r="E33" i="41" s="1"/>
  <c r="F33" i="41" s="1"/>
  <c r="H33" i="41" s="1"/>
  <c r="L21" i="35"/>
  <c r="H12" i="41"/>
  <c r="G36" i="34"/>
  <c r="E36" i="34"/>
  <c r="G35" i="34"/>
  <c r="G34" i="34"/>
  <c r="G33" i="34"/>
  <c r="G32" i="34"/>
  <c r="L25" i="34"/>
  <c r="M24" i="34"/>
  <c r="G24" i="34"/>
  <c r="N24" i="34" s="1"/>
  <c r="P24" i="34" s="1"/>
  <c r="C24" i="34"/>
  <c r="C23" i="34"/>
  <c r="E23" i="34" s="1"/>
  <c r="M23" i="34" s="1"/>
  <c r="C22" i="34"/>
  <c r="M20" i="34"/>
  <c r="F20" i="34"/>
  <c r="C19" i="34"/>
  <c r="K18" i="34"/>
  <c r="K20" i="34" s="1"/>
  <c r="F12" i="34"/>
  <c r="P11" i="34"/>
  <c r="P10" i="34"/>
  <c r="G10" i="34"/>
  <c r="H10" i="34" s="1"/>
  <c r="J10" i="34" s="1"/>
  <c r="D35" i="34" s="1"/>
  <c r="P9" i="34"/>
  <c r="G9" i="34"/>
  <c r="H9" i="34" s="1"/>
  <c r="J9" i="34" s="1"/>
  <c r="D34" i="34" s="1"/>
  <c r="P7" i="34"/>
  <c r="G7" i="34"/>
  <c r="H7" i="34" s="1"/>
  <c r="J7" i="34" s="1"/>
  <c r="D32" i="34" s="1"/>
  <c r="P6" i="34"/>
  <c r="G6" i="34"/>
  <c r="G36" i="35"/>
  <c r="E36" i="35"/>
  <c r="G35" i="35"/>
  <c r="G34" i="35"/>
  <c r="G33" i="35"/>
  <c r="G32" i="35"/>
  <c r="M24" i="35"/>
  <c r="G24" i="35"/>
  <c r="N24" i="35" s="1"/>
  <c r="C24" i="35"/>
  <c r="C23" i="35"/>
  <c r="E23" i="35" s="1"/>
  <c r="M23" i="35" s="1"/>
  <c r="C22" i="35"/>
  <c r="C21" i="35"/>
  <c r="E21" i="35" s="1"/>
  <c r="F20" i="35"/>
  <c r="C19" i="35"/>
  <c r="K18" i="35"/>
  <c r="K20" i="35" s="1"/>
  <c r="F12" i="35"/>
  <c r="C12" i="35"/>
  <c r="E8" i="5" s="1"/>
  <c r="P11" i="35"/>
  <c r="P10" i="35"/>
  <c r="G10" i="35"/>
  <c r="H10" i="35" s="1"/>
  <c r="J10" i="35" s="1"/>
  <c r="D35" i="35" s="1"/>
  <c r="P9" i="35"/>
  <c r="G9" i="35"/>
  <c r="H9" i="35" s="1"/>
  <c r="J9" i="35" s="1"/>
  <c r="D34" i="35" s="1"/>
  <c r="P8" i="35"/>
  <c r="G8" i="35"/>
  <c r="H8" i="35" s="1"/>
  <c r="J8" i="35" s="1"/>
  <c r="D33" i="35" s="1"/>
  <c r="P7" i="35"/>
  <c r="G7" i="35"/>
  <c r="H7" i="35" s="1"/>
  <c r="J7" i="35" s="1"/>
  <c r="D32" i="35" s="1"/>
  <c r="G6" i="35"/>
  <c r="K23" i="35" l="1"/>
  <c r="L12" i="37"/>
  <c r="K49" i="37"/>
  <c r="L49" i="37" s="1"/>
  <c r="H24" i="34"/>
  <c r="K23" i="34"/>
  <c r="H24" i="35"/>
  <c r="D37" i="41"/>
  <c r="J12" i="41"/>
  <c r="C25" i="35"/>
  <c r="P12" i="35"/>
  <c r="E19" i="34"/>
  <c r="F19" i="34" s="1"/>
  <c r="K19" i="34"/>
  <c r="G20" i="34"/>
  <c r="N20" i="34" s="1"/>
  <c r="E22" i="34"/>
  <c r="M22" i="34" s="1"/>
  <c r="K22" i="34"/>
  <c r="F23" i="34"/>
  <c r="H6" i="34"/>
  <c r="K21" i="34"/>
  <c r="F21" i="35"/>
  <c r="P24" i="35"/>
  <c r="E19" i="35"/>
  <c r="K19" i="35"/>
  <c r="G20" i="35"/>
  <c r="N20" i="35" s="1"/>
  <c r="E22" i="35"/>
  <c r="M22" i="35" s="1"/>
  <c r="K22" i="35"/>
  <c r="F23" i="35"/>
  <c r="H6" i="35"/>
  <c r="K21" i="35"/>
  <c r="K56" i="37" l="1"/>
  <c r="L56" i="37"/>
  <c r="G11" i="35"/>
  <c r="H11" i="35" s="1"/>
  <c r="C12" i="34"/>
  <c r="F8" i="5" s="1"/>
  <c r="P8" i="34"/>
  <c r="P12" i="34" s="1"/>
  <c r="G11" i="34" s="1"/>
  <c r="H11" i="34" s="1"/>
  <c r="J11" i="34" s="1"/>
  <c r="D36" i="34" s="1"/>
  <c r="F36" i="34" s="1"/>
  <c r="H36" i="34" s="1"/>
  <c r="C21" i="34"/>
  <c r="G8" i="34"/>
  <c r="H8" i="34" s="1"/>
  <c r="J8" i="34" s="1"/>
  <c r="D33" i="34" s="1"/>
  <c r="L19" i="35"/>
  <c r="H20" i="34"/>
  <c r="O20" i="34" s="1"/>
  <c r="P20" i="34" s="1"/>
  <c r="R20" i="34" s="1"/>
  <c r="E32" i="34" s="1"/>
  <c r="F32" i="34" s="1"/>
  <c r="H32" i="34" s="1"/>
  <c r="F31" i="41"/>
  <c r="H31" i="41" s="1"/>
  <c r="F22" i="35"/>
  <c r="G22" i="35" s="1"/>
  <c r="N22" i="35" s="1"/>
  <c r="G19" i="34"/>
  <c r="H19" i="34" s="1"/>
  <c r="O19" i="34" s="1"/>
  <c r="M19" i="34"/>
  <c r="J6" i="34"/>
  <c r="F22" i="34"/>
  <c r="G23" i="34"/>
  <c r="N23" i="34" s="1"/>
  <c r="G23" i="35"/>
  <c r="N23" i="35" s="1"/>
  <c r="E25" i="35"/>
  <c r="F19" i="35"/>
  <c r="J6" i="35"/>
  <c r="G21" i="35"/>
  <c r="N21" i="35" s="1"/>
  <c r="H20" i="35"/>
  <c r="O20" i="35" s="1"/>
  <c r="G12" i="35" l="1"/>
  <c r="C8" i="26" s="1"/>
  <c r="J11" i="35"/>
  <c r="D36" i="35" s="1"/>
  <c r="F36" i="35" s="1"/>
  <c r="H36" i="35" s="1"/>
  <c r="H12" i="35"/>
  <c r="E10" i="5" s="1"/>
  <c r="G12" i="34"/>
  <c r="C9" i="26" s="1"/>
  <c r="H12" i="34"/>
  <c r="F10" i="5" s="1"/>
  <c r="E21" i="34"/>
  <c r="F21" i="34" s="1"/>
  <c r="G21" i="34" s="1"/>
  <c r="N21" i="34" s="1"/>
  <c r="C25" i="34"/>
  <c r="H23" i="34"/>
  <c r="O23" i="34" s="1"/>
  <c r="P23" i="34" s="1"/>
  <c r="R23" i="34" s="1"/>
  <c r="E35" i="34" s="1"/>
  <c r="F35" i="34" s="1"/>
  <c r="H35" i="34" s="1"/>
  <c r="D31" i="34"/>
  <c r="D37" i="34" s="1"/>
  <c r="J12" i="34"/>
  <c r="N19" i="34"/>
  <c r="G22" i="34"/>
  <c r="N22" i="34" s="1"/>
  <c r="D31" i="35"/>
  <c r="M25" i="35"/>
  <c r="H23" i="35"/>
  <c r="O23" i="35" s="1"/>
  <c r="P23" i="35" s="1"/>
  <c r="R23" i="35" s="1"/>
  <c r="E35" i="35" s="1"/>
  <c r="F35" i="35" s="1"/>
  <c r="H35" i="35" s="1"/>
  <c r="H21" i="35"/>
  <c r="O21" i="35" s="1"/>
  <c r="P21" i="35" s="1"/>
  <c r="R21" i="35" s="1"/>
  <c r="E33" i="35" s="1"/>
  <c r="F33" i="35" s="1"/>
  <c r="H33" i="35" s="1"/>
  <c r="H22" i="35"/>
  <c r="O22" i="35" s="1"/>
  <c r="P22" i="35" s="1"/>
  <c r="R22" i="35" s="1"/>
  <c r="E34" i="35" s="1"/>
  <c r="F34" i="35" s="1"/>
  <c r="H34" i="35" s="1"/>
  <c r="G19" i="35"/>
  <c r="H19" i="35" s="1"/>
  <c r="F25" i="35"/>
  <c r="D37" i="35" l="1"/>
  <c r="J12" i="35"/>
  <c r="C31" i="26"/>
  <c r="C33" i="26" s="1"/>
  <c r="H21" i="34"/>
  <c r="O21" i="34" s="1"/>
  <c r="M21" i="34"/>
  <c r="M25" i="34" s="1"/>
  <c r="E25" i="34"/>
  <c r="F25" i="34"/>
  <c r="H22" i="34"/>
  <c r="O22" i="34" s="1"/>
  <c r="N25" i="34"/>
  <c r="P19" i="34"/>
  <c r="G25" i="34"/>
  <c r="G25" i="35"/>
  <c r="N19" i="35"/>
  <c r="H25" i="35"/>
  <c r="O19" i="35"/>
  <c r="O25" i="35" s="1"/>
  <c r="O25" i="34" l="1"/>
  <c r="P21" i="34"/>
  <c r="R21" i="34" s="1"/>
  <c r="E33" i="34" s="1"/>
  <c r="F33" i="34" s="1"/>
  <c r="H33" i="34" s="1"/>
  <c r="H25" i="34"/>
  <c r="P22" i="34"/>
  <c r="R22" i="34" s="1"/>
  <c r="E34" i="34" s="1"/>
  <c r="F34" i="34" s="1"/>
  <c r="H34" i="34" s="1"/>
  <c r="R19" i="34"/>
  <c r="N25" i="35"/>
  <c r="P19" i="35"/>
  <c r="P25" i="34" l="1"/>
  <c r="E31" i="34"/>
  <c r="R25" i="34"/>
  <c r="R19" i="35"/>
  <c r="E37" i="34" l="1"/>
  <c r="F31" i="34"/>
  <c r="E31" i="35"/>
  <c r="F37" i="34" l="1"/>
  <c r="H31" i="34"/>
  <c r="H37" i="34" s="1"/>
  <c r="F11" i="5" s="1"/>
  <c r="F12" i="5" s="1"/>
  <c r="F15" i="5" s="1"/>
  <c r="F17" i="5" s="1"/>
  <c r="F31" i="35"/>
  <c r="H31" i="35" l="1"/>
  <c r="W4" i="4"/>
  <c r="W3" i="4"/>
  <c r="W2" i="4"/>
  <c r="C10" i="26" l="1"/>
  <c r="C36" i="26" s="1"/>
  <c r="E10" i="24" l="1"/>
  <c r="E9" i="24"/>
  <c r="E12" i="24"/>
  <c r="E11" i="24"/>
  <c r="G18" i="5" l="1"/>
  <c r="E20" i="41"/>
  <c r="M20" i="41" s="1"/>
  <c r="M25" i="41" l="1"/>
  <c r="F20" i="41"/>
  <c r="E25" i="41"/>
  <c r="G20" i="41" l="1"/>
  <c r="H20" i="41" s="1"/>
  <c r="F25" i="41"/>
  <c r="O20" i="41" l="1"/>
  <c r="O25" i="41" s="1"/>
  <c r="H25" i="41"/>
  <c r="G25" i="41"/>
  <c r="N20" i="41"/>
  <c r="N25" i="41" l="1"/>
  <c r="P20" i="41"/>
  <c r="L20" i="35" s="1"/>
  <c r="L25" i="35" l="1"/>
  <c r="P20" i="35"/>
  <c r="R20" i="41"/>
  <c r="P25" i="41"/>
  <c r="R20" i="35" l="1"/>
  <c r="P25" i="35"/>
  <c r="E32" i="41"/>
  <c r="F32" i="41" s="1"/>
  <c r="R25" i="41"/>
  <c r="E32" i="35" l="1"/>
  <c r="R25" i="35"/>
  <c r="E37" i="41"/>
  <c r="F32" i="35" l="1"/>
  <c r="E37" i="35"/>
  <c r="H32" i="41"/>
  <c r="H37" i="41" s="1"/>
  <c r="F37" i="41"/>
  <c r="H32" i="35" l="1"/>
  <c r="H37" i="35" s="1"/>
  <c r="E11" i="5" s="1"/>
  <c r="E12" i="5" s="1"/>
  <c r="E15" i="5" s="1"/>
  <c r="E17" i="5" s="1"/>
  <c r="G17" i="5" s="1"/>
  <c r="G19" i="5" s="1"/>
  <c r="E26" i="5" s="1"/>
  <c r="F37" i="35"/>
  <c r="E5" i="24" l="1"/>
  <c r="E27" i="5"/>
  <c r="G27" i="5" s="1"/>
  <c r="E26" i="24" s="1"/>
  <c r="E28" i="5"/>
  <c r="G28" i="5" s="1"/>
  <c r="E27" i="24" s="1"/>
  <c r="E29" i="5"/>
  <c r="G29" i="5" s="1"/>
  <c r="E28" i="24" s="1"/>
  <c r="F5" i="24" l="1"/>
  <c r="E30" i="5"/>
  <c r="G26" i="5"/>
  <c r="E25" i="24" s="1"/>
  <c r="F9" i="24" l="1"/>
  <c r="F25" i="24" s="1"/>
  <c r="G5" i="24"/>
  <c r="F12" i="24"/>
  <c r="F28" i="24" s="1"/>
  <c r="F11" i="24"/>
  <c r="F27" i="24" s="1"/>
  <c r="F10" i="24"/>
  <c r="F26" i="24" s="1"/>
  <c r="F6" i="24"/>
  <c r="H5" i="24" l="1"/>
  <c r="G6" i="24"/>
  <c r="G11" i="24"/>
  <c r="G27" i="24" s="1"/>
  <c r="G12" i="24"/>
  <c r="G28" i="24" s="1"/>
  <c r="G9" i="24"/>
  <c r="G25" i="24" s="1"/>
  <c r="G10" i="24"/>
  <c r="G26" i="24" s="1"/>
  <c r="I5" i="24" l="1"/>
  <c r="H6" i="24"/>
  <c r="H9" i="24"/>
  <c r="H25" i="24" s="1"/>
  <c r="H12" i="24"/>
  <c r="H28" i="24" s="1"/>
  <c r="H10" i="24"/>
  <c r="H26" i="24" s="1"/>
  <c r="H11" i="24"/>
  <c r="H27" i="24" s="1"/>
  <c r="I6" i="24" l="1"/>
  <c r="J5" i="24" s="1"/>
  <c r="I11" i="24"/>
  <c r="I27" i="24" s="1"/>
  <c r="I12" i="24"/>
  <c r="I28" i="24" s="1"/>
  <c r="I10" i="24"/>
  <c r="I26" i="24" s="1"/>
  <c r="I9" i="24"/>
  <c r="I25" i="24" s="1"/>
  <c r="J10" i="24" l="1"/>
  <c r="J26" i="24" s="1"/>
  <c r="K5" i="24"/>
  <c r="J12" i="24"/>
  <c r="J28" i="24" s="1"/>
  <c r="J11" i="24"/>
  <c r="J27" i="24" s="1"/>
  <c r="J6" i="24"/>
  <c r="J9" i="24"/>
  <c r="J25" i="24" s="1"/>
  <c r="K9" i="24" l="1"/>
  <c r="K25" i="24" s="1"/>
  <c r="K11" i="24"/>
  <c r="K27" i="24" s="1"/>
  <c r="L5" i="24"/>
  <c r="K12" i="24"/>
  <c r="K28" i="24" s="1"/>
  <c r="K6" i="24"/>
  <c r="K10" i="24"/>
  <c r="K26" i="24" s="1"/>
  <c r="L6" i="24" l="1"/>
  <c r="L9" i="24"/>
  <c r="L25" i="24" s="1"/>
  <c r="L12" i="24"/>
  <c r="L28" i="24" s="1"/>
  <c r="M5" i="24"/>
  <c r="L10" i="24"/>
  <c r="L26" i="24" s="1"/>
  <c r="L11" i="24"/>
  <c r="L27" i="24" s="1"/>
  <c r="M6" i="24" l="1"/>
  <c r="N5" i="24"/>
  <c r="M9" i="24"/>
  <c r="M25" i="24" s="1"/>
  <c r="M10" i="24"/>
  <c r="M26" i="24" s="1"/>
  <c r="M12" i="24"/>
  <c r="M28" i="24" s="1"/>
  <c r="M11" i="24"/>
  <c r="M27" i="24" s="1"/>
  <c r="N11" i="24" l="1"/>
  <c r="N27" i="24" s="1"/>
  <c r="N6" i="24"/>
  <c r="N9" i="24"/>
  <c r="N25" i="24" s="1"/>
  <c r="N10" i="24"/>
  <c r="N26" i="24" s="1"/>
  <c r="N12" i="24"/>
  <c r="N28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Allison Cascio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Allison Cascio:</t>
        </r>
        <r>
          <rPr>
            <sz val="9"/>
            <color indexed="81"/>
            <rFont val="Tahoma"/>
            <family val="2"/>
          </rPr>
          <t xml:space="preserve">
Created tab,
Deleted #s entered in C6-C11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Brown</author>
  </authors>
  <commentList>
    <comment ref="F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John Brown:</t>
        </r>
        <r>
          <rPr>
            <sz val="9"/>
            <color indexed="81"/>
            <rFont val="Tahoma"/>
            <family val="2"/>
          </rPr>
          <t xml:space="preserve">
Estimate average annual increase of $350,000
</t>
        </r>
      </text>
    </comment>
    <comment ref="G5" authorId="0" shapeId="0" xr:uid="{9927F120-08A8-4DD9-A1D0-48FFF38D1853}">
      <text>
        <r>
          <rPr>
            <b/>
            <sz val="9"/>
            <color indexed="81"/>
            <rFont val="Tahoma"/>
            <family val="2"/>
          </rPr>
          <t>John Brown:</t>
        </r>
        <r>
          <rPr>
            <sz val="9"/>
            <color indexed="81"/>
            <rFont val="Tahoma"/>
            <family val="2"/>
          </rPr>
          <t xml:space="preserve">
Estimate average annual increase of $350,000
</t>
        </r>
      </text>
    </comment>
    <comment ref="H5" authorId="0" shapeId="0" xr:uid="{D42D0787-864B-4718-AE1E-EC14B6F7BD19}">
      <text>
        <r>
          <rPr>
            <b/>
            <sz val="9"/>
            <color indexed="81"/>
            <rFont val="Tahoma"/>
            <family val="2"/>
          </rPr>
          <t>John Brown:</t>
        </r>
        <r>
          <rPr>
            <sz val="9"/>
            <color indexed="81"/>
            <rFont val="Tahoma"/>
            <family val="2"/>
          </rPr>
          <t xml:space="preserve">
Estimate average annual increase of $350,000
</t>
        </r>
      </text>
    </comment>
    <comment ref="I5" authorId="0" shapeId="0" xr:uid="{5208A86E-BB9A-4B29-9B40-42AA39687A63}">
      <text>
        <r>
          <rPr>
            <b/>
            <sz val="9"/>
            <color indexed="81"/>
            <rFont val="Tahoma"/>
            <family val="2"/>
          </rPr>
          <t>John Brown:</t>
        </r>
        <r>
          <rPr>
            <sz val="9"/>
            <color indexed="81"/>
            <rFont val="Tahoma"/>
            <family val="2"/>
          </rPr>
          <t xml:space="preserve">
Estimate average annual increase of $350,000
</t>
        </r>
      </text>
    </comment>
  </commentList>
</comments>
</file>

<file path=xl/sharedStrings.xml><?xml version="1.0" encoding="utf-8"?>
<sst xmlns="http://schemas.openxmlformats.org/spreadsheetml/2006/main" count="824" uniqueCount="252">
  <si>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</si>
  <si>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</si>
  <si>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</si>
  <si>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</si>
  <si>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</si>
  <si>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</si>
  <si>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</si>
  <si>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</si>
  <si>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Class</t>
  </si>
  <si>
    <t>Allocation</t>
  </si>
  <si>
    <t>Allocated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</si>
  <si>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</si>
  <si>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</si>
  <si>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</si>
  <si>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</si>
  <si>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</si>
  <si>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</si>
  <si>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</si>
  <si>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</si>
  <si>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</si>
  <si>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</si>
  <si>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</si>
  <si>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</si>
  <si>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</si>
  <si>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</si>
  <si>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</si>
  <si>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</si>
  <si>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</si>
  <si>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</si>
  <si>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</si>
  <si>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</si>
  <si>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</si>
  <si>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</si>
  <si>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</si>
  <si>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</si>
  <si>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</si>
  <si>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</si>
  <si>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</si>
  <si>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</si>
  <si>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</si>
  <si>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</si>
  <si>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</si>
  <si>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</si>
  <si>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</si>
  <si>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</si>
  <si>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</si>
  <si>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</si>
  <si>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Delta Natural Gas Company, Inc.</t>
  </si>
  <si>
    <t>Pipe Replacement Program Filing</t>
  </si>
  <si>
    <t>Calculated Net Revenue</t>
  </si>
  <si>
    <t>Allowed Return</t>
  </si>
  <si>
    <t>Return, grossed up for income taxes</t>
  </si>
  <si>
    <t>Current Year PRP Adjustment</t>
  </si>
  <si>
    <t>@ Approved Rates</t>
  </si>
  <si>
    <t>Statutory</t>
  </si>
  <si>
    <t>various</t>
  </si>
  <si>
    <t>Cost of Removal</t>
  </si>
  <si>
    <t>NA</t>
  </si>
  <si>
    <t>PRP</t>
  </si>
  <si>
    <t xml:space="preserve"> </t>
  </si>
  <si>
    <t>Total</t>
  </si>
  <si>
    <t>COR</t>
  </si>
  <si>
    <t>A</t>
  </si>
  <si>
    <t xml:space="preserve">Year 1 for PRP assets assumes a half year of depreciation expense. </t>
  </si>
  <si>
    <t>Cost of Service Impact from PRP</t>
  </si>
  <si>
    <t>Increased property tax expense</t>
  </si>
  <si>
    <t>Average ad valorem tax rate</t>
  </si>
  <si>
    <t>Cost of Service Items (Schedule III)</t>
  </si>
  <si>
    <t>Adjustment</t>
  </si>
  <si>
    <t>DELTA NATURAL GAS</t>
  </si>
  <si>
    <t>AND TYPE</t>
  </si>
  <si>
    <t>FOOTAGE</t>
  </si>
  <si>
    <t xml:space="preserve">( A )    Represents cost of removal incurred.  No pipe installed. </t>
  </si>
  <si>
    <t>{1}</t>
  </si>
  <si>
    <t>{2}</t>
  </si>
  <si>
    <t>Service line removals</t>
  </si>
  <si>
    <t>{4}</t>
  </si>
  <si>
    <t>Service line replacements</t>
  </si>
  <si>
    <t>Schedule VII</t>
  </si>
  <si>
    <t>Increased depreciation expense (Schedule II)</t>
  </si>
  <si>
    <t>Main &amp; service relocations</t>
  </si>
  <si>
    <t>Low</t>
  </si>
  <si>
    <t>Estimate Range</t>
  </si>
  <si>
    <t>Main replacements &amp; retirements (unprotected &amp; Aldyl A)</t>
  </si>
  <si>
    <t>High</t>
  </si>
  <si>
    <t>DISTRICT</t>
  </si>
  <si>
    <t>Owingsville</t>
  </si>
  <si>
    <t>Berea</t>
  </si>
  <si>
    <t>Stanton</t>
  </si>
  <si>
    <t>London</t>
  </si>
  <si>
    <t>Williamsburg</t>
  </si>
  <si>
    <t>Barbourville</t>
  </si>
  <si>
    <t>Middlesboro</t>
  </si>
  <si>
    <t>Corbin</t>
  </si>
  <si>
    <t>Manchester</t>
  </si>
  <si>
    <t>PIPE SIZE</t>
  </si>
  <si>
    <t xml:space="preserve">TO BE </t>
  </si>
  <si>
    <t>REPLACED</t>
  </si>
  <si>
    <t>ESTIMATED</t>
  </si>
  <si>
    <t>1" Bare Steel</t>
  </si>
  <si>
    <t>2" Bare Steel</t>
  </si>
  <si>
    <t>4" Bare Steel</t>
  </si>
  <si>
    <t>3/4" Bare Steel</t>
  </si>
  <si>
    <t>6" Bare Steel</t>
  </si>
  <si>
    <t xml:space="preserve">PLANT </t>
  </si>
  <si>
    <t>DISTRICT BRANCH</t>
  </si>
  <si>
    <t>CLASSIFICATION</t>
  </si>
  <si>
    <t>SIZE AND PIPE INSTALLED</t>
  </si>
  <si>
    <t>TOTAL COST</t>
  </si>
  <si>
    <t>(A)</t>
  </si>
  <si>
    <t>Estimated Future PRP Surcharges</t>
  </si>
  <si>
    <t>District Location</t>
  </si>
  <si>
    <t>Unknown Year</t>
  </si>
  <si>
    <t>2" Aldyl-A</t>
  </si>
  <si>
    <t>Owingsville Total</t>
  </si>
  <si>
    <t>Berea Total</t>
  </si>
  <si>
    <t>Nicholasville</t>
  </si>
  <si>
    <t>Nicholasville Total</t>
  </si>
  <si>
    <t>Stanton Total</t>
  </si>
  <si>
    <t>London Total</t>
  </si>
  <si>
    <t>Williamsburg Total</t>
  </si>
  <si>
    <t>Barbourville Total</t>
  </si>
  <si>
    <t>Middlesboro Total</t>
  </si>
  <si>
    <t>Corbin Total</t>
  </si>
  <si>
    <t>Manchester Total</t>
  </si>
  <si>
    <t>Delta Total System</t>
  </si>
  <si>
    <t>Total PRP Eligble Footage</t>
  </si>
  <si>
    <t>Net Book Value, PSC Report Page 110</t>
  </si>
  <si>
    <t>PRP Net Book Value</t>
  </si>
  <si>
    <t>PRP Property Tax</t>
  </si>
  <si>
    <t>Total increased cost of service</t>
  </si>
  <si>
    <t>Property tax expense for current year is based on plant balances at the end of the prior year</t>
  </si>
  <si>
    <t>Schedule III</t>
  </si>
  <si>
    <t>ESTIMATE RANGE</t>
  </si>
  <si>
    <t>PRP Adjustment</t>
  </si>
  <si>
    <t>Class Allocation</t>
  </si>
  <si>
    <t>Currently</t>
  </si>
  <si>
    <t>Effective</t>
  </si>
  <si>
    <t>Proposed</t>
  </si>
  <si>
    <t>Schedule IX</t>
  </si>
  <si>
    <t>Estimated Remaining PRP Costs Per Year</t>
  </si>
  <si>
    <t xml:space="preserve">3" Bare Steel </t>
  </si>
  <si>
    <t>DOT Transmission</t>
  </si>
  <si>
    <t>Dot Transmission Total</t>
  </si>
  <si>
    <t>Gathering</t>
  </si>
  <si>
    <t>Gathering Total</t>
  </si>
  <si>
    <t>Systems total</t>
  </si>
  <si>
    <t>Systems Total</t>
  </si>
  <si>
    <t>{3}</t>
  </si>
  <si>
    <t xml:space="preserve">( C )    Delta does not track the footage of each individual service line. </t>
  </si>
  <si>
    <t>( B )    Charges relating to footage reported in prior year.</t>
  </si>
  <si>
    <t>per Case No. 2021-00185</t>
  </si>
  <si>
    <t>WACOC, per case no 2021-00185</t>
  </si>
  <si>
    <t>Tax expansion factor, w PSC (per Case No. 2021-00185)</t>
  </si>
  <si>
    <t>Planned eligible expenditures under the PRP (Schedule II)</t>
  </si>
  <si>
    <t>Volumes</t>
  </si>
  <si>
    <t>Per MCF</t>
  </si>
  <si>
    <t>PRP Rate</t>
  </si>
  <si>
    <t>Transmission</t>
  </si>
  <si>
    <t>Check Total</t>
  </si>
  <si>
    <t>Vintage 2023</t>
  </si>
  <si>
    <t>Clay City</t>
  </si>
  <si>
    <t>Increase amount</t>
  </si>
  <si>
    <t>PRP Rate per Mcf</t>
  </si>
  <si>
    <t>miles</t>
  </si>
  <si>
    <t>Dist</t>
  </si>
  <si>
    <t>( D )    These projects are not yet complete.  Footages will be reported in the year projects are closed to plant.</t>
  </si>
  <si>
    <t xml:space="preserve">To calculate the estimate range, Delta utilized the average and highest cost per foot experienced under the PRP, net of relocations, of $57.78 and 95.38. </t>
  </si>
  <si>
    <t xml:space="preserve">Performed as needed. Mandatory relocations have averaged $448,000 per year with a range of $32,000 - $1,527,000 per year. </t>
  </si>
  <si>
    <t>Forecasted Period Ending December 31, 2024</t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</si>
  <si>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January 1, 2024</t>
    </r>
  </si>
  <si>
    <t>Net PRP Rate Base, as of December 31, 2024</t>
  </si>
  <si>
    <t>Vintage 2024</t>
  </si>
  <si>
    <t>December 31, 2022</t>
  </si>
  <si>
    <t>2024 Property Tax Expense</t>
  </si>
  <si>
    <t>Operating expense reductions</t>
  </si>
  <si>
    <t>Maintenance of Transmission and Distribution Mains, per Case</t>
  </si>
  <si>
    <t>Decrease in Operating Expense</t>
  </si>
  <si>
    <t>Cost of Removal and Replacement Projects for 01/01/2023 - 12/31/2023</t>
  </si>
  <si>
    <t>Pipe Remaining to be Replaced as of 6/30/2023</t>
  </si>
  <si>
    <t>2025 PRP Estimate</t>
  </si>
  <si>
    <t>Total 2025 PRP Estimate</t>
  </si>
  <si>
    <t>4" Plastic</t>
  </si>
  <si>
    <t>2" Plastic</t>
  </si>
  <si>
    <t>43</t>
  </si>
  <si>
    <t>(C)</t>
  </si>
  <si>
    <t>4" Steel</t>
  </si>
  <si>
    <t>2</t>
  </si>
  <si>
    <t>16</t>
  </si>
  <si>
    <t>(C) (D)</t>
  </si>
  <si>
    <t>21</t>
  </si>
  <si>
    <t>Clearfield</t>
  </si>
  <si>
    <t>0</t>
  </si>
  <si>
    <t>4" Steel Pipe</t>
  </si>
  <si>
    <t>2" Steel Pipe</t>
  </si>
  <si>
    <t>4" Plastic Pipe</t>
  </si>
  <si>
    <t>37</t>
  </si>
  <si>
    <t>36</t>
  </si>
  <si>
    <t>52</t>
  </si>
  <si>
    <t>3</t>
  </si>
  <si>
    <t>Beattyville</t>
  </si>
  <si>
    <t>1</t>
  </si>
  <si>
    <t>6" Steel</t>
  </si>
  <si>
    <t>Pineville</t>
  </si>
  <si>
    <t>3/4" Plastic</t>
  </si>
  <si>
    <t>379</t>
  </si>
  <si>
    <t>17</t>
  </si>
  <si>
    <t>1" Plastic</t>
  </si>
  <si>
    <t>13</t>
  </si>
  <si>
    <t>Engineering Services</t>
  </si>
  <si>
    <t>(D)</t>
  </si>
  <si>
    <t>Cost of Removal and Replacement Projects for 01/01/2024 - 12/31/2024</t>
  </si>
  <si>
    <t>Distribution Main</t>
  </si>
  <si>
    <t>154</t>
  </si>
  <si>
    <t>50</t>
  </si>
  <si>
    <t>134</t>
  </si>
  <si>
    <t>4</t>
  </si>
  <si>
    <t>66</t>
  </si>
  <si>
    <t>18</t>
  </si>
  <si>
    <t>8" Steel</t>
  </si>
  <si>
    <t>2" Steel</t>
  </si>
  <si>
    <t>10</t>
  </si>
  <si>
    <t>1/2" Vintage Plastic</t>
  </si>
  <si>
    <t>3/4" Vintage Plastic</t>
  </si>
  <si>
    <t>1" Unprotected Coated Steel</t>
  </si>
  <si>
    <t>1" Vintage Plastic</t>
  </si>
  <si>
    <t>1 1/4" Vintage Plastic</t>
  </si>
  <si>
    <t>1 1/2" Vintage Plastic</t>
  </si>
  <si>
    <t>2" Unprotected Coated Steel</t>
  </si>
  <si>
    <t>2" Vintage Plastic</t>
  </si>
  <si>
    <t>3" Vintage Plastic</t>
  </si>
  <si>
    <t>4" Unprotected Coated Steel</t>
  </si>
  <si>
    <t>4" Vintage Plastic</t>
  </si>
  <si>
    <t>3" Unprotected Coated Steel</t>
  </si>
  <si>
    <t>8" Unprotected Coated Steel</t>
  </si>
  <si>
    <t>6" Coated Steel (Exposed or Shallow Depth)</t>
  </si>
  <si>
    <t>6" Coated Steel (Exposed)</t>
  </si>
  <si>
    <t>1 1/4" Unprotected Coated Steel</t>
  </si>
  <si>
    <t>6" Unprotected Coated Steel</t>
  </si>
  <si>
    <t>1 1/4" Bare Steel</t>
  </si>
  <si>
    <t xml:space="preserve">2" Bare Steel </t>
  </si>
  <si>
    <t>Bare Steel</t>
  </si>
  <si>
    <t>Unprotected Coated Steel</t>
  </si>
  <si>
    <t>Coated Steel (Exposed or Shallow Depth)</t>
  </si>
  <si>
    <t>Aldyl-A / Vintage Plastic</t>
  </si>
  <si>
    <t>Estimate of Current Year Actual Expense (Calendar 2022)</t>
  </si>
  <si>
    <t>July 31, 2021</t>
  </si>
  <si>
    <t>months ended</t>
  </si>
  <si>
    <t xml:space="preserve">for the 12 </t>
  </si>
  <si>
    <t xml:space="preserve">Delta has approximately 5,649 bare steel and Aldyl-A services and will need to average approximately 628 per year over the remaining life of the PRP to replace the remaining services.  The average cost to replace a service has been $1500.  Delta estimates an average cost of $800,000-$1,100,000 per year. 
</t>
  </si>
  <si>
    <t xml:space="preserve">Delta has approximately 520 services that have been inactive for five years or longer and based on recent history expects to remove 200-300 inactive services each year to reduce this backlog.  The average cost to remove a service has been $720.  Delta estimates an average cost of $140,000-$216,000 per year.  </t>
  </si>
  <si>
    <t>The average cost per foot, net of relocations, has been $61.30, but has been as high $101.19 per foot. Delta used these prices in estimating the high and low estimates, escalated annually for inflation.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</si>
</sst>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  <numFmt numFmtId="170" formatCode="&quot;$&quot;#,##0"/>
    <numFmt numFmtId="171" formatCode="_(&quot;$&quot;* #,##0.00000_);_(&quot;$&quot;* \(#,##0.00000\);_(&quot;$&quot;* &quot;-&quot;??_);_(@_)"/>
    <numFmt numFmtId="172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1">
    <xf numFmtId="0" fontId="0" fillId="0" borderId="0" xfId="0"/>
    <xf numFmtId="164" fontId="4" fillId="0" borderId="0" xfId="1" applyNumberFormat="1" applyFont="1" applyFill="1"/>
    <xf numFmtId="164" fontId="4" fillId="0" borderId="1" xfId="1" applyNumberFormat="1" applyFont="1" applyFill="1" applyBorder="1"/>
    <xf numFmtId="169" fontId="0" fillId="0" borderId="0" xfId="2" applyNumberFormat="1" applyFont="1"/>
    <xf numFmtId="164" fontId="4" fillId="0" borderId="1" xfId="1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10" fillId="0" borderId="0" xfId="0" applyFont="1" applyAlignment="1">
      <alignment horizontal="left"/>
    </xf>
    <xf numFmtId="0" fontId="11" fillId="0" borderId="0" xfId="0" applyFont="1"/>
    <xf numFmtId="164" fontId="1" fillId="0" borderId="0" xfId="1" applyNumberFormat="1" applyFont="1" applyFill="1"/>
    <xf numFmtId="165" fontId="0" fillId="0" borderId="0" xfId="0" applyNumberForma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0" fontId="0" fillId="0" borderId="0" xfId="2" applyNumberFormat="1" applyFont="1" applyFill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/>
    <xf numFmtId="10" fontId="0" fillId="0" borderId="1" xfId="2" applyNumberFormat="1" applyFont="1" applyFill="1" applyBorder="1"/>
    <xf numFmtId="43" fontId="0" fillId="0" borderId="0" xfId="1" applyFont="1"/>
    <xf numFmtId="43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3" fontId="1" fillId="0" borderId="0" xfId="1" applyFont="1" applyFill="1"/>
    <xf numFmtId="43" fontId="1" fillId="0" borderId="0" xfId="1" applyFont="1"/>
    <xf numFmtId="0" fontId="5" fillId="0" borderId="0" xfId="0" applyFont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49" fontId="5" fillId="0" borderId="0" xfId="0" applyNumberFormat="1" applyFont="1" applyAlignment="1">
      <alignment horizontal="center"/>
    </xf>
    <xf numFmtId="164" fontId="16" fillId="2" borderId="0" xfId="1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2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165" fontId="1" fillId="0" borderId="0" xfId="3" applyNumberFormat="1" applyFont="1" applyFill="1" applyBorder="1"/>
    <xf numFmtId="165" fontId="1" fillId="0" borderId="0" xfId="1" applyNumberFormat="1" applyFont="1" applyFill="1" applyBorder="1"/>
    <xf numFmtId="165" fontId="1" fillId="0" borderId="3" xfId="3" applyNumberFormat="1" applyFont="1" applyFill="1" applyBorder="1"/>
    <xf numFmtId="165" fontId="1" fillId="0" borderId="0" xfId="1" applyNumberFormat="1" applyFont="1" applyFill="1"/>
    <xf numFmtId="49" fontId="0" fillId="0" borderId="0" xfId="0" applyNumberFormat="1" applyAlignment="1">
      <alignment vertical="center"/>
    </xf>
    <xf numFmtId="49" fontId="0" fillId="0" borderId="0" xfId="0" quotePrefix="1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5" fontId="19" fillId="0" borderId="0" xfId="3" applyNumberFormat="1" applyFont="1" applyBorder="1" applyAlignment="1">
      <alignment vertical="center"/>
    </xf>
    <xf numFmtId="43" fontId="19" fillId="0" borderId="0" xfId="0" applyNumberFormat="1" applyFont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2" fillId="0" borderId="0" xfId="3" applyNumberFormat="1" applyFont="1" applyFill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3" applyNumberFormat="1" applyFon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44" fontId="0" fillId="0" borderId="0" xfId="0" applyNumberFormat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64" fontId="0" fillId="0" borderId="1" xfId="1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10" fontId="4" fillId="0" borderId="0" xfId="0" applyNumberFormat="1" applyFont="1" applyAlignment="1">
      <alignment vertical="center"/>
    </xf>
    <xf numFmtId="10" fontId="0" fillId="0" borderId="1" xfId="0" applyNumberForma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9" fontId="0" fillId="0" borderId="0" xfId="2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49" fontId="0" fillId="0" borderId="0" xfId="0" quotePrefix="1" applyNumberFormat="1" applyAlignment="1">
      <alignment vertical="center"/>
    </xf>
    <xf numFmtId="164" fontId="0" fillId="0" borderId="0" xfId="1" applyNumberFormat="1" applyFont="1"/>
    <xf numFmtId="169" fontId="0" fillId="0" borderId="0" xfId="0" applyNumberFormat="1"/>
    <xf numFmtId="164" fontId="1" fillId="0" borderId="1" xfId="1" applyNumberFormat="1" applyFont="1" applyFill="1" applyBorder="1"/>
    <xf numFmtId="49" fontId="2" fillId="0" borderId="0" xfId="0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49" fontId="5" fillId="0" borderId="0" xfId="0" applyNumberFormat="1" applyFont="1"/>
    <xf numFmtId="43" fontId="14" fillId="0" borderId="0" xfId="1" applyFont="1" applyFill="1" applyAlignment="1">
      <alignment horizontal="center"/>
    </xf>
    <xf numFmtId="165" fontId="1" fillId="0" borderId="1" xfId="3" applyNumberFormat="1" applyFont="1" applyFill="1" applyBorder="1"/>
    <xf numFmtId="0" fontId="19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22" fillId="0" borderId="0" xfId="1" applyNumberFormat="1" applyFont="1" applyFill="1" applyAlignment="1">
      <alignment horizontal="center" vertical="center"/>
    </xf>
    <xf numFmtId="164" fontId="15" fillId="0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vertical="center"/>
    </xf>
    <xf numFmtId="165" fontId="23" fillId="0" borderId="0" xfId="3" applyNumberFormat="1" applyFont="1" applyBorder="1" applyAlignment="1">
      <alignment vertical="center"/>
    </xf>
    <xf numFmtId="164" fontId="23" fillId="0" borderId="0" xfId="1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vertical="center"/>
    </xf>
    <xf numFmtId="165" fontId="23" fillId="0" borderId="3" xfId="3" applyNumberFormat="1" applyFont="1" applyFill="1" applyBorder="1" applyAlignment="1">
      <alignment vertical="center"/>
    </xf>
    <xf numFmtId="170" fontId="23" fillId="0" borderId="0" xfId="0" applyNumberFormat="1" applyFont="1" applyAlignment="1">
      <alignment vertical="center"/>
    </xf>
    <xf numFmtId="164" fontId="23" fillId="0" borderId="4" xfId="1" applyNumberFormat="1" applyFont="1" applyBorder="1" applyAlignment="1">
      <alignment vertical="center"/>
    </xf>
    <xf numFmtId="165" fontId="23" fillId="0" borderId="4" xfId="3" applyNumberFormat="1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6" fontId="0" fillId="0" borderId="0" xfId="2" applyNumberFormat="1" applyFont="1" applyFill="1"/>
    <xf numFmtId="164" fontId="8" fillId="0" borderId="0" xfId="1" applyNumberFormat="1" applyFont="1" applyFill="1" applyBorder="1"/>
    <xf numFmtId="44" fontId="0" fillId="0" borderId="0" xfId="3" applyFont="1" applyFill="1"/>
    <xf numFmtId="43" fontId="0" fillId="0" borderId="0" xfId="1" applyFont="1" applyFill="1"/>
    <xf numFmtId="43" fontId="0" fillId="0" borderId="0" xfId="1" applyFont="1" applyFill="1" applyBorder="1"/>
    <xf numFmtId="44" fontId="0" fillId="0" borderId="0" xfId="0" applyNumberFormat="1"/>
    <xf numFmtId="0" fontId="18" fillId="0" borderId="0" xfId="0" applyFont="1" applyAlignment="1">
      <alignment horizontal="right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15" fontId="2" fillId="0" borderId="1" xfId="0" quotePrefix="1" applyNumberFormat="1" applyFont="1" applyBorder="1" applyAlignment="1">
      <alignment horizontal="center" vertical="center"/>
    </xf>
    <xf numFmtId="15" fontId="0" fillId="0" borderId="0" xfId="0" quotePrefix="1" applyNumberFormat="1" applyAlignment="1">
      <alignment vertical="center"/>
    </xf>
    <xf numFmtId="165" fontId="0" fillId="0" borderId="1" xfId="0" applyNumberFormat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164" fontId="15" fillId="2" borderId="0" xfId="1" applyNumberFormat="1" applyFont="1" applyFill="1" applyAlignment="1">
      <alignment vertical="center"/>
    </xf>
    <xf numFmtId="165" fontId="23" fillId="0" borderId="0" xfId="3" applyNumberFormat="1" applyFont="1" applyFill="1" applyBorder="1" applyAlignment="1">
      <alignment vertical="center"/>
    </xf>
    <xf numFmtId="10" fontId="4" fillId="0" borderId="0" xfId="0" applyNumberFormat="1" applyFont="1"/>
    <xf numFmtId="9" fontId="0" fillId="0" borderId="0" xfId="2" applyFont="1"/>
    <xf numFmtId="171" fontId="0" fillId="0" borderId="0" xfId="0" applyNumberFormat="1"/>
    <xf numFmtId="171" fontId="0" fillId="0" borderId="0" xfId="1" applyNumberFormat="1" applyFont="1" applyFill="1" applyBorder="1"/>
    <xf numFmtId="171" fontId="0" fillId="0" borderId="0" xfId="0" applyNumberFormat="1" applyAlignment="1">
      <alignment vertical="center"/>
    </xf>
    <xf numFmtId="171" fontId="0" fillId="0" borderId="1" xfId="0" applyNumberFormat="1" applyBorder="1" applyAlignment="1">
      <alignment vertical="center"/>
    </xf>
    <xf numFmtId="171" fontId="0" fillId="0" borderId="0" xfId="3" applyNumberFormat="1" applyFont="1" applyFill="1"/>
    <xf numFmtId="165" fontId="26" fillId="0" borderId="0" xfId="6" applyNumberFormat="1" applyFill="1"/>
    <xf numFmtId="172" fontId="0" fillId="0" borderId="0" xfId="1" applyNumberFormat="1" applyFont="1"/>
    <xf numFmtId="49" fontId="27" fillId="0" borderId="0" xfId="0" applyNumberFormat="1" applyFont="1"/>
    <xf numFmtId="49" fontId="8" fillId="0" borderId="0" xfId="0" applyNumberFormat="1" applyFont="1" applyAlignment="1">
      <alignment vertical="center"/>
    </xf>
    <xf numFmtId="49" fontId="8" fillId="0" borderId="0" xfId="0" quotePrefix="1" applyNumberFormat="1" applyFont="1" applyAlignment="1">
      <alignment vertical="center"/>
    </xf>
    <xf numFmtId="164" fontId="8" fillId="0" borderId="0" xfId="1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6" fontId="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0" fillId="0" borderId="0" xfId="0" quotePrefix="1" applyNumberFormat="1" applyAlignment="1">
      <alignment horizontal="left" vertical="center"/>
    </xf>
    <xf numFmtId="164" fontId="0" fillId="0" borderId="0" xfId="1" applyNumberFormat="1" applyFont="1" applyFill="1" applyBorder="1" applyAlignment="1"/>
    <xf numFmtId="164" fontId="1" fillId="0" borderId="2" xfId="1" applyNumberFormat="1" applyFont="1" applyFill="1" applyBorder="1"/>
    <xf numFmtId="165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3" applyFont="1" applyAlignment="1">
      <alignment horizontal="center" vertical="center"/>
    </xf>
    <xf numFmtId="44" fontId="2" fillId="0" borderId="0" xfId="3" applyFont="1" applyAlignment="1">
      <alignment horizontal="center" vertical="center"/>
    </xf>
    <xf numFmtId="44" fontId="2" fillId="0" borderId="0" xfId="0" applyNumberFormat="1" applyFont="1"/>
    <xf numFmtId="0" fontId="1" fillId="0" borderId="0" xfId="0" applyFont="1"/>
    <xf numFmtId="165" fontId="1" fillId="0" borderId="0" xfId="0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vertical="center"/>
    </xf>
    <xf numFmtId="44" fontId="1" fillId="0" borderId="0" xfId="3" applyFont="1"/>
    <xf numFmtId="44" fontId="2" fillId="0" borderId="0" xfId="3" applyFont="1" applyAlignment="1">
      <alignment vertical="center"/>
    </xf>
    <xf numFmtId="44" fontId="1" fillId="0" borderId="0" xfId="3" applyFont="1" applyFill="1"/>
    <xf numFmtId="44" fontId="2" fillId="0" borderId="0" xfId="3" applyFont="1"/>
    <xf numFmtId="0" fontId="22" fillId="0" borderId="0" xfId="0" applyFont="1"/>
    <xf numFmtId="0" fontId="22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3" applyNumberFormat="1" applyFont="1" applyFill="1"/>
    <xf numFmtId="165" fontId="8" fillId="0" borderId="0" xfId="0" applyNumberFormat="1" applyFont="1"/>
    <xf numFmtId="164" fontId="8" fillId="0" borderId="0" xfId="1" applyNumberFormat="1" applyFont="1" applyFill="1"/>
    <xf numFmtId="164" fontId="8" fillId="0" borderId="0" xfId="0" applyNumberFormat="1" applyFont="1"/>
    <xf numFmtId="164" fontId="8" fillId="0" borderId="1" xfId="1" applyNumberFormat="1" applyFont="1" applyFill="1" applyBorder="1"/>
    <xf numFmtId="164" fontId="8" fillId="0" borderId="1" xfId="0" applyNumberFormat="1" applyFont="1" applyBorder="1"/>
    <xf numFmtId="0" fontId="8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10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2" fillId="0" borderId="0" xfId="1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165" fontId="1" fillId="0" borderId="2" xfId="3" applyNumberFormat="1" applyFont="1" applyFill="1" applyBorder="1"/>
    <xf numFmtId="165" fontId="8" fillId="0" borderId="0" xfId="1" applyNumberFormat="1" applyFont="1" applyFill="1" applyBorder="1"/>
    <xf numFmtId="165" fontId="8" fillId="0" borderId="3" xfId="3" applyNumberFormat="1" applyFont="1" applyFill="1" applyBorder="1"/>
    <xf numFmtId="165" fontId="8" fillId="0" borderId="0" xfId="3" applyNumberFormat="1" applyFont="1" applyFill="1" applyBorder="1"/>
    <xf numFmtId="165" fontId="1" fillId="0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</cellXfs>
  <cellStyles count="7">
    <cellStyle name="Comma" xfId="1" builtinId="3"/>
    <cellStyle name="Comma 2" xfId="5" xr:uid="{00000000-0005-0000-0000-000001000000}"/>
    <cellStyle name="Currency" xfId="3" builtinId="4"/>
    <cellStyle name="Hyperlink" xfId="6" builtinId="8"/>
    <cellStyle name="Normal" xfId="0" builtinId="0"/>
    <cellStyle name="Normal 2" xfId="4" xr:uid="{00000000-0005-0000-0000-000005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=I5+@average(F6:I6)" TargetMode="External"/><Relationship Id="rId1" Type="http://schemas.openxmlformats.org/officeDocument/2006/relationships/hyperlink" Target="mailto:=I5+@average(F6:I6)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Normal="100" workbookViewId="0">
      <selection activeCell="I15" sqref="I15"/>
    </sheetView>
  </sheetViews>
  <sheetFormatPr defaultColWidth="9.1796875" defaultRowHeight="14.5" x14ac:dyDescent="0.35"/>
  <cols>
    <col min="1" max="1" width="9.1796875" style="45"/>
    <col min="2" max="2" width="33.7265625" style="45" customWidth="1"/>
    <col min="3" max="3" width="24.1796875" style="45" bestFit="1" customWidth="1"/>
    <col min="4" max="4" width="10" style="45" bestFit="1" customWidth="1"/>
    <col min="5" max="5" width="12.7265625" style="45" customWidth="1"/>
    <col min="6" max="6" width="15.453125" style="45" bestFit="1" customWidth="1"/>
    <col min="7" max="7" width="11.54296875" style="45" bestFit="1" customWidth="1"/>
    <col min="8" max="8" width="12.7265625" style="45" customWidth="1"/>
    <col min="9" max="9" width="13.7265625" style="45" bestFit="1" customWidth="1"/>
    <col min="10" max="16384" width="9.1796875" style="45"/>
  </cols>
  <sheetData>
    <row r="1" spans="1:7" x14ac:dyDescent="0.35">
      <c r="A1" s="44" t="s">
        <v>47</v>
      </c>
    </row>
    <row r="2" spans="1:7" x14ac:dyDescent="0.35">
      <c r="A2" s="44" t="s">
        <v>48</v>
      </c>
    </row>
    <row r="3" spans="1:7" x14ac:dyDescent="0.35">
      <c r="A3" s="44" t="s">
        <v>169</v>
      </c>
    </row>
    <row r="4" spans="1:7" x14ac:dyDescent="0.35">
      <c r="A4" s="44" t="s">
        <v>170</v>
      </c>
    </row>
    <row r="7" spans="1:7" x14ac:dyDescent="0.35">
      <c r="E7" s="151">
        <v>2023</v>
      </c>
      <c r="F7" s="151">
        <v>2024</v>
      </c>
      <c r="G7" s="57" t="s">
        <v>60</v>
      </c>
    </row>
    <row r="8" spans="1:7" x14ac:dyDescent="0.35">
      <c r="A8" s="45">
        <v>1</v>
      </c>
      <c r="B8" s="45" t="s">
        <v>154</v>
      </c>
      <c r="E8" s="58">
        <f>'Sch II 2023'!C12</f>
        <v>8456788.5700000003</v>
      </c>
      <c r="F8" s="58">
        <f>'Sch II 2024'!C12</f>
        <v>3560647.5</v>
      </c>
    </row>
    <row r="9" spans="1:7" x14ac:dyDescent="0.35">
      <c r="A9" s="45">
        <v>2</v>
      </c>
      <c r="B9" s="45" t="s">
        <v>41</v>
      </c>
      <c r="E9" s="59"/>
      <c r="F9" s="59"/>
    </row>
    <row r="10" spans="1:7" x14ac:dyDescent="0.35">
      <c r="A10" s="45">
        <v>3</v>
      </c>
      <c r="B10" s="60" t="s">
        <v>42</v>
      </c>
      <c r="E10" s="59">
        <f>ROUND('Sch II 2023'!H12,0)</f>
        <v>-383505</v>
      </c>
      <c r="F10" s="59">
        <f>ROUND('Sch II 2024'!H12,0)</f>
        <v>-53396</v>
      </c>
    </row>
    <row r="11" spans="1:7" x14ac:dyDescent="0.35">
      <c r="A11" s="45">
        <v>4</v>
      </c>
      <c r="B11" s="60" t="s">
        <v>43</v>
      </c>
      <c r="E11" s="61">
        <f>ROUND('Sch II 2023'!H37,0)</f>
        <v>-1941250</v>
      </c>
      <c r="F11" s="61">
        <f>ROUND('Sch II 2024'!H37,0)</f>
        <v>-875059</v>
      </c>
    </row>
    <row r="12" spans="1:7" x14ac:dyDescent="0.35">
      <c r="A12" s="45">
        <v>5</v>
      </c>
      <c r="B12" s="45" t="s">
        <v>171</v>
      </c>
      <c r="E12" s="59">
        <f t="shared" ref="E12:F12" si="0">SUM(E8:E11)</f>
        <v>6132033.5700000003</v>
      </c>
      <c r="F12" s="59">
        <f t="shared" si="0"/>
        <v>2632192.5</v>
      </c>
    </row>
    <row r="13" spans="1:7" x14ac:dyDescent="0.35">
      <c r="E13" s="59"/>
      <c r="F13" s="59"/>
    </row>
    <row r="14" spans="1:7" x14ac:dyDescent="0.35">
      <c r="A14" s="45">
        <v>6</v>
      </c>
      <c r="B14" s="45" t="s">
        <v>152</v>
      </c>
      <c r="E14" s="62">
        <v>6.6917500000000005E-2</v>
      </c>
      <c r="F14" s="62">
        <v>6.6917500000000005E-2</v>
      </c>
    </row>
    <row r="15" spans="1:7" x14ac:dyDescent="0.35">
      <c r="A15" s="45">
        <v>7</v>
      </c>
      <c r="B15" s="45" t="s">
        <v>50</v>
      </c>
      <c r="E15" s="59">
        <f t="shared" ref="E15:F15" si="1">ROUND(E12*E14,0)</f>
        <v>410340</v>
      </c>
      <c r="F15" s="59">
        <f t="shared" si="1"/>
        <v>176140</v>
      </c>
    </row>
    <row r="16" spans="1:7" x14ac:dyDescent="0.35">
      <c r="A16" s="45">
        <v>8</v>
      </c>
      <c r="B16" s="45" t="s">
        <v>153</v>
      </c>
      <c r="E16" s="63">
        <v>1.339844</v>
      </c>
      <c r="F16" s="63">
        <v>1.339844</v>
      </c>
    </row>
    <row r="17" spans="1:9" x14ac:dyDescent="0.35">
      <c r="A17" s="45">
        <v>9</v>
      </c>
      <c r="B17" s="45" t="s">
        <v>51</v>
      </c>
      <c r="E17" s="58">
        <f t="shared" ref="E17:F17" si="2">ROUND(E15*E16,0)</f>
        <v>549792</v>
      </c>
      <c r="F17" s="58">
        <f t="shared" si="2"/>
        <v>236000</v>
      </c>
      <c r="G17" s="58">
        <f>E17+F17</f>
        <v>785792</v>
      </c>
    </row>
    <row r="18" spans="1:9" x14ac:dyDescent="0.35">
      <c r="A18" s="45">
        <v>10</v>
      </c>
      <c r="B18" s="45" t="s">
        <v>67</v>
      </c>
      <c r="E18" s="64"/>
      <c r="F18" s="64"/>
      <c r="G18" s="65">
        <f>'Schedule III'!C36</f>
        <v>491718.83530990448</v>
      </c>
    </row>
    <row r="19" spans="1:9" x14ac:dyDescent="0.35">
      <c r="A19" s="45">
        <v>11</v>
      </c>
      <c r="B19" s="45" t="s">
        <v>52</v>
      </c>
      <c r="E19" s="66"/>
      <c r="F19" s="66"/>
      <c r="G19" s="67">
        <f>G17+G18</f>
        <v>1277510.8353099045</v>
      </c>
    </row>
    <row r="20" spans="1:9" x14ac:dyDescent="0.35">
      <c r="E20" s="66"/>
      <c r="F20" s="66"/>
      <c r="G20" s="67"/>
    </row>
    <row r="22" spans="1:9" x14ac:dyDescent="0.35">
      <c r="F22" s="73" t="s">
        <v>155</v>
      </c>
    </row>
    <row r="23" spans="1:9" x14ac:dyDescent="0.35">
      <c r="C23" s="73" t="s">
        <v>49</v>
      </c>
      <c r="D23" s="73"/>
      <c r="E23" s="73" t="s">
        <v>10</v>
      </c>
      <c r="F23" s="74" t="s">
        <v>248</v>
      </c>
      <c r="G23" s="74"/>
    </row>
    <row r="24" spans="1:9" x14ac:dyDescent="0.35">
      <c r="C24" s="75" t="s">
        <v>53</v>
      </c>
      <c r="D24" s="74" t="s">
        <v>8</v>
      </c>
      <c r="E24" s="74" t="s">
        <v>58</v>
      </c>
      <c r="F24" s="73" t="s">
        <v>247</v>
      </c>
      <c r="G24" s="74" t="s">
        <v>157</v>
      </c>
    </row>
    <row r="25" spans="1:9" x14ac:dyDescent="0.35">
      <c r="C25" s="76" t="s">
        <v>151</v>
      </c>
      <c r="D25" s="76" t="s">
        <v>9</v>
      </c>
      <c r="E25" s="76" t="s">
        <v>68</v>
      </c>
      <c r="F25" s="152" t="s">
        <v>246</v>
      </c>
      <c r="G25" s="76" t="s">
        <v>156</v>
      </c>
    </row>
    <row r="26" spans="1:9" x14ac:dyDescent="0.35">
      <c r="A26" s="45">
        <v>12</v>
      </c>
      <c r="B26" s="60" t="s">
        <v>4</v>
      </c>
      <c r="C26" s="77">
        <v>17392991</v>
      </c>
      <c r="D26" s="78">
        <f>C26/C30</f>
        <v>0.51393343008827819</v>
      </c>
      <c r="E26" s="64">
        <f>ROUND(D26*G$19,0)</f>
        <v>656556</v>
      </c>
      <c r="F26" s="69">
        <v>1686614</v>
      </c>
      <c r="G26" s="162">
        <f>E26/F26</f>
        <v>0.38927460580784934</v>
      </c>
      <c r="I26" s="70"/>
    </row>
    <row r="27" spans="1:9" x14ac:dyDescent="0.35">
      <c r="A27" s="45">
        <v>13</v>
      </c>
      <c r="B27" s="60" t="s">
        <v>5</v>
      </c>
      <c r="C27" s="69">
        <v>5243155</v>
      </c>
      <c r="D27" s="78">
        <f>C27/C30</f>
        <v>0.15492635128912022</v>
      </c>
      <c r="E27" s="64">
        <f>ROUND(D27*G$19,0)</f>
        <v>197920</v>
      </c>
      <c r="F27" s="69">
        <v>796451</v>
      </c>
      <c r="G27" s="162">
        <f>E27/F27</f>
        <v>0.24850241885564836</v>
      </c>
      <c r="I27" s="70"/>
    </row>
    <row r="28" spans="1:9" x14ac:dyDescent="0.35">
      <c r="A28" s="45">
        <v>14</v>
      </c>
      <c r="B28" s="60" t="s">
        <v>6</v>
      </c>
      <c r="C28" s="70">
        <v>9236757</v>
      </c>
      <c r="D28" s="80">
        <f>C28/C30</f>
        <v>0.27293052746947977</v>
      </c>
      <c r="E28" s="64">
        <f>ROUND(D28*G$19,0)</f>
        <v>348672</v>
      </c>
      <c r="F28" s="70">
        <v>2179457</v>
      </c>
      <c r="G28" s="162">
        <f>E28/F28</f>
        <v>0.15998113291521696</v>
      </c>
      <c r="I28" s="70"/>
    </row>
    <row r="29" spans="1:9" x14ac:dyDescent="0.35">
      <c r="A29" s="45">
        <v>15</v>
      </c>
      <c r="B29" s="60" t="s">
        <v>7</v>
      </c>
      <c r="C29" s="71">
        <v>1969984</v>
      </c>
      <c r="D29" s="81">
        <f>C29/C30</f>
        <v>5.820969115312178E-2</v>
      </c>
      <c r="E29" s="154">
        <f>ROUND(D29*G$19,0)</f>
        <v>74364</v>
      </c>
      <c r="F29" s="71">
        <v>1406651</v>
      </c>
      <c r="G29" s="163">
        <f>E29/F29</f>
        <v>5.2865991635451866E-2</v>
      </c>
      <c r="I29" s="70"/>
    </row>
    <row r="30" spans="1:9" x14ac:dyDescent="0.35">
      <c r="A30" s="45">
        <v>16</v>
      </c>
      <c r="B30" s="45" t="s">
        <v>60</v>
      </c>
      <c r="C30" s="58">
        <f>SUM(C26:C29)</f>
        <v>33842887</v>
      </c>
      <c r="D30" s="78">
        <f>SUM(D26:D29)</f>
        <v>1</v>
      </c>
      <c r="E30" s="64">
        <f>SUM(E26:E29)</f>
        <v>1277512</v>
      </c>
      <c r="F30" s="59">
        <f>SUM(F26:F29)</f>
        <v>6069173</v>
      </c>
      <c r="G30" s="79"/>
      <c r="I30" s="68"/>
    </row>
  </sheetData>
  <pageMargins left="0.7" right="0.7" top="0.75" bottom="0.75" header="0.3" footer="0.3"/>
  <pageSetup scale="99" orientation="landscape" r:id="rId1"/>
  <headerFooter>
    <oddHeader>&amp;RSchedule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0"/>
  <sheetViews>
    <sheetView view="pageBreakPreview" topLeftCell="B7" zoomScale="90" zoomScaleNormal="100" zoomScaleSheetLayoutView="90" workbookViewId="0">
      <selection activeCell="H22" sqref="H22"/>
    </sheetView>
  </sheetViews>
  <sheetFormatPr defaultColWidth="9" defaultRowHeight="14.5" x14ac:dyDescent="0.35"/>
  <cols>
    <col min="2" max="2" width="21" bestFit="1" customWidth="1"/>
    <col min="3" max="3" width="12.7265625" customWidth="1"/>
    <col min="4" max="4" width="3.7265625" customWidth="1"/>
    <col min="5" max="14" width="12.7265625" customWidth="1"/>
  </cols>
  <sheetData>
    <row r="1" spans="1:16" x14ac:dyDescent="0.35">
      <c r="A1" s="44" t="s">
        <v>47</v>
      </c>
      <c r="B1" s="45"/>
    </row>
    <row r="2" spans="1:16" x14ac:dyDescent="0.35">
      <c r="A2" s="44" t="s">
        <v>110</v>
      </c>
      <c r="B2" s="45"/>
    </row>
    <row r="3" spans="1:16" x14ac:dyDescent="0.35">
      <c r="F3" s="159"/>
      <c r="G3" s="159"/>
      <c r="H3" s="159"/>
      <c r="I3" s="159"/>
      <c r="J3" s="159"/>
      <c r="K3" s="159"/>
      <c r="L3" s="159"/>
      <c r="M3" s="159"/>
      <c r="N3" s="159"/>
    </row>
    <row r="4" spans="1:16" x14ac:dyDescent="0.35">
      <c r="E4" s="141">
        <v>2024</v>
      </c>
      <c r="F4" s="141">
        <v>2025</v>
      </c>
      <c r="G4" s="141">
        <v>2026</v>
      </c>
      <c r="H4" s="141">
        <v>2027</v>
      </c>
      <c r="I4" s="141">
        <v>2028</v>
      </c>
      <c r="J4" s="141">
        <v>2029</v>
      </c>
      <c r="K4" s="141">
        <v>2030</v>
      </c>
      <c r="L4" s="141">
        <v>2031</v>
      </c>
      <c r="M4" s="141">
        <v>2032</v>
      </c>
      <c r="N4" s="141">
        <v>2033</v>
      </c>
    </row>
    <row r="5" spans="1:16" x14ac:dyDescent="0.35">
      <c r="A5" s="19" t="s">
        <v>134</v>
      </c>
      <c r="E5" s="16">
        <f>+'Sch I Summary'!G19</f>
        <v>1277510.8353099045</v>
      </c>
      <c r="F5" s="16">
        <f>+E5+350000</f>
        <v>1627510.8353099045</v>
      </c>
      <c r="G5" s="16">
        <f>+F5+350000</f>
        <v>1977510.8353099045</v>
      </c>
      <c r="H5" s="16">
        <f>+G5+350000</f>
        <v>2327510.8353099045</v>
      </c>
      <c r="I5" s="16">
        <f>+H5+350000</f>
        <v>2677510.8353099045</v>
      </c>
      <c r="J5" s="165">
        <f>I5+AVERAGE($F6:$I6)</f>
        <v>3027510.8353099045</v>
      </c>
      <c r="K5" s="165">
        <f t="shared" ref="K5:N5" si="0">J5+AVERAGE($F6:$I6)</f>
        <v>3377510.8353099045</v>
      </c>
      <c r="L5" s="165">
        <f t="shared" si="0"/>
        <v>3727510.8353099045</v>
      </c>
      <c r="M5" s="165">
        <f t="shared" si="0"/>
        <v>4077510.8353099045</v>
      </c>
      <c r="N5" s="165">
        <f t="shared" si="0"/>
        <v>4427510.8353099041</v>
      </c>
      <c r="O5" s="17"/>
      <c r="P5" s="113"/>
    </row>
    <row r="6" spans="1:16" x14ac:dyDescent="0.35">
      <c r="A6" t="s">
        <v>162</v>
      </c>
      <c r="F6" s="16">
        <f>+F5-E5</f>
        <v>350000</v>
      </c>
      <c r="G6" s="16">
        <f>+G5-F5</f>
        <v>350000</v>
      </c>
      <c r="H6" s="16">
        <f>+H5-G5</f>
        <v>350000</v>
      </c>
      <c r="I6" s="16">
        <f>+I5-H5</f>
        <v>350000</v>
      </c>
      <c r="J6" s="16">
        <f t="shared" ref="J6:N6" si="1">+J5-I5</f>
        <v>350000</v>
      </c>
      <c r="K6" s="16">
        <f t="shared" si="1"/>
        <v>350000</v>
      </c>
      <c r="L6" s="16">
        <f t="shared" si="1"/>
        <v>350000</v>
      </c>
      <c r="M6" s="16">
        <f t="shared" si="1"/>
        <v>350000</v>
      </c>
      <c r="N6" s="16">
        <f t="shared" si="1"/>
        <v>349999.99999999953</v>
      </c>
      <c r="O6" s="17"/>
      <c r="P6" s="113"/>
    </row>
    <row r="7" spans="1:16" x14ac:dyDescent="0.35">
      <c r="F7" s="16"/>
      <c r="G7" s="16"/>
      <c r="H7" s="16"/>
      <c r="I7" s="16"/>
      <c r="J7" s="16"/>
      <c r="K7" s="16"/>
      <c r="L7" s="16"/>
      <c r="M7" s="16"/>
      <c r="N7" s="16"/>
      <c r="O7" s="17"/>
      <c r="P7" s="113"/>
    </row>
    <row r="8" spans="1:16" x14ac:dyDescent="0.35">
      <c r="A8" s="19" t="s">
        <v>135</v>
      </c>
      <c r="F8" s="16"/>
      <c r="G8" s="16"/>
      <c r="H8" s="16"/>
      <c r="I8" s="16"/>
      <c r="J8" s="16"/>
      <c r="K8" s="16"/>
      <c r="L8" s="16"/>
      <c r="M8" s="16"/>
      <c r="N8" s="16"/>
      <c r="O8" s="17"/>
      <c r="P8" s="113"/>
    </row>
    <row r="9" spans="1:16" x14ac:dyDescent="0.35">
      <c r="B9" s="143" t="s">
        <v>4</v>
      </c>
      <c r="E9" s="144">
        <f>+'Sch I Summary'!D26</f>
        <v>0.51393343008827819</v>
      </c>
      <c r="F9" s="16">
        <f>+F$5*$E9</f>
        <v>836432.22609665804</v>
      </c>
      <c r="G9" s="16">
        <f t="shared" ref="G9:N9" si="2">+G$5*$E9</f>
        <v>1016308.9266275554</v>
      </c>
      <c r="H9" s="16">
        <f t="shared" si="2"/>
        <v>1196185.6271584528</v>
      </c>
      <c r="I9" s="16">
        <f t="shared" si="2"/>
        <v>1376062.3276893501</v>
      </c>
      <c r="J9" s="16">
        <f t="shared" si="2"/>
        <v>1555939.0282202475</v>
      </c>
      <c r="K9" s="16">
        <f t="shared" si="2"/>
        <v>1735815.7287511448</v>
      </c>
      <c r="L9" s="16">
        <f t="shared" si="2"/>
        <v>1915692.4292820422</v>
      </c>
      <c r="M9" s="16">
        <f t="shared" si="2"/>
        <v>2095569.1298129396</v>
      </c>
      <c r="N9" s="16">
        <f t="shared" si="2"/>
        <v>2275445.8303438369</v>
      </c>
      <c r="O9" s="17"/>
      <c r="P9" s="113"/>
    </row>
    <row r="10" spans="1:16" x14ac:dyDescent="0.35">
      <c r="B10" s="143" t="s">
        <v>5</v>
      </c>
      <c r="E10" s="144">
        <f>+'Sch I Summary'!D27</f>
        <v>0.15492635128912022</v>
      </c>
      <c r="F10" s="16">
        <f t="shared" ref="F10:N12" si="3">+F$5*$E10</f>
        <v>252144.31539807175</v>
      </c>
      <c r="G10" s="16">
        <f t="shared" si="3"/>
        <v>306368.53834926384</v>
      </c>
      <c r="H10" s="16">
        <f t="shared" si="3"/>
        <v>360592.7613004559</v>
      </c>
      <c r="I10" s="16">
        <f t="shared" si="3"/>
        <v>414816.98425164795</v>
      </c>
      <c r="J10" s="16">
        <f t="shared" si="3"/>
        <v>469041.20720284007</v>
      </c>
      <c r="K10" s="16">
        <f t="shared" si="3"/>
        <v>523265.43015403213</v>
      </c>
      <c r="L10" s="16">
        <f t="shared" si="3"/>
        <v>577489.65310522425</v>
      </c>
      <c r="M10" s="16">
        <f t="shared" si="3"/>
        <v>631713.87605641631</v>
      </c>
      <c r="N10" s="16">
        <f t="shared" si="3"/>
        <v>685938.09900760825</v>
      </c>
      <c r="O10" s="17"/>
      <c r="P10" s="113"/>
    </row>
    <row r="11" spans="1:16" x14ac:dyDescent="0.35">
      <c r="B11" s="143" t="s">
        <v>6</v>
      </c>
      <c r="E11" s="144">
        <f>+'Sch I Summary'!D28</f>
        <v>0.27293052746947977</v>
      </c>
      <c r="F11" s="16">
        <f t="shared" si="3"/>
        <v>444197.39074342587</v>
      </c>
      <c r="G11" s="16">
        <f t="shared" si="3"/>
        <v>539723.07535774377</v>
      </c>
      <c r="H11" s="16">
        <f t="shared" si="3"/>
        <v>635248.75997206173</v>
      </c>
      <c r="I11" s="16">
        <f t="shared" si="3"/>
        <v>730774.44458637957</v>
      </c>
      <c r="J11" s="16">
        <f t="shared" si="3"/>
        <v>826300.12920069753</v>
      </c>
      <c r="K11" s="16">
        <f t="shared" si="3"/>
        <v>921825.81381501548</v>
      </c>
      <c r="L11" s="16">
        <f t="shared" si="3"/>
        <v>1017351.4984293333</v>
      </c>
      <c r="M11" s="16">
        <f t="shared" si="3"/>
        <v>1112877.1830436513</v>
      </c>
      <c r="N11" s="16">
        <f t="shared" si="3"/>
        <v>1208402.867657969</v>
      </c>
      <c r="O11" s="17"/>
      <c r="P11" s="113"/>
    </row>
    <row r="12" spans="1:16" x14ac:dyDescent="0.35">
      <c r="B12" s="143" t="s">
        <v>7</v>
      </c>
      <c r="E12" s="144">
        <f>+'Sch I Summary'!D29</f>
        <v>5.820969115312178E-2</v>
      </c>
      <c r="F12" s="16">
        <f t="shared" si="3"/>
        <v>94736.903071748791</v>
      </c>
      <c r="G12" s="16">
        <f t="shared" si="3"/>
        <v>115110.29497534141</v>
      </c>
      <c r="H12" s="16">
        <f t="shared" si="3"/>
        <v>135483.68687893404</v>
      </c>
      <c r="I12" s="16">
        <f t="shared" si="3"/>
        <v>155857.07878252666</v>
      </c>
      <c r="J12" s="16">
        <f t="shared" si="3"/>
        <v>176230.47068611928</v>
      </c>
      <c r="K12" s="16">
        <f t="shared" si="3"/>
        <v>196603.86258971191</v>
      </c>
      <c r="L12" s="16">
        <f t="shared" si="3"/>
        <v>216977.25449330453</v>
      </c>
      <c r="M12" s="16">
        <f t="shared" si="3"/>
        <v>237350.64639689715</v>
      </c>
      <c r="N12" s="16">
        <f t="shared" si="3"/>
        <v>257724.03830048974</v>
      </c>
      <c r="O12" s="17"/>
      <c r="P12" s="113"/>
    </row>
    <row r="13" spans="1:16" x14ac:dyDescent="0.35"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3"/>
    </row>
    <row r="14" spans="1:16" x14ac:dyDescent="0.35"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3"/>
    </row>
    <row r="15" spans="1:16" x14ac:dyDescent="0.35">
      <c r="A15" s="19" t="s">
        <v>155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3"/>
    </row>
    <row r="16" spans="1:16" x14ac:dyDescent="0.35">
      <c r="B16" s="143" t="s">
        <v>4</v>
      </c>
      <c r="E16" s="145">
        <f>+'Sch I Summary'!F26</f>
        <v>1686614</v>
      </c>
      <c r="F16" s="17">
        <f>+$E16</f>
        <v>1686614</v>
      </c>
      <c r="G16" s="17">
        <f t="shared" ref="G16:N16" si="4">+$E16</f>
        <v>1686614</v>
      </c>
      <c r="H16" s="17">
        <f t="shared" si="4"/>
        <v>1686614</v>
      </c>
      <c r="I16" s="17">
        <f t="shared" si="4"/>
        <v>1686614</v>
      </c>
      <c r="J16" s="17">
        <f t="shared" si="4"/>
        <v>1686614</v>
      </c>
      <c r="K16" s="17">
        <f t="shared" si="4"/>
        <v>1686614</v>
      </c>
      <c r="L16" s="17">
        <f t="shared" si="4"/>
        <v>1686614</v>
      </c>
      <c r="M16" s="17">
        <f t="shared" si="4"/>
        <v>1686614</v>
      </c>
      <c r="N16" s="17">
        <f t="shared" si="4"/>
        <v>1686614</v>
      </c>
      <c r="O16" s="17"/>
      <c r="P16" s="113"/>
    </row>
    <row r="17" spans="1:16" x14ac:dyDescent="0.35">
      <c r="B17" s="143" t="s">
        <v>5</v>
      </c>
      <c r="E17" s="145">
        <f>+'Sch I Summary'!F27</f>
        <v>796451</v>
      </c>
      <c r="F17" s="17">
        <f t="shared" ref="F17:N19" si="5">+$E17</f>
        <v>796451</v>
      </c>
      <c r="G17" s="17">
        <f t="shared" si="5"/>
        <v>796451</v>
      </c>
      <c r="H17" s="17">
        <f t="shared" si="5"/>
        <v>796451</v>
      </c>
      <c r="I17" s="17">
        <f t="shared" si="5"/>
        <v>796451</v>
      </c>
      <c r="J17" s="17">
        <f t="shared" si="5"/>
        <v>796451</v>
      </c>
      <c r="K17" s="17">
        <f t="shared" si="5"/>
        <v>796451</v>
      </c>
      <c r="L17" s="17">
        <f t="shared" si="5"/>
        <v>796451</v>
      </c>
      <c r="M17" s="17">
        <f t="shared" si="5"/>
        <v>796451</v>
      </c>
      <c r="N17" s="17">
        <f t="shared" si="5"/>
        <v>796451</v>
      </c>
      <c r="O17" s="17"/>
      <c r="P17" s="113"/>
    </row>
    <row r="18" spans="1:16" x14ac:dyDescent="0.35">
      <c r="B18" s="143" t="s">
        <v>6</v>
      </c>
      <c r="E18" s="145">
        <f>+'Sch I Summary'!F28</f>
        <v>2179457</v>
      </c>
      <c r="F18" s="17">
        <f t="shared" si="5"/>
        <v>2179457</v>
      </c>
      <c r="G18" s="17">
        <f t="shared" si="5"/>
        <v>2179457</v>
      </c>
      <c r="H18" s="17">
        <f t="shared" si="5"/>
        <v>2179457</v>
      </c>
      <c r="I18" s="17">
        <f t="shared" si="5"/>
        <v>2179457</v>
      </c>
      <c r="J18" s="17">
        <f t="shared" si="5"/>
        <v>2179457</v>
      </c>
      <c r="K18" s="17">
        <f t="shared" si="5"/>
        <v>2179457</v>
      </c>
      <c r="L18" s="17">
        <f t="shared" si="5"/>
        <v>2179457</v>
      </c>
      <c r="M18" s="17">
        <f t="shared" si="5"/>
        <v>2179457</v>
      </c>
      <c r="N18" s="17">
        <f t="shared" si="5"/>
        <v>2179457</v>
      </c>
      <c r="O18" s="17"/>
      <c r="P18" s="113"/>
    </row>
    <row r="19" spans="1:16" x14ac:dyDescent="0.35">
      <c r="B19" s="143" t="s">
        <v>7</v>
      </c>
      <c r="E19" s="145">
        <f>+'Sch I Summary'!F29</f>
        <v>1406651</v>
      </c>
      <c r="F19" s="17">
        <f t="shared" si="5"/>
        <v>1406651</v>
      </c>
      <c r="G19" s="17">
        <f t="shared" si="5"/>
        <v>1406651</v>
      </c>
      <c r="H19" s="17">
        <f t="shared" si="5"/>
        <v>1406651</v>
      </c>
      <c r="I19" s="17">
        <f t="shared" si="5"/>
        <v>1406651</v>
      </c>
      <c r="J19" s="17">
        <f t="shared" si="5"/>
        <v>1406651</v>
      </c>
      <c r="K19" s="17">
        <f t="shared" si="5"/>
        <v>1406651</v>
      </c>
      <c r="L19" s="17">
        <f t="shared" si="5"/>
        <v>1406651</v>
      </c>
      <c r="M19" s="17">
        <f t="shared" si="5"/>
        <v>1406651</v>
      </c>
      <c r="N19" s="17">
        <f t="shared" si="5"/>
        <v>1406651</v>
      </c>
      <c r="O19" s="17"/>
      <c r="P19" s="113"/>
    </row>
    <row r="20" spans="1:16" x14ac:dyDescent="0.35">
      <c r="E20" s="12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13"/>
    </row>
    <row r="21" spans="1:16" x14ac:dyDescent="0.35">
      <c r="E21" s="12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13"/>
    </row>
    <row r="22" spans="1:16" x14ac:dyDescent="0.35">
      <c r="A22" s="19" t="s">
        <v>163</v>
      </c>
      <c r="E22" s="12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13"/>
    </row>
    <row r="23" spans="1:16" x14ac:dyDescent="0.35">
      <c r="C23" s="15" t="s">
        <v>136</v>
      </c>
      <c r="D23" s="15"/>
      <c r="E23" s="1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13"/>
    </row>
    <row r="24" spans="1:16" x14ac:dyDescent="0.35">
      <c r="C24" s="141" t="s">
        <v>137</v>
      </c>
      <c r="D24" s="141"/>
      <c r="E24" s="141" t="s">
        <v>138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13"/>
    </row>
    <row r="25" spans="1:16" x14ac:dyDescent="0.35">
      <c r="B25" s="143" t="s">
        <v>4</v>
      </c>
      <c r="C25" s="160">
        <v>0.11749999999999999</v>
      </c>
      <c r="D25" s="146"/>
      <c r="E25" s="160">
        <f>+'Sch I Summary'!G26</f>
        <v>0.38927460580784934</v>
      </c>
      <c r="F25" s="164">
        <f>+F9/F16</f>
        <v>0.4959239198160682</v>
      </c>
      <c r="G25" s="164">
        <f t="shared" ref="G25:N25" si="6">+G9/G16</f>
        <v>0.60257351511819268</v>
      </c>
      <c r="H25" s="164">
        <f t="shared" si="6"/>
        <v>0.70922311042031716</v>
      </c>
      <c r="I25" s="164">
        <f t="shared" si="6"/>
        <v>0.81587270572244164</v>
      </c>
      <c r="J25" s="164">
        <f t="shared" si="6"/>
        <v>0.92252230102456612</v>
      </c>
      <c r="K25" s="164">
        <f t="shared" si="6"/>
        <v>1.0291718963266905</v>
      </c>
      <c r="L25" s="164">
        <f t="shared" si="6"/>
        <v>1.135821491628815</v>
      </c>
      <c r="M25" s="164">
        <f t="shared" si="6"/>
        <v>1.2424710869309394</v>
      </c>
      <c r="N25" s="164">
        <f t="shared" si="6"/>
        <v>1.3491206822330639</v>
      </c>
      <c r="O25" s="17"/>
      <c r="P25" s="113"/>
    </row>
    <row r="26" spans="1:16" x14ac:dyDescent="0.35">
      <c r="B26" s="143" t="s">
        <v>5</v>
      </c>
      <c r="C26" s="161">
        <v>7.5009999999999993E-2</v>
      </c>
      <c r="D26" s="147"/>
      <c r="E26" s="161">
        <f>+'Sch I Summary'!G27</f>
        <v>0.24850241885564836</v>
      </c>
      <c r="F26" s="164">
        <f t="shared" ref="F26:N28" si="7">+F10/F17</f>
        <v>0.31658484376072321</v>
      </c>
      <c r="G26" s="164">
        <f t="shared" si="7"/>
        <v>0.38466715259226725</v>
      </c>
      <c r="H26" s="164">
        <f t="shared" si="7"/>
        <v>0.45274946142381123</v>
      </c>
      <c r="I26" s="164">
        <f t="shared" si="7"/>
        <v>0.52083177025535521</v>
      </c>
      <c r="J26" s="164">
        <f t="shared" si="7"/>
        <v>0.5889140790868993</v>
      </c>
      <c r="K26" s="164">
        <f t="shared" si="7"/>
        <v>0.65699638791844339</v>
      </c>
      <c r="L26" s="164">
        <f t="shared" si="7"/>
        <v>0.72507869674998748</v>
      </c>
      <c r="M26" s="164">
        <f t="shared" si="7"/>
        <v>0.79316100558153146</v>
      </c>
      <c r="N26" s="164">
        <f t="shared" si="7"/>
        <v>0.86124331441307533</v>
      </c>
      <c r="O26" s="147"/>
      <c r="P26" s="113"/>
    </row>
    <row r="27" spans="1:16" x14ac:dyDescent="0.35">
      <c r="B27" s="143" t="s">
        <v>6</v>
      </c>
      <c r="C27" s="161">
        <v>4.829E-2</v>
      </c>
      <c r="D27" s="147"/>
      <c r="E27" s="161">
        <f>+'Sch I Summary'!G28</f>
        <v>0.15998113291521696</v>
      </c>
      <c r="F27" s="164">
        <f t="shared" si="7"/>
        <v>0.2038110367598103</v>
      </c>
      <c r="G27" s="164">
        <f t="shared" si="7"/>
        <v>0.2476410754411506</v>
      </c>
      <c r="H27" s="164">
        <f t="shared" si="7"/>
        <v>0.29147111412249094</v>
      </c>
      <c r="I27" s="164">
        <f t="shared" si="7"/>
        <v>0.33530115280383122</v>
      </c>
      <c r="J27" s="164">
        <f t="shared" si="7"/>
        <v>0.37913119148517155</v>
      </c>
      <c r="K27" s="164">
        <f t="shared" si="7"/>
        <v>0.42296123016651188</v>
      </c>
      <c r="L27" s="164">
        <f t="shared" si="7"/>
        <v>0.46679126884785216</v>
      </c>
      <c r="M27" s="164">
        <f t="shared" si="7"/>
        <v>0.51062130752919255</v>
      </c>
      <c r="N27" s="164">
        <f t="shared" si="7"/>
        <v>0.55445134621053271</v>
      </c>
      <c r="O27" s="147"/>
      <c r="P27" s="113"/>
    </row>
    <row r="28" spans="1:16" x14ac:dyDescent="0.35">
      <c r="B28" s="143" t="s">
        <v>7</v>
      </c>
      <c r="C28" s="161">
        <v>1.5959999999999998E-2</v>
      </c>
      <c r="D28" s="147"/>
      <c r="E28" s="161">
        <f>+'Sch I Summary'!G29</f>
        <v>5.2865991635451866E-2</v>
      </c>
      <c r="F28" s="164">
        <f t="shared" si="7"/>
        <v>6.7349259391098995E-2</v>
      </c>
      <c r="G28" s="164">
        <f t="shared" si="7"/>
        <v>8.1832874661405999E-2</v>
      </c>
      <c r="H28" s="164">
        <f t="shared" si="7"/>
        <v>9.6316489931713004E-2</v>
      </c>
      <c r="I28" s="164">
        <f t="shared" si="7"/>
        <v>0.11080010520202002</v>
      </c>
      <c r="J28" s="164">
        <f t="shared" si="7"/>
        <v>0.12528372047232703</v>
      </c>
      <c r="K28" s="164">
        <f t="shared" si="7"/>
        <v>0.13976733574263403</v>
      </c>
      <c r="L28" s="164">
        <f t="shared" si="7"/>
        <v>0.15425095101294103</v>
      </c>
      <c r="M28" s="164">
        <f t="shared" si="7"/>
        <v>0.16873456628324804</v>
      </c>
      <c r="N28" s="164">
        <f t="shared" si="7"/>
        <v>0.18321818155355504</v>
      </c>
      <c r="O28" s="147"/>
      <c r="P28" s="113"/>
    </row>
    <row r="29" spans="1:16" x14ac:dyDescent="0.35">
      <c r="C29" s="147"/>
      <c r="D29" s="147"/>
      <c r="E29" s="148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21"/>
    </row>
    <row r="30" spans="1:16" x14ac:dyDescent="0.35">
      <c r="C30" s="149"/>
      <c r="E30" s="149"/>
    </row>
  </sheetData>
  <hyperlinks>
    <hyperlink ref="J5" r:id="rId1" display="=I5+@average(F6:I6)" xr:uid="{00000000-0004-0000-0900-000000000000}"/>
    <hyperlink ref="K5:N5" r:id="rId2" display="=I5+@average(F6:I6)" xr:uid="{00000000-0004-0000-0900-000001000000}"/>
  </hyperlinks>
  <pageMargins left="0.7" right="0.7" top="0.75" bottom="0.75" header="0.3" footer="0.3"/>
  <pageSetup paperSize="5" scale="92" orientation="landscape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8"/>
  <sheetViews>
    <sheetView view="pageBreakPreview" zoomScaleNormal="100" zoomScaleSheetLayoutView="100" workbookViewId="0">
      <selection activeCell="I27" sqref="I27"/>
    </sheetView>
  </sheetViews>
  <sheetFormatPr defaultColWidth="9.1796875" defaultRowHeight="13" x14ac:dyDescent="0.35"/>
  <cols>
    <col min="1" max="1" width="13.54296875" style="50" customWidth="1"/>
    <col min="2" max="2" width="33.453125" style="50" bestFit="1" customWidth="1"/>
    <col min="3" max="3" width="12.54296875" style="50" customWidth="1"/>
    <col min="4" max="4" width="12.26953125" style="50" customWidth="1"/>
    <col min="5" max="5" width="12.54296875" style="50" bestFit="1" customWidth="1"/>
    <col min="6" max="7" width="9.1796875" style="50"/>
    <col min="8" max="8" width="13.26953125" style="50" bestFit="1" customWidth="1"/>
    <col min="9" max="16384" width="9.1796875" style="50"/>
  </cols>
  <sheetData>
    <row r="1" spans="1:8" x14ac:dyDescent="0.35">
      <c r="A1" s="49" t="s">
        <v>47</v>
      </c>
      <c r="F1" s="150" t="s">
        <v>139</v>
      </c>
    </row>
    <row r="2" spans="1:8" x14ac:dyDescent="0.35">
      <c r="A2" s="49" t="s">
        <v>180</v>
      </c>
    </row>
    <row r="4" spans="1:8" x14ac:dyDescent="0.35">
      <c r="A4" s="51"/>
      <c r="B4" s="51" t="s">
        <v>95</v>
      </c>
      <c r="C4" s="51"/>
      <c r="D4" s="51"/>
    </row>
    <row r="5" spans="1:8" x14ac:dyDescent="0.35">
      <c r="A5" s="51"/>
      <c r="B5" s="51" t="s">
        <v>70</v>
      </c>
      <c r="C5" s="51"/>
      <c r="D5" s="218" t="s">
        <v>133</v>
      </c>
      <c r="E5" s="218"/>
      <c r="F5" s="52" t="s">
        <v>73</v>
      </c>
    </row>
    <row r="6" spans="1:8" x14ac:dyDescent="0.35">
      <c r="A6" s="51"/>
      <c r="B6" s="51" t="s">
        <v>96</v>
      </c>
      <c r="C6" s="51" t="s">
        <v>98</v>
      </c>
      <c r="D6" s="51"/>
    </row>
    <row r="7" spans="1:8" x14ac:dyDescent="0.35">
      <c r="A7" s="173" t="s">
        <v>85</v>
      </c>
      <c r="B7" s="173" t="s">
        <v>97</v>
      </c>
      <c r="C7" s="173" t="s">
        <v>71</v>
      </c>
      <c r="D7" s="173" t="s">
        <v>81</v>
      </c>
      <c r="E7" s="173" t="s">
        <v>84</v>
      </c>
    </row>
    <row r="8" spans="1:8" x14ac:dyDescent="0.35">
      <c r="D8" s="53"/>
      <c r="E8" s="53"/>
    </row>
    <row r="9" spans="1:8" x14ac:dyDescent="0.35">
      <c r="A9" s="130" t="s">
        <v>87</v>
      </c>
      <c r="B9" s="131" t="s">
        <v>113</v>
      </c>
      <c r="C9" s="132">
        <v>42240</v>
      </c>
      <c r="D9" s="133">
        <f>C9*57.78</f>
        <v>2440627.2000000002</v>
      </c>
      <c r="E9" s="133">
        <f>C9*95.38</f>
        <v>4028851.1999999997</v>
      </c>
      <c r="F9" s="105"/>
    </row>
    <row r="10" spans="1:8" x14ac:dyDescent="0.35">
      <c r="A10" s="130"/>
      <c r="B10" s="131"/>
      <c r="C10" s="135">
        <f>SUM(C9)</f>
        <v>42240</v>
      </c>
      <c r="D10" s="136">
        <f>SUM(D9)</f>
        <v>2440627.2000000002</v>
      </c>
      <c r="E10" s="136">
        <f>SUM(E9)</f>
        <v>4028851.1999999997</v>
      </c>
      <c r="F10" s="105"/>
    </row>
    <row r="11" spans="1:8" x14ac:dyDescent="0.35">
      <c r="A11" s="130"/>
      <c r="B11" s="131"/>
      <c r="C11" s="134"/>
      <c r="D11" s="133"/>
      <c r="E11" s="133"/>
      <c r="F11" s="105"/>
    </row>
    <row r="12" spans="1:8" x14ac:dyDescent="0.35">
      <c r="A12" s="130" t="s">
        <v>93</v>
      </c>
      <c r="B12" s="131" t="s">
        <v>113</v>
      </c>
      <c r="C12" s="134">
        <v>42240</v>
      </c>
      <c r="D12" s="133">
        <f>C12*57.78</f>
        <v>2440627.2000000002</v>
      </c>
      <c r="E12" s="133">
        <f>C12*95.38</f>
        <v>4028851.1999999997</v>
      </c>
      <c r="F12" s="105"/>
    </row>
    <row r="13" spans="1:8" x14ac:dyDescent="0.35">
      <c r="A13" s="130"/>
      <c r="B13" s="131"/>
      <c r="C13" s="135">
        <f>SUM(C12)</f>
        <v>42240</v>
      </c>
      <c r="D13" s="136">
        <f>SUM(D12)</f>
        <v>2440627.2000000002</v>
      </c>
      <c r="E13" s="136">
        <f>SUM(E12)</f>
        <v>4028851.1999999997</v>
      </c>
      <c r="F13" s="105"/>
    </row>
    <row r="14" spans="1:8" ht="14.5" x14ac:dyDescent="0.35">
      <c r="A14" s="130"/>
      <c r="B14" s="130"/>
      <c r="C14"/>
      <c r="D14"/>
      <c r="E14"/>
      <c r="G14" s="56"/>
      <c r="H14" s="56"/>
    </row>
    <row r="15" spans="1:8" x14ac:dyDescent="0.35">
      <c r="A15" s="130"/>
      <c r="B15" s="130"/>
      <c r="C15" s="132"/>
      <c r="D15" s="157"/>
      <c r="E15" s="157"/>
      <c r="G15" s="56"/>
      <c r="H15" s="56"/>
    </row>
    <row r="16" spans="1:8" x14ac:dyDescent="0.35">
      <c r="A16" s="130"/>
      <c r="B16" s="131"/>
      <c r="C16" s="132"/>
      <c r="D16" s="133"/>
      <c r="E16" s="133"/>
      <c r="F16" s="105"/>
    </row>
    <row r="17" spans="1:8" x14ac:dyDescent="0.35">
      <c r="A17" s="130"/>
      <c r="B17" s="130"/>
      <c r="C17" s="132"/>
      <c r="D17" s="157"/>
      <c r="E17" s="157"/>
      <c r="G17" s="56"/>
      <c r="H17" s="56"/>
    </row>
    <row r="18" spans="1:8" x14ac:dyDescent="0.35">
      <c r="A18" s="130"/>
      <c r="B18" s="130"/>
      <c r="C18" s="132"/>
      <c r="D18" s="137"/>
      <c r="E18" s="130"/>
    </row>
    <row r="19" spans="1:8" x14ac:dyDescent="0.35">
      <c r="A19" s="130"/>
      <c r="B19" s="131"/>
      <c r="C19" s="134"/>
      <c r="D19" s="133"/>
      <c r="E19" s="133"/>
    </row>
    <row r="20" spans="1:8" x14ac:dyDescent="0.35">
      <c r="A20" s="130"/>
      <c r="B20" s="131"/>
      <c r="C20" s="134"/>
      <c r="D20" s="133"/>
      <c r="E20" s="133"/>
    </row>
    <row r="21" spans="1:8" x14ac:dyDescent="0.35">
      <c r="A21" s="130"/>
      <c r="B21" s="130"/>
      <c r="C21" s="134"/>
      <c r="D21" s="133"/>
      <c r="E21" s="133"/>
    </row>
    <row r="22" spans="1:8" x14ac:dyDescent="0.35">
      <c r="A22" s="130"/>
      <c r="B22" s="130"/>
      <c r="C22" s="134"/>
      <c r="D22" s="133"/>
      <c r="E22" s="133"/>
    </row>
    <row r="23" spans="1:8" x14ac:dyDescent="0.35">
      <c r="A23" s="130"/>
      <c r="B23" s="130"/>
      <c r="C23" s="132"/>
      <c r="D23" s="157"/>
      <c r="E23" s="157"/>
      <c r="G23" s="56"/>
    </row>
    <row r="24" spans="1:8" x14ac:dyDescent="0.35">
      <c r="A24" s="130"/>
      <c r="B24" s="130"/>
      <c r="C24" s="132"/>
      <c r="D24" s="157"/>
      <c r="E24" s="157"/>
      <c r="G24" s="56"/>
    </row>
    <row r="25" spans="1:8" ht="14.5" x14ac:dyDescent="0.35">
      <c r="A25"/>
      <c r="B25"/>
      <c r="C25"/>
      <c r="D25"/>
      <c r="E25"/>
      <c r="G25" s="56"/>
    </row>
    <row r="26" spans="1:8" ht="14.5" x14ac:dyDescent="0.35">
      <c r="A26"/>
      <c r="B26"/>
      <c r="C26"/>
      <c r="D26"/>
      <c r="E26"/>
      <c r="G26" s="56"/>
    </row>
    <row r="27" spans="1:8" x14ac:dyDescent="0.35">
      <c r="A27" s="130"/>
      <c r="B27" s="131"/>
      <c r="C27" s="132"/>
      <c r="D27" s="157"/>
      <c r="E27" s="157"/>
      <c r="G27" s="56"/>
    </row>
    <row r="28" spans="1:8" x14ac:dyDescent="0.35">
      <c r="A28" s="130"/>
      <c r="B28" s="130"/>
      <c r="C28" s="132"/>
      <c r="D28" s="157"/>
      <c r="E28" s="157"/>
      <c r="G28" s="56"/>
    </row>
    <row r="29" spans="1:8" x14ac:dyDescent="0.35">
      <c r="A29" s="130"/>
      <c r="B29" s="131"/>
      <c r="C29" s="132"/>
      <c r="D29" s="133"/>
      <c r="E29" s="133"/>
      <c r="G29" s="56"/>
    </row>
    <row r="30" spans="1:8" x14ac:dyDescent="0.35">
      <c r="A30" s="130"/>
      <c r="B30" s="131"/>
      <c r="C30" s="132"/>
      <c r="D30" s="133"/>
      <c r="E30" s="133"/>
      <c r="G30" s="56"/>
    </row>
    <row r="31" spans="1:8" x14ac:dyDescent="0.35">
      <c r="A31" s="130"/>
      <c r="B31" s="130"/>
      <c r="C31" s="132"/>
      <c r="D31" s="157"/>
      <c r="E31" s="157"/>
      <c r="G31" s="56"/>
    </row>
    <row r="32" spans="1:8" x14ac:dyDescent="0.35">
      <c r="A32" s="130"/>
      <c r="B32" s="130"/>
      <c r="C32" s="132"/>
      <c r="D32" s="157"/>
      <c r="E32" s="157"/>
      <c r="G32" s="56"/>
    </row>
    <row r="33" spans="1:8" x14ac:dyDescent="0.35">
      <c r="A33" s="130"/>
      <c r="B33" s="130"/>
      <c r="C33" s="56"/>
      <c r="D33" s="130"/>
      <c r="E33" s="130"/>
    </row>
    <row r="34" spans="1:8" ht="13.5" thickBot="1" x14ac:dyDescent="0.4">
      <c r="A34" s="130"/>
      <c r="B34" s="131" t="s">
        <v>181</v>
      </c>
      <c r="C34" s="138">
        <f>SUM(C13,C10)</f>
        <v>84480</v>
      </c>
      <c r="D34" s="139">
        <f>SUM(D13,D10)</f>
        <v>4881254.4000000004</v>
      </c>
      <c r="E34" s="139">
        <f>SUM(E13,E10)</f>
        <v>8057702.3999999994</v>
      </c>
      <c r="H34" s="56"/>
    </row>
    <row r="35" spans="1:8" x14ac:dyDescent="0.35">
      <c r="B35" s="54"/>
      <c r="C35" s="140"/>
      <c r="D35" s="55"/>
      <c r="E35" s="55"/>
      <c r="H35" s="56"/>
    </row>
    <row r="36" spans="1:8" ht="37.5" customHeight="1" x14ac:dyDescent="0.35">
      <c r="A36" s="105" t="s">
        <v>73</v>
      </c>
      <c r="B36" s="220" t="s">
        <v>167</v>
      </c>
      <c r="C36" s="220"/>
      <c r="D36" s="220"/>
      <c r="E36" s="220"/>
      <c r="F36" s="201"/>
    </row>
    <row r="37" spans="1:8" ht="37.5" customHeight="1" x14ac:dyDescent="0.35">
      <c r="A37" s="105"/>
      <c r="B37" s="201"/>
      <c r="C37" s="201"/>
      <c r="D37" s="201"/>
      <c r="E37" s="201"/>
      <c r="F37" s="201"/>
    </row>
    <row r="38" spans="1:8" ht="37.5" customHeight="1" x14ac:dyDescent="0.35">
      <c r="A38" s="105"/>
      <c r="B38" s="155"/>
      <c r="C38" s="155"/>
      <c r="D38" s="155"/>
      <c r="E38" s="155"/>
      <c r="F38" s="155"/>
    </row>
    <row r="39" spans="1:8" ht="37.5" customHeight="1" x14ac:dyDescent="0.35">
      <c r="A39" s="105"/>
      <c r="B39" s="155"/>
      <c r="C39" s="155"/>
      <c r="D39" s="155"/>
      <c r="E39" s="155"/>
      <c r="F39" s="155"/>
    </row>
    <row r="40" spans="1:8" ht="37.5" customHeight="1" x14ac:dyDescent="0.35">
      <c r="A40" s="105"/>
      <c r="B40" s="155"/>
      <c r="C40" s="155"/>
      <c r="D40" s="155"/>
      <c r="E40" s="155"/>
      <c r="F40" s="155"/>
    </row>
    <row r="41" spans="1:8" ht="37.5" customHeight="1" x14ac:dyDescent="0.35">
      <c r="A41" s="105"/>
      <c r="B41" s="155"/>
      <c r="C41" s="155"/>
      <c r="D41" s="155"/>
      <c r="E41" s="155"/>
      <c r="F41" s="155"/>
    </row>
    <row r="42" spans="1:8" ht="25.9" customHeight="1" x14ac:dyDescent="0.35">
      <c r="A42" s="105"/>
      <c r="B42" s="219"/>
      <c r="C42" s="219"/>
      <c r="D42" s="219"/>
      <c r="E42" s="219"/>
      <c r="F42" s="219"/>
    </row>
    <row r="43" spans="1:8" x14ac:dyDescent="0.3">
      <c r="B43" s="121"/>
      <c r="C43" s="121"/>
      <c r="D43" s="121"/>
      <c r="E43" s="121"/>
      <c r="F43" s="121"/>
    </row>
    <row r="44" spans="1:8" x14ac:dyDescent="0.3">
      <c r="B44" s="121"/>
      <c r="C44" s="121"/>
      <c r="D44" s="121"/>
      <c r="E44" s="121"/>
      <c r="F44" s="121"/>
    </row>
    <row r="48" spans="1:8" x14ac:dyDescent="0.35">
      <c r="C48" s="56"/>
    </row>
  </sheetData>
  <mergeCells count="3">
    <mergeCell ref="D5:E5"/>
    <mergeCell ref="B42:F42"/>
    <mergeCell ref="B36:E36"/>
  </mergeCells>
  <pageMargins left="0.75" right="0.25" top="0.75" bottom="0.75" header="0.3" footer="0.3"/>
  <pageSetup fitToHeight="0" orientation="portrait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5"/>
  <sheetViews>
    <sheetView view="pageBreakPreview" zoomScaleNormal="100" zoomScaleSheetLayoutView="100" workbookViewId="0">
      <selection activeCell="G13" sqref="G13"/>
    </sheetView>
  </sheetViews>
  <sheetFormatPr defaultRowHeight="14.5" x14ac:dyDescent="0.35"/>
  <cols>
    <col min="22" max="22" width="9.1796875"/>
  </cols>
  <sheetData>
    <row r="1" spans="1:23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3" x14ac:dyDescent="0.35">
      <c r="A2">
        <v>7</v>
      </c>
      <c r="B2" s="3">
        <v>0.14285999999999999</v>
      </c>
      <c r="C2" s="3">
        <v>0.24490000000000001</v>
      </c>
      <c r="D2" s="3">
        <v>0.17491999999999999</v>
      </c>
      <c r="E2" s="3">
        <v>0.12495000000000001</v>
      </c>
      <c r="F2" s="3">
        <v>8.9249999999999996E-2</v>
      </c>
      <c r="G2" s="3">
        <v>8.9249999999999996E-2</v>
      </c>
      <c r="H2" s="3">
        <v>8.9249999999999996E-2</v>
      </c>
      <c r="I2" s="3">
        <v>4.462E-2</v>
      </c>
      <c r="J2" s="3"/>
      <c r="K2" s="3"/>
      <c r="W2" s="114">
        <f>SUM(B2:V2)</f>
        <v>1.0000000000000002</v>
      </c>
    </row>
    <row r="3" spans="1:23" x14ac:dyDescent="0.35">
      <c r="A3">
        <v>15</v>
      </c>
      <c r="B3" s="3">
        <v>0.05</v>
      </c>
      <c r="C3" s="3">
        <v>9.5000000000000001E-2</v>
      </c>
      <c r="D3" s="3">
        <v>8.5500000000000007E-2</v>
      </c>
      <c r="E3" s="3">
        <v>7.6950000000000005E-2</v>
      </c>
      <c r="F3" s="3">
        <v>6.9250000000000006E-2</v>
      </c>
      <c r="G3" s="3">
        <v>6.2330000000000003E-2</v>
      </c>
      <c r="H3" s="3">
        <v>5.9049999999999998E-2</v>
      </c>
      <c r="I3" s="3">
        <v>5.9049999999999998E-2</v>
      </c>
      <c r="J3" s="3">
        <v>5.9049999999999998E-2</v>
      </c>
      <c r="K3" s="3">
        <v>5.9049999999999998E-2</v>
      </c>
      <c r="L3" s="3">
        <v>5.9049999999999998E-2</v>
      </c>
      <c r="M3" s="3">
        <v>5.9049999999999998E-2</v>
      </c>
      <c r="N3" s="3">
        <v>5.9049999999999998E-2</v>
      </c>
      <c r="O3" s="3">
        <v>5.9049999999999998E-2</v>
      </c>
      <c r="P3" s="3">
        <v>5.9049999999999998E-2</v>
      </c>
      <c r="Q3" s="3">
        <v>2.9520000000000001E-2</v>
      </c>
      <c r="W3" s="114">
        <f>SUM(B3:V3)</f>
        <v>1.0000000000000004</v>
      </c>
    </row>
    <row r="4" spans="1:23" x14ac:dyDescent="0.35">
      <c r="A4">
        <v>20</v>
      </c>
      <c r="B4" s="3">
        <v>3.7499999999999999E-2</v>
      </c>
      <c r="C4" s="3">
        <v>7.2190000000000004E-2</v>
      </c>
      <c r="D4" s="3">
        <v>6.6769999999999996E-2</v>
      </c>
      <c r="E4" s="3">
        <v>6.1769999999999999E-2</v>
      </c>
      <c r="F4" s="3">
        <v>5.713E-2</v>
      </c>
      <c r="G4" s="3">
        <v>5.2850000000000001E-2</v>
      </c>
      <c r="H4" s="3">
        <v>4.888E-2</v>
      </c>
      <c r="I4" s="3">
        <v>4.5220000000000003E-2</v>
      </c>
      <c r="J4" s="3">
        <v>4.462E-2</v>
      </c>
      <c r="K4" s="3">
        <v>4.4609999999999997E-2</v>
      </c>
      <c r="L4" s="3">
        <v>4.462E-2</v>
      </c>
      <c r="M4" s="3">
        <v>4.4610000000000004E-2</v>
      </c>
      <c r="N4" s="3">
        <v>4.462E-2</v>
      </c>
      <c r="O4" s="3">
        <v>4.4610000000000004E-2</v>
      </c>
      <c r="P4" s="3">
        <v>4.462E-2</v>
      </c>
      <c r="Q4" s="3">
        <v>4.4610000000000004E-2</v>
      </c>
      <c r="R4" s="3">
        <v>4.462E-2</v>
      </c>
      <c r="S4" s="3">
        <v>4.4610000000000004E-2</v>
      </c>
      <c r="T4" s="3">
        <v>4.462E-2</v>
      </c>
      <c r="U4" s="3">
        <v>4.4610000000000004E-2</v>
      </c>
      <c r="V4" s="3">
        <v>2.231E-2</v>
      </c>
      <c r="W4" s="114">
        <f>SUM(B4:V4)</f>
        <v>1.0000000000000002</v>
      </c>
    </row>
    <row r="5" spans="1:23" x14ac:dyDescent="0.35">
      <c r="K5" s="3"/>
    </row>
  </sheetData>
  <pageMargins left="0.7" right="0.7" top="0.75" bottom="0.75" header="0.3" footer="0.3"/>
  <pageSetup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>
      <selection activeCell="D29" sqref="D29:E29"/>
    </sheetView>
  </sheetViews>
  <sheetFormatPr defaultColWidth="9.1796875" defaultRowHeight="14.5" x14ac:dyDescent="0.35"/>
  <cols>
    <col min="1" max="1" width="14.453125" customWidth="1"/>
    <col min="2" max="2" width="18.54296875" bestFit="1" customWidth="1"/>
    <col min="3" max="4" width="12.7265625" customWidth="1"/>
    <col min="5" max="5" width="11.26953125" bestFit="1" customWidth="1"/>
    <col min="6" max="6" width="12.7265625" customWidth="1"/>
    <col min="7" max="7" width="12.453125" bestFit="1" customWidth="1"/>
    <col min="8" max="8" width="13.1796875" bestFit="1" customWidth="1"/>
    <col min="9" max="9" width="2.7265625" customWidth="1"/>
    <col min="10" max="10" width="10.7265625" customWidth="1"/>
    <col min="11" max="11" width="8.1796875" bestFit="1" customWidth="1"/>
    <col min="12" max="12" width="12.7265625" customWidth="1"/>
    <col min="13" max="14" width="11.26953125" bestFit="1" customWidth="1"/>
    <col min="15" max="15" width="9.7265625" bestFit="1" customWidth="1"/>
    <col min="16" max="16" width="11.26953125" bestFit="1" customWidth="1"/>
    <col min="17" max="17" width="2.7265625" customWidth="1"/>
    <col min="18" max="18" width="13.7265625" bestFit="1" customWidth="1"/>
  </cols>
  <sheetData>
    <row r="1" spans="1:18" x14ac:dyDescent="0.35">
      <c r="A1" s="19" t="s">
        <v>23</v>
      </c>
      <c r="B1" s="11">
        <v>2023</v>
      </c>
    </row>
    <row r="2" spans="1:18" x14ac:dyDescent="0.35">
      <c r="A2" s="19" t="s">
        <v>44</v>
      </c>
      <c r="D2" s="14"/>
      <c r="F2" s="212" t="s">
        <v>32</v>
      </c>
      <c r="G2" s="212"/>
      <c r="H2" s="212"/>
    </row>
    <row r="3" spans="1:18" x14ac:dyDescent="0.35">
      <c r="D3" s="15" t="s">
        <v>34</v>
      </c>
      <c r="G3" s="14" t="s">
        <v>62</v>
      </c>
      <c r="J3" s="15" t="s">
        <v>31</v>
      </c>
    </row>
    <row r="4" spans="1:18" x14ac:dyDescent="0.35">
      <c r="C4" s="15">
        <v>2023</v>
      </c>
      <c r="D4" s="15" t="s">
        <v>22</v>
      </c>
      <c r="F4" s="15"/>
      <c r="G4" s="15" t="s">
        <v>2</v>
      </c>
      <c r="H4" s="15"/>
      <c r="J4" s="15" t="s">
        <v>39</v>
      </c>
      <c r="O4" s="15" t="s">
        <v>61</v>
      </c>
      <c r="P4" s="15" t="s">
        <v>61</v>
      </c>
    </row>
    <row r="5" spans="1:18" x14ac:dyDescent="0.35">
      <c r="C5" s="141" t="s">
        <v>18</v>
      </c>
      <c r="D5" s="12">
        <v>1</v>
      </c>
      <c r="F5" s="141" t="s">
        <v>19</v>
      </c>
      <c r="G5" s="141" t="s">
        <v>14</v>
      </c>
      <c r="H5" s="141" t="s">
        <v>20</v>
      </c>
      <c r="J5" s="141" t="s">
        <v>40</v>
      </c>
      <c r="O5" s="141" t="s">
        <v>11</v>
      </c>
      <c r="P5" s="141" t="s">
        <v>13</v>
      </c>
    </row>
    <row r="6" spans="1:18" x14ac:dyDescent="0.35">
      <c r="A6">
        <v>1</v>
      </c>
      <c r="B6" t="s">
        <v>45</v>
      </c>
      <c r="C6" s="1">
        <f>'Schedule IV 2023'!H128</f>
        <v>6827070.8899999997</v>
      </c>
      <c r="D6" s="158">
        <v>3.1E-2</v>
      </c>
      <c r="F6" s="1">
        <v>0</v>
      </c>
      <c r="G6" s="17">
        <f>ROUND(IF(D$5=1,-0.5*D6*C6,-D6*C6),0)</f>
        <v>-105820</v>
      </c>
      <c r="H6" s="17">
        <f>SUM(F6:G6)</f>
        <v>-105820</v>
      </c>
      <c r="J6" s="5">
        <f>C6+H6</f>
        <v>6721250.8899999997</v>
      </c>
      <c r="O6" s="13">
        <v>1E-4</v>
      </c>
      <c r="P6" s="16">
        <f>ROUND(IF(D$5=1,-0.5*O6*C6,-O6*C6),0)</f>
        <v>-341</v>
      </c>
    </row>
    <row r="7" spans="1:18" x14ac:dyDescent="0.35">
      <c r="A7">
        <v>2</v>
      </c>
      <c r="B7" t="s">
        <v>0</v>
      </c>
      <c r="C7" s="1">
        <f>'Schedule IV 2023'!I128</f>
        <v>341717.68000000005</v>
      </c>
      <c r="D7" s="158">
        <v>2.9000000000000001E-2</v>
      </c>
      <c r="F7" s="1">
        <v>0</v>
      </c>
      <c r="G7" s="17">
        <f>ROUND(IF(D$5=1,-0.5*D7*C7,-D7*C7),0)</f>
        <v>-4955</v>
      </c>
      <c r="H7" s="17">
        <f>SUM(F7:G7)</f>
        <v>-4955</v>
      </c>
      <c r="J7" s="5">
        <f>C7+H7</f>
        <v>336762.68000000005</v>
      </c>
      <c r="O7" s="13">
        <v>2.0000000000000001E-4</v>
      </c>
      <c r="P7" s="5">
        <f>ROUND(IF(D$5=1,-0.5*O7*C7,-O7*C7),0)</f>
        <v>-34</v>
      </c>
    </row>
    <row r="8" spans="1:18" x14ac:dyDescent="0.35">
      <c r="A8">
        <v>3</v>
      </c>
      <c r="B8" t="s">
        <v>1</v>
      </c>
      <c r="C8" s="1">
        <f>'Schedule IV 2023'!J128</f>
        <v>948000</v>
      </c>
      <c r="D8" s="158">
        <v>3.1E-2</v>
      </c>
      <c r="F8" s="1">
        <v>0</v>
      </c>
      <c r="G8" s="17">
        <f>ROUND(IF(D$5=1,-0.5*D8*C8,-D8*C8),0)</f>
        <v>-14694</v>
      </c>
      <c r="H8" s="17">
        <f t="shared" ref="H8:H11" si="0">SUM(F8:G8)</f>
        <v>-14694</v>
      </c>
      <c r="J8" s="5">
        <f t="shared" ref="J8:J11" si="1">C8+H8</f>
        <v>933306</v>
      </c>
      <c r="O8" s="13">
        <v>4.1999999999999997E-3</v>
      </c>
      <c r="P8" s="5">
        <f>ROUND(IF(D$5=1,-0.5*O8*C8,-O8*C8),0)</f>
        <v>-1991</v>
      </c>
    </row>
    <row r="9" spans="1:18" x14ac:dyDescent="0.35">
      <c r="A9">
        <v>4</v>
      </c>
      <c r="B9" t="s">
        <v>16</v>
      </c>
      <c r="C9" s="1"/>
      <c r="D9" s="158">
        <v>2.2499999999999999E-2</v>
      </c>
      <c r="F9" s="1">
        <v>0</v>
      </c>
      <c r="G9" s="17">
        <f>ROUND(IF(D$5=1,-0.5*D9*C9,-D9*C9),0)</f>
        <v>0</v>
      </c>
      <c r="H9" s="17">
        <f t="shared" si="0"/>
        <v>0</v>
      </c>
      <c r="J9" s="5">
        <f t="shared" si="1"/>
        <v>0</v>
      </c>
      <c r="O9" s="13">
        <v>0</v>
      </c>
      <c r="P9" s="5">
        <f>IF(D$5=1,-0.5*O9*C9,-O9*C9)</f>
        <v>0</v>
      </c>
    </row>
    <row r="10" spans="1:18" x14ac:dyDescent="0.35">
      <c r="A10">
        <v>5</v>
      </c>
      <c r="B10" t="s">
        <v>15</v>
      </c>
      <c r="C10" s="1"/>
      <c r="D10" s="158">
        <v>2.1000000000000001E-2</v>
      </c>
      <c r="F10" s="1">
        <v>0</v>
      </c>
      <c r="G10" s="17">
        <f>ROUND(IF(D$5=1,-0.5*D10*C10,-D10*C10),0)</f>
        <v>0</v>
      </c>
      <c r="H10" s="17">
        <f t="shared" si="0"/>
        <v>0</v>
      </c>
      <c r="J10" s="5">
        <f t="shared" si="1"/>
        <v>0</v>
      </c>
      <c r="O10" s="13">
        <v>0</v>
      </c>
      <c r="P10" s="5">
        <f>IF(D$5=1,-0.5*O10*C10,-O10*C10)</f>
        <v>0</v>
      </c>
    </row>
    <row r="11" spans="1:18" x14ac:dyDescent="0.35">
      <c r="A11">
        <v>6</v>
      </c>
      <c r="B11" t="s">
        <v>56</v>
      </c>
      <c r="C11" s="2">
        <f>'Schedule IV 2023'!G128</f>
        <v>340000</v>
      </c>
      <c r="D11" s="4" t="s">
        <v>55</v>
      </c>
      <c r="F11" s="2">
        <v>0</v>
      </c>
      <c r="G11" s="18">
        <f>P12</f>
        <v>-2366</v>
      </c>
      <c r="H11" s="18">
        <f t="shared" si="0"/>
        <v>-2366</v>
      </c>
      <c r="J11" s="6">
        <f t="shared" si="1"/>
        <v>337634</v>
      </c>
      <c r="O11" s="20">
        <v>0</v>
      </c>
      <c r="P11" s="6">
        <f>IF(D$5=1,-0.5*O11*C11,-O11*C11)</f>
        <v>0</v>
      </c>
    </row>
    <row r="12" spans="1:18" x14ac:dyDescent="0.35">
      <c r="C12" s="17">
        <f>SUM(C6:C11)</f>
        <v>8456788.5700000003</v>
      </c>
      <c r="D12" s="17"/>
      <c r="F12" s="1">
        <f>SUM(F5:F11)</f>
        <v>0</v>
      </c>
      <c r="G12" s="17">
        <f>SUM(G5:G11)</f>
        <v>-127835</v>
      </c>
      <c r="H12" s="17">
        <f>SUM(H5:H11)</f>
        <v>-127835</v>
      </c>
      <c r="J12" s="5">
        <f>SUM(J6:J11)</f>
        <v>8328953.5699999994</v>
      </c>
      <c r="O12" s="5"/>
      <c r="P12" s="16">
        <f>SUM(P5:P11)</f>
        <v>-2366</v>
      </c>
    </row>
    <row r="13" spans="1:18" x14ac:dyDescent="0.35">
      <c r="C13" s="17"/>
      <c r="D13" s="17"/>
      <c r="E13" s="17"/>
      <c r="F13" s="17"/>
      <c r="M13" s="15"/>
    </row>
    <row r="14" spans="1:18" x14ac:dyDescent="0.35">
      <c r="M14" s="15"/>
    </row>
    <row r="15" spans="1:18" x14ac:dyDescent="0.35">
      <c r="D15" s="15"/>
    </row>
    <row r="16" spans="1:18" x14ac:dyDescent="0.35">
      <c r="A16" s="45"/>
      <c r="B16" s="45"/>
      <c r="C16" s="45"/>
      <c r="D16" s="74" t="s">
        <v>26</v>
      </c>
      <c r="E16" s="45"/>
      <c r="F16" s="45"/>
      <c r="G16" s="84">
        <v>0</v>
      </c>
      <c r="H16" s="45"/>
      <c r="I16" s="45"/>
      <c r="J16" s="85"/>
      <c r="K16" s="74" t="s">
        <v>21</v>
      </c>
      <c r="L16" s="213" t="s">
        <v>33</v>
      </c>
      <c r="M16" s="213"/>
      <c r="N16" s="213"/>
      <c r="O16" s="213"/>
      <c r="P16" s="213"/>
      <c r="Q16" s="45"/>
      <c r="R16" s="74" t="s">
        <v>12</v>
      </c>
    </row>
    <row r="17" spans="1:18" x14ac:dyDescent="0.35">
      <c r="A17" s="45"/>
      <c r="B17" s="45"/>
      <c r="C17" s="74" t="s">
        <v>31</v>
      </c>
      <c r="D17" s="74" t="s">
        <v>14</v>
      </c>
      <c r="E17" s="74" t="s">
        <v>12</v>
      </c>
      <c r="F17" s="74" t="s">
        <v>12</v>
      </c>
      <c r="G17" s="74" t="s">
        <v>25</v>
      </c>
      <c r="H17" s="74" t="s">
        <v>29</v>
      </c>
      <c r="I17" s="45"/>
      <c r="J17" s="74"/>
      <c r="K17" s="74" t="s">
        <v>24</v>
      </c>
      <c r="L17" s="74"/>
      <c r="M17" s="74" t="s">
        <v>12</v>
      </c>
      <c r="N17" s="74" t="s">
        <v>25</v>
      </c>
      <c r="O17" s="74" t="s">
        <v>21</v>
      </c>
      <c r="P17" s="74"/>
      <c r="Q17" s="45"/>
      <c r="R17" s="74" t="s">
        <v>39</v>
      </c>
    </row>
    <row r="18" spans="1:18" x14ac:dyDescent="0.35">
      <c r="A18" s="45"/>
      <c r="B18" s="45"/>
      <c r="C18" s="76" t="s">
        <v>18</v>
      </c>
      <c r="D18" s="76" t="s">
        <v>27</v>
      </c>
      <c r="E18" s="76" t="s">
        <v>14</v>
      </c>
      <c r="F18" s="76" t="s">
        <v>28</v>
      </c>
      <c r="G18" s="76" t="s">
        <v>2</v>
      </c>
      <c r="H18" s="76" t="s">
        <v>30</v>
      </c>
      <c r="I18" s="45"/>
      <c r="J18" s="76" t="s">
        <v>17</v>
      </c>
      <c r="K18" s="76">
        <f>D5</f>
        <v>1</v>
      </c>
      <c r="L18" s="76" t="s">
        <v>19</v>
      </c>
      <c r="M18" s="76" t="s">
        <v>14</v>
      </c>
      <c r="N18" s="76" t="s">
        <v>13</v>
      </c>
      <c r="O18" s="76" t="s">
        <v>13</v>
      </c>
      <c r="P18" s="76" t="s">
        <v>20</v>
      </c>
      <c r="Q18" s="45"/>
      <c r="R18" s="76" t="s">
        <v>40</v>
      </c>
    </row>
    <row r="19" spans="1:18" x14ac:dyDescent="0.35">
      <c r="A19" s="45">
        <v>7</v>
      </c>
      <c r="B19" s="45" t="s">
        <v>45</v>
      </c>
      <c r="C19" s="59">
        <f>C6</f>
        <v>6827070.8899999997</v>
      </c>
      <c r="D19" s="202">
        <v>0.99990000000000001</v>
      </c>
      <c r="E19" s="59">
        <f>ROUND(C19*-D19,0)</f>
        <v>-6826388</v>
      </c>
      <c r="F19" s="87">
        <f>C19+E19</f>
        <v>682.88999999966472</v>
      </c>
      <c r="G19" s="87">
        <f>ROUND(F19*-$G$16,0)</f>
        <v>0</v>
      </c>
      <c r="H19" s="88">
        <f>F19+G19</f>
        <v>682.88999999966472</v>
      </c>
      <c r="I19" s="45"/>
      <c r="J19" s="45">
        <v>15</v>
      </c>
      <c r="K19" s="89">
        <f>IFERROR(VLOOKUP(J19,'Tax Rates'!$A$1:$AA$12,$K$18+1,FALSE),0)</f>
        <v>0.05</v>
      </c>
      <c r="L19" s="90">
        <v>0</v>
      </c>
      <c r="M19" s="87">
        <f>E19</f>
        <v>-6826388</v>
      </c>
      <c r="N19" s="87">
        <f>G19</f>
        <v>0</v>
      </c>
      <c r="O19" s="59">
        <f>ROUND(K19*-H19,0)</f>
        <v>-34</v>
      </c>
      <c r="P19" s="91">
        <f>SUM(L19:O19)</f>
        <v>-6826422</v>
      </c>
      <c r="Q19" s="45"/>
      <c r="R19" s="87">
        <f>C19+P19</f>
        <v>648.88999999966472</v>
      </c>
    </row>
    <row r="20" spans="1:18" x14ac:dyDescent="0.35">
      <c r="A20" s="45">
        <v>8</v>
      </c>
      <c r="B20" s="45" t="s">
        <v>0</v>
      </c>
      <c r="C20" s="68">
        <f>+C7</f>
        <v>341717.68000000005</v>
      </c>
      <c r="D20" s="202">
        <v>1E-4</v>
      </c>
      <c r="E20" s="59">
        <f>ROUND(C20*-D20,0)</f>
        <v>-34</v>
      </c>
      <c r="F20" s="87">
        <f>C20+E20</f>
        <v>341683.68000000005</v>
      </c>
      <c r="G20" s="87">
        <f t="shared" ref="G20:G24" si="2">ROUND(F20*-$G$16,0)</f>
        <v>0</v>
      </c>
      <c r="H20" s="88">
        <f t="shared" ref="H20:H24" si="3">F20+G20</f>
        <v>341683.68000000005</v>
      </c>
      <c r="I20" s="45"/>
      <c r="J20" s="45">
        <v>15</v>
      </c>
      <c r="K20" s="89">
        <f>IFERROR(VLOOKUP(J20,'Tax Rates'!$A$1:$AA$12,$K$18+1,FALSE),0)</f>
        <v>0.05</v>
      </c>
      <c r="L20" s="90">
        <v>0</v>
      </c>
      <c r="M20" s="87">
        <f t="shared" ref="M20:M24" si="4">E20</f>
        <v>-34</v>
      </c>
      <c r="N20" s="87">
        <f t="shared" ref="N20:N24" si="5">G20</f>
        <v>0</v>
      </c>
      <c r="O20" s="59">
        <f>ROUND(K20*-H20,0)</f>
        <v>-17084</v>
      </c>
      <c r="P20" s="91">
        <f t="shared" ref="P20:P24" si="6">SUM(L20:O20)</f>
        <v>-17118</v>
      </c>
      <c r="Q20" s="45"/>
      <c r="R20" s="87">
        <f>C20+P20</f>
        <v>324599.68000000005</v>
      </c>
    </row>
    <row r="21" spans="1:18" x14ac:dyDescent="0.35">
      <c r="A21" s="45">
        <v>9</v>
      </c>
      <c r="B21" s="45" t="s">
        <v>1</v>
      </c>
      <c r="C21" s="68">
        <f t="shared" ref="C21:C23" si="7">C8</f>
        <v>948000</v>
      </c>
      <c r="D21" s="204">
        <v>1</v>
      </c>
      <c r="E21" s="59">
        <f>ROUND(C21*-D21,0)</f>
        <v>-948000</v>
      </c>
      <c r="F21" s="87">
        <f>C21+E21</f>
        <v>0</v>
      </c>
      <c r="G21" s="87">
        <f t="shared" si="2"/>
        <v>0</v>
      </c>
      <c r="H21" s="88">
        <f t="shared" si="3"/>
        <v>0</v>
      </c>
      <c r="I21" s="45"/>
      <c r="J21" s="45">
        <v>20</v>
      </c>
      <c r="K21" s="89">
        <f>IFERROR(VLOOKUP(J21,'Tax Rates'!$A$1:$AA$12,$K$18+1,FALSE),0)</f>
        <v>3.7499999999999999E-2</v>
      </c>
      <c r="L21" s="90">
        <v>0</v>
      </c>
      <c r="M21" s="87">
        <f t="shared" si="4"/>
        <v>-948000</v>
      </c>
      <c r="N21" s="87">
        <f t="shared" si="5"/>
        <v>0</v>
      </c>
      <c r="O21" s="59">
        <f>ROUND(K21*-H21,0)</f>
        <v>0</v>
      </c>
      <c r="P21" s="91">
        <f t="shared" si="6"/>
        <v>-948000</v>
      </c>
      <c r="Q21" s="45"/>
      <c r="R21" s="87">
        <f>C21+P21</f>
        <v>0</v>
      </c>
    </row>
    <row r="22" spans="1:18" x14ac:dyDescent="0.35">
      <c r="A22" s="45">
        <v>10</v>
      </c>
      <c r="B22" s="45" t="s">
        <v>16</v>
      </c>
      <c r="C22" s="68">
        <f t="shared" si="7"/>
        <v>0</v>
      </c>
      <c r="D22" s="86">
        <v>0</v>
      </c>
      <c r="E22" s="59">
        <f>ROUND(C22*-D22,0)</f>
        <v>0</v>
      </c>
      <c r="F22" s="87">
        <f>C22+E22</f>
        <v>0</v>
      </c>
      <c r="G22" s="87">
        <f t="shared" si="2"/>
        <v>0</v>
      </c>
      <c r="H22" s="88">
        <f t="shared" si="3"/>
        <v>0</v>
      </c>
      <c r="I22" s="45"/>
      <c r="J22" s="45">
        <v>7</v>
      </c>
      <c r="K22" s="89">
        <f>IFERROR(VLOOKUP(J22,'Tax Rates'!$A$1:$AA$12,$K$18+1,FALSE),0)</f>
        <v>0.14285999999999999</v>
      </c>
      <c r="L22" s="90">
        <v>0</v>
      </c>
      <c r="M22" s="87">
        <f t="shared" si="4"/>
        <v>0</v>
      </c>
      <c r="N22" s="87">
        <f t="shared" si="5"/>
        <v>0</v>
      </c>
      <c r="O22" s="59">
        <f>ROUND(K22*-H22,0)</f>
        <v>0</v>
      </c>
      <c r="P22" s="91">
        <f t="shared" si="6"/>
        <v>0</v>
      </c>
      <c r="Q22" s="45"/>
      <c r="R22" s="87">
        <f>C22+P22</f>
        <v>0</v>
      </c>
    </row>
    <row r="23" spans="1:18" x14ac:dyDescent="0.35">
      <c r="A23" s="45">
        <v>11</v>
      </c>
      <c r="B23" s="45" t="s">
        <v>15</v>
      </c>
      <c r="C23" s="68">
        <f t="shared" si="7"/>
        <v>0</v>
      </c>
      <c r="D23" s="86">
        <v>0</v>
      </c>
      <c r="E23" s="59">
        <f>ROUND(C23*-D23,0)</f>
        <v>0</v>
      </c>
      <c r="F23" s="87">
        <f>C23+E23</f>
        <v>0</v>
      </c>
      <c r="G23" s="87">
        <f t="shared" si="2"/>
        <v>0</v>
      </c>
      <c r="H23" s="88">
        <f t="shared" si="3"/>
        <v>0</v>
      </c>
      <c r="I23" s="45"/>
      <c r="J23" s="45">
        <v>15</v>
      </c>
      <c r="K23" s="89">
        <f>IFERROR(VLOOKUP(J23,'Tax Rates'!$A$1:$AA$12,$K$18+1,FALSE),0)</f>
        <v>0.05</v>
      </c>
      <c r="L23" s="90">
        <v>0</v>
      </c>
      <c r="M23" s="87">
        <f t="shared" si="4"/>
        <v>0</v>
      </c>
      <c r="N23" s="87">
        <f t="shared" si="5"/>
        <v>0</v>
      </c>
      <c r="O23" s="59">
        <f>ROUND(K23*-H23,0)</f>
        <v>0</v>
      </c>
      <c r="P23" s="91">
        <f t="shared" si="6"/>
        <v>0</v>
      </c>
      <c r="Q23" s="45"/>
      <c r="R23" s="87">
        <f>C23+P23</f>
        <v>0</v>
      </c>
    </row>
    <row r="24" spans="1:18" x14ac:dyDescent="0.35">
      <c r="A24" s="45">
        <v>12</v>
      </c>
      <c r="B24" s="45" t="s">
        <v>56</v>
      </c>
      <c r="C24" s="61">
        <f>+C11</f>
        <v>340000</v>
      </c>
      <c r="D24" s="92" t="s">
        <v>57</v>
      </c>
      <c r="E24" s="61">
        <v>0</v>
      </c>
      <c r="F24" s="93">
        <v>0</v>
      </c>
      <c r="G24" s="93">
        <f t="shared" si="2"/>
        <v>0</v>
      </c>
      <c r="H24" s="94">
        <f t="shared" si="3"/>
        <v>0</v>
      </c>
      <c r="I24" s="45"/>
      <c r="J24" s="35" t="s">
        <v>57</v>
      </c>
      <c r="K24" s="95" t="s">
        <v>57</v>
      </c>
      <c r="L24" s="96">
        <v>0</v>
      </c>
      <c r="M24" s="93">
        <f t="shared" si="4"/>
        <v>0</v>
      </c>
      <c r="N24" s="97">
        <f t="shared" si="5"/>
        <v>0</v>
      </c>
      <c r="O24" s="61">
        <v>0</v>
      </c>
      <c r="P24" s="98">
        <f t="shared" si="6"/>
        <v>0</v>
      </c>
      <c r="Q24" s="45"/>
      <c r="R24" s="99" t="s">
        <v>57</v>
      </c>
    </row>
    <row r="25" spans="1:18" x14ac:dyDescent="0.35">
      <c r="A25" s="45"/>
      <c r="B25" s="45"/>
      <c r="C25" s="59">
        <f>SUM(C18:C24)</f>
        <v>8456788.5700000003</v>
      </c>
      <c r="D25" s="45"/>
      <c r="E25" s="59">
        <f>SUM(E19:E24)</f>
        <v>-7774422</v>
      </c>
      <c r="F25" s="59">
        <f>SUM(F19:F24)</f>
        <v>342366.56999999972</v>
      </c>
      <c r="G25" s="59">
        <f>SUM(G19:G24)</f>
        <v>0</v>
      </c>
      <c r="H25" s="91">
        <f>SUM(H19:H24)</f>
        <v>342366.56999999972</v>
      </c>
      <c r="I25" s="45"/>
      <c r="J25" s="45"/>
      <c r="K25" s="45"/>
      <c r="L25" s="91">
        <f>SUM(L19:L24)</f>
        <v>0</v>
      </c>
      <c r="M25" s="59">
        <f>SUM(M19:M24)</f>
        <v>-7774422</v>
      </c>
      <c r="N25" s="59">
        <f>SUM(N19:N24)</f>
        <v>0</v>
      </c>
      <c r="O25" s="59">
        <f>SUM(O19:O24)</f>
        <v>-17118</v>
      </c>
      <c r="P25" s="91">
        <f>SUM(P19:P24)</f>
        <v>-7791540</v>
      </c>
      <c r="Q25" s="45"/>
      <c r="R25" s="87">
        <f>SUM(R19:R24)</f>
        <v>325248.56999999972</v>
      </c>
    </row>
    <row r="26" spans="1:18" x14ac:dyDescent="0.35">
      <c r="A26" s="45"/>
      <c r="B26" s="45"/>
      <c r="C26" s="59"/>
      <c r="D26" s="45"/>
      <c r="E26" s="59"/>
      <c r="F26" s="59"/>
      <c r="G26" s="59"/>
      <c r="H26" s="91"/>
      <c r="I26" s="45"/>
      <c r="J26" s="91"/>
      <c r="K26" s="59"/>
      <c r="L26" s="59"/>
      <c r="M26" s="59"/>
      <c r="N26" s="91"/>
      <c r="O26" s="45"/>
      <c r="P26" s="45"/>
      <c r="Q26" s="45"/>
      <c r="R26" s="45"/>
    </row>
    <row r="27" spans="1:18" x14ac:dyDescent="0.3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35">
      <c r="A28" s="45"/>
      <c r="B28" s="45"/>
      <c r="C28" s="45"/>
      <c r="D28" s="45"/>
      <c r="E28" s="59"/>
      <c r="F28" s="74" t="s">
        <v>46</v>
      </c>
      <c r="G28" s="100"/>
      <c r="H28" s="101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5">
      <c r="A29" s="45"/>
      <c r="B29" s="45"/>
      <c r="C29" s="45"/>
      <c r="D29" s="213" t="s">
        <v>35</v>
      </c>
      <c r="E29" s="213"/>
      <c r="F29" s="74" t="s">
        <v>37</v>
      </c>
      <c r="G29" s="74" t="s">
        <v>54</v>
      </c>
      <c r="H29" s="74" t="s">
        <v>36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35">
      <c r="A30" s="45"/>
      <c r="B30" s="45"/>
      <c r="C30" s="45"/>
      <c r="D30" s="76" t="s">
        <v>31</v>
      </c>
      <c r="E30" s="76" t="s">
        <v>12</v>
      </c>
      <c r="F30" s="76" t="s">
        <v>38</v>
      </c>
      <c r="G30" s="76" t="s">
        <v>11</v>
      </c>
      <c r="H30" s="76" t="s">
        <v>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35">
      <c r="A31" s="45">
        <v>13</v>
      </c>
      <c r="B31" s="45" t="s">
        <v>45</v>
      </c>
      <c r="C31" s="45"/>
      <c r="D31" s="87">
        <f>J6</f>
        <v>6721250.8899999997</v>
      </c>
      <c r="E31" s="87">
        <f>R19</f>
        <v>648.88999999966472</v>
      </c>
      <c r="F31" s="87">
        <f>E31-D31</f>
        <v>-6720602</v>
      </c>
      <c r="G31" s="102">
        <v>0.2495</v>
      </c>
      <c r="H31" s="87">
        <f>ROUND(F31*G31,0)</f>
        <v>-1676790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x14ac:dyDescent="0.35">
      <c r="A32" s="45">
        <v>14</v>
      </c>
      <c r="B32" s="45" t="s">
        <v>0</v>
      </c>
      <c r="C32" s="45"/>
      <c r="D32" s="87">
        <f t="shared" ref="D32:D36" si="8">J7</f>
        <v>336762.68000000005</v>
      </c>
      <c r="E32" s="87">
        <f t="shared" ref="E32:E36" si="9">R20</f>
        <v>324599.68000000005</v>
      </c>
      <c r="F32" s="87">
        <f>E32-D32</f>
        <v>-12163</v>
      </c>
      <c r="G32" s="101">
        <f>G31</f>
        <v>0.2495</v>
      </c>
      <c r="H32" s="87">
        <f t="shared" ref="H32:H36" si="10">ROUND(F32*G32,0)</f>
        <v>-3035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5">
      <c r="A33" s="45">
        <v>15</v>
      </c>
      <c r="B33" s="45" t="s">
        <v>1</v>
      </c>
      <c r="C33" s="45"/>
      <c r="D33" s="87">
        <f t="shared" si="8"/>
        <v>933306</v>
      </c>
      <c r="E33" s="87">
        <f t="shared" si="9"/>
        <v>0</v>
      </c>
      <c r="F33" s="87">
        <f>E33-D33</f>
        <v>-933306</v>
      </c>
      <c r="G33" s="101">
        <f>G31</f>
        <v>0.2495</v>
      </c>
      <c r="H33" s="87">
        <f t="shared" si="10"/>
        <v>-232860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35">
      <c r="A34" s="45">
        <v>16</v>
      </c>
      <c r="B34" s="45" t="s">
        <v>16</v>
      </c>
      <c r="C34" s="45"/>
      <c r="D34" s="87">
        <f t="shared" si="8"/>
        <v>0</v>
      </c>
      <c r="E34" s="87">
        <f t="shared" si="9"/>
        <v>0</v>
      </c>
      <c r="F34" s="87">
        <f>E34-D34</f>
        <v>0</v>
      </c>
      <c r="G34" s="101">
        <f>G31</f>
        <v>0.2495</v>
      </c>
      <c r="H34" s="87">
        <f t="shared" si="10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35">
      <c r="A35" s="45">
        <v>17</v>
      </c>
      <c r="B35" s="45" t="s">
        <v>15</v>
      </c>
      <c r="C35" s="45"/>
      <c r="D35" s="87">
        <f t="shared" si="8"/>
        <v>0</v>
      </c>
      <c r="E35" s="87">
        <f t="shared" si="9"/>
        <v>0</v>
      </c>
      <c r="F35" s="87">
        <f>E35-D35</f>
        <v>0</v>
      </c>
      <c r="G35" s="101">
        <f>G31</f>
        <v>0.2495</v>
      </c>
      <c r="H35" s="87">
        <f t="shared" si="10"/>
        <v>0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5">
      <c r="A36" s="45">
        <v>18</v>
      </c>
      <c r="B36" s="45" t="s">
        <v>56</v>
      </c>
      <c r="C36" s="45"/>
      <c r="D36" s="93">
        <f t="shared" si="8"/>
        <v>337634</v>
      </c>
      <c r="E36" s="99" t="str">
        <f t="shared" si="9"/>
        <v>NA</v>
      </c>
      <c r="F36" s="93">
        <f>-D36</f>
        <v>-337634</v>
      </c>
      <c r="G36" s="103">
        <f>G31</f>
        <v>0.2495</v>
      </c>
      <c r="H36" s="93">
        <f t="shared" si="10"/>
        <v>-84240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5">
      <c r="A37" s="45"/>
      <c r="B37" s="45"/>
      <c r="C37" s="45"/>
      <c r="D37" s="87">
        <f>SUM(D31:D36)</f>
        <v>8328953.5699999994</v>
      </c>
      <c r="E37" s="87">
        <f>SUM(E31:E36)</f>
        <v>325248.56999999972</v>
      </c>
      <c r="F37" s="87">
        <f>SUM(F31:F36)</f>
        <v>-8003705</v>
      </c>
      <c r="G37" s="45"/>
      <c r="H37" s="87">
        <f>SUM(H31:H36)</f>
        <v>-1996925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x14ac:dyDescent="0.35">
      <c r="A39" s="104" t="s">
        <v>62</v>
      </c>
      <c r="B39" s="45" t="s">
        <v>63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35">
      <c r="A40" s="10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workbookViewId="0">
      <selection activeCell="G25" sqref="G25"/>
    </sheetView>
  </sheetViews>
  <sheetFormatPr defaultRowHeight="14.5" x14ac:dyDescent="0.35"/>
  <cols>
    <col min="1" max="1" width="14.453125" customWidth="1"/>
    <col min="2" max="2" width="18.54296875" bestFit="1" customWidth="1"/>
    <col min="3" max="4" width="12.7265625" customWidth="1"/>
    <col min="5" max="5" width="11.26953125" bestFit="1" customWidth="1"/>
    <col min="6" max="6" width="12.7265625" customWidth="1"/>
    <col min="7" max="7" width="12.453125" bestFit="1" customWidth="1"/>
    <col min="8" max="8" width="13.1796875" bestFit="1" customWidth="1"/>
    <col min="9" max="9" width="2.7265625" customWidth="1"/>
    <col min="10" max="10" width="10.7265625" customWidth="1"/>
    <col min="11" max="11" width="8.1796875" bestFit="1" customWidth="1"/>
    <col min="12" max="12" width="12.7265625" customWidth="1"/>
    <col min="13" max="14" width="11.26953125" bestFit="1" customWidth="1"/>
    <col min="15" max="15" width="9.7265625" bestFit="1" customWidth="1"/>
    <col min="16" max="16" width="11.26953125" bestFit="1" customWidth="1"/>
    <col min="17" max="17" width="2.7265625" customWidth="1"/>
    <col min="18" max="18" width="13.7265625" bestFit="1" customWidth="1"/>
  </cols>
  <sheetData>
    <row r="1" spans="1:18" x14ac:dyDescent="0.35">
      <c r="A1" s="19" t="s">
        <v>23</v>
      </c>
      <c r="B1" s="11">
        <v>2023</v>
      </c>
    </row>
    <row r="2" spans="1:18" x14ac:dyDescent="0.35">
      <c r="A2" s="19" t="s">
        <v>44</v>
      </c>
      <c r="D2" s="14"/>
      <c r="F2" s="212" t="s">
        <v>32</v>
      </c>
      <c r="G2" s="212"/>
      <c r="H2" s="212"/>
    </row>
    <row r="3" spans="1:18" x14ac:dyDescent="0.35">
      <c r="D3" s="15" t="s">
        <v>34</v>
      </c>
      <c r="G3" s="14" t="s">
        <v>62</v>
      </c>
      <c r="J3" s="15" t="s">
        <v>31</v>
      </c>
    </row>
    <row r="4" spans="1:18" x14ac:dyDescent="0.35">
      <c r="C4" s="15">
        <v>2023</v>
      </c>
      <c r="D4" s="15" t="s">
        <v>22</v>
      </c>
      <c r="F4" s="15"/>
      <c r="G4" s="15" t="s">
        <v>2</v>
      </c>
      <c r="H4" s="15"/>
      <c r="J4" s="15" t="s">
        <v>39</v>
      </c>
      <c r="O4" s="15" t="s">
        <v>61</v>
      </c>
      <c r="P4" s="15" t="s">
        <v>61</v>
      </c>
    </row>
    <row r="5" spans="1:18" x14ac:dyDescent="0.35">
      <c r="C5" s="141" t="s">
        <v>18</v>
      </c>
      <c r="D5" s="12">
        <v>2</v>
      </c>
      <c r="F5" s="141" t="s">
        <v>19</v>
      </c>
      <c r="G5" s="141" t="s">
        <v>14</v>
      </c>
      <c r="H5" s="141" t="s">
        <v>20</v>
      </c>
      <c r="J5" s="141" t="s">
        <v>40</v>
      </c>
      <c r="O5" s="141" t="s">
        <v>11</v>
      </c>
      <c r="P5" s="141" t="s">
        <v>13</v>
      </c>
    </row>
    <row r="6" spans="1:18" x14ac:dyDescent="0.35">
      <c r="A6">
        <v>1</v>
      </c>
      <c r="B6" t="s">
        <v>45</v>
      </c>
      <c r="C6" s="1">
        <f>'Schedule IV 2023'!H128</f>
        <v>6827070.8899999997</v>
      </c>
      <c r="D6" s="158">
        <v>3.1E-2</v>
      </c>
      <c r="F6" s="1">
        <f>'Sch II 2023 Yr 1'!H6</f>
        <v>-105820</v>
      </c>
      <c r="G6" s="17">
        <f>ROUND(IF(D$5=1,-0.5*D6*C6,-D6*C6),0)</f>
        <v>-211639</v>
      </c>
      <c r="H6" s="17">
        <f t="shared" ref="H6:H11" si="0">SUM(F6:G6)</f>
        <v>-317459</v>
      </c>
      <c r="J6" s="5">
        <f t="shared" ref="J6:J11" si="1">C6+H6</f>
        <v>6509611.8899999997</v>
      </c>
      <c r="O6" s="13">
        <v>1E-4</v>
      </c>
      <c r="P6" s="16">
        <f>ROUND(IF(D$5=1,-0.5*O6*C6,-O6*C6),0)</f>
        <v>-683</v>
      </c>
    </row>
    <row r="7" spans="1:18" x14ac:dyDescent="0.35">
      <c r="A7">
        <v>2</v>
      </c>
      <c r="B7" t="s">
        <v>0</v>
      </c>
      <c r="C7" s="1">
        <f>'Schedule IV 2023'!I128</f>
        <v>341717.68000000005</v>
      </c>
      <c r="D7" s="158">
        <v>2.9000000000000001E-2</v>
      </c>
      <c r="F7" s="1">
        <f>'Sch II 2023 Yr 1'!H7</f>
        <v>-4955</v>
      </c>
      <c r="G7" s="17">
        <f>ROUND(IF(D$5=1,-0.5*D7*C7,-D7*C7),0)</f>
        <v>-9910</v>
      </c>
      <c r="H7" s="17">
        <f t="shared" si="0"/>
        <v>-14865</v>
      </c>
      <c r="J7" s="5">
        <f t="shared" si="1"/>
        <v>326852.68000000005</v>
      </c>
      <c r="O7" s="13">
        <v>2.0000000000000001E-4</v>
      </c>
      <c r="P7" s="5">
        <f>ROUND(IF(D$5=1,-0.5*O7*C7,-O7*C7),0)</f>
        <v>-68</v>
      </c>
    </row>
    <row r="8" spans="1:18" x14ac:dyDescent="0.35">
      <c r="A8">
        <v>3</v>
      </c>
      <c r="B8" t="s">
        <v>1</v>
      </c>
      <c r="C8" s="1">
        <f>'Schedule IV 2023'!J128</f>
        <v>948000</v>
      </c>
      <c r="D8" s="158">
        <v>3.1E-2</v>
      </c>
      <c r="F8" s="1">
        <f>'Sch II 2023 Yr 1'!H8</f>
        <v>-14694</v>
      </c>
      <c r="G8" s="17">
        <f>ROUND(IF(D$5=1,-0.5*D8*C8,-D8*C8),0)</f>
        <v>-29388</v>
      </c>
      <c r="H8" s="17">
        <f t="shared" si="0"/>
        <v>-44082</v>
      </c>
      <c r="J8" s="5">
        <f t="shared" si="1"/>
        <v>903918</v>
      </c>
      <c r="O8" s="13">
        <v>4.1999999999999997E-3</v>
      </c>
      <c r="P8" s="5">
        <f>ROUND(IF(D$5=1,-0.5*O8*C8,-O8*C8),0)</f>
        <v>-3982</v>
      </c>
    </row>
    <row r="9" spans="1:18" x14ac:dyDescent="0.35">
      <c r="A9">
        <v>4</v>
      </c>
      <c r="B9" t="s">
        <v>16</v>
      </c>
      <c r="C9" s="1"/>
      <c r="D9" s="158">
        <v>2.2499999999999999E-2</v>
      </c>
      <c r="F9" s="1">
        <f>'Sch II 2023 Yr 1'!H9</f>
        <v>0</v>
      </c>
      <c r="G9" s="17">
        <f>ROUND(IF(D$5=1,-0.5*D9*C9,-D9*C9),0)</f>
        <v>0</v>
      </c>
      <c r="H9" s="17">
        <f t="shared" si="0"/>
        <v>0</v>
      </c>
      <c r="J9" s="5">
        <f t="shared" si="1"/>
        <v>0</v>
      </c>
      <c r="O9" s="13">
        <v>0</v>
      </c>
      <c r="P9" s="5">
        <f>IF(D$5=1,-0.5*O9*C9,-O9*C9)</f>
        <v>0</v>
      </c>
    </row>
    <row r="10" spans="1:18" x14ac:dyDescent="0.35">
      <c r="A10">
        <v>5</v>
      </c>
      <c r="B10" t="s">
        <v>15</v>
      </c>
      <c r="C10" s="1"/>
      <c r="D10" s="158">
        <v>2.1000000000000001E-2</v>
      </c>
      <c r="F10" s="1">
        <f>'Sch II 2023 Yr 1'!H10</f>
        <v>0</v>
      </c>
      <c r="G10" s="17">
        <f>ROUND(IF(D$5=1,-0.5*D10*C10,-D10*C10),0)</f>
        <v>0</v>
      </c>
      <c r="H10" s="17">
        <f t="shared" si="0"/>
        <v>0</v>
      </c>
      <c r="J10" s="5">
        <f t="shared" si="1"/>
        <v>0</v>
      </c>
      <c r="O10" s="13">
        <v>0</v>
      </c>
      <c r="P10" s="5">
        <f>IF(D$5=1,-0.5*O10*C10,-O10*C10)</f>
        <v>0</v>
      </c>
    </row>
    <row r="11" spans="1:18" x14ac:dyDescent="0.35">
      <c r="A11">
        <v>6</v>
      </c>
      <c r="B11" t="s">
        <v>56</v>
      </c>
      <c r="C11" s="2">
        <f>'Schedule IV 2023'!G128</f>
        <v>340000</v>
      </c>
      <c r="D11" s="4" t="s">
        <v>55</v>
      </c>
      <c r="F11" s="2">
        <f>'Sch II 2023 Yr 1'!P12</f>
        <v>-2366</v>
      </c>
      <c r="G11" s="18">
        <f>P12</f>
        <v>-4733</v>
      </c>
      <c r="H11" s="18">
        <f t="shared" si="0"/>
        <v>-7099</v>
      </c>
      <c r="J11" s="6">
        <f t="shared" si="1"/>
        <v>332901</v>
      </c>
      <c r="O11" s="20">
        <v>0</v>
      </c>
      <c r="P11" s="6">
        <f>IF(D$5=1,-0.5*O11*C11,-O11*C11)</f>
        <v>0</v>
      </c>
    </row>
    <row r="12" spans="1:18" x14ac:dyDescent="0.35">
      <c r="C12" s="17">
        <f>SUM(C6:C11)</f>
        <v>8456788.5700000003</v>
      </c>
      <c r="D12" s="17"/>
      <c r="F12" s="1">
        <f>SUM(F5:F11)</f>
        <v>-127835</v>
      </c>
      <c r="G12" s="17">
        <f>SUM(G5:G11)</f>
        <v>-255670</v>
      </c>
      <c r="H12" s="17">
        <f>SUM(H5:H11)</f>
        <v>-383505</v>
      </c>
      <c r="J12" s="5">
        <f>SUM(J6:J11)</f>
        <v>8073283.5699999994</v>
      </c>
      <c r="O12" s="5"/>
      <c r="P12" s="16">
        <f>SUM(P5:P11)</f>
        <v>-4733</v>
      </c>
    </row>
    <row r="13" spans="1:18" x14ac:dyDescent="0.35">
      <c r="C13" s="17"/>
      <c r="D13" s="17"/>
      <c r="E13" s="17"/>
      <c r="F13" s="17"/>
      <c r="M13" s="15"/>
    </row>
    <row r="14" spans="1:18" x14ac:dyDescent="0.35">
      <c r="M14" s="15"/>
    </row>
    <row r="15" spans="1:18" x14ac:dyDescent="0.35">
      <c r="D15" s="15"/>
    </row>
    <row r="16" spans="1:18" x14ac:dyDescent="0.35">
      <c r="A16" s="45"/>
      <c r="B16" s="45"/>
      <c r="C16" s="45"/>
      <c r="D16" s="74" t="s">
        <v>26</v>
      </c>
      <c r="E16" s="45"/>
      <c r="F16" s="45"/>
      <c r="G16" s="84">
        <v>0</v>
      </c>
      <c r="H16" s="45"/>
      <c r="I16" s="45"/>
      <c r="J16" s="85"/>
      <c r="K16" s="74" t="s">
        <v>21</v>
      </c>
      <c r="L16" s="213" t="s">
        <v>33</v>
      </c>
      <c r="M16" s="213"/>
      <c r="N16" s="213"/>
      <c r="O16" s="213"/>
      <c r="P16" s="213"/>
      <c r="Q16" s="45"/>
      <c r="R16" s="74" t="s">
        <v>12</v>
      </c>
    </row>
    <row r="17" spans="1:18" x14ac:dyDescent="0.35">
      <c r="A17" s="45"/>
      <c r="B17" s="45"/>
      <c r="C17" s="74" t="s">
        <v>31</v>
      </c>
      <c r="D17" s="74" t="s">
        <v>14</v>
      </c>
      <c r="E17" s="74" t="s">
        <v>12</v>
      </c>
      <c r="F17" s="74" t="s">
        <v>12</v>
      </c>
      <c r="G17" s="74" t="s">
        <v>25</v>
      </c>
      <c r="H17" s="74" t="s">
        <v>29</v>
      </c>
      <c r="I17" s="45"/>
      <c r="J17" s="74"/>
      <c r="K17" s="74" t="s">
        <v>24</v>
      </c>
      <c r="L17" s="74"/>
      <c r="M17" s="74" t="s">
        <v>12</v>
      </c>
      <c r="N17" s="74" t="s">
        <v>25</v>
      </c>
      <c r="O17" s="74" t="s">
        <v>21</v>
      </c>
      <c r="P17" s="74"/>
      <c r="Q17" s="45"/>
      <c r="R17" s="74" t="s">
        <v>39</v>
      </c>
    </row>
    <row r="18" spans="1:18" x14ac:dyDescent="0.35">
      <c r="A18" s="45"/>
      <c r="B18" s="45"/>
      <c r="C18" s="76" t="s">
        <v>18</v>
      </c>
      <c r="D18" s="76" t="s">
        <v>27</v>
      </c>
      <c r="E18" s="76" t="s">
        <v>14</v>
      </c>
      <c r="F18" s="76" t="s">
        <v>28</v>
      </c>
      <c r="G18" s="76" t="s">
        <v>2</v>
      </c>
      <c r="H18" s="76" t="s">
        <v>30</v>
      </c>
      <c r="I18" s="45"/>
      <c r="J18" s="76" t="s">
        <v>17</v>
      </c>
      <c r="K18" s="76">
        <f>D5</f>
        <v>2</v>
      </c>
      <c r="L18" s="76" t="s">
        <v>19</v>
      </c>
      <c r="M18" s="76" t="s">
        <v>14</v>
      </c>
      <c r="N18" s="76" t="s">
        <v>13</v>
      </c>
      <c r="O18" s="76" t="s">
        <v>13</v>
      </c>
      <c r="P18" s="76" t="s">
        <v>20</v>
      </c>
      <c r="Q18" s="45"/>
      <c r="R18" s="76" t="s">
        <v>40</v>
      </c>
    </row>
    <row r="19" spans="1:18" x14ac:dyDescent="0.35">
      <c r="A19" s="45">
        <v>7</v>
      </c>
      <c r="B19" s="45" t="s">
        <v>45</v>
      </c>
      <c r="C19" s="59">
        <f t="shared" ref="C19:C24" si="2">C6</f>
        <v>6827070.8899999997</v>
      </c>
      <c r="D19" s="202">
        <v>0.99990000000000001</v>
      </c>
      <c r="E19" s="59">
        <f>ROUND(C19*-D19,0)</f>
        <v>-6826388</v>
      </c>
      <c r="F19" s="87">
        <f>C19+E19</f>
        <v>682.88999999966472</v>
      </c>
      <c r="G19" s="87">
        <f t="shared" ref="G19:G24" si="3">ROUND(F19*-$G$16,0)</f>
        <v>0</v>
      </c>
      <c r="H19" s="88">
        <f t="shared" ref="H19:H24" si="4">F19+G19</f>
        <v>682.88999999966472</v>
      </c>
      <c r="I19" s="45"/>
      <c r="J19" s="45">
        <v>15</v>
      </c>
      <c r="K19" s="89">
        <f>IFERROR(VLOOKUP(J19,'Tax Rates'!$A$1:$AA$12,$K$18+1,FALSE),0)</f>
        <v>9.5000000000000001E-2</v>
      </c>
      <c r="L19" s="90">
        <f>+'Sch II 2023 Yr 1'!P19</f>
        <v>-6826422</v>
      </c>
      <c r="M19" s="87">
        <v>0</v>
      </c>
      <c r="N19" s="87">
        <f t="shared" ref="N19:N24" si="5">G19</f>
        <v>0</v>
      </c>
      <c r="O19" s="59">
        <f>ROUND(K19*-H19,0)</f>
        <v>-65</v>
      </c>
      <c r="P19" s="91">
        <f t="shared" ref="P19:P24" si="6">SUM(L19:O19)</f>
        <v>-6826487</v>
      </c>
      <c r="Q19" s="45"/>
      <c r="R19" s="87">
        <f>C19+P19</f>
        <v>583.88999999966472</v>
      </c>
    </row>
    <row r="20" spans="1:18" x14ac:dyDescent="0.35">
      <c r="A20" s="45">
        <v>8</v>
      </c>
      <c r="B20" s="45" t="s">
        <v>0</v>
      </c>
      <c r="C20" s="59">
        <f t="shared" si="2"/>
        <v>341717.68000000005</v>
      </c>
      <c r="D20" s="202">
        <v>1E-4</v>
      </c>
      <c r="E20" s="59">
        <f>ROUND(C20*-D20,0)</f>
        <v>-34</v>
      </c>
      <c r="F20" s="87">
        <f>C20+E20</f>
        <v>341683.68000000005</v>
      </c>
      <c r="G20" s="87">
        <f t="shared" si="3"/>
        <v>0</v>
      </c>
      <c r="H20" s="88">
        <f t="shared" si="4"/>
        <v>341683.68000000005</v>
      </c>
      <c r="I20" s="45"/>
      <c r="J20" s="45">
        <v>15</v>
      </c>
      <c r="K20" s="89">
        <f>IFERROR(VLOOKUP(J20,'Tax Rates'!$A$1:$AA$12,$K$18+1,FALSE),0)</f>
        <v>9.5000000000000001E-2</v>
      </c>
      <c r="L20" s="90">
        <f>+'Sch II 2023 Yr 1'!P20</f>
        <v>-17118</v>
      </c>
      <c r="M20" s="87">
        <v>0</v>
      </c>
      <c r="N20" s="87">
        <f t="shared" si="5"/>
        <v>0</v>
      </c>
      <c r="O20" s="59">
        <f>ROUND(K20*-H20,0)</f>
        <v>-32460</v>
      </c>
      <c r="P20" s="91">
        <f t="shared" si="6"/>
        <v>-49578</v>
      </c>
      <c r="Q20" s="45"/>
      <c r="R20" s="87">
        <f>C20+P20</f>
        <v>292139.68000000005</v>
      </c>
    </row>
    <row r="21" spans="1:18" x14ac:dyDescent="0.35">
      <c r="A21" s="45">
        <v>9</v>
      </c>
      <c r="B21" s="45" t="s">
        <v>1</v>
      </c>
      <c r="C21" s="68">
        <f t="shared" si="2"/>
        <v>948000</v>
      </c>
      <c r="D21" s="204">
        <v>1</v>
      </c>
      <c r="E21" s="59">
        <f>ROUND(C21*-D21,0)</f>
        <v>-948000</v>
      </c>
      <c r="F21" s="87">
        <f>C21+E21</f>
        <v>0</v>
      </c>
      <c r="G21" s="87">
        <f t="shared" si="3"/>
        <v>0</v>
      </c>
      <c r="H21" s="88">
        <f t="shared" si="4"/>
        <v>0</v>
      </c>
      <c r="I21" s="45"/>
      <c r="J21" s="45">
        <v>20</v>
      </c>
      <c r="K21" s="89">
        <f>IFERROR(VLOOKUP(J21,'Tax Rates'!$A$1:$AA$12,$K$18+1,FALSE),0)</f>
        <v>7.2190000000000004E-2</v>
      </c>
      <c r="L21" s="90">
        <f>+'Sch II 2023 Yr 1'!P21</f>
        <v>-948000</v>
      </c>
      <c r="M21" s="87">
        <v>0</v>
      </c>
      <c r="N21" s="87">
        <f t="shared" si="5"/>
        <v>0</v>
      </c>
      <c r="O21" s="59">
        <f>ROUND(K21*-H21,0)</f>
        <v>0</v>
      </c>
      <c r="P21" s="91">
        <f t="shared" si="6"/>
        <v>-948000</v>
      </c>
      <c r="Q21" s="45"/>
      <c r="R21" s="87">
        <f>C21+P21</f>
        <v>0</v>
      </c>
    </row>
    <row r="22" spans="1:18" x14ac:dyDescent="0.35">
      <c r="A22" s="45">
        <v>10</v>
      </c>
      <c r="B22" s="45" t="s">
        <v>16</v>
      </c>
      <c r="C22" s="68">
        <f t="shared" si="2"/>
        <v>0</v>
      </c>
      <c r="D22" s="86">
        <v>0</v>
      </c>
      <c r="E22" s="59">
        <f>ROUND(C22*-D22,0)</f>
        <v>0</v>
      </c>
      <c r="F22" s="87">
        <f>C22+E22</f>
        <v>0</v>
      </c>
      <c r="G22" s="87">
        <f t="shared" si="3"/>
        <v>0</v>
      </c>
      <c r="H22" s="88">
        <f t="shared" si="4"/>
        <v>0</v>
      </c>
      <c r="I22" s="45"/>
      <c r="J22" s="45">
        <v>7</v>
      </c>
      <c r="K22" s="89">
        <f>IFERROR(VLOOKUP(J22,'Tax Rates'!$A$1:$AA$12,$K$18+1,FALSE),0)</f>
        <v>0.24490000000000001</v>
      </c>
      <c r="L22" s="90">
        <f>+'Sch II 2023 Yr 1'!P22</f>
        <v>0</v>
      </c>
      <c r="M22" s="87">
        <f t="shared" ref="M22:M24" si="7">E22</f>
        <v>0</v>
      </c>
      <c r="N22" s="87">
        <f t="shared" si="5"/>
        <v>0</v>
      </c>
      <c r="O22" s="59">
        <f>ROUND(K22*-H22,0)</f>
        <v>0</v>
      </c>
      <c r="P22" s="91">
        <f t="shared" si="6"/>
        <v>0</v>
      </c>
      <c r="Q22" s="45"/>
      <c r="R22" s="87">
        <f>C22+P22</f>
        <v>0</v>
      </c>
    </row>
    <row r="23" spans="1:18" x14ac:dyDescent="0.35">
      <c r="A23" s="45">
        <v>11</v>
      </c>
      <c r="B23" s="45" t="s">
        <v>15</v>
      </c>
      <c r="C23" s="68">
        <f t="shared" si="2"/>
        <v>0</v>
      </c>
      <c r="D23" s="86">
        <v>0</v>
      </c>
      <c r="E23" s="59">
        <f>ROUND(C23*-D23,0)</f>
        <v>0</v>
      </c>
      <c r="F23" s="87">
        <f>C23+E23</f>
        <v>0</v>
      </c>
      <c r="G23" s="87">
        <f t="shared" si="3"/>
        <v>0</v>
      </c>
      <c r="H23" s="88">
        <f t="shared" si="4"/>
        <v>0</v>
      </c>
      <c r="I23" s="45"/>
      <c r="J23" s="45">
        <v>15</v>
      </c>
      <c r="K23" s="89">
        <f>IFERROR(VLOOKUP(J23,'Tax Rates'!$A$1:$AA$12,$K$18+1,FALSE),0)</f>
        <v>9.5000000000000001E-2</v>
      </c>
      <c r="L23" s="90">
        <f>+'Sch II 2023 Yr 1'!P23</f>
        <v>0</v>
      </c>
      <c r="M23" s="87">
        <f t="shared" si="7"/>
        <v>0</v>
      </c>
      <c r="N23" s="87">
        <f t="shared" si="5"/>
        <v>0</v>
      </c>
      <c r="O23" s="59">
        <f>ROUND(K23*-H23,0)</f>
        <v>0</v>
      </c>
      <c r="P23" s="91">
        <f t="shared" si="6"/>
        <v>0</v>
      </c>
      <c r="Q23" s="45"/>
      <c r="R23" s="87">
        <f>C23+P23</f>
        <v>0</v>
      </c>
    </row>
    <row r="24" spans="1:18" x14ac:dyDescent="0.35">
      <c r="A24" s="45">
        <v>12</v>
      </c>
      <c r="B24" s="45" t="s">
        <v>56</v>
      </c>
      <c r="C24" s="61">
        <f t="shared" si="2"/>
        <v>340000</v>
      </c>
      <c r="D24" s="92" t="s">
        <v>57</v>
      </c>
      <c r="E24" s="61">
        <v>0</v>
      </c>
      <c r="F24" s="93">
        <v>0</v>
      </c>
      <c r="G24" s="93">
        <f t="shared" si="3"/>
        <v>0</v>
      </c>
      <c r="H24" s="94">
        <f t="shared" si="4"/>
        <v>0</v>
      </c>
      <c r="I24" s="45"/>
      <c r="J24" s="35" t="s">
        <v>57</v>
      </c>
      <c r="K24" s="95" t="s">
        <v>57</v>
      </c>
      <c r="L24" s="96">
        <f>+'Sch II 2023 Yr 1'!P24</f>
        <v>0</v>
      </c>
      <c r="M24" s="93">
        <f t="shared" si="7"/>
        <v>0</v>
      </c>
      <c r="N24" s="97">
        <f t="shared" si="5"/>
        <v>0</v>
      </c>
      <c r="O24" s="61">
        <v>0</v>
      </c>
      <c r="P24" s="98">
        <f t="shared" si="6"/>
        <v>0</v>
      </c>
      <c r="Q24" s="45"/>
      <c r="R24" s="99" t="s">
        <v>57</v>
      </c>
    </row>
    <row r="25" spans="1:18" x14ac:dyDescent="0.35">
      <c r="A25" s="45"/>
      <c r="B25" s="45"/>
      <c r="C25" s="59">
        <f>SUM(C18:C24)</f>
        <v>8456788.5700000003</v>
      </c>
      <c r="D25" s="45"/>
      <c r="E25" s="59">
        <f>SUM(E19:E24)</f>
        <v>-7774422</v>
      </c>
      <c r="F25" s="59">
        <f>SUM(F19:F24)</f>
        <v>342366.56999999972</v>
      </c>
      <c r="G25" s="59">
        <f>SUM(G19:G24)</f>
        <v>0</v>
      </c>
      <c r="H25" s="91">
        <f>SUM(H19:H24)</f>
        <v>342366.56999999972</v>
      </c>
      <c r="I25" s="45"/>
      <c r="J25" s="45"/>
      <c r="K25" s="45"/>
      <c r="L25" s="91">
        <f>SUM(L19:L24)</f>
        <v>-7791540</v>
      </c>
      <c r="M25" s="59">
        <f>SUM(M19:M24)</f>
        <v>0</v>
      </c>
      <c r="N25" s="59">
        <f>SUM(N19:N24)</f>
        <v>0</v>
      </c>
      <c r="O25" s="59">
        <f>SUM(O19:O24)</f>
        <v>-32525</v>
      </c>
      <c r="P25" s="91">
        <f>SUM(P19:P24)</f>
        <v>-7824065</v>
      </c>
      <c r="Q25" s="45"/>
      <c r="R25" s="87">
        <f>SUM(R19:R24)</f>
        <v>292723.56999999972</v>
      </c>
    </row>
    <row r="26" spans="1:18" x14ac:dyDescent="0.35">
      <c r="A26" s="45"/>
      <c r="B26" s="45"/>
      <c r="C26" s="59"/>
      <c r="D26" s="45"/>
      <c r="E26" s="59"/>
      <c r="F26" s="59"/>
      <c r="G26" s="59"/>
      <c r="H26" s="91"/>
      <c r="I26" s="45"/>
      <c r="J26" s="91"/>
      <c r="K26" s="59"/>
      <c r="L26" s="59"/>
      <c r="M26" s="59"/>
      <c r="N26" s="91"/>
      <c r="O26" s="45"/>
      <c r="P26" s="45"/>
      <c r="Q26" s="45"/>
      <c r="R26" s="45"/>
    </row>
    <row r="27" spans="1:18" x14ac:dyDescent="0.3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35">
      <c r="A28" s="45"/>
      <c r="B28" s="45"/>
      <c r="C28" s="45"/>
      <c r="D28" s="45"/>
      <c r="E28" s="59"/>
      <c r="F28" s="74" t="s">
        <v>46</v>
      </c>
      <c r="G28" s="100"/>
      <c r="H28" s="101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5">
      <c r="A29" s="45"/>
      <c r="B29" s="45"/>
      <c r="C29" s="45"/>
      <c r="D29" s="213" t="s">
        <v>35</v>
      </c>
      <c r="E29" s="213"/>
      <c r="F29" s="74" t="s">
        <v>37</v>
      </c>
      <c r="G29" s="74" t="s">
        <v>54</v>
      </c>
      <c r="H29" s="74" t="s">
        <v>36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35">
      <c r="A30" s="45"/>
      <c r="B30" s="45"/>
      <c r="C30" s="45"/>
      <c r="D30" s="76" t="s">
        <v>31</v>
      </c>
      <c r="E30" s="76" t="s">
        <v>12</v>
      </c>
      <c r="F30" s="76" t="s">
        <v>38</v>
      </c>
      <c r="G30" s="76" t="s">
        <v>11</v>
      </c>
      <c r="H30" s="76" t="s">
        <v>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35">
      <c r="A31" s="45">
        <v>13</v>
      </c>
      <c r="B31" s="45" t="s">
        <v>45</v>
      </c>
      <c r="C31" s="45"/>
      <c r="D31" s="87">
        <f t="shared" ref="D31:D36" si="8">J6</f>
        <v>6509611.8899999997</v>
      </c>
      <c r="E31" s="87">
        <f t="shared" ref="E31:E36" si="9">R19</f>
        <v>583.88999999966472</v>
      </c>
      <c r="F31" s="87">
        <f>E31-D31</f>
        <v>-6509028</v>
      </c>
      <c r="G31" s="102">
        <v>0.2495</v>
      </c>
      <c r="H31" s="87">
        <f>ROUND(F31*G31,0)</f>
        <v>-1624002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x14ac:dyDescent="0.35">
      <c r="A32" s="45">
        <v>14</v>
      </c>
      <c r="B32" s="45" t="s">
        <v>0</v>
      </c>
      <c r="C32" s="45"/>
      <c r="D32" s="87">
        <f t="shared" si="8"/>
        <v>326852.68000000005</v>
      </c>
      <c r="E32" s="87">
        <f t="shared" si="9"/>
        <v>292139.68000000005</v>
      </c>
      <c r="F32" s="87">
        <f>E32-D32</f>
        <v>-34713</v>
      </c>
      <c r="G32" s="101">
        <f>G31</f>
        <v>0.2495</v>
      </c>
      <c r="H32" s="87">
        <f t="shared" ref="H32:H36" si="10">ROUND(F32*G32,0)</f>
        <v>-8661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5">
      <c r="A33" s="45">
        <v>15</v>
      </c>
      <c r="B33" s="45" t="s">
        <v>1</v>
      </c>
      <c r="C33" s="45"/>
      <c r="D33" s="87">
        <f t="shared" si="8"/>
        <v>903918</v>
      </c>
      <c r="E33" s="87">
        <f t="shared" si="9"/>
        <v>0</v>
      </c>
      <c r="F33" s="87">
        <f>E33-D33</f>
        <v>-903918</v>
      </c>
      <c r="G33" s="101">
        <f>G31</f>
        <v>0.2495</v>
      </c>
      <c r="H33" s="87">
        <f t="shared" si="10"/>
        <v>-225528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35">
      <c r="A34" s="45">
        <v>16</v>
      </c>
      <c r="B34" s="45" t="s">
        <v>16</v>
      </c>
      <c r="C34" s="45"/>
      <c r="D34" s="87">
        <f t="shared" si="8"/>
        <v>0</v>
      </c>
      <c r="E34" s="87">
        <f t="shared" si="9"/>
        <v>0</v>
      </c>
      <c r="F34" s="87">
        <f>E34-D34</f>
        <v>0</v>
      </c>
      <c r="G34" s="101">
        <f>G31</f>
        <v>0.2495</v>
      </c>
      <c r="H34" s="87">
        <f t="shared" si="10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35">
      <c r="A35" s="45">
        <v>17</v>
      </c>
      <c r="B35" s="45" t="s">
        <v>15</v>
      </c>
      <c r="C35" s="45"/>
      <c r="D35" s="87">
        <f t="shared" si="8"/>
        <v>0</v>
      </c>
      <c r="E35" s="87">
        <f t="shared" si="9"/>
        <v>0</v>
      </c>
      <c r="F35" s="87">
        <f>E35-D35</f>
        <v>0</v>
      </c>
      <c r="G35" s="101">
        <f>G31</f>
        <v>0.2495</v>
      </c>
      <c r="H35" s="87">
        <f t="shared" si="10"/>
        <v>0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5">
      <c r="A36" s="45">
        <v>18</v>
      </c>
      <c r="B36" s="45" t="s">
        <v>56</v>
      </c>
      <c r="C36" s="45"/>
      <c r="D36" s="93">
        <f t="shared" si="8"/>
        <v>332901</v>
      </c>
      <c r="E36" s="99" t="str">
        <f t="shared" si="9"/>
        <v>NA</v>
      </c>
      <c r="F36" s="93">
        <f>-D36</f>
        <v>-332901</v>
      </c>
      <c r="G36" s="103">
        <f>G31</f>
        <v>0.2495</v>
      </c>
      <c r="H36" s="93">
        <f t="shared" si="10"/>
        <v>-83059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5">
      <c r="A37" s="45"/>
      <c r="B37" s="45"/>
      <c r="C37" s="45"/>
      <c r="D37" s="87">
        <f>SUM(D31:D36)</f>
        <v>8073283.5699999994</v>
      </c>
      <c r="E37" s="87">
        <f>SUM(E31:E36)</f>
        <v>292723.56999999972</v>
      </c>
      <c r="F37" s="87">
        <f>SUM(F31:F36)</f>
        <v>-7780560</v>
      </c>
      <c r="G37" s="45"/>
      <c r="H37" s="87">
        <f>SUM(H31:H36)</f>
        <v>-1941250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x14ac:dyDescent="0.35">
      <c r="A39" s="104" t="s">
        <v>62</v>
      </c>
      <c r="B39" s="45" t="s">
        <v>63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35">
      <c r="A40" s="10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zoomScaleNormal="100" workbookViewId="0">
      <selection activeCell="C12" sqref="C12"/>
    </sheetView>
  </sheetViews>
  <sheetFormatPr defaultRowHeight="14.5" x14ac:dyDescent="0.35"/>
  <cols>
    <col min="1" max="1" width="14.453125" customWidth="1"/>
    <col min="2" max="2" width="18.54296875" bestFit="1" customWidth="1"/>
    <col min="3" max="4" width="12.7265625" customWidth="1"/>
    <col min="5" max="5" width="11.26953125" bestFit="1" customWidth="1"/>
    <col min="6" max="6" width="12.7265625" customWidth="1"/>
    <col min="7" max="7" width="12.453125" bestFit="1" customWidth="1"/>
    <col min="8" max="8" width="13.1796875" bestFit="1" customWidth="1"/>
    <col min="9" max="9" width="2.7265625" customWidth="1"/>
    <col min="10" max="10" width="10.7265625" customWidth="1"/>
    <col min="11" max="11" width="8.1796875" bestFit="1" customWidth="1"/>
    <col min="12" max="12" width="9.81640625" bestFit="1" customWidth="1"/>
    <col min="13" max="14" width="11.26953125" bestFit="1" customWidth="1"/>
    <col min="15" max="15" width="8.453125" bestFit="1" customWidth="1"/>
    <col min="16" max="16" width="11.26953125" bestFit="1" customWidth="1"/>
    <col min="17" max="17" width="2.7265625" customWidth="1"/>
    <col min="18" max="18" width="13.7265625" bestFit="1" customWidth="1"/>
  </cols>
  <sheetData>
    <row r="1" spans="1:18" x14ac:dyDescent="0.35">
      <c r="A1" s="19" t="s">
        <v>23</v>
      </c>
      <c r="B1" s="11">
        <v>2024</v>
      </c>
    </row>
    <row r="2" spans="1:18" x14ac:dyDescent="0.35">
      <c r="A2" s="19" t="s">
        <v>44</v>
      </c>
      <c r="D2" s="14"/>
      <c r="F2" s="212" t="s">
        <v>32</v>
      </c>
      <c r="G2" s="212"/>
      <c r="H2" s="212"/>
    </row>
    <row r="3" spans="1:18" x14ac:dyDescent="0.35">
      <c r="D3" s="15" t="s">
        <v>34</v>
      </c>
      <c r="G3" s="14" t="s">
        <v>62</v>
      </c>
      <c r="J3" s="15" t="s">
        <v>31</v>
      </c>
    </row>
    <row r="4" spans="1:18" x14ac:dyDescent="0.35">
      <c r="C4" s="15">
        <v>2024</v>
      </c>
      <c r="D4" s="15" t="s">
        <v>22</v>
      </c>
      <c r="F4" s="15"/>
      <c r="G4" s="15" t="s">
        <v>2</v>
      </c>
      <c r="H4" s="15"/>
      <c r="J4" s="15" t="s">
        <v>39</v>
      </c>
      <c r="O4" s="15" t="s">
        <v>61</v>
      </c>
      <c r="P4" s="15" t="s">
        <v>61</v>
      </c>
    </row>
    <row r="5" spans="1:18" x14ac:dyDescent="0.35">
      <c r="C5" s="141" t="s">
        <v>18</v>
      </c>
      <c r="D5" s="12">
        <v>1</v>
      </c>
      <c r="F5" s="141" t="s">
        <v>19</v>
      </c>
      <c r="G5" s="141" t="s">
        <v>14</v>
      </c>
      <c r="H5" s="141" t="s">
        <v>20</v>
      </c>
      <c r="J5" s="141" t="s">
        <v>40</v>
      </c>
      <c r="O5" s="141" t="s">
        <v>11</v>
      </c>
      <c r="P5" s="141" t="s">
        <v>13</v>
      </c>
    </row>
    <row r="6" spans="1:18" x14ac:dyDescent="0.35">
      <c r="A6">
        <v>1</v>
      </c>
      <c r="B6" t="s">
        <v>45</v>
      </c>
      <c r="C6" s="1">
        <f>'Schedule IV 2024'!H56*0.5</f>
        <v>3062897.5</v>
      </c>
      <c r="D6" s="158">
        <v>3.1E-2</v>
      </c>
      <c r="F6" s="1">
        <v>0</v>
      </c>
      <c r="G6" s="17">
        <f>ROUND(IF(D$5=1,-0.5*D6*C6,-D6*C6),0)</f>
        <v>-47475</v>
      </c>
      <c r="H6" s="17">
        <f t="shared" ref="H6:H11" si="0">SUM(F6:G6)</f>
        <v>-47475</v>
      </c>
      <c r="J6" s="5">
        <f t="shared" ref="J6:J11" si="1">C6+H6</f>
        <v>3015422.5</v>
      </c>
      <c r="O6" s="13">
        <v>1E-4</v>
      </c>
      <c r="P6" s="16">
        <f>ROUND(IF(D$5=1,-0.5*O6*C6,-O6*C6),0)</f>
        <v>-153</v>
      </c>
    </row>
    <row r="7" spans="1:18" x14ac:dyDescent="0.35">
      <c r="A7">
        <v>2</v>
      </c>
      <c r="B7" t="s">
        <v>0</v>
      </c>
      <c r="C7" s="1">
        <f>'Schedule IV 2024'!I56</f>
        <v>0</v>
      </c>
      <c r="D7" s="158">
        <v>2.9000000000000001E-2</v>
      </c>
      <c r="F7" s="1">
        <v>0</v>
      </c>
      <c r="G7" s="17">
        <f>ROUND(IF(D$5=1,-0.5*D7*C7,-D7*C7),0)</f>
        <v>0</v>
      </c>
      <c r="H7" s="17">
        <f t="shared" si="0"/>
        <v>0</v>
      </c>
      <c r="J7" s="5">
        <f t="shared" si="1"/>
        <v>0</v>
      </c>
      <c r="O7" s="13">
        <v>2.0000000000000001E-4</v>
      </c>
      <c r="P7" s="5">
        <f>ROUND(IF(D$5=1,-0.5*O7*C7,-O7*C7),0)</f>
        <v>0</v>
      </c>
    </row>
    <row r="8" spans="1:18" x14ac:dyDescent="0.35">
      <c r="A8">
        <v>3</v>
      </c>
      <c r="B8" t="s">
        <v>1</v>
      </c>
      <c r="C8" s="1">
        <f>'Schedule IV 2024'!J56*0.5</f>
        <v>327750</v>
      </c>
      <c r="D8" s="158">
        <v>3.1E-2</v>
      </c>
      <c r="F8" s="1">
        <v>0</v>
      </c>
      <c r="G8" s="17">
        <f>ROUND(IF(D$5=1,-0.5*D8*C8,-D8*C8),0)</f>
        <v>-5080</v>
      </c>
      <c r="H8" s="17">
        <f t="shared" si="0"/>
        <v>-5080</v>
      </c>
      <c r="J8" s="5">
        <f t="shared" si="1"/>
        <v>322670</v>
      </c>
      <c r="O8" s="13">
        <v>4.1999999999999997E-3</v>
      </c>
      <c r="P8" s="5">
        <f>ROUND(IF(D$5=1,-0.5*O8*C8,-O8*C8),0)</f>
        <v>-688</v>
      </c>
    </row>
    <row r="9" spans="1:18" x14ac:dyDescent="0.35">
      <c r="A9">
        <v>4</v>
      </c>
      <c r="B9" t="s">
        <v>16</v>
      </c>
      <c r="C9" s="1"/>
      <c r="D9" s="158">
        <v>2.2499999999999999E-2</v>
      </c>
      <c r="F9" s="1">
        <v>0</v>
      </c>
      <c r="G9" s="17">
        <f>ROUND(IF(D$5=1,-0.5*D9*C9,-D9*C9),0)</f>
        <v>0</v>
      </c>
      <c r="H9" s="17">
        <f t="shared" si="0"/>
        <v>0</v>
      </c>
      <c r="J9" s="5">
        <f t="shared" si="1"/>
        <v>0</v>
      </c>
      <c r="O9" s="13">
        <v>0</v>
      </c>
      <c r="P9" s="5">
        <f>IF(D$5=1,-0.5*O9*C9,-O9*C9)</f>
        <v>0</v>
      </c>
    </row>
    <row r="10" spans="1:18" x14ac:dyDescent="0.35">
      <c r="A10">
        <v>5</v>
      </c>
      <c r="B10" t="s">
        <v>15</v>
      </c>
      <c r="C10" s="1"/>
      <c r="D10" s="158">
        <v>2.1000000000000001E-2</v>
      </c>
      <c r="F10" s="1">
        <v>0</v>
      </c>
      <c r="G10" s="17">
        <f>ROUND(IF(D$5=1,-0.5*D10*C10,-D10*C10),0)</f>
        <v>0</v>
      </c>
      <c r="H10" s="17">
        <f t="shared" si="0"/>
        <v>0</v>
      </c>
      <c r="J10" s="5">
        <f t="shared" si="1"/>
        <v>0</v>
      </c>
      <c r="O10" s="13">
        <v>0</v>
      </c>
      <c r="P10" s="5">
        <f>IF(D$5=1,-0.5*O10*C10,-O10*C10)</f>
        <v>0</v>
      </c>
    </row>
    <row r="11" spans="1:18" x14ac:dyDescent="0.35">
      <c r="A11">
        <v>6</v>
      </c>
      <c r="B11" t="s">
        <v>56</v>
      </c>
      <c r="C11" s="2">
        <f>'Schedule IV 2024'!G56*0.5</f>
        <v>170000</v>
      </c>
      <c r="D11" s="4" t="s">
        <v>55</v>
      </c>
      <c r="F11" s="2">
        <v>0</v>
      </c>
      <c r="G11" s="18">
        <f>P12</f>
        <v>-841</v>
      </c>
      <c r="H11" s="18">
        <f t="shared" si="0"/>
        <v>-841</v>
      </c>
      <c r="J11" s="6">
        <f t="shared" si="1"/>
        <v>169159</v>
      </c>
      <c r="O11" s="20">
        <v>0</v>
      </c>
      <c r="P11" s="6">
        <f>IF(D$5=1,-0.5*O11*C11,-O11*C11)</f>
        <v>0</v>
      </c>
    </row>
    <row r="12" spans="1:18" x14ac:dyDescent="0.35">
      <c r="C12" s="17">
        <f>SUM(C6:C11)</f>
        <v>3560647.5</v>
      </c>
      <c r="D12" s="17"/>
      <c r="F12" s="1">
        <f>SUM(F5:F11)</f>
        <v>0</v>
      </c>
      <c r="G12" s="17">
        <f>SUM(G5:G11)</f>
        <v>-53396</v>
      </c>
      <c r="H12" s="17">
        <f>SUM(H5:H11)</f>
        <v>-53396</v>
      </c>
      <c r="J12" s="5">
        <f>SUM(J6:J11)</f>
        <v>3507251.5</v>
      </c>
      <c r="O12" s="5"/>
      <c r="P12" s="16">
        <f>SUM(P5:P11)</f>
        <v>-841</v>
      </c>
    </row>
    <row r="13" spans="1:18" x14ac:dyDescent="0.35">
      <c r="C13" s="17"/>
      <c r="D13" s="17"/>
      <c r="E13" s="17"/>
      <c r="F13" s="17"/>
      <c r="M13" s="15"/>
    </row>
    <row r="14" spans="1:18" x14ac:dyDescent="0.35">
      <c r="M14" s="15"/>
    </row>
    <row r="15" spans="1:18" x14ac:dyDescent="0.35">
      <c r="D15" s="15"/>
    </row>
    <row r="16" spans="1:18" x14ac:dyDescent="0.35">
      <c r="A16" s="45"/>
      <c r="B16" s="45"/>
      <c r="C16" s="45"/>
      <c r="D16" s="74" t="s">
        <v>26</v>
      </c>
      <c r="E16" s="45"/>
      <c r="F16" s="45"/>
      <c r="G16" s="84">
        <v>0</v>
      </c>
      <c r="H16" s="45"/>
      <c r="I16" s="45"/>
      <c r="J16" s="85"/>
      <c r="K16" s="74" t="s">
        <v>21</v>
      </c>
      <c r="L16" s="213" t="s">
        <v>33</v>
      </c>
      <c r="M16" s="213"/>
      <c r="N16" s="213"/>
      <c r="O16" s="213"/>
      <c r="P16" s="213"/>
      <c r="Q16" s="45"/>
      <c r="R16" s="74" t="s">
        <v>12</v>
      </c>
    </row>
    <row r="17" spans="1:18" x14ac:dyDescent="0.35">
      <c r="A17" s="45"/>
      <c r="B17" s="45"/>
      <c r="C17" s="74" t="s">
        <v>31</v>
      </c>
      <c r="D17" s="74" t="s">
        <v>14</v>
      </c>
      <c r="E17" s="74" t="s">
        <v>12</v>
      </c>
      <c r="F17" s="74" t="s">
        <v>12</v>
      </c>
      <c r="G17" s="74" t="s">
        <v>25</v>
      </c>
      <c r="H17" s="74" t="s">
        <v>29</v>
      </c>
      <c r="I17" s="45"/>
      <c r="J17" s="74"/>
      <c r="K17" s="74" t="s">
        <v>24</v>
      </c>
      <c r="L17" s="74"/>
      <c r="M17" s="74" t="s">
        <v>12</v>
      </c>
      <c r="N17" s="74" t="s">
        <v>25</v>
      </c>
      <c r="O17" s="74" t="s">
        <v>21</v>
      </c>
      <c r="P17" s="74"/>
      <c r="Q17" s="45"/>
      <c r="R17" s="74" t="s">
        <v>39</v>
      </c>
    </row>
    <row r="18" spans="1:18" x14ac:dyDescent="0.35">
      <c r="A18" s="45"/>
      <c r="B18" s="45"/>
      <c r="C18" s="76" t="s">
        <v>18</v>
      </c>
      <c r="D18" s="76" t="s">
        <v>27</v>
      </c>
      <c r="E18" s="76" t="s">
        <v>14</v>
      </c>
      <c r="F18" s="76" t="s">
        <v>28</v>
      </c>
      <c r="G18" s="76" t="s">
        <v>2</v>
      </c>
      <c r="H18" s="76" t="s">
        <v>30</v>
      </c>
      <c r="I18" s="45"/>
      <c r="J18" s="76" t="s">
        <v>17</v>
      </c>
      <c r="K18" s="76">
        <f>D5</f>
        <v>1</v>
      </c>
      <c r="L18" s="76" t="s">
        <v>19</v>
      </c>
      <c r="M18" s="76" t="s">
        <v>14</v>
      </c>
      <c r="N18" s="76" t="s">
        <v>13</v>
      </c>
      <c r="O18" s="76" t="s">
        <v>13</v>
      </c>
      <c r="P18" s="76" t="s">
        <v>20</v>
      </c>
      <c r="Q18" s="45"/>
      <c r="R18" s="76" t="s">
        <v>40</v>
      </c>
    </row>
    <row r="19" spans="1:18" x14ac:dyDescent="0.35">
      <c r="A19" s="45">
        <v>7</v>
      </c>
      <c r="B19" s="45" t="s">
        <v>45</v>
      </c>
      <c r="C19" s="59">
        <f t="shared" ref="C19:C24" si="2">C6</f>
        <v>3062897.5</v>
      </c>
      <c r="D19" s="203">
        <v>1</v>
      </c>
      <c r="E19" s="59">
        <f>ROUND(C19*-D19,0)</f>
        <v>-3062898</v>
      </c>
      <c r="F19" s="87">
        <f>C19+E19</f>
        <v>-0.5</v>
      </c>
      <c r="G19" s="87">
        <f t="shared" ref="G19:G24" si="3">ROUND(F19*-$G$16,0)</f>
        <v>0</v>
      </c>
      <c r="H19" s="88">
        <f t="shared" ref="H19:H24" si="4">F19+G19</f>
        <v>-0.5</v>
      </c>
      <c r="I19" s="45"/>
      <c r="J19" s="45">
        <v>15</v>
      </c>
      <c r="K19" s="89">
        <f>IFERROR(VLOOKUP(J19,'Tax Rates'!$A$1:$AA$12,$K$18+1,FALSE),0)</f>
        <v>0.05</v>
      </c>
      <c r="L19" s="90">
        <v>0</v>
      </c>
      <c r="M19" s="87">
        <f t="shared" ref="M19:M24" si="5">E19</f>
        <v>-3062898</v>
      </c>
      <c r="N19" s="87">
        <f t="shared" ref="N19:N24" si="6">G19</f>
        <v>0</v>
      </c>
      <c r="O19" s="59">
        <f>ROUND(K19*-H19,0)</f>
        <v>0</v>
      </c>
      <c r="P19" s="91">
        <f t="shared" ref="P19:P24" si="7">SUM(L19:O19)</f>
        <v>-3062898</v>
      </c>
      <c r="Q19" s="45"/>
      <c r="R19" s="87">
        <f>C19+P19</f>
        <v>-0.5</v>
      </c>
    </row>
    <row r="20" spans="1:18" x14ac:dyDescent="0.35">
      <c r="A20" s="45">
        <v>8</v>
      </c>
      <c r="B20" s="45" t="s">
        <v>0</v>
      </c>
      <c r="C20" s="68">
        <f t="shared" si="2"/>
        <v>0</v>
      </c>
      <c r="D20" s="172">
        <v>0</v>
      </c>
      <c r="E20" s="59">
        <f>ROUND(C20*-D20,0)</f>
        <v>0</v>
      </c>
      <c r="F20" s="87">
        <f>C20+E20</f>
        <v>0</v>
      </c>
      <c r="G20" s="87">
        <f t="shared" si="3"/>
        <v>0</v>
      </c>
      <c r="H20" s="88">
        <f t="shared" si="4"/>
        <v>0</v>
      </c>
      <c r="I20" s="45"/>
      <c r="J20" s="45">
        <v>15</v>
      </c>
      <c r="K20" s="89">
        <f>IFERROR(VLOOKUP(J20,'Tax Rates'!$A$1:$AA$12,$K$18+1,FALSE),0)</f>
        <v>0.05</v>
      </c>
      <c r="L20" s="90">
        <v>0</v>
      </c>
      <c r="M20" s="87">
        <f t="shared" si="5"/>
        <v>0</v>
      </c>
      <c r="N20" s="87">
        <f t="shared" si="6"/>
        <v>0</v>
      </c>
      <c r="O20" s="59">
        <f>ROUND(K20*-H20,0)</f>
        <v>0</v>
      </c>
      <c r="P20" s="91">
        <f t="shared" si="7"/>
        <v>0</v>
      </c>
      <c r="Q20" s="45"/>
      <c r="R20" s="87">
        <f>C20+P20</f>
        <v>0</v>
      </c>
    </row>
    <row r="21" spans="1:18" x14ac:dyDescent="0.35">
      <c r="A21" s="45">
        <v>9</v>
      </c>
      <c r="B21" s="45" t="s">
        <v>1</v>
      </c>
      <c r="C21" s="68">
        <f t="shared" si="2"/>
        <v>327750</v>
      </c>
      <c r="D21" s="204">
        <v>1</v>
      </c>
      <c r="E21" s="59">
        <f>ROUND(C21*-D21,0)</f>
        <v>-327750</v>
      </c>
      <c r="F21" s="87">
        <f>C21+E21</f>
        <v>0</v>
      </c>
      <c r="G21" s="87">
        <f t="shared" si="3"/>
        <v>0</v>
      </c>
      <c r="H21" s="88">
        <f t="shared" si="4"/>
        <v>0</v>
      </c>
      <c r="I21" s="45"/>
      <c r="J21" s="45">
        <v>20</v>
      </c>
      <c r="K21" s="89">
        <f>IFERROR(VLOOKUP(J21,'Tax Rates'!$A$1:$AA$12,$K$18+1,FALSE),0)</f>
        <v>3.7499999999999999E-2</v>
      </c>
      <c r="L21" s="90">
        <v>0</v>
      </c>
      <c r="M21" s="87">
        <f t="shared" si="5"/>
        <v>-327750</v>
      </c>
      <c r="N21" s="87">
        <f t="shared" si="6"/>
        <v>0</v>
      </c>
      <c r="O21" s="59">
        <f>ROUND(K21*-H21,0)</f>
        <v>0</v>
      </c>
      <c r="P21" s="91">
        <f t="shared" si="7"/>
        <v>-327750</v>
      </c>
      <c r="Q21" s="45"/>
      <c r="R21" s="87">
        <f>C21+P21</f>
        <v>0</v>
      </c>
    </row>
    <row r="22" spans="1:18" x14ac:dyDescent="0.35">
      <c r="A22" s="45">
        <v>10</v>
      </c>
      <c r="B22" s="45" t="s">
        <v>16</v>
      </c>
      <c r="C22" s="68">
        <f t="shared" si="2"/>
        <v>0</v>
      </c>
      <c r="D22" s="86">
        <v>0</v>
      </c>
      <c r="E22" s="59">
        <f>ROUND(C22*-D22,0)</f>
        <v>0</v>
      </c>
      <c r="F22" s="87">
        <f>C22+E22</f>
        <v>0</v>
      </c>
      <c r="G22" s="87">
        <f t="shared" si="3"/>
        <v>0</v>
      </c>
      <c r="H22" s="88">
        <f t="shared" si="4"/>
        <v>0</v>
      </c>
      <c r="I22" s="45"/>
      <c r="J22" s="45">
        <v>7</v>
      </c>
      <c r="K22" s="89">
        <f>IFERROR(VLOOKUP(J22,'Tax Rates'!$A$1:$AA$12,$K$18+1,FALSE),0)</f>
        <v>0.14285999999999999</v>
      </c>
      <c r="L22" s="90">
        <v>0</v>
      </c>
      <c r="M22" s="87">
        <f t="shared" si="5"/>
        <v>0</v>
      </c>
      <c r="N22" s="87">
        <f t="shared" si="6"/>
        <v>0</v>
      </c>
      <c r="O22" s="59">
        <f>ROUND(K22*-H22,0)</f>
        <v>0</v>
      </c>
      <c r="P22" s="91">
        <f t="shared" si="7"/>
        <v>0</v>
      </c>
      <c r="Q22" s="45"/>
      <c r="R22" s="87">
        <f>C22+P22</f>
        <v>0</v>
      </c>
    </row>
    <row r="23" spans="1:18" x14ac:dyDescent="0.35">
      <c r="A23" s="45">
        <v>11</v>
      </c>
      <c r="B23" s="45" t="s">
        <v>15</v>
      </c>
      <c r="C23" s="68">
        <f t="shared" si="2"/>
        <v>0</v>
      </c>
      <c r="D23" s="86">
        <v>0</v>
      </c>
      <c r="E23" s="59">
        <f>ROUND(C23*-D23,0)</f>
        <v>0</v>
      </c>
      <c r="F23" s="87">
        <f>C23+E23</f>
        <v>0</v>
      </c>
      <c r="G23" s="87">
        <f t="shared" si="3"/>
        <v>0</v>
      </c>
      <c r="H23" s="88">
        <f t="shared" si="4"/>
        <v>0</v>
      </c>
      <c r="I23" s="45"/>
      <c r="J23" s="45">
        <v>15</v>
      </c>
      <c r="K23" s="89">
        <f>IFERROR(VLOOKUP(J23,'Tax Rates'!$A$1:$AA$12,$K$18+1,FALSE),0)</f>
        <v>0.05</v>
      </c>
      <c r="L23" s="90">
        <v>0</v>
      </c>
      <c r="M23" s="87">
        <f t="shared" si="5"/>
        <v>0</v>
      </c>
      <c r="N23" s="87">
        <f t="shared" si="6"/>
        <v>0</v>
      </c>
      <c r="O23" s="59">
        <f>ROUND(K23*-H23,0)</f>
        <v>0</v>
      </c>
      <c r="P23" s="91">
        <f t="shared" si="7"/>
        <v>0</v>
      </c>
      <c r="Q23" s="45"/>
      <c r="R23" s="87">
        <f>C23+P23</f>
        <v>0</v>
      </c>
    </row>
    <row r="24" spans="1:18" x14ac:dyDescent="0.35">
      <c r="A24" s="45">
        <v>12</v>
      </c>
      <c r="B24" s="45" t="s">
        <v>56</v>
      </c>
      <c r="C24" s="61">
        <f t="shared" si="2"/>
        <v>170000</v>
      </c>
      <c r="D24" s="92" t="s">
        <v>57</v>
      </c>
      <c r="E24" s="61">
        <v>0</v>
      </c>
      <c r="F24" s="93">
        <v>0</v>
      </c>
      <c r="G24" s="93">
        <f t="shared" si="3"/>
        <v>0</v>
      </c>
      <c r="H24" s="94">
        <f t="shared" si="4"/>
        <v>0</v>
      </c>
      <c r="I24" s="45"/>
      <c r="J24" s="35" t="s">
        <v>57</v>
      </c>
      <c r="K24" s="95" t="s">
        <v>57</v>
      </c>
      <c r="L24" s="96">
        <v>0</v>
      </c>
      <c r="M24" s="93">
        <f t="shared" si="5"/>
        <v>0</v>
      </c>
      <c r="N24" s="97">
        <f t="shared" si="6"/>
        <v>0</v>
      </c>
      <c r="O24" s="61">
        <v>0</v>
      </c>
      <c r="P24" s="98">
        <f t="shared" si="7"/>
        <v>0</v>
      </c>
      <c r="Q24" s="45"/>
      <c r="R24" s="99" t="s">
        <v>57</v>
      </c>
    </row>
    <row r="25" spans="1:18" x14ac:dyDescent="0.35">
      <c r="A25" s="45"/>
      <c r="B25" s="45"/>
      <c r="C25" s="59">
        <f>SUM(C18:C24)</f>
        <v>3560647.5</v>
      </c>
      <c r="D25" s="45"/>
      <c r="E25" s="59">
        <f>SUM(E19:E24)</f>
        <v>-3390648</v>
      </c>
      <c r="F25" s="59">
        <f>SUM(F19:F24)</f>
        <v>-0.5</v>
      </c>
      <c r="G25" s="59">
        <f>SUM(G19:G24)</f>
        <v>0</v>
      </c>
      <c r="H25" s="91">
        <f>SUM(H19:H24)</f>
        <v>-0.5</v>
      </c>
      <c r="I25" s="45"/>
      <c r="J25" s="45"/>
      <c r="K25" s="45"/>
      <c r="L25" s="91">
        <f>SUM(L19:L24)</f>
        <v>0</v>
      </c>
      <c r="M25" s="59">
        <f>SUM(M19:M24)</f>
        <v>-3390648</v>
      </c>
      <c r="N25" s="59">
        <f>SUM(N19:N24)</f>
        <v>0</v>
      </c>
      <c r="O25" s="59">
        <f>SUM(O19:O24)</f>
        <v>0</v>
      </c>
      <c r="P25" s="91">
        <f>SUM(P19:P24)</f>
        <v>-3390648</v>
      </c>
      <c r="Q25" s="45"/>
      <c r="R25" s="87">
        <f>SUM(R19:R24)</f>
        <v>-0.5</v>
      </c>
    </row>
    <row r="26" spans="1:18" x14ac:dyDescent="0.35">
      <c r="A26" s="45"/>
      <c r="B26" s="45"/>
      <c r="C26" s="59"/>
      <c r="D26" s="45"/>
      <c r="E26" s="59"/>
      <c r="F26" s="59"/>
      <c r="G26" s="59"/>
      <c r="H26" s="91"/>
      <c r="I26" s="45"/>
      <c r="J26" s="91"/>
      <c r="K26" s="59"/>
      <c r="L26" s="59"/>
      <c r="M26" s="59"/>
      <c r="N26" s="91"/>
      <c r="O26" s="45"/>
      <c r="P26" s="45"/>
      <c r="Q26" s="45"/>
      <c r="R26" s="45"/>
    </row>
    <row r="27" spans="1:18" x14ac:dyDescent="0.3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35">
      <c r="A28" s="45"/>
      <c r="B28" s="45"/>
      <c r="C28" s="45"/>
      <c r="D28" s="45"/>
      <c r="E28" s="59"/>
      <c r="F28" s="74" t="s">
        <v>46</v>
      </c>
      <c r="G28" s="100"/>
      <c r="H28" s="101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35">
      <c r="A29" s="45"/>
      <c r="B29" s="45"/>
      <c r="C29" s="45"/>
      <c r="D29" s="213" t="s">
        <v>35</v>
      </c>
      <c r="E29" s="213"/>
      <c r="F29" s="74" t="s">
        <v>37</v>
      </c>
      <c r="G29" s="74" t="s">
        <v>54</v>
      </c>
      <c r="H29" s="74" t="s">
        <v>36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35">
      <c r="A30" s="45"/>
      <c r="B30" s="45"/>
      <c r="C30" s="45"/>
      <c r="D30" s="76" t="s">
        <v>31</v>
      </c>
      <c r="E30" s="76" t="s">
        <v>12</v>
      </c>
      <c r="F30" s="76" t="s">
        <v>38</v>
      </c>
      <c r="G30" s="76" t="s">
        <v>11</v>
      </c>
      <c r="H30" s="76" t="s">
        <v>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35">
      <c r="A31" s="45">
        <v>13</v>
      </c>
      <c r="B31" s="45" t="s">
        <v>45</v>
      </c>
      <c r="C31" s="45"/>
      <c r="D31" s="87">
        <f t="shared" ref="D31:D36" si="8">J6</f>
        <v>3015422.5</v>
      </c>
      <c r="E31" s="87">
        <f t="shared" ref="E31:E36" si="9">R19</f>
        <v>-0.5</v>
      </c>
      <c r="F31" s="87">
        <f>E31-D31</f>
        <v>-3015423</v>
      </c>
      <c r="G31" s="102">
        <v>0.2495</v>
      </c>
      <c r="H31" s="87">
        <f>ROUND(F31*G31,0)</f>
        <v>-752348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x14ac:dyDescent="0.35">
      <c r="A32" s="45">
        <v>14</v>
      </c>
      <c r="B32" s="45" t="s">
        <v>0</v>
      </c>
      <c r="C32" s="45"/>
      <c r="D32" s="87">
        <f t="shared" si="8"/>
        <v>0</v>
      </c>
      <c r="E32" s="87">
        <f t="shared" si="9"/>
        <v>0</v>
      </c>
      <c r="F32" s="87">
        <f>E32-D32</f>
        <v>0</v>
      </c>
      <c r="G32" s="101">
        <f>G31</f>
        <v>0.2495</v>
      </c>
      <c r="H32" s="87">
        <f t="shared" ref="H32:H36" si="10">ROUND(F32*G32,0)</f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5">
      <c r="A33" s="45">
        <v>15</v>
      </c>
      <c r="B33" s="45" t="s">
        <v>1</v>
      </c>
      <c r="C33" s="45"/>
      <c r="D33" s="87">
        <f t="shared" si="8"/>
        <v>322670</v>
      </c>
      <c r="E33" s="87">
        <f t="shared" si="9"/>
        <v>0</v>
      </c>
      <c r="F33" s="87">
        <f>E33-D33</f>
        <v>-322670</v>
      </c>
      <c r="G33" s="101">
        <f>G31</f>
        <v>0.2495</v>
      </c>
      <c r="H33" s="87">
        <f t="shared" si="10"/>
        <v>-80506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35">
      <c r="A34" s="45">
        <v>16</v>
      </c>
      <c r="B34" s="45" t="s">
        <v>16</v>
      </c>
      <c r="C34" s="45"/>
      <c r="D34" s="87">
        <f t="shared" si="8"/>
        <v>0</v>
      </c>
      <c r="E34" s="87">
        <f t="shared" si="9"/>
        <v>0</v>
      </c>
      <c r="F34" s="87">
        <f>E34-D34</f>
        <v>0</v>
      </c>
      <c r="G34" s="101">
        <f>G31</f>
        <v>0.2495</v>
      </c>
      <c r="H34" s="87">
        <f t="shared" si="10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35">
      <c r="A35" s="45">
        <v>17</v>
      </c>
      <c r="B35" s="45" t="s">
        <v>15</v>
      </c>
      <c r="C35" s="45"/>
      <c r="D35" s="87">
        <f t="shared" si="8"/>
        <v>0</v>
      </c>
      <c r="E35" s="87">
        <f t="shared" si="9"/>
        <v>0</v>
      </c>
      <c r="F35" s="87">
        <f>E35-D35</f>
        <v>0</v>
      </c>
      <c r="G35" s="101">
        <f>G31</f>
        <v>0.2495</v>
      </c>
      <c r="H35" s="87">
        <f t="shared" si="10"/>
        <v>0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35">
      <c r="A36" s="45">
        <v>18</v>
      </c>
      <c r="B36" s="45" t="s">
        <v>56</v>
      </c>
      <c r="C36" s="45"/>
      <c r="D36" s="93">
        <f t="shared" si="8"/>
        <v>169159</v>
      </c>
      <c r="E36" s="99" t="str">
        <f t="shared" si="9"/>
        <v>NA</v>
      </c>
      <c r="F36" s="93">
        <f>-D36</f>
        <v>-169159</v>
      </c>
      <c r="G36" s="103">
        <f>G31</f>
        <v>0.2495</v>
      </c>
      <c r="H36" s="93">
        <f t="shared" si="10"/>
        <v>-42205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35">
      <c r="A37" s="45"/>
      <c r="B37" s="45"/>
      <c r="C37" s="45"/>
      <c r="D37" s="87">
        <f>SUM(D31:D36)</f>
        <v>3507251.5</v>
      </c>
      <c r="E37" s="87">
        <f>SUM(E31:E36)</f>
        <v>-0.5</v>
      </c>
      <c r="F37" s="87">
        <f>SUM(F31:F36)</f>
        <v>-3507252</v>
      </c>
      <c r="G37" s="45"/>
      <c r="H37" s="87">
        <f>SUM(H31:H36)</f>
        <v>-875059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x14ac:dyDescent="0.35">
      <c r="A39" s="104" t="s">
        <v>62</v>
      </c>
      <c r="B39" s="45" t="s">
        <v>63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35">
      <c r="A40" s="10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8"/>
  <sheetViews>
    <sheetView view="pageBreakPreview" topLeftCell="A19" zoomScaleNormal="80" zoomScaleSheetLayoutView="100" workbookViewId="0">
      <selection activeCell="E29" sqref="E29"/>
    </sheetView>
  </sheetViews>
  <sheetFormatPr defaultColWidth="9.1796875" defaultRowHeight="14.5" x14ac:dyDescent="0.35"/>
  <cols>
    <col min="1" max="1" width="4.7265625" style="45" customWidth="1"/>
    <col min="2" max="2" width="38.453125" style="45" customWidth="1"/>
    <col min="3" max="3" width="16" style="45" bestFit="1" customWidth="1"/>
    <col min="4" max="4" width="2.7265625" style="45" customWidth="1"/>
    <col min="5" max="5" width="12.54296875" style="45" customWidth="1"/>
    <col min="6" max="16384" width="9.1796875" style="45"/>
  </cols>
  <sheetData>
    <row r="1" spans="1:6" x14ac:dyDescent="0.35">
      <c r="A1" s="44" t="s">
        <v>47</v>
      </c>
      <c r="F1" s="106" t="s">
        <v>132</v>
      </c>
    </row>
    <row r="2" spans="1:6" x14ac:dyDescent="0.35">
      <c r="A2" s="44" t="s">
        <v>64</v>
      </c>
    </row>
    <row r="3" spans="1:6" x14ac:dyDescent="0.35">
      <c r="A3" s="107"/>
      <c r="B3" s="107"/>
      <c r="C3" s="107"/>
      <c r="D3" s="107"/>
      <c r="E3" s="107"/>
    </row>
    <row r="5" spans="1:6" x14ac:dyDescent="0.35">
      <c r="A5" s="44" t="s">
        <v>79</v>
      </c>
    </row>
    <row r="6" spans="1:6" x14ac:dyDescent="0.35">
      <c r="B6" s="44"/>
    </row>
    <row r="7" spans="1:6" x14ac:dyDescent="0.35">
      <c r="B7" s="44"/>
    </row>
    <row r="8" spans="1:6" x14ac:dyDescent="0.35">
      <c r="B8" s="45" t="s">
        <v>160</v>
      </c>
      <c r="C8" s="108">
        <f>-'Sch II 2023'!G12</f>
        <v>255670</v>
      </c>
    </row>
    <row r="9" spans="1:6" x14ac:dyDescent="0.35">
      <c r="B9" s="45" t="s">
        <v>172</v>
      </c>
      <c r="C9" s="108">
        <f>-'Sch II 2024'!G12</f>
        <v>53396</v>
      </c>
    </row>
    <row r="10" spans="1:6" x14ac:dyDescent="0.35">
      <c r="B10" s="44"/>
      <c r="C10" s="109">
        <f>SUM(C8:C9)</f>
        <v>309066</v>
      </c>
    </row>
    <row r="11" spans="1:6" x14ac:dyDescent="0.35">
      <c r="A11" s="107"/>
      <c r="B11" s="107"/>
      <c r="C11" s="107"/>
      <c r="D11" s="107"/>
      <c r="E11" s="107"/>
    </row>
    <row r="13" spans="1:6" x14ac:dyDescent="0.35">
      <c r="A13" s="44" t="s">
        <v>175</v>
      </c>
    </row>
    <row r="15" spans="1:6" x14ac:dyDescent="0.35">
      <c r="B15" s="214" t="s">
        <v>176</v>
      </c>
    </row>
    <row r="16" spans="1:6" x14ac:dyDescent="0.35">
      <c r="A16" s="106"/>
      <c r="B16" s="214"/>
      <c r="C16" s="108">
        <v>90819</v>
      </c>
    </row>
    <row r="17" spans="1:5" x14ac:dyDescent="0.35">
      <c r="C17" s="108"/>
    </row>
    <row r="18" spans="1:5" ht="30" customHeight="1" x14ac:dyDescent="0.35">
      <c r="B18" s="206" t="s">
        <v>245</v>
      </c>
      <c r="C18" s="61">
        <v>72476</v>
      </c>
    </row>
    <row r="19" spans="1:5" x14ac:dyDescent="0.35">
      <c r="C19" s="108"/>
    </row>
    <row r="20" spans="1:5" x14ac:dyDescent="0.35">
      <c r="B20" s="45" t="s">
        <v>177</v>
      </c>
      <c r="C20" s="108">
        <f>IF(C16&gt;C18,C18-C16,0)</f>
        <v>-18343</v>
      </c>
    </row>
    <row r="21" spans="1:5" x14ac:dyDescent="0.35">
      <c r="A21" s="107"/>
      <c r="B21" s="107"/>
      <c r="C21" s="107"/>
      <c r="D21" s="107"/>
      <c r="E21" s="107"/>
    </row>
    <row r="23" spans="1:5" x14ac:dyDescent="0.35">
      <c r="A23" s="44" t="s">
        <v>65</v>
      </c>
      <c r="C23" s="58"/>
      <c r="D23" s="58"/>
      <c r="E23" s="58"/>
    </row>
    <row r="24" spans="1:5" x14ac:dyDescent="0.35">
      <c r="A24" s="82" t="s">
        <v>62</v>
      </c>
      <c r="B24" s="153" t="s">
        <v>173</v>
      </c>
      <c r="C24" s="44"/>
      <c r="D24" s="44"/>
    </row>
    <row r="25" spans="1:5" x14ac:dyDescent="0.35">
      <c r="B25" s="60" t="s">
        <v>127</v>
      </c>
      <c r="C25" s="59">
        <v>178608968</v>
      </c>
    </row>
    <row r="27" spans="1:5" x14ac:dyDescent="0.35">
      <c r="B27" s="45" t="s">
        <v>174</v>
      </c>
      <c r="C27" s="59">
        <v>3100000</v>
      </c>
    </row>
    <row r="29" spans="1:5" x14ac:dyDescent="0.35">
      <c r="B29" s="45" t="s">
        <v>66</v>
      </c>
      <c r="C29" s="110">
        <f>C27/C25</f>
        <v>1.7356351333937498E-2</v>
      </c>
    </row>
    <row r="31" spans="1:5" x14ac:dyDescent="0.35">
      <c r="B31" s="45" t="s">
        <v>128</v>
      </c>
      <c r="C31" s="61">
        <f>SUM('Sch I Summary'!E8:F10)</f>
        <v>11580535.07</v>
      </c>
    </row>
    <row r="33" spans="1:5" x14ac:dyDescent="0.35">
      <c r="B33" s="45" t="s">
        <v>129</v>
      </c>
      <c r="C33" s="64">
        <f>C29*C31</f>
        <v>200995.83530990448</v>
      </c>
    </row>
    <row r="34" spans="1:5" x14ac:dyDescent="0.35">
      <c r="A34" s="107"/>
      <c r="B34" s="107"/>
      <c r="C34" s="107"/>
      <c r="D34" s="107"/>
      <c r="E34" s="107"/>
    </row>
    <row r="36" spans="1:5" x14ac:dyDescent="0.35">
      <c r="A36" s="44" t="s">
        <v>130</v>
      </c>
      <c r="B36" s="44"/>
      <c r="C36" s="72">
        <f>C33+C10+C20</f>
        <v>491718.83530990448</v>
      </c>
    </row>
    <row r="38" spans="1:5" x14ac:dyDescent="0.35">
      <c r="A38" s="82" t="s">
        <v>62</v>
      </c>
      <c r="B38" s="111" t="s">
        <v>131</v>
      </c>
    </row>
  </sheetData>
  <mergeCells count="1">
    <mergeCell ref="B15:B16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33"/>
  <sheetViews>
    <sheetView view="pageBreakPreview" zoomScaleNormal="100" zoomScaleSheetLayoutView="100" workbookViewId="0">
      <selection activeCell="C19" sqref="C19"/>
    </sheetView>
  </sheetViews>
  <sheetFormatPr defaultRowHeight="14.5" x14ac:dyDescent="0.35"/>
  <cols>
    <col min="1" max="1" width="17.26953125" customWidth="1"/>
    <col min="2" max="2" width="22" customWidth="1"/>
    <col min="3" max="3" width="28.453125" customWidth="1"/>
    <col min="4" max="4" width="9.54296875" bestFit="1" customWidth="1"/>
    <col min="5" max="5" width="14.26953125" bestFit="1" customWidth="1"/>
    <col min="7" max="7" width="10.1796875" style="35" bestFit="1" customWidth="1"/>
    <col min="8" max="8" width="14.26953125" style="35" bestFit="1" customWidth="1"/>
    <col min="9" max="9" width="12.7265625" style="35" bestFit="1" customWidth="1"/>
    <col min="10" max="10" width="14.26953125" style="35" bestFit="1" customWidth="1"/>
    <col min="11" max="11" width="12.26953125" bestFit="1" customWidth="1"/>
    <col min="12" max="12" width="15.26953125" bestFit="1" customWidth="1"/>
    <col min="13" max="13" width="12.81640625" bestFit="1" customWidth="1"/>
  </cols>
  <sheetData>
    <row r="1" spans="1:13" x14ac:dyDescent="0.35">
      <c r="A1" s="7" t="s">
        <v>69</v>
      </c>
      <c r="B1" s="24"/>
      <c r="C1" s="23"/>
      <c r="E1" s="205"/>
    </row>
    <row r="2" spans="1:13" x14ac:dyDescent="0.35">
      <c r="A2" s="7" t="s">
        <v>178</v>
      </c>
      <c r="B2" s="24"/>
      <c r="C2" s="23"/>
      <c r="E2" s="25"/>
    </row>
    <row r="3" spans="1:13" x14ac:dyDescent="0.35">
      <c r="A3" s="167"/>
      <c r="B3" s="24"/>
      <c r="C3" s="23"/>
      <c r="E3" s="25"/>
    </row>
    <row r="4" spans="1:13" x14ac:dyDescent="0.35">
      <c r="A4" s="23"/>
      <c r="B4" s="24"/>
      <c r="C4" s="23"/>
      <c r="E4" s="25"/>
    </row>
    <row r="5" spans="1:13" x14ac:dyDescent="0.35">
      <c r="A5" s="23"/>
      <c r="B5" s="116" t="s">
        <v>104</v>
      </c>
      <c r="C5" s="24" t="s">
        <v>59</v>
      </c>
      <c r="D5" s="15"/>
      <c r="E5" s="117"/>
    </row>
    <row r="6" spans="1:13" ht="16" x14ac:dyDescent="0.5">
      <c r="A6" s="118" t="s">
        <v>105</v>
      </c>
      <c r="B6" s="31" t="s">
        <v>106</v>
      </c>
      <c r="C6" s="31" t="s">
        <v>107</v>
      </c>
      <c r="D6" s="27" t="s">
        <v>71</v>
      </c>
      <c r="E6" s="119" t="s">
        <v>108</v>
      </c>
      <c r="F6" s="19"/>
      <c r="G6" s="74" t="s">
        <v>61</v>
      </c>
      <c r="H6" s="74" t="s">
        <v>165</v>
      </c>
      <c r="I6" s="74" t="s">
        <v>158</v>
      </c>
      <c r="J6" s="74" t="s">
        <v>1</v>
      </c>
      <c r="K6" s="185" t="s">
        <v>159</v>
      </c>
      <c r="L6" s="19"/>
      <c r="M6" s="19"/>
    </row>
    <row r="7" spans="1:13" x14ac:dyDescent="0.35">
      <c r="A7" s="23"/>
      <c r="B7" s="24"/>
      <c r="C7" s="23"/>
      <c r="E7" s="25"/>
    </row>
    <row r="8" spans="1:13" x14ac:dyDescent="0.35">
      <c r="A8" s="42" t="s">
        <v>56</v>
      </c>
      <c r="B8" s="43"/>
      <c r="C8" s="42" t="s">
        <v>109</v>
      </c>
      <c r="D8" s="29"/>
      <c r="E8" s="38">
        <v>340000</v>
      </c>
      <c r="G8" s="177">
        <v>340000</v>
      </c>
      <c r="L8" s="10">
        <f>SUM(G8:K8)</f>
        <v>340000</v>
      </c>
    </row>
    <row r="9" spans="1:13" x14ac:dyDescent="0.35">
      <c r="A9" s="42"/>
      <c r="B9" s="43"/>
      <c r="C9" s="42"/>
      <c r="D9" s="29"/>
      <c r="E9" s="38"/>
      <c r="L9" s="10"/>
    </row>
    <row r="10" spans="1:13" x14ac:dyDescent="0.35">
      <c r="A10" s="42"/>
      <c r="B10" s="43"/>
      <c r="C10" s="42"/>
      <c r="D10" s="29"/>
      <c r="E10" s="38"/>
      <c r="H10" s="177"/>
      <c r="L10" s="10"/>
      <c r="M10" s="10"/>
    </row>
    <row r="11" spans="1:13" x14ac:dyDescent="0.35">
      <c r="A11" s="42" t="s">
        <v>94</v>
      </c>
      <c r="B11" s="174" t="s">
        <v>45</v>
      </c>
      <c r="C11" s="42" t="s">
        <v>182</v>
      </c>
      <c r="D11" s="29">
        <v>1237</v>
      </c>
      <c r="E11" s="10">
        <v>151451.48000000001</v>
      </c>
      <c r="H11" s="178">
        <f>E11</f>
        <v>151451.48000000001</v>
      </c>
      <c r="L11" s="10">
        <f t="shared" ref="L11:L72" si="0">SUM(G11:K11)</f>
        <v>151451.48000000001</v>
      </c>
      <c r="M11" s="10">
        <f>+L11-E11</f>
        <v>0</v>
      </c>
    </row>
    <row r="12" spans="1:13" x14ac:dyDescent="0.35">
      <c r="A12" s="42"/>
      <c r="B12" s="174" t="s">
        <v>45</v>
      </c>
      <c r="C12" s="42" t="s">
        <v>183</v>
      </c>
      <c r="D12" s="29">
        <v>87</v>
      </c>
      <c r="E12" s="38">
        <v>10651.8</v>
      </c>
      <c r="H12" s="178">
        <f>E12</f>
        <v>10651.8</v>
      </c>
      <c r="L12" s="10">
        <f t="shared" si="0"/>
        <v>10651.8</v>
      </c>
      <c r="M12" s="10">
        <f t="shared" ref="M12" si="1">+L12-E12</f>
        <v>0</v>
      </c>
    </row>
    <row r="13" spans="1:13" x14ac:dyDescent="0.35">
      <c r="A13" s="42"/>
      <c r="B13" s="174" t="s">
        <v>1</v>
      </c>
      <c r="C13" s="42" t="s">
        <v>184</v>
      </c>
      <c r="D13" s="83" t="s">
        <v>185</v>
      </c>
      <c r="E13" s="10">
        <f>C13*1500</f>
        <v>64500</v>
      </c>
      <c r="F13" s="22"/>
      <c r="H13" s="177"/>
      <c r="J13" s="178">
        <f>E13</f>
        <v>64500</v>
      </c>
      <c r="L13" s="149">
        <f>SUM(G13:K13)</f>
        <v>64500</v>
      </c>
      <c r="M13" s="10">
        <f>+L13-E13</f>
        <v>0</v>
      </c>
    </row>
    <row r="14" spans="1:13" x14ac:dyDescent="0.35">
      <c r="A14" s="42"/>
      <c r="B14" s="112"/>
      <c r="C14" s="42"/>
      <c r="D14" s="30">
        <f>SUM(D11:D12)</f>
        <v>1324</v>
      </c>
      <c r="E14" s="40">
        <f>SUM(E11:E13)</f>
        <v>226603.28</v>
      </c>
      <c r="F14" s="22"/>
      <c r="H14" s="177"/>
      <c r="L14" s="149"/>
      <c r="M14" s="10"/>
    </row>
    <row r="15" spans="1:13" x14ac:dyDescent="0.35">
      <c r="A15" s="42"/>
      <c r="B15" s="112"/>
      <c r="C15" s="42"/>
      <c r="D15" s="142"/>
      <c r="E15" s="39"/>
      <c r="F15" s="22"/>
      <c r="H15" s="177"/>
      <c r="L15" s="149"/>
      <c r="M15" s="10"/>
    </row>
    <row r="16" spans="1:13" x14ac:dyDescent="0.35">
      <c r="A16" s="42" t="s">
        <v>90</v>
      </c>
      <c r="B16" s="112" t="s">
        <v>0</v>
      </c>
      <c r="C16" s="42" t="s">
        <v>186</v>
      </c>
      <c r="D16" s="29">
        <v>361</v>
      </c>
      <c r="E16" s="10">
        <v>257675.89</v>
      </c>
      <c r="F16" s="22"/>
      <c r="H16" s="177"/>
      <c r="I16" s="178">
        <f>E16</f>
        <v>257675.89</v>
      </c>
      <c r="L16" s="149">
        <f t="shared" si="0"/>
        <v>257675.89</v>
      </c>
      <c r="M16" s="10">
        <f t="shared" ref="M16:M76" si="2">+L16-E16</f>
        <v>0</v>
      </c>
    </row>
    <row r="17" spans="1:13" x14ac:dyDescent="0.35">
      <c r="A17" s="42"/>
      <c r="B17" s="174" t="s">
        <v>1</v>
      </c>
      <c r="C17" s="42"/>
      <c r="D17" s="83" t="s">
        <v>185</v>
      </c>
      <c r="E17" s="41">
        <f>C17*1500</f>
        <v>0</v>
      </c>
      <c r="F17" s="22"/>
      <c r="J17" s="177">
        <f>E17</f>
        <v>0</v>
      </c>
      <c r="L17" s="149">
        <f t="shared" si="0"/>
        <v>0</v>
      </c>
      <c r="M17" s="10">
        <f t="shared" si="2"/>
        <v>0</v>
      </c>
    </row>
    <row r="18" spans="1:13" x14ac:dyDescent="0.35">
      <c r="A18" s="42"/>
      <c r="D18" s="30">
        <f>SUM(D16:D16)</f>
        <v>361</v>
      </c>
      <c r="E18" s="40">
        <f>SUM(E16:E17)</f>
        <v>257675.89</v>
      </c>
      <c r="F18" s="22"/>
      <c r="L18" s="149"/>
      <c r="M18" s="10"/>
    </row>
    <row r="19" spans="1:13" x14ac:dyDescent="0.35">
      <c r="A19" s="42"/>
      <c r="B19" s="112"/>
      <c r="C19" s="42"/>
      <c r="D19" s="9"/>
      <c r="E19" s="41"/>
      <c r="F19" s="22"/>
      <c r="L19" s="149"/>
      <c r="M19" s="10"/>
    </row>
    <row r="20" spans="1:13" x14ac:dyDescent="0.35">
      <c r="A20" s="42" t="s">
        <v>90</v>
      </c>
      <c r="B20" s="112" t="s">
        <v>0</v>
      </c>
      <c r="C20" s="42" t="s">
        <v>186</v>
      </c>
      <c r="D20" s="29">
        <v>214</v>
      </c>
      <c r="E20" s="38">
        <v>3562.64</v>
      </c>
      <c r="F20" s="22"/>
      <c r="H20" s="177"/>
      <c r="I20" s="178">
        <f>E20</f>
        <v>3562.64</v>
      </c>
      <c r="L20" s="149">
        <f t="shared" si="0"/>
        <v>3562.64</v>
      </c>
      <c r="M20" s="10">
        <f t="shared" si="2"/>
        <v>0</v>
      </c>
    </row>
    <row r="21" spans="1:13" x14ac:dyDescent="0.35">
      <c r="A21" s="42"/>
      <c r="B21" s="174" t="s">
        <v>1</v>
      </c>
      <c r="C21" s="42" t="s">
        <v>187</v>
      </c>
      <c r="D21" s="83" t="s">
        <v>185</v>
      </c>
      <c r="E21" s="39">
        <f>C21*1500</f>
        <v>3000</v>
      </c>
      <c r="F21" s="22"/>
      <c r="H21" s="177"/>
      <c r="J21" s="178">
        <f>E21</f>
        <v>3000</v>
      </c>
      <c r="L21" s="149">
        <f t="shared" si="0"/>
        <v>3000</v>
      </c>
      <c r="M21" s="10">
        <f t="shared" si="2"/>
        <v>0</v>
      </c>
    </row>
    <row r="22" spans="1:13" x14ac:dyDescent="0.35">
      <c r="A22" s="42"/>
      <c r="C22" s="42"/>
      <c r="D22" s="30">
        <f>SUM(D20:D20)</f>
        <v>214</v>
      </c>
      <c r="E22" s="40">
        <f>SUM(E20:E21)</f>
        <v>6562.6399999999994</v>
      </c>
      <c r="F22" s="22"/>
      <c r="J22" s="177"/>
      <c r="L22" s="149"/>
      <c r="M22" s="10"/>
    </row>
    <row r="23" spans="1:13" x14ac:dyDescent="0.35">
      <c r="A23" s="42"/>
      <c r="B23" s="112"/>
      <c r="C23" s="42"/>
      <c r="D23" s="142"/>
      <c r="E23" s="39"/>
      <c r="F23" s="22"/>
      <c r="L23" s="149"/>
      <c r="M23" s="10"/>
    </row>
    <row r="24" spans="1:13" x14ac:dyDescent="0.35">
      <c r="A24" s="42" t="s">
        <v>93</v>
      </c>
      <c r="B24" s="174" t="s">
        <v>45</v>
      </c>
      <c r="C24" s="42" t="s">
        <v>182</v>
      </c>
      <c r="D24" s="175">
        <v>2558</v>
      </c>
      <c r="E24" s="10">
        <f>268107.05</f>
        <v>268107.05</v>
      </c>
      <c r="F24" s="22"/>
      <c r="H24" s="178">
        <f>E24</f>
        <v>268107.05</v>
      </c>
      <c r="L24" s="149">
        <f t="shared" si="0"/>
        <v>268107.05</v>
      </c>
      <c r="M24" s="10">
        <f t="shared" si="2"/>
        <v>0</v>
      </c>
    </row>
    <row r="25" spans="1:13" x14ac:dyDescent="0.35">
      <c r="A25" s="42"/>
      <c r="B25" s="174" t="s">
        <v>45</v>
      </c>
      <c r="C25" s="42" t="s">
        <v>183</v>
      </c>
      <c r="D25" s="29">
        <v>1565</v>
      </c>
      <c r="E25" s="38">
        <f>164029.53+(65*280)</f>
        <v>182229.53</v>
      </c>
      <c r="F25" s="22"/>
      <c r="H25" s="177">
        <f>E25</f>
        <v>182229.53</v>
      </c>
      <c r="L25" s="149">
        <f t="shared" si="0"/>
        <v>182229.53</v>
      </c>
      <c r="M25" s="10">
        <f t="shared" si="2"/>
        <v>0</v>
      </c>
    </row>
    <row r="26" spans="1:13" x14ac:dyDescent="0.35">
      <c r="A26" s="42"/>
      <c r="B26" s="174" t="s">
        <v>1</v>
      </c>
      <c r="C26" s="42" t="s">
        <v>188</v>
      </c>
      <c r="D26" s="83" t="s">
        <v>189</v>
      </c>
      <c r="E26" s="39">
        <f>C26*1500</f>
        <v>24000</v>
      </c>
      <c r="F26" s="22"/>
      <c r="J26" s="177">
        <f>E26</f>
        <v>24000</v>
      </c>
      <c r="L26" s="149">
        <f t="shared" si="0"/>
        <v>24000</v>
      </c>
      <c r="M26" s="10">
        <f t="shared" si="2"/>
        <v>0</v>
      </c>
    </row>
    <row r="27" spans="1:13" x14ac:dyDescent="0.35">
      <c r="A27" s="42"/>
      <c r="B27" s="174"/>
      <c r="C27" s="42"/>
      <c r="D27" s="30">
        <f>SUM(D24:D25)</f>
        <v>4123</v>
      </c>
      <c r="E27" s="40">
        <f>SUM(E24:E26)</f>
        <v>474336.57999999996</v>
      </c>
      <c r="F27" s="22"/>
      <c r="L27" s="149"/>
      <c r="M27" s="10"/>
    </row>
    <row r="28" spans="1:13" x14ac:dyDescent="0.35">
      <c r="A28" s="42"/>
      <c r="B28" s="112"/>
      <c r="C28" s="42"/>
      <c r="D28" s="142"/>
      <c r="E28" s="39"/>
      <c r="F28" s="22"/>
      <c r="L28" s="149"/>
      <c r="M28" s="10"/>
    </row>
    <row r="29" spans="1:13" x14ac:dyDescent="0.35">
      <c r="A29" s="42" t="s">
        <v>93</v>
      </c>
      <c r="B29" s="174" t="s">
        <v>45</v>
      </c>
      <c r="C29" s="42" t="s">
        <v>182</v>
      </c>
      <c r="D29" s="29">
        <v>5373</v>
      </c>
      <c r="E29" s="10">
        <f>272148.98+(1819*65)</f>
        <v>390383.98</v>
      </c>
      <c r="F29" s="22"/>
      <c r="H29" s="177">
        <f>E29</f>
        <v>390383.98</v>
      </c>
      <c r="L29" s="149">
        <f t="shared" si="0"/>
        <v>390383.98</v>
      </c>
      <c r="M29" s="10">
        <f t="shared" si="2"/>
        <v>0</v>
      </c>
    </row>
    <row r="30" spans="1:13" x14ac:dyDescent="0.35">
      <c r="A30" s="42"/>
      <c r="B30" s="174" t="s">
        <v>45</v>
      </c>
      <c r="C30" s="42" t="s">
        <v>183</v>
      </c>
      <c r="D30" s="29">
        <v>1682</v>
      </c>
      <c r="E30" s="38">
        <f>85195.35+(192*65)</f>
        <v>97675.35</v>
      </c>
      <c r="F30" s="22"/>
      <c r="H30" s="177">
        <f>E30</f>
        <v>97675.35</v>
      </c>
      <c r="L30" s="149">
        <f t="shared" si="0"/>
        <v>97675.35</v>
      </c>
      <c r="M30" s="10">
        <f t="shared" si="2"/>
        <v>0</v>
      </c>
    </row>
    <row r="31" spans="1:13" x14ac:dyDescent="0.35">
      <c r="A31" s="42"/>
      <c r="B31" s="174" t="s">
        <v>1</v>
      </c>
      <c r="C31" s="42" t="s">
        <v>190</v>
      </c>
      <c r="D31" s="83" t="s">
        <v>189</v>
      </c>
      <c r="E31" s="39">
        <f>C31*1500</f>
        <v>31500</v>
      </c>
      <c r="F31" s="22"/>
      <c r="J31" s="177">
        <f>E31</f>
        <v>31500</v>
      </c>
      <c r="L31" s="149">
        <f t="shared" si="0"/>
        <v>31500</v>
      </c>
      <c r="M31" s="10">
        <f t="shared" si="2"/>
        <v>0</v>
      </c>
    </row>
    <row r="32" spans="1:13" x14ac:dyDescent="0.35">
      <c r="A32" s="42"/>
      <c r="B32" s="112"/>
      <c r="C32" s="42"/>
      <c r="D32" s="30">
        <f>SUM(D29:D30)</f>
        <v>7055</v>
      </c>
      <c r="E32" s="40">
        <f>SUM(E29:E31)</f>
        <v>519559.32999999996</v>
      </c>
      <c r="F32" s="22"/>
      <c r="L32" s="149"/>
      <c r="M32" s="10"/>
    </row>
    <row r="33" spans="1:13" x14ac:dyDescent="0.35">
      <c r="A33" s="42"/>
      <c r="B33" s="112"/>
      <c r="C33" s="42"/>
      <c r="D33" s="142"/>
      <c r="E33" s="39"/>
      <c r="F33" s="22"/>
      <c r="L33" s="149"/>
      <c r="M33" s="10"/>
    </row>
    <row r="34" spans="1:13" x14ac:dyDescent="0.35">
      <c r="A34" s="42" t="s">
        <v>191</v>
      </c>
      <c r="B34" s="174" t="s">
        <v>45</v>
      </c>
      <c r="C34" s="42" t="s">
        <v>183</v>
      </c>
      <c r="D34" s="29">
        <v>170</v>
      </c>
      <c r="E34" s="38">
        <v>7964.92</v>
      </c>
      <c r="F34" s="22"/>
      <c r="H34" s="177">
        <f>E34</f>
        <v>7964.92</v>
      </c>
      <c r="L34" s="149">
        <f t="shared" si="0"/>
        <v>7964.92</v>
      </c>
      <c r="M34" s="10">
        <f t="shared" si="2"/>
        <v>0</v>
      </c>
    </row>
    <row r="35" spans="1:13" x14ac:dyDescent="0.35">
      <c r="A35" s="42"/>
      <c r="B35" s="174" t="s">
        <v>1</v>
      </c>
      <c r="C35" s="42" t="s">
        <v>192</v>
      </c>
      <c r="D35" s="83" t="s">
        <v>185</v>
      </c>
      <c r="E35" s="39">
        <f>C35*1500</f>
        <v>0</v>
      </c>
      <c r="F35" s="22"/>
      <c r="J35" s="178">
        <f>E35</f>
        <v>0</v>
      </c>
      <c r="L35" s="149">
        <f t="shared" si="0"/>
        <v>0</v>
      </c>
      <c r="M35" s="10">
        <f t="shared" si="2"/>
        <v>0</v>
      </c>
    </row>
    <row r="36" spans="1:13" x14ac:dyDescent="0.35">
      <c r="A36" s="42"/>
      <c r="B36" s="174"/>
      <c r="C36" s="42"/>
      <c r="D36" s="30">
        <f>SUM(D34)</f>
        <v>170</v>
      </c>
      <c r="E36" s="40">
        <f>SUM(E34:E35)</f>
        <v>7964.92</v>
      </c>
      <c r="F36" s="22"/>
      <c r="L36" s="149"/>
      <c r="M36" s="10"/>
    </row>
    <row r="37" spans="1:13" x14ac:dyDescent="0.35">
      <c r="A37" s="42"/>
      <c r="B37" s="112"/>
      <c r="C37" s="42"/>
      <c r="D37" s="29"/>
      <c r="E37" s="39"/>
      <c r="F37" s="22"/>
      <c r="H37" s="177"/>
      <c r="L37" s="149"/>
      <c r="M37" s="10"/>
    </row>
    <row r="38" spans="1:13" x14ac:dyDescent="0.35">
      <c r="A38" s="42" t="s">
        <v>87</v>
      </c>
      <c r="B38" s="174" t="s">
        <v>45</v>
      </c>
      <c r="C38" s="42" t="s">
        <v>193</v>
      </c>
      <c r="D38" s="29">
        <v>7701</v>
      </c>
      <c r="E38" s="10">
        <v>663091.46</v>
      </c>
      <c r="F38" s="22"/>
      <c r="H38" s="178">
        <f>E38</f>
        <v>663091.46</v>
      </c>
      <c r="J38" s="177"/>
      <c r="L38" s="149">
        <f t="shared" si="0"/>
        <v>663091.46</v>
      </c>
      <c r="M38" s="10">
        <f t="shared" si="2"/>
        <v>0</v>
      </c>
    </row>
    <row r="39" spans="1:13" x14ac:dyDescent="0.35">
      <c r="A39" s="42"/>
      <c r="B39" s="174" t="s">
        <v>45</v>
      </c>
      <c r="C39" s="42" t="s">
        <v>194</v>
      </c>
      <c r="D39" s="29">
        <v>75</v>
      </c>
      <c r="E39" s="39">
        <v>6457.84</v>
      </c>
      <c r="F39" s="22"/>
      <c r="H39" s="178">
        <f>E39</f>
        <v>6457.84</v>
      </c>
      <c r="L39" s="149">
        <f t="shared" si="0"/>
        <v>6457.84</v>
      </c>
      <c r="M39" s="10">
        <f t="shared" si="2"/>
        <v>0</v>
      </c>
    </row>
    <row r="40" spans="1:13" x14ac:dyDescent="0.35">
      <c r="A40" s="42"/>
      <c r="B40" s="174" t="s">
        <v>45</v>
      </c>
      <c r="C40" s="42" t="s">
        <v>183</v>
      </c>
      <c r="D40" s="29">
        <v>228</v>
      </c>
      <c r="E40" s="38">
        <v>19631.849999999999</v>
      </c>
      <c r="F40" s="22"/>
      <c r="H40" s="178">
        <f>E40</f>
        <v>19631.849999999999</v>
      </c>
      <c r="L40" s="149">
        <f t="shared" si="0"/>
        <v>19631.849999999999</v>
      </c>
      <c r="M40" s="10">
        <f t="shared" si="2"/>
        <v>0</v>
      </c>
    </row>
    <row r="41" spans="1:13" x14ac:dyDescent="0.35">
      <c r="A41" s="42"/>
      <c r="B41" s="174" t="s">
        <v>1</v>
      </c>
      <c r="C41" s="42" t="s">
        <v>187</v>
      </c>
      <c r="D41" s="83" t="s">
        <v>185</v>
      </c>
      <c r="E41" s="39">
        <f>C41*1500</f>
        <v>3000</v>
      </c>
      <c r="F41" s="22"/>
      <c r="H41" s="177"/>
      <c r="J41" s="178">
        <f>E41</f>
        <v>3000</v>
      </c>
      <c r="L41" s="149">
        <f t="shared" si="0"/>
        <v>3000</v>
      </c>
      <c r="M41" s="10">
        <f t="shared" si="2"/>
        <v>0</v>
      </c>
    </row>
    <row r="42" spans="1:13" x14ac:dyDescent="0.35">
      <c r="A42" s="42"/>
      <c r="B42" s="174"/>
      <c r="C42" s="42"/>
      <c r="D42" s="30">
        <f>SUM(D38:D40)</f>
        <v>8004</v>
      </c>
      <c r="E42" s="40">
        <f>SUM(E38:E41)</f>
        <v>692181.14999999991</v>
      </c>
      <c r="F42" s="22"/>
      <c r="J42" s="177"/>
      <c r="L42" s="149"/>
      <c r="M42" s="10"/>
    </row>
    <row r="43" spans="1:13" x14ac:dyDescent="0.35">
      <c r="A43" s="42"/>
      <c r="B43" s="112"/>
      <c r="C43" s="42"/>
      <c r="D43" s="142"/>
      <c r="E43" s="39"/>
      <c r="F43" s="22"/>
      <c r="L43" s="149"/>
      <c r="M43" s="10"/>
    </row>
    <row r="44" spans="1:13" x14ac:dyDescent="0.35">
      <c r="A44" s="42" t="s">
        <v>86</v>
      </c>
      <c r="B44" s="174" t="s">
        <v>45</v>
      </c>
      <c r="C44" s="42" t="s">
        <v>195</v>
      </c>
      <c r="D44" s="29">
        <v>7267</v>
      </c>
      <c r="E44" s="10">
        <v>273546.21000000002</v>
      </c>
      <c r="F44" s="22"/>
      <c r="H44" s="178">
        <f>E44</f>
        <v>273546.21000000002</v>
      </c>
      <c r="L44" s="149">
        <f t="shared" si="0"/>
        <v>273546.21000000002</v>
      </c>
      <c r="M44" s="10">
        <f t="shared" si="2"/>
        <v>0</v>
      </c>
    </row>
    <row r="45" spans="1:13" x14ac:dyDescent="0.35">
      <c r="A45" s="42"/>
      <c r="B45" s="174" t="s">
        <v>45</v>
      </c>
      <c r="C45" s="42" t="s">
        <v>183</v>
      </c>
      <c r="D45" s="29">
        <v>8992</v>
      </c>
      <c r="E45" s="38">
        <v>338479.09</v>
      </c>
      <c r="F45" s="22"/>
      <c r="H45" s="177">
        <f>E45</f>
        <v>338479.09</v>
      </c>
      <c r="L45" s="149">
        <f t="shared" si="0"/>
        <v>338479.09</v>
      </c>
      <c r="M45" s="10">
        <f t="shared" si="2"/>
        <v>0</v>
      </c>
    </row>
    <row r="46" spans="1:13" x14ac:dyDescent="0.35">
      <c r="A46" s="42"/>
      <c r="B46" s="174" t="s">
        <v>1</v>
      </c>
      <c r="C46" s="42" t="s">
        <v>196</v>
      </c>
      <c r="D46" s="142" t="s">
        <v>185</v>
      </c>
      <c r="E46" s="39">
        <f>C46*1500</f>
        <v>55500</v>
      </c>
      <c r="F46" s="22"/>
      <c r="J46" s="177">
        <f>E46</f>
        <v>55500</v>
      </c>
      <c r="L46" s="149">
        <f t="shared" si="0"/>
        <v>55500</v>
      </c>
      <c r="M46" s="10">
        <f t="shared" si="2"/>
        <v>0</v>
      </c>
    </row>
    <row r="47" spans="1:13" x14ac:dyDescent="0.35">
      <c r="A47" s="42"/>
      <c r="B47" s="174"/>
      <c r="C47" s="42"/>
      <c r="D47" s="30">
        <f>SUM(D44:D45)</f>
        <v>16259</v>
      </c>
      <c r="E47" s="40">
        <f>SUM(E44:E46)</f>
        <v>667525.30000000005</v>
      </c>
      <c r="F47" s="22"/>
      <c r="L47" s="149"/>
      <c r="M47" s="10"/>
    </row>
    <row r="48" spans="1:13" x14ac:dyDescent="0.35">
      <c r="A48" s="42"/>
      <c r="B48" s="112"/>
      <c r="C48" s="42"/>
      <c r="D48" s="142"/>
      <c r="E48" s="39"/>
      <c r="F48" s="22"/>
      <c r="L48" s="149"/>
      <c r="M48" s="10"/>
    </row>
    <row r="49" spans="1:13" x14ac:dyDescent="0.35">
      <c r="A49" s="42" t="s">
        <v>86</v>
      </c>
      <c r="B49" s="174" t="s">
        <v>45</v>
      </c>
      <c r="C49" s="42" t="s">
        <v>195</v>
      </c>
      <c r="D49" s="29">
        <v>9685</v>
      </c>
      <c r="E49" s="10">
        <v>587886.79</v>
      </c>
      <c r="F49" s="22"/>
      <c r="H49" s="177">
        <f>E49</f>
        <v>587886.79</v>
      </c>
      <c r="L49" s="149">
        <f t="shared" si="0"/>
        <v>587886.79</v>
      </c>
      <c r="M49" s="10">
        <f t="shared" si="2"/>
        <v>0</v>
      </c>
    </row>
    <row r="50" spans="1:13" x14ac:dyDescent="0.35">
      <c r="A50" s="42"/>
      <c r="B50" s="174" t="s">
        <v>45</v>
      </c>
      <c r="C50" s="42" t="s">
        <v>183</v>
      </c>
      <c r="D50" s="29">
        <v>3409</v>
      </c>
      <c r="E50" s="38">
        <v>206928.87</v>
      </c>
      <c r="F50" s="22"/>
      <c r="H50" s="178">
        <f>E50</f>
        <v>206928.87</v>
      </c>
      <c r="J50" s="177"/>
      <c r="L50" s="149">
        <f t="shared" si="0"/>
        <v>206928.87</v>
      </c>
      <c r="M50" s="10">
        <f t="shared" si="2"/>
        <v>0</v>
      </c>
    </row>
    <row r="51" spans="1:13" x14ac:dyDescent="0.35">
      <c r="A51" s="42"/>
      <c r="B51" s="174" t="s">
        <v>1</v>
      </c>
      <c r="C51" s="42" t="s">
        <v>197</v>
      </c>
      <c r="D51" s="83" t="s">
        <v>185</v>
      </c>
      <c r="E51" s="39">
        <f>C51*1500</f>
        <v>54000</v>
      </c>
      <c r="F51" s="22"/>
      <c r="J51" s="178">
        <f>E51</f>
        <v>54000</v>
      </c>
      <c r="L51" s="149">
        <f t="shared" si="0"/>
        <v>54000</v>
      </c>
      <c r="M51" s="10">
        <f t="shared" si="2"/>
        <v>0</v>
      </c>
    </row>
    <row r="52" spans="1:13" x14ac:dyDescent="0.35">
      <c r="A52" s="42"/>
      <c r="B52" s="174"/>
      <c r="C52" s="42"/>
      <c r="D52" s="30">
        <f>SUM(D49:D50)</f>
        <v>13094</v>
      </c>
      <c r="E52" s="40">
        <f>SUM(E49:E51)</f>
        <v>848815.66</v>
      </c>
      <c r="F52" s="22"/>
      <c r="L52" s="149"/>
      <c r="M52" s="10"/>
    </row>
    <row r="53" spans="1:13" x14ac:dyDescent="0.35">
      <c r="A53" s="42"/>
      <c r="B53" s="174"/>
      <c r="C53" s="42"/>
      <c r="D53" s="176"/>
      <c r="E53" s="207"/>
      <c r="F53" s="22"/>
      <c r="H53" s="177"/>
      <c r="L53" s="149"/>
      <c r="M53" s="10"/>
    </row>
    <row r="54" spans="1:13" x14ac:dyDescent="0.35">
      <c r="A54" s="42" t="s">
        <v>93</v>
      </c>
      <c r="B54" s="174" t="s">
        <v>45</v>
      </c>
      <c r="C54" s="42" t="s">
        <v>195</v>
      </c>
      <c r="D54" s="29">
        <v>4125</v>
      </c>
      <c r="E54" s="10">
        <f>44408.3+(1591*65)</f>
        <v>147823.29999999999</v>
      </c>
      <c r="F54" s="22"/>
      <c r="H54" s="178">
        <f>E54</f>
        <v>147823.29999999999</v>
      </c>
      <c r="J54" s="177"/>
      <c r="L54" s="149">
        <f t="shared" si="0"/>
        <v>147823.29999999999</v>
      </c>
      <c r="M54" s="10">
        <f t="shared" si="2"/>
        <v>0</v>
      </c>
    </row>
    <row r="55" spans="1:13" x14ac:dyDescent="0.35">
      <c r="A55" s="42"/>
      <c r="B55" s="174" t="s">
        <v>45</v>
      </c>
      <c r="C55" s="42" t="s">
        <v>183</v>
      </c>
      <c r="D55" s="29">
        <v>10892</v>
      </c>
      <c r="E55" s="38">
        <f>117259.44+(10892*65)</f>
        <v>825239.44</v>
      </c>
      <c r="F55" s="22"/>
      <c r="H55" s="178">
        <f>E55</f>
        <v>825239.44</v>
      </c>
      <c r="L55" s="149">
        <f t="shared" si="0"/>
        <v>825239.44</v>
      </c>
      <c r="M55" s="10"/>
    </row>
    <row r="56" spans="1:13" x14ac:dyDescent="0.35">
      <c r="A56" s="42"/>
      <c r="B56" s="174" t="s">
        <v>1</v>
      </c>
      <c r="C56" s="42" t="s">
        <v>198</v>
      </c>
      <c r="D56" s="83" t="s">
        <v>189</v>
      </c>
      <c r="E56" s="39">
        <f>C56*1500</f>
        <v>78000</v>
      </c>
      <c r="F56" s="22"/>
      <c r="J56" s="178">
        <f>E56</f>
        <v>78000</v>
      </c>
      <c r="L56" s="149">
        <f t="shared" si="0"/>
        <v>78000</v>
      </c>
      <c r="M56" s="10">
        <f t="shared" si="2"/>
        <v>0</v>
      </c>
    </row>
    <row r="57" spans="1:13" x14ac:dyDescent="0.35">
      <c r="A57" s="42"/>
      <c r="B57" s="174"/>
      <c r="C57" s="42"/>
      <c r="D57" s="30">
        <f>SUM(D54:D55)</f>
        <v>15017</v>
      </c>
      <c r="E57" s="40">
        <f>SUM(E54:E56)</f>
        <v>1051062.74</v>
      </c>
      <c r="F57" s="22"/>
      <c r="H57" s="177"/>
      <c r="L57" s="149"/>
      <c r="M57" s="10"/>
    </row>
    <row r="58" spans="1:13" x14ac:dyDescent="0.35">
      <c r="A58" s="42"/>
      <c r="B58" s="112"/>
      <c r="C58" s="42"/>
      <c r="D58" s="142"/>
      <c r="E58" s="39"/>
      <c r="F58" s="22"/>
      <c r="J58" s="177"/>
      <c r="L58" s="149"/>
      <c r="M58" s="10"/>
    </row>
    <row r="59" spans="1:13" x14ac:dyDescent="0.35">
      <c r="A59" s="42" t="s">
        <v>116</v>
      </c>
      <c r="B59" s="174" t="s">
        <v>45</v>
      </c>
      <c r="C59" s="42" t="s">
        <v>195</v>
      </c>
      <c r="D59">
        <v>679</v>
      </c>
      <c r="E59" s="10">
        <v>18765.28</v>
      </c>
      <c r="F59" s="22"/>
      <c r="H59" s="178">
        <f>E59</f>
        <v>18765.28</v>
      </c>
      <c r="L59" s="149">
        <f t="shared" si="0"/>
        <v>18765.28</v>
      </c>
      <c r="M59" s="10">
        <f t="shared" si="2"/>
        <v>0</v>
      </c>
    </row>
    <row r="60" spans="1:13" x14ac:dyDescent="0.35">
      <c r="A60" s="42"/>
      <c r="B60" s="174" t="s">
        <v>1</v>
      </c>
      <c r="C60" s="42" t="s">
        <v>199</v>
      </c>
      <c r="D60" s="83" t="s">
        <v>185</v>
      </c>
      <c r="E60" s="38">
        <f>C60*1500</f>
        <v>4500</v>
      </c>
      <c r="F60" s="22"/>
      <c r="J60" s="178">
        <f>E60</f>
        <v>4500</v>
      </c>
      <c r="L60" s="149">
        <f t="shared" si="0"/>
        <v>4500</v>
      </c>
      <c r="M60" s="10">
        <f t="shared" si="2"/>
        <v>0</v>
      </c>
    </row>
    <row r="61" spans="1:13" x14ac:dyDescent="0.35">
      <c r="A61" s="42"/>
      <c r="B61" s="112"/>
      <c r="C61" s="42"/>
      <c r="D61" s="30">
        <f>SUM(D59)</f>
        <v>679</v>
      </c>
      <c r="E61" s="40">
        <f>SUM(E59:E60)</f>
        <v>23265.279999999999</v>
      </c>
      <c r="F61" s="22"/>
      <c r="H61" s="177"/>
      <c r="L61" s="149"/>
      <c r="M61" s="10"/>
    </row>
    <row r="62" spans="1:13" x14ac:dyDescent="0.35">
      <c r="A62" s="42"/>
      <c r="B62" s="112"/>
      <c r="C62" s="42"/>
      <c r="D62" s="142"/>
      <c r="E62" s="39"/>
      <c r="F62" s="22"/>
      <c r="J62" s="177"/>
      <c r="L62" s="149"/>
      <c r="M62" s="10"/>
    </row>
    <row r="63" spans="1:13" x14ac:dyDescent="0.35">
      <c r="A63" s="42" t="s">
        <v>88</v>
      </c>
      <c r="B63" s="174" t="s">
        <v>45</v>
      </c>
      <c r="C63" s="42" t="s">
        <v>183</v>
      </c>
      <c r="D63" s="29">
        <v>1341</v>
      </c>
      <c r="E63" s="10">
        <v>19909.330000000002</v>
      </c>
      <c r="F63" s="22"/>
      <c r="H63" s="178">
        <f>E63</f>
        <v>19909.330000000002</v>
      </c>
      <c r="L63" s="149">
        <f t="shared" si="0"/>
        <v>19909.330000000002</v>
      </c>
      <c r="M63" s="10">
        <f t="shared" si="2"/>
        <v>0</v>
      </c>
    </row>
    <row r="64" spans="1:13" x14ac:dyDescent="0.35">
      <c r="A64" s="42"/>
      <c r="B64" s="174" t="s">
        <v>1</v>
      </c>
      <c r="C64" s="42" t="s">
        <v>192</v>
      </c>
      <c r="D64" s="83" t="s">
        <v>185</v>
      </c>
      <c r="E64" s="38">
        <f>C64*1500</f>
        <v>0</v>
      </c>
      <c r="F64" s="22"/>
      <c r="J64" s="178">
        <f>E64</f>
        <v>0</v>
      </c>
      <c r="L64" s="149">
        <f t="shared" si="0"/>
        <v>0</v>
      </c>
      <c r="M64" s="10">
        <f t="shared" si="2"/>
        <v>0</v>
      </c>
    </row>
    <row r="65" spans="1:13" x14ac:dyDescent="0.35">
      <c r="A65" s="42"/>
      <c r="B65" s="112"/>
      <c r="C65" s="42"/>
      <c r="D65" s="30">
        <f>SUM(D63)</f>
        <v>1341</v>
      </c>
      <c r="E65" s="40">
        <f>SUM(E63:E64)</f>
        <v>19909.330000000002</v>
      </c>
      <c r="F65" s="22"/>
      <c r="H65" s="177"/>
      <c r="L65" s="149"/>
      <c r="M65" s="10"/>
    </row>
    <row r="66" spans="1:13" x14ac:dyDescent="0.35">
      <c r="A66" s="42"/>
      <c r="B66" s="112"/>
      <c r="C66" s="42"/>
      <c r="D66" s="142"/>
      <c r="E66" s="39"/>
      <c r="F66" s="22"/>
      <c r="J66" s="177"/>
      <c r="L66" s="149"/>
      <c r="M66" s="10"/>
    </row>
    <row r="67" spans="1:13" x14ac:dyDescent="0.35">
      <c r="A67" s="42" t="s">
        <v>93</v>
      </c>
      <c r="B67" s="174" t="s">
        <v>45</v>
      </c>
      <c r="C67" s="42" t="s">
        <v>182</v>
      </c>
      <c r="D67">
        <v>487</v>
      </c>
      <c r="E67" s="10">
        <v>28015.21</v>
      </c>
      <c r="F67" s="22"/>
      <c r="H67" s="178">
        <f>E67</f>
        <v>28015.21</v>
      </c>
      <c r="L67" s="149">
        <f t="shared" si="0"/>
        <v>28015.21</v>
      </c>
      <c r="M67" s="10">
        <f t="shared" si="2"/>
        <v>0</v>
      </c>
    </row>
    <row r="68" spans="1:13" x14ac:dyDescent="0.35">
      <c r="A68" s="42"/>
      <c r="B68" s="174" t="s">
        <v>1</v>
      </c>
      <c r="C68" s="42" t="s">
        <v>192</v>
      </c>
      <c r="D68" s="83" t="s">
        <v>185</v>
      </c>
      <c r="E68" s="38">
        <f>C68*1500</f>
        <v>0</v>
      </c>
      <c r="F68" s="22"/>
      <c r="J68" s="178">
        <f>E68</f>
        <v>0</v>
      </c>
      <c r="L68" s="149">
        <f t="shared" si="0"/>
        <v>0</v>
      </c>
      <c r="M68" s="10">
        <f t="shared" si="2"/>
        <v>0</v>
      </c>
    </row>
    <row r="69" spans="1:13" x14ac:dyDescent="0.35">
      <c r="A69" s="42"/>
      <c r="B69" s="112"/>
      <c r="C69" s="42"/>
      <c r="D69" s="30">
        <f>SUM(D67)</f>
        <v>487</v>
      </c>
      <c r="E69" s="40">
        <f>SUM(E67:E68)</f>
        <v>28015.21</v>
      </c>
      <c r="F69" s="22"/>
      <c r="H69" s="177"/>
      <c r="L69" s="149"/>
      <c r="M69" s="10"/>
    </row>
    <row r="70" spans="1:13" x14ac:dyDescent="0.35">
      <c r="A70" s="42"/>
      <c r="B70" s="112"/>
      <c r="C70" s="42"/>
      <c r="D70" s="142"/>
      <c r="E70" s="39"/>
      <c r="F70" s="22"/>
      <c r="H70" s="177"/>
      <c r="L70" s="149"/>
      <c r="M70" s="10"/>
    </row>
    <row r="71" spans="1:13" x14ac:dyDescent="0.35">
      <c r="A71" s="42" t="s">
        <v>200</v>
      </c>
      <c r="B71" s="112" t="s">
        <v>0</v>
      </c>
      <c r="C71" s="42" t="s">
        <v>186</v>
      </c>
      <c r="D71" s="29">
        <v>1057</v>
      </c>
      <c r="E71" s="10">
        <v>80479.149999999994</v>
      </c>
      <c r="F71" s="22"/>
      <c r="I71" s="178">
        <f>E71</f>
        <v>80479.149999999994</v>
      </c>
      <c r="J71" s="177"/>
      <c r="L71" s="149">
        <f t="shared" si="0"/>
        <v>80479.149999999994</v>
      </c>
      <c r="M71" s="10">
        <f t="shared" si="2"/>
        <v>0</v>
      </c>
    </row>
    <row r="72" spans="1:13" x14ac:dyDescent="0.35">
      <c r="A72" s="42"/>
      <c r="B72" s="174" t="s">
        <v>1</v>
      </c>
      <c r="C72" s="42" t="s">
        <v>192</v>
      </c>
      <c r="D72" s="83" t="s">
        <v>189</v>
      </c>
      <c r="E72" s="38">
        <f>C72*1500</f>
        <v>0</v>
      </c>
      <c r="F72" s="22"/>
      <c r="J72" s="178">
        <f>E72</f>
        <v>0</v>
      </c>
      <c r="L72" s="149">
        <f t="shared" si="0"/>
        <v>0</v>
      </c>
      <c r="M72" s="10">
        <f t="shared" si="2"/>
        <v>0</v>
      </c>
    </row>
    <row r="73" spans="1:13" x14ac:dyDescent="0.35">
      <c r="A73" s="42"/>
      <c r="B73" s="112"/>
      <c r="C73" s="42"/>
      <c r="D73" s="30">
        <f>SUM(D71)</f>
        <v>1057</v>
      </c>
      <c r="E73" s="40">
        <f>SUM(E71:E72)</f>
        <v>80479.149999999994</v>
      </c>
      <c r="F73" s="22"/>
      <c r="L73" s="149"/>
      <c r="M73" s="10"/>
    </row>
    <row r="74" spans="1:13" x14ac:dyDescent="0.35">
      <c r="A74" s="42"/>
      <c r="B74" s="112"/>
      <c r="C74" s="42"/>
      <c r="D74" s="142"/>
      <c r="E74" s="39"/>
      <c r="F74" s="22"/>
      <c r="I74" s="177"/>
      <c r="L74" s="149"/>
      <c r="M74" s="10"/>
    </row>
    <row r="75" spans="1:13" x14ac:dyDescent="0.35">
      <c r="A75" s="42" t="s">
        <v>91</v>
      </c>
      <c r="B75" s="174" t="s">
        <v>45</v>
      </c>
      <c r="C75" s="42" t="s">
        <v>183</v>
      </c>
      <c r="D75" s="29">
        <v>248</v>
      </c>
      <c r="E75" s="38">
        <v>4352.75</v>
      </c>
      <c r="F75" s="22"/>
      <c r="H75" s="178">
        <f>E75</f>
        <v>4352.75</v>
      </c>
      <c r="J75" s="177"/>
      <c r="L75" s="149">
        <f t="shared" ref="L75:L88" si="3">SUM(G75:K75)</f>
        <v>4352.75</v>
      </c>
      <c r="M75" s="10">
        <f t="shared" si="2"/>
        <v>0</v>
      </c>
    </row>
    <row r="76" spans="1:13" x14ac:dyDescent="0.35">
      <c r="A76" s="42"/>
      <c r="B76" s="174" t="s">
        <v>1</v>
      </c>
      <c r="C76" s="42" t="s">
        <v>201</v>
      </c>
      <c r="D76" s="83" t="s">
        <v>185</v>
      </c>
      <c r="E76" s="38">
        <f>C76*1500</f>
        <v>1500</v>
      </c>
      <c r="F76" s="22"/>
      <c r="J76" s="178">
        <f>E76</f>
        <v>1500</v>
      </c>
      <c r="L76" s="149">
        <f t="shared" si="3"/>
        <v>1500</v>
      </c>
      <c r="M76" s="10">
        <f t="shared" si="2"/>
        <v>0</v>
      </c>
    </row>
    <row r="77" spans="1:13" x14ac:dyDescent="0.35">
      <c r="A77" s="42"/>
      <c r="B77" s="112"/>
      <c r="C77" s="42"/>
      <c r="D77" s="30">
        <f>SUM(D75)</f>
        <v>248</v>
      </c>
      <c r="E77" s="40">
        <f>SUM(E75:E76)</f>
        <v>5852.75</v>
      </c>
      <c r="F77" s="22"/>
      <c r="L77" s="149"/>
      <c r="M77" s="10"/>
    </row>
    <row r="78" spans="1:13" x14ac:dyDescent="0.35">
      <c r="A78" s="42"/>
      <c r="B78" s="112"/>
      <c r="C78" s="42"/>
      <c r="D78" s="142"/>
      <c r="E78" s="39"/>
      <c r="F78" s="22"/>
      <c r="H78" s="177"/>
      <c r="L78" s="149"/>
      <c r="M78" s="10"/>
    </row>
    <row r="79" spans="1:13" x14ac:dyDescent="0.35">
      <c r="A79" t="s">
        <v>116</v>
      </c>
      <c r="B79" s="174" t="s">
        <v>45</v>
      </c>
      <c r="C79" s="42" t="s">
        <v>202</v>
      </c>
      <c r="D79" s="29">
        <v>195</v>
      </c>
      <c r="E79" s="10">
        <v>64232.95</v>
      </c>
      <c r="F79" s="22"/>
      <c r="H79" s="178">
        <f>E79</f>
        <v>64232.95</v>
      </c>
      <c r="L79" s="149">
        <f t="shared" si="3"/>
        <v>64232.95</v>
      </c>
      <c r="M79" s="10">
        <f t="shared" ref="M79:M88" si="4">+L79-E79</f>
        <v>0</v>
      </c>
    </row>
    <row r="80" spans="1:13" x14ac:dyDescent="0.35">
      <c r="A80" s="42"/>
      <c r="B80" s="174" t="s">
        <v>1</v>
      </c>
      <c r="C80" s="42" t="s">
        <v>201</v>
      </c>
      <c r="D80" s="83" t="s">
        <v>185</v>
      </c>
      <c r="E80" s="38">
        <f>C80*1500</f>
        <v>1500</v>
      </c>
      <c r="F80" s="22"/>
      <c r="J80" s="178">
        <f>E80</f>
        <v>1500</v>
      </c>
      <c r="L80" s="149">
        <f t="shared" si="3"/>
        <v>1500</v>
      </c>
      <c r="M80" s="10">
        <f t="shared" si="4"/>
        <v>0</v>
      </c>
    </row>
    <row r="81" spans="1:13" x14ac:dyDescent="0.35">
      <c r="A81" s="42"/>
      <c r="B81" s="112"/>
      <c r="C81" s="42"/>
      <c r="D81" s="30">
        <f>SUM(D79:D80)</f>
        <v>195</v>
      </c>
      <c r="E81" s="40">
        <f>SUM(E79:E80)</f>
        <v>65732.95</v>
      </c>
      <c r="F81" s="22"/>
      <c r="H81" s="177"/>
      <c r="L81" s="149"/>
      <c r="M81" s="10"/>
    </row>
    <row r="82" spans="1:13" x14ac:dyDescent="0.35">
      <c r="A82" s="42"/>
      <c r="B82" s="112"/>
      <c r="C82" s="42"/>
      <c r="D82" s="142"/>
      <c r="E82" s="39"/>
      <c r="F82" s="22"/>
      <c r="L82" s="149"/>
      <c r="M82" s="10"/>
    </row>
    <row r="83" spans="1:13" x14ac:dyDescent="0.35">
      <c r="A83" s="42" t="s">
        <v>93</v>
      </c>
      <c r="B83" s="174" t="s">
        <v>45</v>
      </c>
      <c r="C83" s="42" t="s">
        <v>183</v>
      </c>
      <c r="D83" s="29">
        <v>300</v>
      </c>
      <c r="E83" s="10">
        <v>8655.9699999999993</v>
      </c>
      <c r="F83" s="22"/>
      <c r="H83" s="178">
        <f>E83</f>
        <v>8655.9699999999993</v>
      </c>
      <c r="L83" s="149">
        <f t="shared" si="3"/>
        <v>8655.9699999999993</v>
      </c>
      <c r="M83" s="10">
        <f t="shared" si="4"/>
        <v>0</v>
      </c>
    </row>
    <row r="84" spans="1:13" x14ac:dyDescent="0.35">
      <c r="A84" s="42"/>
      <c r="B84" s="174" t="s">
        <v>1</v>
      </c>
      <c r="C84" s="42" t="s">
        <v>201</v>
      </c>
      <c r="D84" s="83" t="s">
        <v>185</v>
      </c>
      <c r="E84" s="38">
        <f>C84*1500</f>
        <v>1500</v>
      </c>
      <c r="F84" s="22"/>
      <c r="J84" s="178">
        <f>E84</f>
        <v>1500</v>
      </c>
      <c r="L84" s="149">
        <f t="shared" si="3"/>
        <v>1500</v>
      </c>
      <c r="M84" s="10">
        <f t="shared" si="4"/>
        <v>0</v>
      </c>
    </row>
    <row r="85" spans="1:13" x14ac:dyDescent="0.35">
      <c r="A85" s="42"/>
      <c r="B85" s="174"/>
      <c r="C85" s="42"/>
      <c r="D85" s="30">
        <f>SUM(D83)</f>
        <v>300</v>
      </c>
      <c r="E85" s="40">
        <f>SUM(E83:E84)</f>
        <v>10155.969999999999</v>
      </c>
      <c r="F85" s="22"/>
      <c r="H85" s="177"/>
      <c r="L85" s="149"/>
      <c r="M85" s="10"/>
    </row>
    <row r="86" spans="1:13" x14ac:dyDescent="0.35">
      <c r="A86" s="42"/>
      <c r="B86" s="112"/>
      <c r="C86" s="42"/>
      <c r="D86" s="29"/>
      <c r="E86" s="38"/>
      <c r="F86" s="22"/>
      <c r="L86" s="149"/>
      <c r="M86" s="10"/>
    </row>
    <row r="87" spans="1:13" x14ac:dyDescent="0.35">
      <c r="A87" s="42" t="s">
        <v>88</v>
      </c>
      <c r="B87" s="174" t="s">
        <v>45</v>
      </c>
      <c r="C87" s="42" t="s">
        <v>183</v>
      </c>
      <c r="D87" s="29">
        <v>151</v>
      </c>
      <c r="E87" s="10">
        <v>7996.3</v>
      </c>
      <c r="F87" s="22"/>
      <c r="H87" s="178">
        <f>E87</f>
        <v>7996.3</v>
      </c>
      <c r="L87" s="149">
        <f t="shared" si="3"/>
        <v>7996.3</v>
      </c>
      <c r="M87" s="10">
        <f t="shared" si="4"/>
        <v>0</v>
      </c>
    </row>
    <row r="88" spans="1:13" x14ac:dyDescent="0.35">
      <c r="A88" s="42"/>
      <c r="B88" s="174" t="s">
        <v>1</v>
      </c>
      <c r="C88" s="42" t="s">
        <v>187</v>
      </c>
      <c r="D88" s="83" t="s">
        <v>185</v>
      </c>
      <c r="E88" s="38">
        <f>C88*1500</f>
        <v>3000</v>
      </c>
      <c r="F88" s="22"/>
      <c r="J88" s="178">
        <f>E88</f>
        <v>3000</v>
      </c>
      <c r="L88" s="149">
        <f t="shared" si="3"/>
        <v>3000</v>
      </c>
      <c r="M88" s="10">
        <f t="shared" si="4"/>
        <v>0</v>
      </c>
    </row>
    <row r="89" spans="1:13" x14ac:dyDescent="0.35">
      <c r="A89" s="168"/>
      <c r="B89" s="169"/>
      <c r="C89" s="168"/>
      <c r="D89" s="30">
        <f>SUM(D87)</f>
        <v>151</v>
      </c>
      <c r="E89" s="40">
        <f>SUM(E87:E88)</f>
        <v>10996.3</v>
      </c>
      <c r="L89" s="149"/>
      <c r="M89" s="10"/>
    </row>
    <row r="90" spans="1:13" x14ac:dyDescent="0.35">
      <c r="A90" s="168"/>
      <c r="B90" s="169"/>
      <c r="C90" s="168"/>
      <c r="D90" s="170"/>
      <c r="E90" s="208"/>
      <c r="G90" s="177"/>
      <c r="H90" s="177"/>
      <c r="I90" s="177"/>
      <c r="J90" s="177"/>
      <c r="K90" s="10"/>
      <c r="L90" s="149"/>
      <c r="M90" s="10"/>
    </row>
    <row r="91" spans="1:13" x14ac:dyDescent="0.35">
      <c r="A91" s="168" t="s">
        <v>203</v>
      </c>
      <c r="B91" s="174" t="s">
        <v>45</v>
      </c>
      <c r="C91" s="42" t="s">
        <v>183</v>
      </c>
      <c r="D91">
        <v>536</v>
      </c>
      <c r="E91" s="10">
        <v>10079.83</v>
      </c>
      <c r="H91" s="178">
        <f>E91</f>
        <v>10079.83</v>
      </c>
      <c r="L91" s="149">
        <f t="shared" ref="L91:L124" si="5">SUM(G91:K91)</f>
        <v>10079.83</v>
      </c>
      <c r="M91" s="10">
        <f t="shared" ref="M91:M124" si="6">+L91-E91</f>
        <v>0</v>
      </c>
    </row>
    <row r="92" spans="1:13" x14ac:dyDescent="0.35">
      <c r="A92" s="168"/>
      <c r="B92" s="174" t="s">
        <v>1</v>
      </c>
      <c r="C92" s="168" t="s">
        <v>199</v>
      </c>
      <c r="D92" s="83" t="s">
        <v>185</v>
      </c>
      <c r="E92" s="38">
        <f>C92*1500</f>
        <v>4500</v>
      </c>
      <c r="J92" s="178">
        <f>E92</f>
        <v>4500</v>
      </c>
      <c r="L92" s="149">
        <f t="shared" si="5"/>
        <v>4500</v>
      </c>
      <c r="M92" s="10">
        <f t="shared" si="6"/>
        <v>0</v>
      </c>
    </row>
    <row r="93" spans="1:13" x14ac:dyDescent="0.35">
      <c r="A93" s="168"/>
      <c r="B93" s="169"/>
      <c r="C93" s="168"/>
      <c r="D93" s="171">
        <f>SUM(D91)</f>
        <v>536</v>
      </c>
      <c r="E93" s="209">
        <f>SUM(E91:E92)</f>
        <v>14579.83</v>
      </c>
      <c r="L93" s="149"/>
      <c r="M93" s="10"/>
    </row>
    <row r="94" spans="1:13" x14ac:dyDescent="0.35">
      <c r="A94" s="168"/>
      <c r="B94" s="169"/>
      <c r="C94" s="168"/>
      <c r="D94" s="170"/>
      <c r="E94" s="208"/>
      <c r="L94" s="149"/>
      <c r="M94" s="10"/>
    </row>
    <row r="95" spans="1:13" x14ac:dyDescent="0.35">
      <c r="A95" s="168" t="s">
        <v>116</v>
      </c>
      <c r="B95" s="174" t="s">
        <v>45</v>
      </c>
      <c r="C95" s="168" t="s">
        <v>183</v>
      </c>
      <c r="D95" s="29">
        <v>32819</v>
      </c>
      <c r="E95" s="10">
        <f>363349.42+(25322*65)</f>
        <v>2009279.42</v>
      </c>
      <c r="G95" s="179"/>
      <c r="H95" s="179">
        <f>E95</f>
        <v>2009279.42</v>
      </c>
      <c r="I95" s="179"/>
      <c r="J95" s="179"/>
      <c r="K95" s="179"/>
      <c r="L95" s="149">
        <f t="shared" si="5"/>
        <v>2009279.42</v>
      </c>
      <c r="M95" s="10">
        <f t="shared" si="6"/>
        <v>0</v>
      </c>
    </row>
    <row r="96" spans="1:13" x14ac:dyDescent="0.35">
      <c r="A96" s="168"/>
      <c r="B96" s="174" t="s">
        <v>45</v>
      </c>
      <c r="C96" s="168" t="s">
        <v>204</v>
      </c>
      <c r="D96" s="29">
        <v>24</v>
      </c>
      <c r="E96" s="10">
        <v>265.70999999999998</v>
      </c>
      <c r="H96" s="178">
        <f>E96</f>
        <v>265.70999999999998</v>
      </c>
      <c r="L96" s="149">
        <f t="shared" si="5"/>
        <v>265.70999999999998</v>
      </c>
      <c r="M96" s="10">
        <f t="shared" si="6"/>
        <v>0</v>
      </c>
    </row>
    <row r="97" spans="1:13" x14ac:dyDescent="0.35">
      <c r="A97" s="168"/>
      <c r="B97" s="174" t="s">
        <v>1</v>
      </c>
      <c r="C97" s="168" t="s">
        <v>205</v>
      </c>
      <c r="D97" s="83" t="s">
        <v>189</v>
      </c>
      <c r="E97" s="38">
        <f>C97*1500</f>
        <v>568500</v>
      </c>
      <c r="J97" s="178">
        <f>E97</f>
        <v>568500</v>
      </c>
      <c r="L97" s="149">
        <f t="shared" si="5"/>
        <v>568500</v>
      </c>
      <c r="M97" s="10">
        <f t="shared" si="6"/>
        <v>0</v>
      </c>
    </row>
    <row r="98" spans="1:13" x14ac:dyDescent="0.35">
      <c r="A98" s="168"/>
      <c r="B98" s="174"/>
      <c r="C98" s="168"/>
      <c r="D98" s="171">
        <f>SUM(D95:D96)</f>
        <v>32843</v>
      </c>
      <c r="E98" s="209">
        <f>SUM(E95:E97)</f>
        <v>2578045.13</v>
      </c>
      <c r="L98" s="149"/>
      <c r="M98" s="10"/>
    </row>
    <row r="99" spans="1:13" x14ac:dyDescent="0.35">
      <c r="A99" s="168"/>
      <c r="B99" s="169"/>
      <c r="C99" s="168"/>
      <c r="D99" s="145"/>
      <c r="E99" s="210"/>
      <c r="L99" s="149"/>
      <c r="M99" s="10"/>
    </row>
    <row r="100" spans="1:13" x14ac:dyDescent="0.35">
      <c r="A100" s="168" t="s">
        <v>116</v>
      </c>
      <c r="B100" s="174" t="s">
        <v>45</v>
      </c>
      <c r="C100" s="168" t="s">
        <v>183</v>
      </c>
      <c r="D100" s="29">
        <v>1725</v>
      </c>
      <c r="E100" s="10">
        <f>12151.46+(1616*65)</f>
        <v>117191.45999999999</v>
      </c>
      <c r="H100" s="178">
        <f>E100</f>
        <v>117191.45999999999</v>
      </c>
      <c r="L100" s="149">
        <f t="shared" si="5"/>
        <v>117191.45999999999</v>
      </c>
      <c r="M100" s="10">
        <f t="shared" si="6"/>
        <v>0</v>
      </c>
    </row>
    <row r="101" spans="1:13" x14ac:dyDescent="0.35">
      <c r="A101" s="168"/>
      <c r="B101" s="174" t="s">
        <v>1</v>
      </c>
      <c r="C101" s="168" t="s">
        <v>206</v>
      </c>
      <c r="D101" s="83" t="s">
        <v>189</v>
      </c>
      <c r="E101" s="38">
        <f>C101*1500</f>
        <v>25500</v>
      </c>
      <c r="J101" s="178">
        <f>E101</f>
        <v>25500</v>
      </c>
      <c r="L101" s="149">
        <f t="shared" si="5"/>
        <v>25500</v>
      </c>
      <c r="M101" s="10">
        <f t="shared" si="6"/>
        <v>0</v>
      </c>
    </row>
    <row r="102" spans="1:13" x14ac:dyDescent="0.35">
      <c r="A102" s="168"/>
      <c r="B102" s="169"/>
      <c r="C102" s="168"/>
      <c r="D102" s="171">
        <f>SUM(D100)</f>
        <v>1725</v>
      </c>
      <c r="E102" s="209">
        <f>SUM(E100:E101)</f>
        <v>142691.46</v>
      </c>
      <c r="L102" s="149"/>
      <c r="M102" s="10"/>
    </row>
    <row r="103" spans="1:13" x14ac:dyDescent="0.35">
      <c r="A103" s="168"/>
      <c r="B103" s="169"/>
      <c r="C103" s="168"/>
      <c r="D103" s="145"/>
      <c r="E103" s="210"/>
      <c r="L103" s="149"/>
      <c r="M103" s="10"/>
    </row>
    <row r="104" spans="1:13" x14ac:dyDescent="0.35">
      <c r="A104" s="168" t="s">
        <v>116</v>
      </c>
      <c r="B104" s="174" t="s">
        <v>45</v>
      </c>
      <c r="C104" s="42" t="s">
        <v>183</v>
      </c>
      <c r="D104" s="29">
        <v>2</v>
      </c>
      <c r="E104" s="10">
        <v>1876.74</v>
      </c>
      <c r="H104" s="178">
        <f>E104</f>
        <v>1876.74</v>
      </c>
      <c r="L104" s="149">
        <f t="shared" si="5"/>
        <v>1876.74</v>
      </c>
      <c r="M104" s="10">
        <f t="shared" si="6"/>
        <v>0</v>
      </c>
    </row>
    <row r="105" spans="1:13" x14ac:dyDescent="0.35">
      <c r="A105" s="168"/>
      <c r="B105" s="174" t="s">
        <v>1</v>
      </c>
      <c r="C105" s="168" t="s">
        <v>192</v>
      </c>
      <c r="D105" s="83" t="s">
        <v>185</v>
      </c>
      <c r="E105" s="38">
        <f>C105*1500</f>
        <v>0</v>
      </c>
      <c r="J105" s="178">
        <f>E105</f>
        <v>0</v>
      </c>
      <c r="L105" s="149">
        <f t="shared" si="5"/>
        <v>0</v>
      </c>
      <c r="M105" s="10">
        <f t="shared" si="6"/>
        <v>0</v>
      </c>
    </row>
    <row r="106" spans="1:13" x14ac:dyDescent="0.35">
      <c r="A106" s="168"/>
      <c r="B106" s="174"/>
      <c r="C106" s="168"/>
      <c r="D106" s="171">
        <f>SUM(D104)</f>
        <v>2</v>
      </c>
      <c r="E106" s="209">
        <f>SUM(E104:E105)</f>
        <v>1876.74</v>
      </c>
      <c r="L106" s="149"/>
      <c r="M106" s="10"/>
    </row>
    <row r="107" spans="1:13" x14ac:dyDescent="0.35">
      <c r="A107" s="168"/>
      <c r="B107" s="169"/>
      <c r="C107" s="168"/>
      <c r="D107" s="145"/>
      <c r="E107" s="210"/>
      <c r="L107" s="149"/>
      <c r="M107" s="10"/>
    </row>
    <row r="108" spans="1:13" x14ac:dyDescent="0.35">
      <c r="A108" s="168" t="s">
        <v>88</v>
      </c>
      <c r="B108" s="174" t="s">
        <v>45</v>
      </c>
      <c r="C108" s="42" t="s">
        <v>183</v>
      </c>
      <c r="D108">
        <v>114</v>
      </c>
      <c r="E108" s="10">
        <v>19755.59</v>
      </c>
      <c r="H108" s="178">
        <f>E108</f>
        <v>19755.59</v>
      </c>
      <c r="L108" s="149">
        <f t="shared" si="5"/>
        <v>19755.59</v>
      </c>
      <c r="M108" s="10">
        <f t="shared" si="6"/>
        <v>0</v>
      </c>
    </row>
    <row r="109" spans="1:13" x14ac:dyDescent="0.35">
      <c r="A109" s="42"/>
      <c r="B109" s="174" t="s">
        <v>1</v>
      </c>
      <c r="C109" s="42" t="s">
        <v>201</v>
      </c>
      <c r="D109" s="83" t="s">
        <v>185</v>
      </c>
      <c r="E109" s="38">
        <f>C109*1500</f>
        <v>1500</v>
      </c>
      <c r="J109" s="178">
        <f>E109</f>
        <v>1500</v>
      </c>
      <c r="L109" s="149">
        <f t="shared" si="5"/>
        <v>1500</v>
      </c>
      <c r="M109" s="10">
        <f t="shared" si="6"/>
        <v>0</v>
      </c>
    </row>
    <row r="110" spans="1:13" x14ac:dyDescent="0.35">
      <c r="A110" s="42"/>
      <c r="B110" s="174"/>
      <c r="C110" s="42"/>
      <c r="D110" s="171">
        <f>SUM(D108)</f>
        <v>114</v>
      </c>
      <c r="E110" s="209">
        <f>SUM(E108:E109)</f>
        <v>21255.59</v>
      </c>
      <c r="L110" s="149"/>
      <c r="M110" s="10"/>
    </row>
    <row r="111" spans="1:13" x14ac:dyDescent="0.35">
      <c r="A111" s="42"/>
      <c r="B111" s="112"/>
      <c r="C111" s="42"/>
      <c r="D111" s="29"/>
      <c r="E111" s="39"/>
      <c r="L111" s="149"/>
      <c r="M111" s="10"/>
    </row>
    <row r="112" spans="1:13" x14ac:dyDescent="0.35">
      <c r="A112" s="168" t="s">
        <v>116</v>
      </c>
      <c r="B112" s="174" t="s">
        <v>45</v>
      </c>
      <c r="C112" s="168" t="s">
        <v>182</v>
      </c>
      <c r="D112">
        <v>595</v>
      </c>
      <c r="E112" s="10">
        <v>26177.18</v>
      </c>
      <c r="H112" s="178">
        <f>E112</f>
        <v>26177.18</v>
      </c>
      <c r="L112" s="149">
        <f t="shared" si="5"/>
        <v>26177.18</v>
      </c>
      <c r="M112" s="10">
        <f t="shared" si="6"/>
        <v>0</v>
      </c>
    </row>
    <row r="113" spans="1:13" x14ac:dyDescent="0.35">
      <c r="A113" s="168"/>
      <c r="B113" s="174" t="s">
        <v>45</v>
      </c>
      <c r="C113" s="168" t="s">
        <v>207</v>
      </c>
      <c r="D113">
        <v>160</v>
      </c>
      <c r="E113" s="10">
        <v>7039.24</v>
      </c>
      <c r="H113" s="178">
        <f>E113</f>
        <v>7039.24</v>
      </c>
      <c r="L113" s="149">
        <f t="shared" si="5"/>
        <v>7039.24</v>
      </c>
      <c r="M113" s="10">
        <f t="shared" si="6"/>
        <v>0</v>
      </c>
    </row>
    <row r="114" spans="1:13" x14ac:dyDescent="0.35">
      <c r="A114" s="42"/>
      <c r="B114" s="174" t="s">
        <v>1</v>
      </c>
      <c r="C114" s="42" t="s">
        <v>187</v>
      </c>
      <c r="D114" s="83" t="s">
        <v>189</v>
      </c>
      <c r="E114" s="38">
        <f>C114*1500</f>
        <v>3000</v>
      </c>
      <c r="J114" s="178">
        <f>E114</f>
        <v>3000</v>
      </c>
      <c r="L114" s="149">
        <f t="shared" si="5"/>
        <v>3000</v>
      </c>
      <c r="M114" s="10">
        <f t="shared" si="6"/>
        <v>0</v>
      </c>
    </row>
    <row r="115" spans="1:13" x14ac:dyDescent="0.35">
      <c r="A115" s="42"/>
      <c r="B115" s="174"/>
      <c r="C115" s="42"/>
      <c r="D115" s="171">
        <f>SUM(D112:D113)</f>
        <v>755</v>
      </c>
      <c r="E115" s="209">
        <f>SUM(E112:E114)</f>
        <v>36216.42</v>
      </c>
      <c r="L115" s="149"/>
      <c r="M115" s="10"/>
    </row>
    <row r="116" spans="1:13" x14ac:dyDescent="0.35">
      <c r="A116" s="42"/>
      <c r="B116" s="174"/>
      <c r="C116" s="42"/>
      <c r="D116" s="29"/>
      <c r="E116" s="39"/>
      <c r="L116" s="149"/>
      <c r="M116" s="10"/>
    </row>
    <row r="117" spans="1:13" x14ac:dyDescent="0.35">
      <c r="A117" s="42" t="s">
        <v>89</v>
      </c>
      <c r="B117" s="174" t="s">
        <v>45</v>
      </c>
      <c r="C117" s="168" t="s">
        <v>182</v>
      </c>
      <c r="D117" s="29">
        <v>4019</v>
      </c>
      <c r="E117" s="39">
        <f>D117*65</f>
        <v>261235</v>
      </c>
      <c r="H117" s="178">
        <f>E117</f>
        <v>261235</v>
      </c>
      <c r="L117" s="149">
        <f t="shared" si="5"/>
        <v>261235</v>
      </c>
      <c r="M117" s="10">
        <f t="shared" si="6"/>
        <v>0</v>
      </c>
    </row>
    <row r="118" spans="1:13" x14ac:dyDescent="0.35">
      <c r="A118" s="42"/>
      <c r="B118" s="174" t="s">
        <v>45</v>
      </c>
      <c r="C118" s="168" t="s">
        <v>183</v>
      </c>
      <c r="D118" s="29">
        <v>109</v>
      </c>
      <c r="E118" s="39">
        <f t="shared" ref="E118:E119" si="7">D118*65</f>
        <v>7085</v>
      </c>
      <c r="H118" s="178">
        <f>E118</f>
        <v>7085</v>
      </c>
      <c r="L118" s="149">
        <f t="shared" si="5"/>
        <v>7085</v>
      </c>
      <c r="M118" s="10">
        <f t="shared" si="6"/>
        <v>0</v>
      </c>
    </row>
    <row r="119" spans="1:13" x14ac:dyDescent="0.35">
      <c r="A119" s="42"/>
      <c r="B119" s="174" t="s">
        <v>45</v>
      </c>
      <c r="C119" s="168" t="s">
        <v>204</v>
      </c>
      <c r="D119" s="29">
        <v>7</v>
      </c>
      <c r="E119" s="39">
        <f t="shared" si="7"/>
        <v>455</v>
      </c>
      <c r="H119" s="178">
        <f>E119</f>
        <v>455</v>
      </c>
      <c r="L119" s="149">
        <f t="shared" si="5"/>
        <v>455</v>
      </c>
      <c r="M119" s="10">
        <f t="shared" si="6"/>
        <v>0</v>
      </c>
    </row>
    <row r="120" spans="1:13" x14ac:dyDescent="0.35">
      <c r="A120" s="23"/>
      <c r="B120" s="174" t="s">
        <v>1</v>
      </c>
      <c r="C120" s="23" t="s">
        <v>208</v>
      </c>
      <c r="D120" s="83" t="s">
        <v>189</v>
      </c>
      <c r="E120" s="38">
        <f>C120*1500</f>
        <v>19500</v>
      </c>
      <c r="J120" s="178">
        <f>E120</f>
        <v>19500</v>
      </c>
      <c r="L120" s="149">
        <f t="shared" si="5"/>
        <v>19500</v>
      </c>
      <c r="M120" s="10">
        <f t="shared" si="6"/>
        <v>0</v>
      </c>
    </row>
    <row r="121" spans="1:13" x14ac:dyDescent="0.35">
      <c r="A121" s="23"/>
      <c r="B121" s="174"/>
      <c r="C121" s="23"/>
      <c r="D121" s="171">
        <f>SUM(D117:D119)</f>
        <v>4135</v>
      </c>
      <c r="E121" s="209">
        <f>SUM(E117:E120)</f>
        <v>288275</v>
      </c>
      <c r="L121" s="149"/>
      <c r="M121" s="10"/>
    </row>
    <row r="122" spans="1:13" x14ac:dyDescent="0.35">
      <c r="A122" s="23"/>
      <c r="B122" s="174"/>
      <c r="C122" s="23"/>
      <c r="D122" s="145"/>
      <c r="E122" s="210"/>
      <c r="L122" s="149"/>
      <c r="M122" s="10"/>
    </row>
    <row r="123" spans="1:13" x14ac:dyDescent="0.35">
      <c r="A123" s="42" t="s">
        <v>91</v>
      </c>
      <c r="B123" s="112" t="s">
        <v>45</v>
      </c>
      <c r="C123" s="42" t="s">
        <v>209</v>
      </c>
      <c r="D123" s="142" t="s">
        <v>210</v>
      </c>
      <c r="E123" s="39">
        <v>37153.97</v>
      </c>
      <c r="H123" s="178">
        <f>E123</f>
        <v>37153.97</v>
      </c>
      <c r="L123" s="149">
        <f t="shared" si="5"/>
        <v>37153.97</v>
      </c>
      <c r="M123" s="10">
        <f t="shared" si="6"/>
        <v>0</v>
      </c>
    </row>
    <row r="124" spans="1:13" x14ac:dyDescent="0.35">
      <c r="A124" s="42" t="s">
        <v>91</v>
      </c>
      <c r="B124" s="112" t="s">
        <v>1</v>
      </c>
      <c r="C124" s="42"/>
      <c r="D124" s="83" t="s">
        <v>189</v>
      </c>
      <c r="E124" s="211">
        <f>C124*1500</f>
        <v>0</v>
      </c>
      <c r="J124" s="178">
        <f>E124</f>
        <v>0</v>
      </c>
      <c r="L124" s="149">
        <f t="shared" si="5"/>
        <v>0</v>
      </c>
      <c r="M124" s="10">
        <f t="shared" si="6"/>
        <v>0</v>
      </c>
    </row>
    <row r="125" spans="1:13" x14ac:dyDescent="0.35">
      <c r="A125" s="42"/>
      <c r="B125" s="112"/>
      <c r="C125" s="42"/>
      <c r="D125" s="83"/>
      <c r="E125" s="211">
        <f>SUM(E123:E124)</f>
        <v>37153.97</v>
      </c>
      <c r="L125" s="149"/>
      <c r="M125" s="10"/>
    </row>
    <row r="126" spans="1:13" x14ac:dyDescent="0.35">
      <c r="A126" s="42"/>
      <c r="B126" s="112"/>
      <c r="C126" s="42"/>
      <c r="D126" s="142"/>
      <c r="E126" s="39"/>
      <c r="L126" s="10"/>
      <c r="M126" s="10"/>
    </row>
    <row r="127" spans="1:13" x14ac:dyDescent="0.35">
      <c r="A127" s="42"/>
      <c r="B127" s="112"/>
      <c r="C127" s="42"/>
      <c r="D127" s="115"/>
      <c r="E127" s="120"/>
      <c r="L127" s="10"/>
      <c r="M127" s="10"/>
    </row>
    <row r="128" spans="1:13" x14ac:dyDescent="0.35">
      <c r="A128" s="23"/>
      <c r="B128" s="24" t="s">
        <v>60</v>
      </c>
      <c r="C128" s="23"/>
      <c r="D128" s="115">
        <f>SUM(D121,D115,D110,D106,D102,D98,D93,D89,D85,D81,D77,D73,D69,D65,D61,D57,D52,D47,D42,D36,D32,D27,D22,D18,D14)</f>
        <v>110189</v>
      </c>
      <c r="E128" s="120">
        <f>SUM(E125,E121,E115,E110,E106,E102,E98,E93,E89,E85,E81,E77,E73,E69,E65,E61,E57,E52,E47,E42,E36,E32,E27,E22,E18,E14+E8)</f>
        <v>8456788.5699999984</v>
      </c>
      <c r="G128" s="180">
        <f>SUM(G7:G127)</f>
        <v>340000</v>
      </c>
      <c r="H128" s="180">
        <f t="shared" ref="H128:K128" si="8">SUM(H7:H127)</f>
        <v>6827070.8899999997</v>
      </c>
      <c r="I128" s="180">
        <f t="shared" si="8"/>
        <v>341717.68000000005</v>
      </c>
      <c r="J128" s="180">
        <f t="shared" si="8"/>
        <v>948000</v>
      </c>
      <c r="K128" s="180">
        <f t="shared" si="8"/>
        <v>0</v>
      </c>
      <c r="L128" s="180">
        <f>SUM(L7:L127)</f>
        <v>8456788.5700000022</v>
      </c>
      <c r="M128" s="181">
        <f>E128-L128</f>
        <v>0</v>
      </c>
    </row>
    <row r="129" spans="1:5" x14ac:dyDescent="0.35">
      <c r="A129" s="23"/>
      <c r="B129" s="24"/>
      <c r="C129" s="23"/>
      <c r="D129" s="26"/>
      <c r="E129" s="26"/>
    </row>
    <row r="130" spans="1:5" x14ac:dyDescent="0.35">
      <c r="A130" s="8" t="s">
        <v>72</v>
      </c>
      <c r="B130" s="24"/>
      <c r="C130" s="23"/>
      <c r="D130" s="28"/>
      <c r="E130" s="26"/>
    </row>
    <row r="131" spans="1:5" x14ac:dyDescent="0.35">
      <c r="A131" s="8" t="s">
        <v>150</v>
      </c>
      <c r="B131" s="24"/>
      <c r="C131" s="23"/>
      <c r="E131" s="26"/>
    </row>
    <row r="132" spans="1:5" x14ac:dyDescent="0.35">
      <c r="A132" s="8" t="s">
        <v>149</v>
      </c>
      <c r="B132" s="24"/>
      <c r="C132" s="23"/>
      <c r="E132" s="26"/>
    </row>
    <row r="133" spans="1:5" x14ac:dyDescent="0.35">
      <c r="A133" s="8" t="s">
        <v>166</v>
      </c>
      <c r="B133" s="24"/>
      <c r="C133" s="23"/>
      <c r="E133" s="26"/>
    </row>
  </sheetData>
  <pageMargins left="0.7" right="0.7" top="0.75" bottom="0.75" header="0.3" footer="0.3"/>
  <pageSetup scale="68" fitToHeight="2" orientation="portrait" r:id="rId1"/>
  <headerFooter>
    <oddHeader>&amp;R 2023 Schedule IV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VL88"/>
  <sheetViews>
    <sheetView view="pageBreakPreview" zoomScaleNormal="100" zoomScaleSheetLayoutView="100" workbookViewId="0">
      <selection activeCell="G5" sqref="G5"/>
    </sheetView>
  </sheetViews>
  <sheetFormatPr defaultRowHeight="14.5" x14ac:dyDescent="0.35"/>
  <cols>
    <col min="1" max="1" width="18.54296875" style="23" customWidth="1"/>
    <col min="2" max="2" width="23.26953125" style="24" customWidth="1"/>
    <col min="3" max="3" width="34" style="23" bestFit="1" customWidth="1"/>
    <col min="4" max="4" width="13.26953125" customWidth="1"/>
    <col min="5" max="5" width="16.7265625" style="26" customWidth="1"/>
    <col min="6" max="6" width="9.1796875"/>
    <col min="7" max="7" width="12.54296875" style="186" bestFit="1" customWidth="1"/>
    <col min="8" max="8" width="14.453125" style="186" bestFit="1" customWidth="1"/>
    <col min="9" max="9" width="12.81640625" style="186" bestFit="1" customWidth="1"/>
    <col min="10" max="10" width="14.453125" style="186" bestFit="1" customWidth="1"/>
    <col min="11" max="11" width="14.26953125" style="186" bestFit="1" customWidth="1"/>
    <col min="12" max="12" width="12.26953125" style="182" bestFit="1" customWidth="1"/>
    <col min="13" max="254" width="9.1796875"/>
    <col min="255" max="255" width="32" customWidth="1"/>
    <col min="256" max="256" width="18.7265625" customWidth="1"/>
    <col min="257" max="257" width="9.1796875" customWidth="1"/>
    <col min="258" max="258" width="13.26953125" customWidth="1"/>
    <col min="259" max="259" width="16.7265625" customWidth="1"/>
    <col min="260" max="260" width="29.1796875" customWidth="1"/>
    <col min="261" max="510" width="9.1796875"/>
    <col min="511" max="511" width="32" customWidth="1"/>
    <col min="512" max="512" width="18.7265625" customWidth="1"/>
    <col min="513" max="513" width="9.1796875" customWidth="1"/>
    <col min="514" max="514" width="13.26953125" customWidth="1"/>
    <col min="515" max="515" width="16.7265625" customWidth="1"/>
    <col min="516" max="516" width="29.1796875" customWidth="1"/>
    <col min="517" max="766" width="9.1796875"/>
    <col min="767" max="767" width="32" customWidth="1"/>
    <col min="768" max="768" width="18.7265625" customWidth="1"/>
    <col min="769" max="769" width="9.1796875" customWidth="1"/>
    <col min="770" max="770" width="13.26953125" customWidth="1"/>
    <col min="771" max="771" width="16.7265625" customWidth="1"/>
    <col min="772" max="772" width="29.1796875" customWidth="1"/>
    <col min="773" max="1022" width="9.1796875"/>
    <col min="1023" max="1023" width="32" customWidth="1"/>
    <col min="1024" max="1024" width="18.7265625" customWidth="1"/>
    <col min="1025" max="1025" width="9.1796875" customWidth="1"/>
    <col min="1026" max="1026" width="13.26953125" customWidth="1"/>
    <col min="1027" max="1027" width="16.7265625" customWidth="1"/>
    <col min="1028" max="1028" width="29.1796875" customWidth="1"/>
    <col min="1029" max="1278" width="9.1796875"/>
    <col min="1279" max="1279" width="32" customWidth="1"/>
    <col min="1280" max="1280" width="18.7265625" customWidth="1"/>
    <col min="1281" max="1281" width="9.1796875" customWidth="1"/>
    <col min="1282" max="1282" width="13.26953125" customWidth="1"/>
    <col min="1283" max="1283" width="16.7265625" customWidth="1"/>
    <col min="1284" max="1284" width="29.1796875" customWidth="1"/>
    <col min="1285" max="1534" width="9.1796875"/>
    <col min="1535" max="1535" width="32" customWidth="1"/>
    <col min="1536" max="1536" width="18.7265625" customWidth="1"/>
    <col min="1537" max="1537" width="9.1796875" customWidth="1"/>
    <col min="1538" max="1538" width="13.26953125" customWidth="1"/>
    <col min="1539" max="1539" width="16.7265625" customWidth="1"/>
    <col min="1540" max="1540" width="29.1796875" customWidth="1"/>
    <col min="1541" max="1790" width="9.1796875"/>
    <col min="1791" max="1791" width="32" customWidth="1"/>
    <col min="1792" max="1792" width="18.7265625" customWidth="1"/>
    <col min="1793" max="1793" width="9.1796875" customWidth="1"/>
    <col min="1794" max="1794" width="13.26953125" customWidth="1"/>
    <col min="1795" max="1795" width="16.7265625" customWidth="1"/>
    <col min="1796" max="1796" width="29.1796875" customWidth="1"/>
    <col min="1797" max="2046" width="9.1796875"/>
    <col min="2047" max="2047" width="32" customWidth="1"/>
    <col min="2048" max="2048" width="18.7265625" customWidth="1"/>
    <col min="2049" max="2049" width="9.1796875" customWidth="1"/>
    <col min="2050" max="2050" width="13.26953125" customWidth="1"/>
    <col min="2051" max="2051" width="16.7265625" customWidth="1"/>
    <col min="2052" max="2052" width="29.1796875" customWidth="1"/>
    <col min="2053" max="2302" width="9.1796875"/>
    <col min="2303" max="2303" width="32" customWidth="1"/>
    <col min="2304" max="2304" width="18.7265625" customWidth="1"/>
    <col min="2305" max="2305" width="9.1796875" customWidth="1"/>
    <col min="2306" max="2306" width="13.26953125" customWidth="1"/>
    <col min="2307" max="2307" width="16.7265625" customWidth="1"/>
    <col min="2308" max="2308" width="29.1796875" customWidth="1"/>
    <col min="2309" max="2558" width="9.1796875"/>
    <col min="2559" max="2559" width="32" customWidth="1"/>
    <col min="2560" max="2560" width="18.7265625" customWidth="1"/>
    <col min="2561" max="2561" width="9.1796875" customWidth="1"/>
    <col min="2562" max="2562" width="13.26953125" customWidth="1"/>
    <col min="2563" max="2563" width="16.7265625" customWidth="1"/>
    <col min="2564" max="2564" width="29.1796875" customWidth="1"/>
    <col min="2565" max="2814" width="9.1796875"/>
    <col min="2815" max="2815" width="32" customWidth="1"/>
    <col min="2816" max="2816" width="18.7265625" customWidth="1"/>
    <col min="2817" max="2817" width="9.1796875" customWidth="1"/>
    <col min="2818" max="2818" width="13.26953125" customWidth="1"/>
    <col min="2819" max="2819" width="16.7265625" customWidth="1"/>
    <col min="2820" max="2820" width="29.1796875" customWidth="1"/>
    <col min="2821" max="3070" width="9.1796875"/>
    <col min="3071" max="3071" width="32" customWidth="1"/>
    <col min="3072" max="3072" width="18.7265625" customWidth="1"/>
    <col min="3073" max="3073" width="9.1796875" customWidth="1"/>
    <col min="3074" max="3074" width="13.26953125" customWidth="1"/>
    <col min="3075" max="3075" width="16.7265625" customWidth="1"/>
    <col min="3076" max="3076" width="29.1796875" customWidth="1"/>
    <col min="3077" max="3326" width="9.1796875"/>
    <col min="3327" max="3327" width="32" customWidth="1"/>
    <col min="3328" max="3328" width="18.7265625" customWidth="1"/>
    <col min="3329" max="3329" width="9.1796875" customWidth="1"/>
    <col min="3330" max="3330" width="13.26953125" customWidth="1"/>
    <col min="3331" max="3331" width="16.7265625" customWidth="1"/>
    <col min="3332" max="3332" width="29.1796875" customWidth="1"/>
    <col min="3333" max="3582" width="9.1796875"/>
    <col min="3583" max="3583" width="32" customWidth="1"/>
    <col min="3584" max="3584" width="18.7265625" customWidth="1"/>
    <col min="3585" max="3585" width="9.1796875" customWidth="1"/>
    <col min="3586" max="3586" width="13.26953125" customWidth="1"/>
    <col min="3587" max="3587" width="16.7265625" customWidth="1"/>
    <col min="3588" max="3588" width="29.1796875" customWidth="1"/>
    <col min="3589" max="3838" width="9.1796875"/>
    <col min="3839" max="3839" width="32" customWidth="1"/>
    <col min="3840" max="3840" width="18.7265625" customWidth="1"/>
    <col min="3841" max="3841" width="9.1796875" customWidth="1"/>
    <col min="3842" max="3842" width="13.26953125" customWidth="1"/>
    <col min="3843" max="3843" width="16.7265625" customWidth="1"/>
    <col min="3844" max="3844" width="29.1796875" customWidth="1"/>
    <col min="3845" max="4094" width="9.1796875"/>
    <col min="4095" max="4095" width="32" customWidth="1"/>
    <col min="4096" max="4096" width="18.7265625" customWidth="1"/>
    <col min="4097" max="4097" width="9.1796875" customWidth="1"/>
    <col min="4098" max="4098" width="13.26953125" customWidth="1"/>
    <col min="4099" max="4099" width="16.7265625" customWidth="1"/>
    <col min="4100" max="4100" width="29.1796875" customWidth="1"/>
    <col min="4101" max="4350" width="9.1796875"/>
    <col min="4351" max="4351" width="32" customWidth="1"/>
    <col min="4352" max="4352" width="18.7265625" customWidth="1"/>
    <col min="4353" max="4353" width="9.1796875" customWidth="1"/>
    <col min="4354" max="4354" width="13.26953125" customWidth="1"/>
    <col min="4355" max="4355" width="16.7265625" customWidth="1"/>
    <col min="4356" max="4356" width="29.1796875" customWidth="1"/>
    <col min="4357" max="4606" width="9.1796875"/>
    <col min="4607" max="4607" width="32" customWidth="1"/>
    <col min="4608" max="4608" width="18.7265625" customWidth="1"/>
    <col min="4609" max="4609" width="9.1796875" customWidth="1"/>
    <col min="4610" max="4610" width="13.26953125" customWidth="1"/>
    <col min="4611" max="4611" width="16.7265625" customWidth="1"/>
    <col min="4612" max="4612" width="29.1796875" customWidth="1"/>
    <col min="4613" max="4862" width="9.1796875"/>
    <col min="4863" max="4863" width="32" customWidth="1"/>
    <col min="4864" max="4864" width="18.7265625" customWidth="1"/>
    <col min="4865" max="4865" width="9.1796875" customWidth="1"/>
    <col min="4866" max="4866" width="13.26953125" customWidth="1"/>
    <col min="4867" max="4867" width="16.7265625" customWidth="1"/>
    <col min="4868" max="4868" width="29.1796875" customWidth="1"/>
    <col min="4869" max="5118" width="9.1796875"/>
    <col min="5119" max="5119" width="32" customWidth="1"/>
    <col min="5120" max="5120" width="18.7265625" customWidth="1"/>
    <col min="5121" max="5121" width="9.1796875" customWidth="1"/>
    <col min="5122" max="5122" width="13.26953125" customWidth="1"/>
    <col min="5123" max="5123" width="16.7265625" customWidth="1"/>
    <col min="5124" max="5124" width="29.1796875" customWidth="1"/>
    <col min="5125" max="5374" width="9.1796875"/>
    <col min="5375" max="5375" width="32" customWidth="1"/>
    <col min="5376" max="5376" width="18.7265625" customWidth="1"/>
    <col min="5377" max="5377" width="9.1796875" customWidth="1"/>
    <col min="5378" max="5378" width="13.26953125" customWidth="1"/>
    <col min="5379" max="5379" width="16.7265625" customWidth="1"/>
    <col min="5380" max="5380" width="29.1796875" customWidth="1"/>
    <col min="5381" max="5630" width="9.1796875"/>
    <col min="5631" max="5631" width="32" customWidth="1"/>
    <col min="5632" max="5632" width="18.7265625" customWidth="1"/>
    <col min="5633" max="5633" width="9.1796875" customWidth="1"/>
    <col min="5634" max="5634" width="13.26953125" customWidth="1"/>
    <col min="5635" max="5635" width="16.7265625" customWidth="1"/>
    <col min="5636" max="5636" width="29.1796875" customWidth="1"/>
    <col min="5637" max="5886" width="9.1796875"/>
    <col min="5887" max="5887" width="32" customWidth="1"/>
    <col min="5888" max="5888" width="18.7265625" customWidth="1"/>
    <col min="5889" max="5889" width="9.1796875" customWidth="1"/>
    <col min="5890" max="5890" width="13.26953125" customWidth="1"/>
    <col min="5891" max="5891" width="16.7265625" customWidth="1"/>
    <col min="5892" max="5892" width="29.1796875" customWidth="1"/>
    <col min="5893" max="6142" width="9.1796875"/>
    <col min="6143" max="6143" width="32" customWidth="1"/>
    <col min="6144" max="6144" width="18.7265625" customWidth="1"/>
    <col min="6145" max="6145" width="9.1796875" customWidth="1"/>
    <col min="6146" max="6146" width="13.26953125" customWidth="1"/>
    <col min="6147" max="6147" width="16.7265625" customWidth="1"/>
    <col min="6148" max="6148" width="29.1796875" customWidth="1"/>
    <col min="6149" max="6398" width="9.1796875"/>
    <col min="6399" max="6399" width="32" customWidth="1"/>
    <col min="6400" max="6400" width="18.7265625" customWidth="1"/>
    <col min="6401" max="6401" width="9.1796875" customWidth="1"/>
    <col min="6402" max="6402" width="13.26953125" customWidth="1"/>
    <col min="6403" max="6403" width="16.7265625" customWidth="1"/>
    <col min="6404" max="6404" width="29.1796875" customWidth="1"/>
    <col min="6405" max="6654" width="9.1796875"/>
    <col min="6655" max="6655" width="32" customWidth="1"/>
    <col min="6656" max="6656" width="18.7265625" customWidth="1"/>
    <col min="6657" max="6657" width="9.1796875" customWidth="1"/>
    <col min="6658" max="6658" width="13.26953125" customWidth="1"/>
    <col min="6659" max="6659" width="16.7265625" customWidth="1"/>
    <col min="6660" max="6660" width="29.1796875" customWidth="1"/>
    <col min="6661" max="6910" width="9.1796875"/>
    <col min="6911" max="6911" width="32" customWidth="1"/>
    <col min="6912" max="6912" width="18.7265625" customWidth="1"/>
    <col min="6913" max="6913" width="9.1796875" customWidth="1"/>
    <col min="6914" max="6914" width="13.26953125" customWidth="1"/>
    <col min="6915" max="6915" width="16.7265625" customWidth="1"/>
    <col min="6916" max="6916" width="29.1796875" customWidth="1"/>
    <col min="6917" max="7166" width="9.1796875"/>
    <col min="7167" max="7167" width="32" customWidth="1"/>
    <col min="7168" max="7168" width="18.7265625" customWidth="1"/>
    <col min="7169" max="7169" width="9.1796875" customWidth="1"/>
    <col min="7170" max="7170" width="13.26953125" customWidth="1"/>
    <col min="7171" max="7171" width="16.7265625" customWidth="1"/>
    <col min="7172" max="7172" width="29.1796875" customWidth="1"/>
    <col min="7173" max="7422" width="9.1796875"/>
    <col min="7423" max="7423" width="32" customWidth="1"/>
    <col min="7424" max="7424" width="18.7265625" customWidth="1"/>
    <col min="7425" max="7425" width="9.1796875" customWidth="1"/>
    <col min="7426" max="7426" width="13.26953125" customWidth="1"/>
    <col min="7427" max="7427" width="16.7265625" customWidth="1"/>
    <col min="7428" max="7428" width="29.1796875" customWidth="1"/>
    <col min="7429" max="7678" width="9.1796875"/>
    <col min="7679" max="7679" width="32" customWidth="1"/>
    <col min="7680" max="7680" width="18.7265625" customWidth="1"/>
    <col min="7681" max="7681" width="9.1796875" customWidth="1"/>
    <col min="7682" max="7682" width="13.26953125" customWidth="1"/>
    <col min="7683" max="7683" width="16.7265625" customWidth="1"/>
    <col min="7684" max="7684" width="29.1796875" customWidth="1"/>
    <col min="7685" max="7934" width="9.1796875"/>
    <col min="7935" max="7935" width="32" customWidth="1"/>
    <col min="7936" max="7936" width="18.7265625" customWidth="1"/>
    <col min="7937" max="7937" width="9.1796875" customWidth="1"/>
    <col min="7938" max="7938" width="13.26953125" customWidth="1"/>
    <col min="7939" max="7939" width="16.7265625" customWidth="1"/>
    <col min="7940" max="7940" width="29.1796875" customWidth="1"/>
    <col min="7941" max="8190" width="9.1796875"/>
    <col min="8191" max="8191" width="32" customWidth="1"/>
    <col min="8192" max="8192" width="18.7265625" customWidth="1"/>
    <col min="8193" max="8193" width="9.1796875" customWidth="1"/>
    <col min="8194" max="8194" width="13.26953125" customWidth="1"/>
    <col min="8195" max="8195" width="16.7265625" customWidth="1"/>
    <col min="8196" max="8196" width="29.1796875" customWidth="1"/>
    <col min="8197" max="8446" width="9.1796875"/>
    <col min="8447" max="8447" width="32" customWidth="1"/>
    <col min="8448" max="8448" width="18.7265625" customWidth="1"/>
    <col min="8449" max="8449" width="9.1796875" customWidth="1"/>
    <col min="8450" max="8450" width="13.26953125" customWidth="1"/>
    <col min="8451" max="8451" width="16.7265625" customWidth="1"/>
    <col min="8452" max="8452" width="29.1796875" customWidth="1"/>
    <col min="8453" max="8702" width="9.1796875"/>
    <col min="8703" max="8703" width="32" customWidth="1"/>
    <col min="8704" max="8704" width="18.7265625" customWidth="1"/>
    <col min="8705" max="8705" width="9.1796875" customWidth="1"/>
    <col min="8706" max="8706" width="13.26953125" customWidth="1"/>
    <col min="8707" max="8707" width="16.7265625" customWidth="1"/>
    <col min="8708" max="8708" width="29.1796875" customWidth="1"/>
    <col min="8709" max="8958" width="9.1796875"/>
    <col min="8959" max="8959" width="32" customWidth="1"/>
    <col min="8960" max="8960" width="18.7265625" customWidth="1"/>
    <col min="8961" max="8961" width="9.1796875" customWidth="1"/>
    <col min="8962" max="8962" width="13.26953125" customWidth="1"/>
    <col min="8963" max="8963" width="16.7265625" customWidth="1"/>
    <col min="8964" max="8964" width="29.1796875" customWidth="1"/>
    <col min="8965" max="9214" width="9.1796875"/>
    <col min="9215" max="9215" width="32" customWidth="1"/>
    <col min="9216" max="9216" width="18.7265625" customWidth="1"/>
    <col min="9217" max="9217" width="9.1796875" customWidth="1"/>
    <col min="9218" max="9218" width="13.26953125" customWidth="1"/>
    <col min="9219" max="9219" width="16.7265625" customWidth="1"/>
    <col min="9220" max="9220" width="29.1796875" customWidth="1"/>
    <col min="9221" max="9470" width="9.1796875"/>
    <col min="9471" max="9471" width="32" customWidth="1"/>
    <col min="9472" max="9472" width="18.7265625" customWidth="1"/>
    <col min="9473" max="9473" width="9.1796875" customWidth="1"/>
    <col min="9474" max="9474" width="13.26953125" customWidth="1"/>
    <col min="9475" max="9475" width="16.7265625" customWidth="1"/>
    <col min="9476" max="9476" width="29.1796875" customWidth="1"/>
    <col min="9477" max="9726" width="9.1796875"/>
    <col min="9727" max="9727" width="32" customWidth="1"/>
    <col min="9728" max="9728" width="18.7265625" customWidth="1"/>
    <col min="9729" max="9729" width="9.1796875" customWidth="1"/>
    <col min="9730" max="9730" width="13.26953125" customWidth="1"/>
    <col min="9731" max="9731" width="16.7265625" customWidth="1"/>
    <col min="9732" max="9732" width="29.1796875" customWidth="1"/>
    <col min="9733" max="9982" width="9.1796875"/>
    <col min="9983" max="9983" width="32" customWidth="1"/>
    <col min="9984" max="9984" width="18.7265625" customWidth="1"/>
    <col min="9985" max="9985" width="9.1796875" customWidth="1"/>
    <col min="9986" max="9986" width="13.26953125" customWidth="1"/>
    <col min="9987" max="9987" width="16.7265625" customWidth="1"/>
    <col min="9988" max="9988" width="29.1796875" customWidth="1"/>
    <col min="9989" max="10238" width="9.1796875"/>
    <col min="10239" max="10239" width="32" customWidth="1"/>
    <col min="10240" max="10240" width="18.7265625" customWidth="1"/>
    <col min="10241" max="10241" width="9.1796875" customWidth="1"/>
    <col min="10242" max="10242" width="13.26953125" customWidth="1"/>
    <col min="10243" max="10243" width="16.7265625" customWidth="1"/>
    <col min="10244" max="10244" width="29.1796875" customWidth="1"/>
    <col min="10245" max="10494" width="9.1796875"/>
    <col min="10495" max="10495" width="32" customWidth="1"/>
    <col min="10496" max="10496" width="18.7265625" customWidth="1"/>
    <col min="10497" max="10497" width="9.1796875" customWidth="1"/>
    <col min="10498" max="10498" width="13.26953125" customWidth="1"/>
    <col min="10499" max="10499" width="16.7265625" customWidth="1"/>
    <col min="10500" max="10500" width="29.1796875" customWidth="1"/>
    <col min="10501" max="10750" width="9.1796875"/>
    <col min="10751" max="10751" width="32" customWidth="1"/>
    <col min="10752" max="10752" width="18.7265625" customWidth="1"/>
    <col min="10753" max="10753" width="9.1796875" customWidth="1"/>
    <col min="10754" max="10754" width="13.26953125" customWidth="1"/>
    <col min="10755" max="10755" width="16.7265625" customWidth="1"/>
    <col min="10756" max="10756" width="29.1796875" customWidth="1"/>
    <col min="10757" max="11006" width="9.1796875"/>
    <col min="11007" max="11007" width="32" customWidth="1"/>
    <col min="11008" max="11008" width="18.7265625" customWidth="1"/>
    <col min="11009" max="11009" width="9.1796875" customWidth="1"/>
    <col min="11010" max="11010" width="13.26953125" customWidth="1"/>
    <col min="11011" max="11011" width="16.7265625" customWidth="1"/>
    <col min="11012" max="11012" width="29.1796875" customWidth="1"/>
    <col min="11013" max="11262" width="9.1796875"/>
    <col min="11263" max="11263" width="32" customWidth="1"/>
    <col min="11264" max="11264" width="18.7265625" customWidth="1"/>
    <col min="11265" max="11265" width="9.1796875" customWidth="1"/>
    <col min="11266" max="11266" width="13.26953125" customWidth="1"/>
    <col min="11267" max="11267" width="16.7265625" customWidth="1"/>
    <col min="11268" max="11268" width="29.1796875" customWidth="1"/>
    <col min="11269" max="11518" width="9.1796875"/>
    <col min="11519" max="11519" width="32" customWidth="1"/>
    <col min="11520" max="11520" width="18.7265625" customWidth="1"/>
    <col min="11521" max="11521" width="9.1796875" customWidth="1"/>
    <col min="11522" max="11522" width="13.26953125" customWidth="1"/>
    <col min="11523" max="11523" width="16.7265625" customWidth="1"/>
    <col min="11524" max="11524" width="29.1796875" customWidth="1"/>
    <col min="11525" max="11774" width="9.1796875"/>
    <col min="11775" max="11775" width="32" customWidth="1"/>
    <col min="11776" max="11776" width="18.7265625" customWidth="1"/>
    <col min="11777" max="11777" width="9.1796875" customWidth="1"/>
    <col min="11778" max="11778" width="13.26953125" customWidth="1"/>
    <col min="11779" max="11779" width="16.7265625" customWidth="1"/>
    <col min="11780" max="11780" width="29.1796875" customWidth="1"/>
    <col min="11781" max="12030" width="9.1796875"/>
    <col min="12031" max="12031" width="32" customWidth="1"/>
    <col min="12032" max="12032" width="18.7265625" customWidth="1"/>
    <col min="12033" max="12033" width="9.1796875" customWidth="1"/>
    <col min="12034" max="12034" width="13.26953125" customWidth="1"/>
    <col min="12035" max="12035" width="16.7265625" customWidth="1"/>
    <col min="12036" max="12036" width="29.1796875" customWidth="1"/>
    <col min="12037" max="12286" width="9.1796875"/>
    <col min="12287" max="12287" width="32" customWidth="1"/>
    <col min="12288" max="12288" width="18.7265625" customWidth="1"/>
    <col min="12289" max="12289" width="9.1796875" customWidth="1"/>
    <col min="12290" max="12290" width="13.26953125" customWidth="1"/>
    <col min="12291" max="12291" width="16.7265625" customWidth="1"/>
    <col min="12292" max="12292" width="29.1796875" customWidth="1"/>
    <col min="12293" max="12542" width="9.1796875"/>
    <col min="12543" max="12543" width="32" customWidth="1"/>
    <col min="12544" max="12544" width="18.7265625" customWidth="1"/>
    <col min="12545" max="12545" width="9.1796875" customWidth="1"/>
    <col min="12546" max="12546" width="13.26953125" customWidth="1"/>
    <col min="12547" max="12547" width="16.7265625" customWidth="1"/>
    <col min="12548" max="12548" width="29.1796875" customWidth="1"/>
    <col min="12549" max="12798" width="9.1796875"/>
    <col min="12799" max="12799" width="32" customWidth="1"/>
    <col min="12800" max="12800" width="18.7265625" customWidth="1"/>
    <col min="12801" max="12801" width="9.1796875" customWidth="1"/>
    <col min="12802" max="12802" width="13.26953125" customWidth="1"/>
    <col min="12803" max="12803" width="16.7265625" customWidth="1"/>
    <col min="12804" max="12804" width="29.1796875" customWidth="1"/>
    <col min="12805" max="13054" width="9.1796875"/>
    <col min="13055" max="13055" width="32" customWidth="1"/>
    <col min="13056" max="13056" width="18.7265625" customWidth="1"/>
    <col min="13057" max="13057" width="9.1796875" customWidth="1"/>
    <col min="13058" max="13058" width="13.26953125" customWidth="1"/>
    <col min="13059" max="13059" width="16.7265625" customWidth="1"/>
    <col min="13060" max="13060" width="29.1796875" customWidth="1"/>
    <col min="13061" max="13310" width="9.1796875"/>
    <col min="13311" max="13311" width="32" customWidth="1"/>
    <col min="13312" max="13312" width="18.7265625" customWidth="1"/>
    <col min="13313" max="13313" width="9.1796875" customWidth="1"/>
    <col min="13314" max="13314" width="13.26953125" customWidth="1"/>
    <col min="13315" max="13315" width="16.7265625" customWidth="1"/>
    <col min="13316" max="13316" width="29.1796875" customWidth="1"/>
    <col min="13317" max="13566" width="9.1796875"/>
    <col min="13567" max="13567" width="32" customWidth="1"/>
    <col min="13568" max="13568" width="18.7265625" customWidth="1"/>
    <col min="13569" max="13569" width="9.1796875" customWidth="1"/>
    <col min="13570" max="13570" width="13.26953125" customWidth="1"/>
    <col min="13571" max="13571" width="16.7265625" customWidth="1"/>
    <col min="13572" max="13572" width="29.1796875" customWidth="1"/>
    <col min="13573" max="13822" width="9.1796875"/>
    <col min="13823" max="13823" width="32" customWidth="1"/>
    <col min="13824" max="13824" width="18.7265625" customWidth="1"/>
    <col min="13825" max="13825" width="9.1796875" customWidth="1"/>
    <col min="13826" max="13826" width="13.26953125" customWidth="1"/>
    <col min="13827" max="13827" width="16.7265625" customWidth="1"/>
    <col min="13828" max="13828" width="29.1796875" customWidth="1"/>
    <col min="13829" max="14078" width="9.1796875"/>
    <col min="14079" max="14079" width="32" customWidth="1"/>
    <col min="14080" max="14080" width="18.7265625" customWidth="1"/>
    <col min="14081" max="14081" width="9.1796875" customWidth="1"/>
    <col min="14082" max="14082" width="13.26953125" customWidth="1"/>
    <col min="14083" max="14083" width="16.7265625" customWidth="1"/>
    <col min="14084" max="14084" width="29.1796875" customWidth="1"/>
    <col min="14085" max="14334" width="9.1796875"/>
    <col min="14335" max="14335" width="32" customWidth="1"/>
    <col min="14336" max="14336" width="18.7265625" customWidth="1"/>
    <col min="14337" max="14337" width="9.1796875" customWidth="1"/>
    <col min="14338" max="14338" width="13.26953125" customWidth="1"/>
    <col min="14339" max="14339" width="16.7265625" customWidth="1"/>
    <col min="14340" max="14340" width="29.1796875" customWidth="1"/>
    <col min="14341" max="14590" width="9.1796875"/>
    <col min="14591" max="14591" width="32" customWidth="1"/>
    <col min="14592" max="14592" width="18.7265625" customWidth="1"/>
    <col min="14593" max="14593" width="9.1796875" customWidth="1"/>
    <col min="14594" max="14594" width="13.26953125" customWidth="1"/>
    <col min="14595" max="14595" width="16.7265625" customWidth="1"/>
    <col min="14596" max="14596" width="29.1796875" customWidth="1"/>
    <col min="14597" max="14846" width="9.1796875"/>
    <col min="14847" max="14847" width="32" customWidth="1"/>
    <col min="14848" max="14848" width="18.7265625" customWidth="1"/>
    <col min="14849" max="14849" width="9.1796875" customWidth="1"/>
    <col min="14850" max="14850" width="13.26953125" customWidth="1"/>
    <col min="14851" max="14851" width="16.7265625" customWidth="1"/>
    <col min="14852" max="14852" width="29.1796875" customWidth="1"/>
    <col min="14853" max="15102" width="9.1796875"/>
    <col min="15103" max="15103" width="32" customWidth="1"/>
    <col min="15104" max="15104" width="18.7265625" customWidth="1"/>
    <col min="15105" max="15105" width="9.1796875" customWidth="1"/>
    <col min="15106" max="15106" width="13.26953125" customWidth="1"/>
    <col min="15107" max="15107" width="16.7265625" customWidth="1"/>
    <col min="15108" max="15108" width="29.1796875" customWidth="1"/>
    <col min="15109" max="15358" width="9.1796875"/>
    <col min="15359" max="15359" width="32" customWidth="1"/>
    <col min="15360" max="15360" width="18.7265625" customWidth="1"/>
    <col min="15361" max="15361" width="9.1796875" customWidth="1"/>
    <col min="15362" max="15362" width="13.26953125" customWidth="1"/>
    <col min="15363" max="15363" width="16.7265625" customWidth="1"/>
    <col min="15364" max="15364" width="29.1796875" customWidth="1"/>
    <col min="15365" max="15614" width="9.1796875"/>
    <col min="15615" max="15615" width="32" customWidth="1"/>
    <col min="15616" max="15616" width="18.7265625" customWidth="1"/>
    <col min="15617" max="15617" width="9.1796875" customWidth="1"/>
    <col min="15618" max="15618" width="13.26953125" customWidth="1"/>
    <col min="15619" max="15619" width="16.7265625" customWidth="1"/>
    <col min="15620" max="15620" width="29.1796875" customWidth="1"/>
    <col min="15621" max="15870" width="9.1796875"/>
    <col min="15871" max="15871" width="32" customWidth="1"/>
    <col min="15872" max="15872" width="18.7265625" customWidth="1"/>
    <col min="15873" max="15873" width="9.1796875" customWidth="1"/>
    <col min="15874" max="15874" width="13.26953125" customWidth="1"/>
    <col min="15875" max="15875" width="16.7265625" customWidth="1"/>
    <col min="15876" max="15876" width="29.1796875" customWidth="1"/>
    <col min="15877" max="16126" width="9.1796875"/>
    <col min="16127" max="16127" width="32" customWidth="1"/>
    <col min="16128" max="16128" width="18.7265625" customWidth="1"/>
    <col min="16129" max="16129" width="9.1796875" customWidth="1"/>
    <col min="16130" max="16130" width="13.26953125" customWidth="1"/>
    <col min="16131" max="16131" width="16.7265625" customWidth="1"/>
    <col min="16132" max="16132" width="29.1796875" customWidth="1"/>
    <col min="16133" max="16384" width="9.1796875"/>
  </cols>
  <sheetData>
    <row r="1" spans="1:12" x14ac:dyDescent="0.35">
      <c r="A1" s="7" t="s">
        <v>69</v>
      </c>
      <c r="E1" s="205"/>
    </row>
    <row r="2" spans="1:12" x14ac:dyDescent="0.35">
      <c r="A2" s="7" t="s">
        <v>211</v>
      </c>
      <c r="E2" s="25"/>
    </row>
    <row r="3" spans="1:12" x14ac:dyDescent="0.35">
      <c r="A3" s="167"/>
      <c r="E3" s="25"/>
    </row>
    <row r="4" spans="1:12" x14ac:dyDescent="0.35">
      <c r="E4" s="25"/>
    </row>
    <row r="5" spans="1:12" x14ac:dyDescent="0.35">
      <c r="B5" s="116" t="s">
        <v>104</v>
      </c>
      <c r="C5" s="24" t="s">
        <v>59</v>
      </c>
      <c r="D5" s="15"/>
      <c r="E5" s="117"/>
    </row>
    <row r="6" spans="1:12" s="19" customFormat="1" ht="16" x14ac:dyDescent="0.5">
      <c r="A6" s="118" t="s">
        <v>105</v>
      </c>
      <c r="B6" s="31" t="s">
        <v>106</v>
      </c>
      <c r="C6" s="31" t="s">
        <v>107</v>
      </c>
      <c r="D6" s="27" t="s">
        <v>71</v>
      </c>
      <c r="E6" s="119" t="s">
        <v>108</v>
      </c>
      <c r="G6" s="180" t="s">
        <v>61</v>
      </c>
      <c r="H6" s="180" t="s">
        <v>165</v>
      </c>
      <c r="I6" s="180" t="s">
        <v>158</v>
      </c>
      <c r="J6" s="180" t="s">
        <v>1</v>
      </c>
      <c r="K6" s="187" t="s">
        <v>159</v>
      </c>
    </row>
    <row r="7" spans="1:12" x14ac:dyDescent="0.35">
      <c r="E7" s="25"/>
    </row>
    <row r="8" spans="1:12" x14ac:dyDescent="0.35">
      <c r="A8" s="42" t="s">
        <v>56</v>
      </c>
      <c r="B8" s="43"/>
      <c r="C8" s="42" t="s">
        <v>109</v>
      </c>
      <c r="D8" s="29"/>
      <c r="E8" s="38">
        <v>340000</v>
      </c>
      <c r="G8" s="186">
        <f>+E8</f>
        <v>340000</v>
      </c>
      <c r="K8" s="188">
        <f>SUM(G8:J8)</f>
        <v>340000</v>
      </c>
      <c r="L8" s="183">
        <f t="shared" ref="L8:L13" si="0">E8-K8</f>
        <v>0</v>
      </c>
    </row>
    <row r="9" spans="1:12" x14ac:dyDescent="0.35">
      <c r="A9" s="42"/>
      <c r="B9" s="43"/>
      <c r="C9" s="42"/>
      <c r="D9" s="29"/>
      <c r="E9" s="38"/>
      <c r="K9" s="188">
        <f t="shared" ref="K9:K52" si="1">SUM(G9:J9)</f>
        <v>0</v>
      </c>
      <c r="L9" s="183">
        <f t="shared" si="0"/>
        <v>0</v>
      </c>
    </row>
    <row r="10" spans="1:12" x14ac:dyDescent="0.35">
      <c r="A10" s="42" t="s">
        <v>161</v>
      </c>
      <c r="B10" s="174" t="s">
        <v>212</v>
      </c>
      <c r="C10" s="42" t="s">
        <v>182</v>
      </c>
      <c r="D10" s="29">
        <v>2965</v>
      </c>
      <c r="E10" s="38">
        <f>D10*65</f>
        <v>192725</v>
      </c>
      <c r="G10" s="188"/>
      <c r="H10" s="188">
        <f>+E10</f>
        <v>192725</v>
      </c>
      <c r="I10" s="188"/>
      <c r="J10" s="188"/>
      <c r="K10" s="188">
        <f>SUM(G10:J10)</f>
        <v>192725</v>
      </c>
      <c r="L10" s="183">
        <f t="shared" si="0"/>
        <v>0</v>
      </c>
    </row>
    <row r="11" spans="1:12" x14ac:dyDescent="0.35">
      <c r="A11" s="42" t="s">
        <v>161</v>
      </c>
      <c r="B11" s="174" t="s">
        <v>212</v>
      </c>
      <c r="C11" s="42" t="s">
        <v>183</v>
      </c>
      <c r="D11">
        <v>18911</v>
      </c>
      <c r="E11" s="38">
        <f>D11*65</f>
        <v>1229215</v>
      </c>
      <c r="G11" s="188"/>
      <c r="H11" s="188">
        <f>+E11</f>
        <v>1229215</v>
      </c>
      <c r="I11" s="188"/>
      <c r="J11" s="188"/>
      <c r="K11" s="188">
        <f t="shared" si="1"/>
        <v>1229215</v>
      </c>
      <c r="L11" s="183">
        <f t="shared" si="0"/>
        <v>0</v>
      </c>
    </row>
    <row r="12" spans="1:12" x14ac:dyDescent="0.35">
      <c r="A12" s="42" t="s">
        <v>161</v>
      </c>
      <c r="B12" s="174" t="s">
        <v>212</v>
      </c>
      <c r="C12" s="42" t="s">
        <v>204</v>
      </c>
      <c r="D12" s="29">
        <v>10</v>
      </c>
      <c r="E12" s="38">
        <f>D12*65</f>
        <v>650</v>
      </c>
      <c r="G12" s="188"/>
      <c r="H12" s="188">
        <f>E12</f>
        <v>650</v>
      </c>
      <c r="I12" s="188"/>
      <c r="J12" s="188"/>
      <c r="K12" s="188">
        <f t="shared" si="1"/>
        <v>650</v>
      </c>
      <c r="L12" s="183">
        <f t="shared" si="0"/>
        <v>0</v>
      </c>
    </row>
    <row r="13" spans="1:12" x14ac:dyDescent="0.35">
      <c r="A13" s="42" t="s">
        <v>161</v>
      </c>
      <c r="B13" s="174" t="s">
        <v>1</v>
      </c>
      <c r="C13" s="42" t="s">
        <v>213</v>
      </c>
      <c r="D13" s="83" t="s">
        <v>185</v>
      </c>
      <c r="E13" s="10">
        <f>C13*1500</f>
        <v>231000</v>
      </c>
      <c r="F13" s="22"/>
      <c r="G13" s="188"/>
      <c r="H13" s="188"/>
      <c r="I13" s="188"/>
      <c r="J13" s="188">
        <f>E13</f>
        <v>231000</v>
      </c>
      <c r="K13" s="188">
        <f t="shared" si="1"/>
        <v>231000</v>
      </c>
      <c r="L13" s="183">
        <f t="shared" si="0"/>
        <v>0</v>
      </c>
    </row>
    <row r="14" spans="1:12" x14ac:dyDescent="0.35">
      <c r="A14" s="42"/>
      <c r="B14" s="112"/>
      <c r="C14" s="42"/>
      <c r="D14" s="30">
        <f>SUM(D10:D12)</f>
        <v>21886</v>
      </c>
      <c r="E14" s="40">
        <f>SUM(E10:E13)</f>
        <v>1653590</v>
      </c>
      <c r="F14" s="22"/>
      <c r="G14" s="188"/>
      <c r="H14" s="188"/>
      <c r="I14" s="188"/>
      <c r="J14" s="188"/>
      <c r="K14" s="188"/>
      <c r="L14" s="183"/>
    </row>
    <row r="15" spans="1:12" x14ac:dyDescent="0.35">
      <c r="A15" s="42"/>
      <c r="B15" s="112"/>
      <c r="C15" s="42"/>
      <c r="D15" s="29"/>
      <c r="E15" s="38"/>
      <c r="F15" s="22"/>
      <c r="G15" s="188"/>
      <c r="H15" s="188"/>
      <c r="I15" s="188"/>
      <c r="J15" s="188"/>
      <c r="K15" s="188"/>
      <c r="L15" s="183"/>
    </row>
    <row r="16" spans="1:12" x14ac:dyDescent="0.35">
      <c r="A16" s="42" t="s">
        <v>91</v>
      </c>
      <c r="B16" s="112" t="s">
        <v>212</v>
      </c>
      <c r="C16" s="42" t="s">
        <v>183</v>
      </c>
      <c r="D16" s="29">
        <v>10049</v>
      </c>
      <c r="E16" s="38">
        <f>D16*65</f>
        <v>653185</v>
      </c>
      <c r="F16" s="22"/>
      <c r="G16" s="188"/>
      <c r="H16" s="188">
        <f>+E16</f>
        <v>653185</v>
      </c>
      <c r="I16" s="188"/>
      <c r="J16" s="188"/>
      <c r="K16" s="188">
        <f t="shared" si="1"/>
        <v>653185</v>
      </c>
      <c r="L16" s="183">
        <f>E16-K16</f>
        <v>0</v>
      </c>
    </row>
    <row r="17" spans="1:12" x14ac:dyDescent="0.35">
      <c r="A17" s="42" t="s">
        <v>91</v>
      </c>
      <c r="B17" s="112" t="s">
        <v>1</v>
      </c>
      <c r="C17" s="42" t="s">
        <v>214</v>
      </c>
      <c r="D17" s="83" t="s">
        <v>189</v>
      </c>
      <c r="E17" s="10">
        <f>C17*1500</f>
        <v>75000</v>
      </c>
      <c r="F17" s="22"/>
      <c r="G17" s="188"/>
      <c r="H17" s="188"/>
      <c r="I17" s="188"/>
      <c r="J17" s="188">
        <f>E17</f>
        <v>75000</v>
      </c>
      <c r="K17" s="188">
        <f t="shared" si="1"/>
        <v>75000</v>
      </c>
      <c r="L17" s="183">
        <f>E17-K17</f>
        <v>0</v>
      </c>
    </row>
    <row r="18" spans="1:12" x14ac:dyDescent="0.35">
      <c r="A18" s="42"/>
      <c r="B18" s="112"/>
      <c r="C18" s="42"/>
      <c r="D18" s="30">
        <f>SUM(D16:D17)</f>
        <v>10049</v>
      </c>
      <c r="E18" s="40">
        <f>SUM(E16:E17)</f>
        <v>728185</v>
      </c>
      <c r="F18" s="22"/>
      <c r="G18" s="188"/>
      <c r="H18" s="188"/>
      <c r="I18" s="188"/>
      <c r="J18" s="188"/>
      <c r="K18" s="188"/>
      <c r="L18" s="183"/>
    </row>
    <row r="19" spans="1:12" x14ac:dyDescent="0.35">
      <c r="A19" s="42"/>
      <c r="B19" s="112"/>
      <c r="C19" s="42"/>
      <c r="D19" s="9"/>
      <c r="E19" s="41"/>
      <c r="F19" s="22"/>
      <c r="G19" s="188"/>
      <c r="H19" s="188"/>
      <c r="I19" s="188"/>
      <c r="J19" s="188"/>
      <c r="K19" s="188"/>
      <c r="L19" s="183"/>
    </row>
    <row r="20" spans="1:12" x14ac:dyDescent="0.35">
      <c r="A20" s="42" t="s">
        <v>86</v>
      </c>
      <c r="B20" s="112" t="s">
        <v>212</v>
      </c>
      <c r="C20" s="42" t="s">
        <v>182</v>
      </c>
      <c r="D20" s="29">
        <v>2022</v>
      </c>
      <c r="E20" s="38">
        <f>D20*65</f>
        <v>131430</v>
      </c>
      <c r="F20" s="22"/>
      <c r="G20" s="188"/>
      <c r="H20" s="188">
        <f>E20</f>
        <v>131430</v>
      </c>
      <c r="I20" s="188"/>
      <c r="J20" s="188"/>
      <c r="K20" s="188">
        <f t="shared" si="1"/>
        <v>131430</v>
      </c>
      <c r="L20" s="183">
        <f>E20-K20</f>
        <v>0</v>
      </c>
    </row>
    <row r="21" spans="1:12" x14ac:dyDescent="0.35">
      <c r="A21" s="42" t="s">
        <v>86</v>
      </c>
      <c r="B21" s="112" t="s">
        <v>212</v>
      </c>
      <c r="C21" s="42" t="s">
        <v>183</v>
      </c>
      <c r="D21" s="29">
        <f>10925+8805</f>
        <v>19730</v>
      </c>
      <c r="E21" s="38">
        <f>D21*65</f>
        <v>1282450</v>
      </c>
      <c r="F21" s="22"/>
      <c r="G21" s="188"/>
      <c r="H21" s="188">
        <f>+E21</f>
        <v>1282450</v>
      </c>
      <c r="I21" s="188"/>
      <c r="J21" s="188"/>
      <c r="K21" s="188">
        <f t="shared" si="1"/>
        <v>1282450</v>
      </c>
      <c r="L21" s="183">
        <f>E21-K21</f>
        <v>0</v>
      </c>
    </row>
    <row r="22" spans="1:12" x14ac:dyDescent="0.35">
      <c r="A22" s="42" t="s">
        <v>86</v>
      </c>
      <c r="B22" s="112" t="s">
        <v>212</v>
      </c>
      <c r="C22" s="42" t="s">
        <v>204</v>
      </c>
      <c r="D22" s="29">
        <v>35</v>
      </c>
      <c r="E22" s="38">
        <f>D22*65</f>
        <v>2275</v>
      </c>
      <c r="F22" s="22"/>
      <c r="G22" s="188"/>
      <c r="H22" s="188">
        <f>E22</f>
        <v>2275</v>
      </c>
      <c r="I22" s="188"/>
      <c r="J22" s="188"/>
      <c r="K22" s="188">
        <f t="shared" si="1"/>
        <v>2275</v>
      </c>
      <c r="L22" s="183">
        <f>E22-K22</f>
        <v>0</v>
      </c>
    </row>
    <row r="23" spans="1:12" x14ac:dyDescent="0.35">
      <c r="A23" s="42" t="s">
        <v>86</v>
      </c>
      <c r="B23" s="112" t="s">
        <v>1</v>
      </c>
      <c r="C23" s="42" t="s">
        <v>215</v>
      </c>
      <c r="D23" s="83" t="s">
        <v>185</v>
      </c>
      <c r="E23" s="10">
        <f>C23*1500</f>
        <v>201000</v>
      </c>
      <c r="F23" s="22"/>
      <c r="G23" s="188"/>
      <c r="H23" s="188"/>
      <c r="I23" s="188"/>
      <c r="J23" s="188">
        <f>E23</f>
        <v>201000</v>
      </c>
      <c r="K23" s="188">
        <f t="shared" si="1"/>
        <v>201000</v>
      </c>
      <c r="L23" s="183">
        <f>E23-K23</f>
        <v>0</v>
      </c>
    </row>
    <row r="24" spans="1:12" x14ac:dyDescent="0.35">
      <c r="A24" s="42"/>
      <c r="B24" s="112"/>
      <c r="C24" s="42"/>
      <c r="D24" s="30">
        <f>SUM(D20:D22)</f>
        <v>21787</v>
      </c>
      <c r="E24" s="40">
        <f>SUM(E20:E23)</f>
        <v>1617155</v>
      </c>
      <c r="F24" s="22"/>
      <c r="G24" s="188"/>
      <c r="H24" s="188"/>
      <c r="I24" s="188"/>
      <c r="J24" s="188"/>
      <c r="K24" s="188"/>
      <c r="L24" s="183"/>
    </row>
    <row r="25" spans="1:12" x14ac:dyDescent="0.35">
      <c r="A25" s="42"/>
      <c r="B25" s="112"/>
      <c r="C25" s="42"/>
      <c r="D25" s="29"/>
      <c r="E25" s="38"/>
      <c r="F25" s="22"/>
      <c r="G25" s="188"/>
      <c r="H25" s="188"/>
      <c r="I25" s="188"/>
      <c r="J25" s="188"/>
      <c r="K25" s="188"/>
      <c r="L25" s="183"/>
    </row>
    <row r="26" spans="1:12" x14ac:dyDescent="0.35">
      <c r="A26" s="42" t="s">
        <v>93</v>
      </c>
      <c r="B26" s="112" t="s">
        <v>212</v>
      </c>
      <c r="C26" s="42" t="s">
        <v>182</v>
      </c>
      <c r="D26" s="29">
        <v>2259</v>
      </c>
      <c r="E26" s="38">
        <f>D26*65</f>
        <v>146835</v>
      </c>
      <c r="F26" s="22"/>
      <c r="G26" s="188"/>
      <c r="H26" s="188">
        <f>+E26</f>
        <v>146835</v>
      </c>
      <c r="I26" s="188"/>
      <c r="J26" s="188"/>
      <c r="K26" s="188">
        <f t="shared" si="1"/>
        <v>146835</v>
      </c>
      <c r="L26" s="183">
        <f>E26-K26</f>
        <v>0</v>
      </c>
    </row>
    <row r="27" spans="1:12" x14ac:dyDescent="0.35">
      <c r="A27" s="42" t="s">
        <v>93</v>
      </c>
      <c r="B27" s="112" t="s">
        <v>212</v>
      </c>
      <c r="C27" s="42" t="s">
        <v>183</v>
      </c>
      <c r="D27" s="29">
        <v>660</v>
      </c>
      <c r="E27" s="38">
        <f>D27*65</f>
        <v>42900</v>
      </c>
      <c r="F27" s="22"/>
      <c r="G27" s="188"/>
      <c r="H27" s="188">
        <f>+E27</f>
        <v>42900</v>
      </c>
      <c r="I27" s="188"/>
      <c r="J27" s="188"/>
      <c r="K27" s="188">
        <f t="shared" si="1"/>
        <v>42900</v>
      </c>
      <c r="L27" s="183">
        <f>E27-K27</f>
        <v>0</v>
      </c>
    </row>
    <row r="28" spans="1:12" x14ac:dyDescent="0.35">
      <c r="A28" s="42" t="s">
        <v>93</v>
      </c>
      <c r="B28" s="112" t="s">
        <v>1</v>
      </c>
      <c r="C28" s="42" t="s">
        <v>216</v>
      </c>
      <c r="D28" s="83" t="s">
        <v>185</v>
      </c>
      <c r="E28" s="10">
        <f>C28*1500</f>
        <v>6000</v>
      </c>
      <c r="F28" s="22"/>
      <c r="G28" s="188"/>
      <c r="H28" s="188"/>
      <c r="I28" s="188"/>
      <c r="J28" s="188">
        <f>+E28</f>
        <v>6000</v>
      </c>
      <c r="K28" s="188">
        <f t="shared" si="1"/>
        <v>6000</v>
      </c>
      <c r="L28" s="183">
        <f>E28-K28</f>
        <v>0</v>
      </c>
    </row>
    <row r="29" spans="1:12" x14ac:dyDescent="0.35">
      <c r="A29" s="42"/>
      <c r="B29" s="112"/>
      <c r="C29" s="42"/>
      <c r="D29" s="30">
        <f>SUM(D26:D27)</f>
        <v>2919</v>
      </c>
      <c r="E29" s="40">
        <f>SUM(E26:E28)</f>
        <v>195735</v>
      </c>
      <c r="F29" s="22"/>
      <c r="G29" s="188"/>
      <c r="H29" s="188"/>
      <c r="I29" s="188"/>
      <c r="J29" s="188"/>
      <c r="K29" s="188"/>
      <c r="L29" s="183"/>
    </row>
    <row r="30" spans="1:12" x14ac:dyDescent="0.35">
      <c r="A30" s="42"/>
      <c r="B30" s="112"/>
      <c r="C30" s="42"/>
      <c r="D30" s="29"/>
      <c r="E30" s="38"/>
      <c r="F30" s="22"/>
      <c r="G30" s="188"/>
      <c r="H30" s="188"/>
      <c r="I30" s="188"/>
      <c r="J30" s="188"/>
      <c r="K30" s="188"/>
      <c r="L30" s="183"/>
    </row>
    <row r="31" spans="1:12" x14ac:dyDescent="0.35">
      <c r="A31" s="42" t="s">
        <v>89</v>
      </c>
      <c r="B31" s="112" t="s">
        <v>212</v>
      </c>
      <c r="C31" s="42" t="s">
        <v>202</v>
      </c>
      <c r="D31" s="29">
        <v>5600</v>
      </c>
      <c r="E31" s="38">
        <f>D31*65</f>
        <v>364000</v>
      </c>
      <c r="F31" s="22"/>
      <c r="G31" s="188"/>
      <c r="H31" s="188">
        <f>+E31</f>
        <v>364000</v>
      </c>
      <c r="I31" s="188"/>
      <c r="J31" s="188"/>
      <c r="K31" s="188">
        <f t="shared" si="1"/>
        <v>364000</v>
      </c>
      <c r="L31" s="183">
        <f>E31-K31</f>
        <v>0</v>
      </c>
    </row>
    <row r="32" spans="1:12" x14ac:dyDescent="0.35">
      <c r="A32" s="42" t="s">
        <v>89</v>
      </c>
      <c r="B32" s="112" t="s">
        <v>212</v>
      </c>
      <c r="C32" s="42" t="s">
        <v>186</v>
      </c>
      <c r="D32" s="29">
        <v>1700</v>
      </c>
      <c r="E32" s="38">
        <f t="shared" ref="E32:E34" si="2">D32*65</f>
        <v>110500</v>
      </c>
      <c r="F32" s="22"/>
      <c r="G32" s="188"/>
      <c r="H32" s="188">
        <f>E32</f>
        <v>110500</v>
      </c>
      <c r="I32" s="188"/>
      <c r="J32" s="188"/>
      <c r="K32" s="188">
        <f t="shared" si="1"/>
        <v>110500</v>
      </c>
      <c r="L32" s="183">
        <f>E32-K32</f>
        <v>0</v>
      </c>
    </row>
    <row r="33" spans="1:16132" x14ac:dyDescent="0.35">
      <c r="A33" s="42" t="s">
        <v>89</v>
      </c>
      <c r="B33" s="112" t="s">
        <v>212</v>
      </c>
      <c r="C33" s="42" t="s">
        <v>182</v>
      </c>
      <c r="D33" s="29">
        <v>14300</v>
      </c>
      <c r="E33" s="38">
        <f t="shared" si="2"/>
        <v>929500</v>
      </c>
      <c r="F33" s="22"/>
      <c r="G33" s="188"/>
      <c r="H33" s="188">
        <f>E33</f>
        <v>929500</v>
      </c>
      <c r="I33" s="188"/>
      <c r="J33" s="188"/>
      <c r="K33" s="188">
        <f t="shared" si="1"/>
        <v>929500</v>
      </c>
      <c r="L33" s="183">
        <f>E33-K33</f>
        <v>0</v>
      </c>
    </row>
    <row r="34" spans="1:16132" x14ac:dyDescent="0.35">
      <c r="A34" s="42" t="s">
        <v>89</v>
      </c>
      <c r="B34" s="112" t="s">
        <v>212</v>
      </c>
      <c r="C34" s="42" t="s">
        <v>183</v>
      </c>
      <c r="D34" s="29">
        <v>4500</v>
      </c>
      <c r="E34" s="38">
        <f t="shared" si="2"/>
        <v>292500</v>
      </c>
      <c r="F34" s="22"/>
      <c r="G34" s="188"/>
      <c r="H34" s="188">
        <f>E34</f>
        <v>292500</v>
      </c>
      <c r="I34" s="188"/>
      <c r="J34" s="188"/>
      <c r="K34" s="188">
        <f t="shared" si="1"/>
        <v>292500</v>
      </c>
      <c r="L34" s="183">
        <f>E34-K34</f>
        <v>0</v>
      </c>
    </row>
    <row r="35" spans="1:16132" x14ac:dyDescent="0.35">
      <c r="A35" s="42" t="s">
        <v>89</v>
      </c>
      <c r="B35" s="112" t="s">
        <v>1</v>
      </c>
      <c r="C35" s="42" t="s">
        <v>217</v>
      </c>
      <c r="D35" s="83" t="s">
        <v>189</v>
      </c>
      <c r="E35" s="10">
        <f>C35*1500</f>
        <v>99000</v>
      </c>
      <c r="F35" s="22"/>
      <c r="G35" s="188"/>
      <c r="H35" s="188"/>
      <c r="I35" s="188"/>
      <c r="J35" s="188">
        <f>E35</f>
        <v>99000</v>
      </c>
      <c r="K35" s="188">
        <f t="shared" si="1"/>
        <v>99000</v>
      </c>
      <c r="L35" s="183">
        <f>E35-K35</f>
        <v>0</v>
      </c>
    </row>
    <row r="36" spans="1:16132" x14ac:dyDescent="0.35">
      <c r="A36" s="42"/>
      <c r="B36" s="112"/>
      <c r="C36" s="42"/>
      <c r="D36" s="30">
        <f>SUM(D31:D35)</f>
        <v>26100</v>
      </c>
      <c r="E36" s="40">
        <f>SUM(E31:E35)</f>
        <v>1795500</v>
      </c>
      <c r="F36" s="22"/>
      <c r="G36" s="188"/>
      <c r="H36" s="188"/>
      <c r="I36" s="188"/>
      <c r="J36" s="188"/>
      <c r="K36" s="188"/>
      <c r="L36" s="183"/>
    </row>
    <row r="37" spans="1:16132" x14ac:dyDescent="0.35">
      <c r="A37" s="42"/>
      <c r="B37" s="112"/>
      <c r="C37" s="42"/>
      <c r="D37" s="29"/>
      <c r="E37" s="39"/>
      <c r="F37" s="22"/>
      <c r="G37" s="188"/>
      <c r="H37" s="188"/>
      <c r="I37" s="188"/>
      <c r="J37" s="188"/>
      <c r="K37" s="188"/>
      <c r="L37" s="183"/>
    </row>
    <row r="38" spans="1:16132" x14ac:dyDescent="0.35">
      <c r="A38" s="42" t="s">
        <v>91</v>
      </c>
      <c r="B38" s="112" t="s">
        <v>212</v>
      </c>
      <c r="C38" s="42" t="s">
        <v>182</v>
      </c>
      <c r="D38" s="29">
        <v>1400</v>
      </c>
      <c r="E38" s="38">
        <f t="shared" ref="E38:E39" si="3">D38*65</f>
        <v>91000</v>
      </c>
      <c r="F38" s="22"/>
      <c r="G38" s="188"/>
      <c r="H38" s="188">
        <f>E38</f>
        <v>91000</v>
      </c>
      <c r="I38" s="188"/>
      <c r="J38" s="188"/>
      <c r="K38" s="188">
        <f t="shared" si="1"/>
        <v>91000</v>
      </c>
      <c r="L38" s="183">
        <f>E38-K38</f>
        <v>0</v>
      </c>
    </row>
    <row r="39" spans="1:16132" x14ac:dyDescent="0.35">
      <c r="A39" s="42" t="s">
        <v>91</v>
      </c>
      <c r="B39" s="112" t="s">
        <v>212</v>
      </c>
      <c r="C39" s="42" t="s">
        <v>183</v>
      </c>
      <c r="D39" s="29">
        <v>500</v>
      </c>
      <c r="E39" s="38">
        <f t="shared" si="3"/>
        <v>32500</v>
      </c>
      <c r="F39" s="22"/>
      <c r="G39" s="188"/>
      <c r="H39" s="188">
        <f>+E39</f>
        <v>32500</v>
      </c>
      <c r="I39" s="188"/>
      <c r="J39" s="188"/>
      <c r="K39" s="188">
        <f t="shared" si="1"/>
        <v>32500</v>
      </c>
      <c r="L39" s="183">
        <f>E39-K39</f>
        <v>0</v>
      </c>
    </row>
    <row r="40" spans="1:16132" x14ac:dyDescent="0.35">
      <c r="A40" s="42" t="s">
        <v>91</v>
      </c>
      <c r="B40" s="112" t="s">
        <v>1</v>
      </c>
      <c r="C40" s="42" t="s">
        <v>218</v>
      </c>
      <c r="D40" s="83" t="s">
        <v>189</v>
      </c>
      <c r="E40" s="10">
        <f>C40*1500</f>
        <v>27000</v>
      </c>
      <c r="F40" s="22"/>
      <c r="G40" s="188"/>
      <c r="H40" s="188"/>
      <c r="I40" s="188"/>
      <c r="J40" s="188">
        <f>E40</f>
        <v>27000</v>
      </c>
      <c r="K40" s="188">
        <f t="shared" si="1"/>
        <v>27000</v>
      </c>
      <c r="L40" s="183">
        <f>E40-K40</f>
        <v>0</v>
      </c>
    </row>
    <row r="41" spans="1:16132" x14ac:dyDescent="0.35">
      <c r="A41" s="42"/>
      <c r="B41" s="112"/>
      <c r="C41" s="42"/>
      <c r="D41" s="30">
        <f>SUM(D38:D39)</f>
        <v>1900</v>
      </c>
      <c r="E41" s="40">
        <f>SUM(E38:E40)</f>
        <v>150500</v>
      </c>
      <c r="F41" s="22"/>
      <c r="G41" s="188"/>
      <c r="H41" s="188"/>
      <c r="I41" s="188"/>
      <c r="J41" s="188"/>
      <c r="K41" s="188"/>
      <c r="L41" s="183"/>
    </row>
    <row r="42" spans="1:16132" x14ac:dyDescent="0.35">
      <c r="A42" s="42"/>
      <c r="B42" s="112"/>
      <c r="C42" s="42"/>
      <c r="D42" s="29"/>
      <c r="E42" s="39"/>
      <c r="F42" s="22"/>
      <c r="G42" s="188"/>
      <c r="H42" s="188"/>
      <c r="I42" s="188"/>
      <c r="J42" s="188"/>
      <c r="K42" s="188"/>
      <c r="L42" s="183"/>
    </row>
    <row r="43" spans="1:16132" x14ac:dyDescent="0.35">
      <c r="A43" s="42" t="s">
        <v>88</v>
      </c>
      <c r="B43" s="112" t="s">
        <v>212</v>
      </c>
      <c r="C43" s="42" t="s">
        <v>183</v>
      </c>
      <c r="D43" s="29">
        <v>408</v>
      </c>
      <c r="E43" s="38">
        <f t="shared" ref="E43" si="4">D43*65</f>
        <v>26520</v>
      </c>
      <c r="F43" s="22"/>
      <c r="G43" s="188"/>
      <c r="H43" s="188">
        <f>E43</f>
        <v>26520</v>
      </c>
      <c r="I43" s="188"/>
      <c r="J43" s="188"/>
      <c r="K43" s="188">
        <f t="shared" si="1"/>
        <v>26520</v>
      </c>
      <c r="L43" s="183">
        <f>E43-K43</f>
        <v>0</v>
      </c>
    </row>
    <row r="44" spans="1:16132" x14ac:dyDescent="0.35">
      <c r="A44" s="42" t="s">
        <v>88</v>
      </c>
      <c r="B44" s="112" t="s">
        <v>1</v>
      </c>
      <c r="C44" s="42" t="s">
        <v>201</v>
      </c>
      <c r="D44" s="83" t="s">
        <v>185</v>
      </c>
      <c r="E44" s="10">
        <f>C44*1500</f>
        <v>1500</v>
      </c>
      <c r="F44" s="22"/>
      <c r="G44" s="188"/>
      <c r="H44" s="188"/>
      <c r="I44" s="188"/>
      <c r="J44" s="188">
        <f>E44</f>
        <v>1500</v>
      </c>
      <c r="K44" s="188">
        <f t="shared" si="1"/>
        <v>1500</v>
      </c>
      <c r="L44" s="183">
        <f>E44-K44</f>
        <v>0</v>
      </c>
    </row>
    <row r="45" spans="1:16132" x14ac:dyDescent="0.35">
      <c r="A45" s="42"/>
      <c r="B45" s="112"/>
      <c r="C45" s="42"/>
      <c r="D45" s="30">
        <f>SUM(D43)</f>
        <v>408</v>
      </c>
      <c r="E45" s="40">
        <f>SUM(E43:E44)</f>
        <v>28020</v>
      </c>
      <c r="F45" s="22"/>
      <c r="G45" s="188"/>
      <c r="H45" s="188"/>
      <c r="I45" s="188"/>
      <c r="J45" s="188"/>
      <c r="K45" s="188"/>
      <c r="L45" s="183"/>
    </row>
    <row r="46" spans="1:16132" x14ac:dyDescent="0.35">
      <c r="A46" s="42"/>
      <c r="B46" s="112"/>
      <c r="C46" s="42"/>
      <c r="D46" s="29"/>
      <c r="E46" s="38"/>
      <c r="F46" s="22"/>
      <c r="G46" s="188"/>
      <c r="H46" s="188"/>
      <c r="I46" s="188"/>
      <c r="J46" s="188"/>
      <c r="K46" s="188"/>
      <c r="L46" s="183"/>
    </row>
    <row r="47" spans="1:16132" x14ac:dyDescent="0.35">
      <c r="A47" s="42"/>
      <c r="B47" s="112"/>
      <c r="C47" s="42"/>
      <c r="D47" s="29"/>
      <c r="E47" s="38"/>
      <c r="F47" s="22"/>
      <c r="G47" s="188"/>
      <c r="H47" s="188"/>
      <c r="I47" s="188"/>
      <c r="J47" s="188"/>
      <c r="K47" s="188">
        <f t="shared" si="1"/>
        <v>0</v>
      </c>
      <c r="L47" s="183">
        <f t="shared" ref="L47:L52" si="5">E47-K47</f>
        <v>0</v>
      </c>
    </row>
    <row r="48" spans="1:16132" s="26" customFormat="1" x14ac:dyDescent="0.35">
      <c r="A48" s="42" t="s">
        <v>116</v>
      </c>
      <c r="B48" s="112" t="s">
        <v>212</v>
      </c>
      <c r="C48" s="42" t="s">
        <v>219</v>
      </c>
      <c r="D48" s="29">
        <v>275</v>
      </c>
      <c r="E48" s="38">
        <f t="shared" ref="E48:E51" si="6">D48*65</f>
        <v>17875</v>
      </c>
      <c r="F48" s="22"/>
      <c r="G48" s="188"/>
      <c r="H48" s="188">
        <f>E48</f>
        <v>17875</v>
      </c>
      <c r="I48" s="188"/>
      <c r="J48" s="188"/>
      <c r="K48" s="188">
        <f t="shared" si="1"/>
        <v>17875</v>
      </c>
      <c r="L48" s="183">
        <f t="shared" si="5"/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</row>
    <row r="49" spans="1:16132" s="26" customFormat="1" x14ac:dyDescent="0.35">
      <c r="A49" s="42" t="s">
        <v>116</v>
      </c>
      <c r="B49" s="112" t="s">
        <v>212</v>
      </c>
      <c r="C49" s="42" t="s">
        <v>220</v>
      </c>
      <c r="D49" s="29">
        <v>100</v>
      </c>
      <c r="E49" s="38">
        <f t="shared" si="6"/>
        <v>6500</v>
      </c>
      <c r="F49" s="22"/>
      <c r="G49" s="186"/>
      <c r="H49" s="186">
        <f>E49</f>
        <v>6500</v>
      </c>
      <c r="I49" s="186"/>
      <c r="J49" s="186"/>
      <c r="K49" s="188">
        <f t="shared" si="1"/>
        <v>6500</v>
      </c>
      <c r="L49" s="183">
        <f t="shared" si="5"/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</row>
    <row r="50" spans="1:16132" s="26" customFormat="1" x14ac:dyDescent="0.35">
      <c r="A50" s="42" t="s">
        <v>116</v>
      </c>
      <c r="B50" s="112" t="s">
        <v>212</v>
      </c>
      <c r="C50" s="42" t="s">
        <v>182</v>
      </c>
      <c r="D50" s="29">
        <v>8078</v>
      </c>
      <c r="E50" s="38">
        <f t="shared" si="6"/>
        <v>525070</v>
      </c>
      <c r="F50" s="22"/>
      <c r="G50" s="186"/>
      <c r="H50" s="186">
        <f>E50</f>
        <v>525070</v>
      </c>
      <c r="I50" s="186"/>
      <c r="J50" s="186"/>
      <c r="K50" s="188">
        <f t="shared" si="1"/>
        <v>525070</v>
      </c>
      <c r="L50" s="183">
        <f t="shared" si="5"/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</row>
    <row r="51" spans="1:16132" s="26" customFormat="1" x14ac:dyDescent="0.35">
      <c r="A51" s="42" t="s">
        <v>116</v>
      </c>
      <c r="B51" s="112" t="s">
        <v>212</v>
      </c>
      <c r="C51" s="42" t="s">
        <v>183</v>
      </c>
      <c r="D51" s="142">
        <v>741</v>
      </c>
      <c r="E51" s="38">
        <f t="shared" si="6"/>
        <v>48165</v>
      </c>
      <c r="F51" s="22"/>
      <c r="G51" s="186"/>
      <c r="H51" s="186">
        <f>E51</f>
        <v>48165</v>
      </c>
      <c r="I51" s="186"/>
      <c r="J51" s="186"/>
      <c r="K51" s="188">
        <f t="shared" si="1"/>
        <v>48165</v>
      </c>
      <c r="L51" s="183">
        <f t="shared" si="5"/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</row>
    <row r="52" spans="1:16132" s="26" customFormat="1" x14ac:dyDescent="0.35">
      <c r="A52" s="42" t="s">
        <v>116</v>
      </c>
      <c r="B52" s="112" t="s">
        <v>1</v>
      </c>
      <c r="C52" s="42" t="s">
        <v>221</v>
      </c>
      <c r="D52" s="83" t="s">
        <v>185</v>
      </c>
      <c r="E52" s="10">
        <f>C52*1500</f>
        <v>15000</v>
      </c>
      <c r="F52" s="22"/>
      <c r="G52" s="186"/>
      <c r="H52" s="186"/>
      <c r="I52" s="186"/>
      <c r="J52" s="186">
        <f>E52</f>
        <v>15000</v>
      </c>
      <c r="K52" s="188">
        <f t="shared" si="1"/>
        <v>15000</v>
      </c>
      <c r="L52" s="183">
        <f t="shared" si="5"/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</row>
    <row r="53" spans="1:16132" x14ac:dyDescent="0.35">
      <c r="A53" s="42"/>
      <c r="B53" s="112"/>
      <c r="C53" s="42"/>
      <c r="D53" s="30">
        <f>SUM(D48:D51)</f>
        <v>9194</v>
      </c>
      <c r="E53" s="40">
        <f>SUM(E48:E52)</f>
        <v>612610</v>
      </c>
      <c r="F53" s="22"/>
      <c r="L53" s="183"/>
    </row>
    <row r="54" spans="1:16132" x14ac:dyDescent="0.35">
      <c r="A54" s="42"/>
      <c r="B54" s="112"/>
      <c r="C54" s="42"/>
      <c r="D54" s="29"/>
      <c r="E54" s="38"/>
      <c r="F54" s="22"/>
    </row>
    <row r="55" spans="1:16132" x14ac:dyDescent="0.35">
      <c r="B55" s="24" t="s">
        <v>60</v>
      </c>
      <c r="D55" s="9"/>
      <c r="E55" s="41"/>
      <c r="F55" s="22"/>
    </row>
    <row r="56" spans="1:16132" x14ac:dyDescent="0.35">
      <c r="D56" s="115">
        <f>SUM(D14+D18+D24+D29+D36+D41+D45+D53)</f>
        <v>94243</v>
      </c>
      <c r="E56" s="120">
        <f>SUM(E14+E18+E24+E29+E36+E41+E45+E53+E8)</f>
        <v>7121295</v>
      </c>
      <c r="F56" s="22"/>
      <c r="G56" s="189">
        <f>SUM(G7:G55)</f>
        <v>340000</v>
      </c>
      <c r="H56" s="189">
        <f t="shared" ref="H56:L56" si="7">SUM(H7:H55)</f>
        <v>6125795</v>
      </c>
      <c r="I56" s="189">
        <f t="shared" si="7"/>
        <v>0</v>
      </c>
      <c r="J56" s="189">
        <f t="shared" si="7"/>
        <v>655500</v>
      </c>
      <c r="K56" s="189">
        <f t="shared" si="7"/>
        <v>7121295</v>
      </c>
      <c r="L56" s="184">
        <f t="shared" si="7"/>
        <v>0</v>
      </c>
    </row>
    <row r="57" spans="1:16132" x14ac:dyDescent="0.35">
      <c r="A57" s="8" t="s">
        <v>72</v>
      </c>
      <c r="D57" s="26"/>
      <c r="F57" s="22"/>
    </row>
    <row r="58" spans="1:16132" x14ac:dyDescent="0.35">
      <c r="A58" s="8" t="s">
        <v>150</v>
      </c>
      <c r="D58" s="28"/>
      <c r="F58" s="22"/>
    </row>
    <row r="59" spans="1:16132" x14ac:dyDescent="0.35">
      <c r="A59" s="8" t="s">
        <v>149</v>
      </c>
      <c r="F59" s="22"/>
    </row>
    <row r="60" spans="1:16132" x14ac:dyDescent="0.35">
      <c r="A60" s="8" t="s">
        <v>166</v>
      </c>
      <c r="F60" s="22"/>
    </row>
    <row r="61" spans="1:16132" x14ac:dyDescent="0.35">
      <c r="F61" s="22"/>
    </row>
    <row r="62" spans="1:16132" x14ac:dyDescent="0.35">
      <c r="F62" s="22"/>
    </row>
    <row r="63" spans="1:16132" x14ac:dyDescent="0.35">
      <c r="F63" s="22"/>
    </row>
    <row r="64" spans="1:16132" x14ac:dyDescent="0.35">
      <c r="F64" s="22"/>
    </row>
    <row r="65" spans="6:6" x14ac:dyDescent="0.35">
      <c r="F65" s="22"/>
    </row>
    <row r="66" spans="6:6" x14ac:dyDescent="0.35">
      <c r="F66" s="22"/>
    </row>
    <row r="67" spans="6:6" x14ac:dyDescent="0.35">
      <c r="F67" s="22"/>
    </row>
    <row r="68" spans="6:6" x14ac:dyDescent="0.35">
      <c r="F68" s="22"/>
    </row>
    <row r="69" spans="6:6" x14ac:dyDescent="0.35">
      <c r="F69" s="22"/>
    </row>
    <row r="70" spans="6:6" x14ac:dyDescent="0.35">
      <c r="F70" s="22"/>
    </row>
    <row r="71" spans="6:6" x14ac:dyDescent="0.35">
      <c r="F71" s="22"/>
    </row>
    <row r="72" spans="6:6" x14ac:dyDescent="0.35">
      <c r="F72" s="22"/>
    </row>
    <row r="73" spans="6:6" x14ac:dyDescent="0.35">
      <c r="F73" s="22"/>
    </row>
    <row r="74" spans="6:6" x14ac:dyDescent="0.35">
      <c r="F74" s="22"/>
    </row>
    <row r="75" spans="6:6" x14ac:dyDescent="0.35">
      <c r="F75" s="22"/>
    </row>
    <row r="76" spans="6:6" x14ac:dyDescent="0.35">
      <c r="F76" s="22"/>
    </row>
    <row r="77" spans="6:6" x14ac:dyDescent="0.35">
      <c r="F77" s="22"/>
    </row>
    <row r="78" spans="6:6" x14ac:dyDescent="0.35">
      <c r="F78" s="22"/>
    </row>
    <row r="79" spans="6:6" x14ac:dyDescent="0.35">
      <c r="F79" s="22"/>
    </row>
    <row r="80" spans="6:6" x14ac:dyDescent="0.35">
      <c r="F80" s="22"/>
    </row>
    <row r="81" spans="6:6" x14ac:dyDescent="0.35">
      <c r="F81" s="22"/>
    </row>
    <row r="82" spans="6:6" x14ac:dyDescent="0.35">
      <c r="F82" s="22"/>
    </row>
    <row r="83" spans="6:6" x14ac:dyDescent="0.35">
      <c r="F83" s="22"/>
    </row>
    <row r="84" spans="6:6" x14ac:dyDescent="0.35">
      <c r="F84" s="22"/>
    </row>
    <row r="85" spans="6:6" x14ac:dyDescent="0.35">
      <c r="F85" s="22"/>
    </row>
    <row r="86" spans="6:6" x14ac:dyDescent="0.35">
      <c r="F86" s="22"/>
    </row>
    <row r="87" spans="6:6" x14ac:dyDescent="0.35">
      <c r="F87" s="22"/>
    </row>
    <row r="88" spans="6:6" x14ac:dyDescent="0.35">
      <c r="F88" s="22"/>
    </row>
  </sheetData>
  <pageMargins left="0.7" right="0.7" top="0.75" bottom="0.75" header="0.3" footer="0.3"/>
  <pageSetup scale="62" pageOrder="overThenDown" orientation="portrait" r:id="rId1"/>
  <headerFooter>
    <oddHeader>&amp;R 2024 Schedule IV
Page &amp;P of &amp;N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P158"/>
  <sheetViews>
    <sheetView workbookViewId="0">
      <pane ySplit="4" topLeftCell="A142" activePane="bottomLeft" state="frozen"/>
      <selection pane="bottomLeft" activeCell="B2" sqref="B2"/>
    </sheetView>
  </sheetViews>
  <sheetFormatPr defaultColWidth="9.1796875" defaultRowHeight="14.5" x14ac:dyDescent="0.35"/>
  <cols>
    <col min="1" max="1" width="40.453125" bestFit="1" customWidth="1"/>
    <col min="2" max="2" width="11" bestFit="1" customWidth="1"/>
    <col min="3" max="3" width="14.1796875" bestFit="1" customWidth="1"/>
  </cols>
  <sheetData>
    <row r="1" spans="1:68" x14ac:dyDescent="0.35">
      <c r="A1" s="44" t="s">
        <v>47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</row>
    <row r="2" spans="1:68" x14ac:dyDescent="0.35">
      <c r="A2" s="44" t="s">
        <v>179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1:68" x14ac:dyDescent="0.35">
      <c r="A3" s="45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</row>
    <row r="4" spans="1:68" ht="15.5" x14ac:dyDescent="0.35">
      <c r="A4" s="46" t="s">
        <v>111</v>
      </c>
      <c r="B4" s="32" t="s">
        <v>60</v>
      </c>
      <c r="C4" s="33" t="s">
        <v>112</v>
      </c>
      <c r="D4" s="33">
        <v>1956</v>
      </c>
      <c r="E4" s="33">
        <v>1957</v>
      </c>
      <c r="F4" s="33">
        <v>1958</v>
      </c>
      <c r="G4" s="33">
        <v>1959</v>
      </c>
      <c r="H4" s="33">
        <v>1960</v>
      </c>
      <c r="I4" s="33">
        <v>1961</v>
      </c>
      <c r="J4" s="33">
        <v>1962</v>
      </c>
      <c r="K4" s="33">
        <v>1963</v>
      </c>
      <c r="L4" s="33">
        <v>1964</v>
      </c>
      <c r="M4" s="33">
        <v>1965</v>
      </c>
      <c r="N4" s="33">
        <v>1966</v>
      </c>
      <c r="O4" s="33">
        <v>1967</v>
      </c>
      <c r="P4" s="33">
        <v>1968</v>
      </c>
      <c r="Q4" s="33">
        <v>1969</v>
      </c>
      <c r="R4" s="33">
        <v>1970</v>
      </c>
      <c r="S4" s="33">
        <v>1971</v>
      </c>
      <c r="T4" s="33">
        <v>1972</v>
      </c>
      <c r="U4" s="33">
        <v>1973</v>
      </c>
      <c r="V4" s="33">
        <v>1974</v>
      </c>
      <c r="W4" s="33">
        <v>1975</v>
      </c>
      <c r="X4" s="33">
        <v>1976</v>
      </c>
      <c r="Y4" s="33">
        <v>1977</v>
      </c>
      <c r="Z4" s="33">
        <v>1978</v>
      </c>
      <c r="AA4" s="33">
        <v>1979</v>
      </c>
      <c r="AB4" s="33">
        <v>1980</v>
      </c>
      <c r="AC4" s="33">
        <v>1981</v>
      </c>
      <c r="AD4" s="33">
        <v>1982</v>
      </c>
      <c r="AE4" s="33">
        <v>1983</v>
      </c>
      <c r="AF4" s="33">
        <v>1984</v>
      </c>
      <c r="AG4" s="33">
        <v>1985</v>
      </c>
      <c r="AH4" s="33">
        <v>1986</v>
      </c>
      <c r="AI4" s="33">
        <v>1987</v>
      </c>
      <c r="AJ4" s="33">
        <v>1988</v>
      </c>
      <c r="AK4" s="33">
        <v>1989</v>
      </c>
      <c r="AL4" s="33">
        <v>1990</v>
      </c>
      <c r="AM4" s="33">
        <v>1991</v>
      </c>
      <c r="AN4" s="33">
        <v>1992</v>
      </c>
      <c r="AO4" s="33">
        <v>1993</v>
      </c>
      <c r="AP4" s="33">
        <v>1994</v>
      </c>
      <c r="AQ4" s="33">
        <v>1995</v>
      </c>
      <c r="AR4" s="33">
        <v>1996</v>
      </c>
      <c r="AS4" s="33">
        <v>1997</v>
      </c>
      <c r="AT4" s="33">
        <v>1998</v>
      </c>
      <c r="AU4" s="33">
        <v>1999</v>
      </c>
      <c r="AV4" s="33">
        <v>2000</v>
      </c>
      <c r="AW4" s="33">
        <v>2001</v>
      </c>
      <c r="AX4" s="33">
        <v>2002</v>
      </c>
      <c r="AY4" s="33">
        <v>2003</v>
      </c>
      <c r="AZ4" s="33">
        <v>2004</v>
      </c>
      <c r="BA4" s="33">
        <v>2005</v>
      </c>
      <c r="BB4" s="33">
        <v>2006</v>
      </c>
      <c r="BC4" s="33">
        <v>2007</v>
      </c>
      <c r="BD4" s="33">
        <v>2008</v>
      </c>
      <c r="BE4" s="33">
        <v>2009</v>
      </c>
      <c r="BF4" s="33">
        <v>2010</v>
      </c>
      <c r="BG4" s="33">
        <v>2011</v>
      </c>
      <c r="BH4" s="33">
        <v>2012</v>
      </c>
      <c r="BI4" s="33">
        <v>2013</v>
      </c>
      <c r="BJ4" s="33">
        <v>2014</v>
      </c>
      <c r="BK4" s="33">
        <v>2015</v>
      </c>
      <c r="BL4" s="33">
        <v>2016</v>
      </c>
      <c r="BM4" s="33">
        <v>2017</v>
      </c>
      <c r="BN4" s="33">
        <v>2018</v>
      </c>
      <c r="BO4" s="33">
        <v>2019</v>
      </c>
      <c r="BP4" s="33">
        <v>2020</v>
      </c>
    </row>
    <row r="5" spans="1:68" x14ac:dyDescent="0.35">
      <c r="A5" s="47" t="s">
        <v>86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</row>
    <row r="6" spans="1:68" x14ac:dyDescent="0.35">
      <c r="A6" t="s">
        <v>222</v>
      </c>
      <c r="B6" s="37">
        <f t="shared" ref="B6:B18" si="0">SUM(C6:BP6)</f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</row>
    <row r="7" spans="1:68" x14ac:dyDescent="0.35">
      <c r="A7" t="s">
        <v>223</v>
      </c>
      <c r="B7" s="37">
        <f t="shared" si="0"/>
        <v>2695</v>
      </c>
      <c r="C7" s="35">
        <v>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307</v>
      </c>
      <c r="Q7" s="35">
        <v>608</v>
      </c>
      <c r="R7" s="35">
        <v>206</v>
      </c>
      <c r="S7" s="35">
        <v>200</v>
      </c>
      <c r="T7" s="35">
        <v>168</v>
      </c>
      <c r="U7" s="35"/>
      <c r="V7" s="35"/>
      <c r="W7" s="35">
        <v>60</v>
      </c>
      <c r="X7" s="35">
        <v>110</v>
      </c>
      <c r="Y7" s="35"/>
      <c r="Z7" s="35">
        <v>52</v>
      </c>
      <c r="AA7" s="35"/>
      <c r="AB7" s="35">
        <v>446</v>
      </c>
      <c r="AC7" s="35">
        <v>446</v>
      </c>
      <c r="AD7" s="35">
        <v>87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</row>
    <row r="8" spans="1:68" x14ac:dyDescent="0.35">
      <c r="A8" t="s">
        <v>99</v>
      </c>
      <c r="B8" s="37">
        <f t="shared" si="0"/>
        <v>93</v>
      </c>
      <c r="C8" s="35">
        <v>93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1:68" x14ac:dyDescent="0.35">
      <c r="A9" t="s">
        <v>224</v>
      </c>
      <c r="B9" s="37">
        <f t="shared" si="0"/>
        <v>268</v>
      </c>
      <c r="C9" s="35"/>
      <c r="D9" s="35"/>
      <c r="E9" s="35"/>
      <c r="F9" s="35"/>
      <c r="G9" s="35"/>
      <c r="H9" s="35"/>
      <c r="I9" s="35"/>
      <c r="J9" s="35"/>
      <c r="K9" s="35">
        <v>42</v>
      </c>
      <c r="L9" s="35">
        <v>127</v>
      </c>
      <c r="M9" s="35">
        <v>45</v>
      </c>
      <c r="N9" s="35"/>
      <c r="O9" s="35"/>
      <c r="P9" s="35"/>
      <c r="Q9" s="35"/>
      <c r="R9" s="35"/>
      <c r="S9" s="35"/>
      <c r="T9" s="35">
        <v>54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</row>
    <row r="10" spans="1:68" x14ac:dyDescent="0.35">
      <c r="A10" t="s">
        <v>225</v>
      </c>
      <c r="B10" s="37">
        <f t="shared" si="0"/>
        <v>2953</v>
      </c>
      <c r="C10" s="35">
        <v>707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>
        <v>76</v>
      </c>
      <c r="S10" s="35">
        <v>295</v>
      </c>
      <c r="T10" s="35">
        <v>265</v>
      </c>
      <c r="U10" s="35">
        <v>183</v>
      </c>
      <c r="V10" s="35">
        <v>197</v>
      </c>
      <c r="W10" s="35">
        <v>519</v>
      </c>
      <c r="X10" s="35">
        <v>48</v>
      </c>
      <c r="Y10" s="35">
        <v>32</v>
      </c>
      <c r="Z10" s="35"/>
      <c r="AA10" s="35">
        <v>226</v>
      </c>
      <c r="AB10" s="35">
        <v>317</v>
      </c>
      <c r="AC10" s="35">
        <v>88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</row>
    <row r="11" spans="1:68" x14ac:dyDescent="0.35">
      <c r="A11" t="s">
        <v>226</v>
      </c>
      <c r="B11" s="37">
        <f t="shared" si="0"/>
        <v>356</v>
      </c>
      <c r="C11" s="35">
        <v>127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v>45</v>
      </c>
      <c r="U11" s="35"/>
      <c r="V11" s="35">
        <v>98</v>
      </c>
      <c r="W11" s="35"/>
      <c r="X11" s="35">
        <v>86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  <row r="12" spans="1:68" x14ac:dyDescent="0.35">
      <c r="A12" t="s">
        <v>227</v>
      </c>
      <c r="B12" s="37">
        <f t="shared" si="0"/>
        <v>3211</v>
      </c>
      <c r="C12" s="35">
        <v>3211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</row>
    <row r="13" spans="1:68" x14ac:dyDescent="0.35">
      <c r="A13" t="s">
        <v>100</v>
      </c>
      <c r="B13" s="37">
        <f t="shared" si="0"/>
        <v>231</v>
      </c>
      <c r="C13" s="35">
        <v>158</v>
      </c>
      <c r="D13" s="35"/>
      <c r="E13" s="35"/>
      <c r="F13" s="35"/>
      <c r="G13" s="35"/>
      <c r="H13" s="35"/>
      <c r="I13" s="35"/>
      <c r="J13" s="35"/>
      <c r="K13" s="35"/>
      <c r="L13" s="35"/>
      <c r="M13" s="35">
        <v>73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1:68" x14ac:dyDescent="0.35">
      <c r="A14" t="s">
        <v>228</v>
      </c>
      <c r="B14" s="37">
        <f t="shared" si="0"/>
        <v>1101</v>
      </c>
      <c r="C14" s="35"/>
      <c r="D14" s="35"/>
      <c r="E14" s="35"/>
      <c r="F14" s="35"/>
      <c r="G14" s="35"/>
      <c r="H14" s="35"/>
      <c r="I14" s="35"/>
      <c r="J14" s="35"/>
      <c r="K14" s="35">
        <v>794</v>
      </c>
      <c r="L14" s="35"/>
      <c r="M14" s="35"/>
      <c r="N14" s="35"/>
      <c r="O14" s="35"/>
      <c r="P14" s="35"/>
      <c r="Q14" s="35"/>
      <c r="R14" s="35">
        <v>50</v>
      </c>
      <c r="S14" s="35">
        <v>205</v>
      </c>
      <c r="T14" s="35"/>
      <c r="U14" s="35"/>
      <c r="V14" s="35"/>
      <c r="W14" s="35"/>
      <c r="X14" s="35"/>
      <c r="Y14" s="35"/>
      <c r="Z14" s="35">
        <v>52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</row>
    <row r="15" spans="1:68" x14ac:dyDescent="0.35">
      <c r="A15" t="s">
        <v>229</v>
      </c>
      <c r="B15" s="37">
        <f t="shared" si="0"/>
        <v>116385</v>
      </c>
      <c r="C15" s="35">
        <v>8008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v>13155</v>
      </c>
      <c r="Q15" s="35">
        <v>49017</v>
      </c>
      <c r="R15" s="35">
        <v>12126</v>
      </c>
      <c r="S15" s="35">
        <v>4695</v>
      </c>
      <c r="T15" s="35">
        <v>4589</v>
      </c>
      <c r="U15" s="35">
        <v>1087</v>
      </c>
      <c r="V15" s="35">
        <v>2450</v>
      </c>
      <c r="W15" s="35">
        <v>250</v>
      </c>
      <c r="X15" s="35">
        <v>1098</v>
      </c>
      <c r="Y15" s="35">
        <v>333</v>
      </c>
      <c r="Z15" s="35">
        <v>3421</v>
      </c>
      <c r="AA15" s="35">
        <v>750</v>
      </c>
      <c r="AB15" s="35">
        <v>7498</v>
      </c>
      <c r="AC15" s="35">
        <v>4083</v>
      </c>
      <c r="AD15" s="35">
        <v>3825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1:68" x14ac:dyDescent="0.35">
      <c r="A16" t="s">
        <v>230</v>
      </c>
      <c r="B16" s="37">
        <f t="shared" si="0"/>
        <v>5058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v>5058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</row>
    <row r="17" spans="1:68" x14ac:dyDescent="0.35">
      <c r="A17" t="s">
        <v>101</v>
      </c>
      <c r="B17" s="37">
        <f t="shared" si="0"/>
        <v>210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>
        <v>210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</row>
    <row r="18" spans="1:68" x14ac:dyDescent="0.35">
      <c r="A18" t="s">
        <v>231</v>
      </c>
      <c r="B18" s="37">
        <f t="shared" si="0"/>
        <v>360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>
        <v>360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</row>
    <row r="19" spans="1:68" x14ac:dyDescent="0.35">
      <c r="A19" s="48" t="s">
        <v>114</v>
      </c>
      <c r="B19" s="36">
        <f t="shared" ref="B19:BM19" si="1">SUM(B6:B18)</f>
        <v>132921</v>
      </c>
      <c r="C19" s="36">
        <f t="shared" si="1"/>
        <v>12309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836</v>
      </c>
      <c r="L19" s="36">
        <f t="shared" si="1"/>
        <v>127</v>
      </c>
      <c r="M19" s="36">
        <f t="shared" si="1"/>
        <v>118</v>
      </c>
      <c r="N19" s="36">
        <f t="shared" si="1"/>
        <v>0</v>
      </c>
      <c r="O19" s="36">
        <f t="shared" si="1"/>
        <v>0</v>
      </c>
      <c r="P19" s="36">
        <f t="shared" si="1"/>
        <v>13462</v>
      </c>
      <c r="Q19" s="36">
        <f t="shared" si="1"/>
        <v>49625</v>
      </c>
      <c r="R19" s="36">
        <f t="shared" si="1"/>
        <v>17516</v>
      </c>
      <c r="S19" s="36">
        <f t="shared" si="1"/>
        <v>5755</v>
      </c>
      <c r="T19" s="36">
        <f t="shared" si="1"/>
        <v>5121</v>
      </c>
      <c r="U19" s="36">
        <f t="shared" si="1"/>
        <v>1270</v>
      </c>
      <c r="V19" s="36">
        <f t="shared" si="1"/>
        <v>2745</v>
      </c>
      <c r="W19" s="36">
        <f t="shared" si="1"/>
        <v>829</v>
      </c>
      <c r="X19" s="36">
        <f t="shared" si="1"/>
        <v>1342</v>
      </c>
      <c r="Y19" s="36">
        <f t="shared" si="1"/>
        <v>365</v>
      </c>
      <c r="Z19" s="36">
        <f t="shared" si="1"/>
        <v>3525</v>
      </c>
      <c r="AA19" s="36">
        <f t="shared" si="1"/>
        <v>976</v>
      </c>
      <c r="AB19" s="36">
        <f t="shared" si="1"/>
        <v>8261</v>
      </c>
      <c r="AC19" s="36">
        <f t="shared" si="1"/>
        <v>4617</v>
      </c>
      <c r="AD19" s="36">
        <f t="shared" si="1"/>
        <v>3912</v>
      </c>
      <c r="AE19" s="36">
        <f t="shared" si="1"/>
        <v>210</v>
      </c>
      <c r="AF19" s="36">
        <f t="shared" si="1"/>
        <v>0</v>
      </c>
      <c r="AG19" s="36">
        <f t="shared" si="1"/>
        <v>0</v>
      </c>
      <c r="AH19" s="36">
        <f t="shared" si="1"/>
        <v>0</v>
      </c>
      <c r="AI19" s="36">
        <f t="shared" si="1"/>
        <v>0</v>
      </c>
      <c r="AJ19" s="36">
        <f t="shared" si="1"/>
        <v>0</v>
      </c>
      <c r="AK19" s="36">
        <f t="shared" si="1"/>
        <v>0</v>
      </c>
      <c r="AL19" s="36">
        <f t="shared" si="1"/>
        <v>0</v>
      </c>
      <c r="AM19" s="36">
        <f t="shared" si="1"/>
        <v>0</v>
      </c>
      <c r="AN19" s="36">
        <f t="shared" si="1"/>
        <v>0</v>
      </c>
      <c r="AO19" s="36">
        <f t="shared" si="1"/>
        <v>0</v>
      </c>
      <c r="AP19" s="36">
        <f t="shared" si="1"/>
        <v>0</v>
      </c>
      <c r="AQ19" s="36">
        <f t="shared" si="1"/>
        <v>0</v>
      </c>
      <c r="AR19" s="36">
        <f t="shared" si="1"/>
        <v>0</v>
      </c>
      <c r="AS19" s="36">
        <f t="shared" si="1"/>
        <v>0</v>
      </c>
      <c r="AT19" s="36">
        <f t="shared" si="1"/>
        <v>0</v>
      </c>
      <c r="AU19" s="36">
        <f t="shared" si="1"/>
        <v>0</v>
      </c>
      <c r="AV19" s="36">
        <f t="shared" si="1"/>
        <v>0</v>
      </c>
      <c r="AW19" s="36">
        <f t="shared" si="1"/>
        <v>0</v>
      </c>
      <c r="AX19" s="36">
        <f t="shared" si="1"/>
        <v>0</v>
      </c>
      <c r="AY19" s="36">
        <f t="shared" si="1"/>
        <v>0</v>
      </c>
      <c r="AZ19" s="36">
        <f t="shared" si="1"/>
        <v>0</v>
      </c>
      <c r="BA19" s="36">
        <f t="shared" si="1"/>
        <v>0</v>
      </c>
      <c r="BB19" s="36">
        <f t="shared" si="1"/>
        <v>0</v>
      </c>
      <c r="BC19" s="36">
        <f t="shared" si="1"/>
        <v>0</v>
      </c>
      <c r="BD19" s="36">
        <f t="shared" si="1"/>
        <v>0</v>
      </c>
      <c r="BE19" s="36">
        <f t="shared" si="1"/>
        <v>0</v>
      </c>
      <c r="BF19" s="36">
        <f t="shared" si="1"/>
        <v>0</v>
      </c>
      <c r="BG19" s="36">
        <f t="shared" si="1"/>
        <v>0</v>
      </c>
      <c r="BH19" s="36">
        <f t="shared" si="1"/>
        <v>0</v>
      </c>
      <c r="BI19" s="36">
        <f t="shared" si="1"/>
        <v>0</v>
      </c>
      <c r="BJ19" s="36">
        <f t="shared" si="1"/>
        <v>0</v>
      </c>
      <c r="BK19" s="36">
        <f t="shared" si="1"/>
        <v>0</v>
      </c>
      <c r="BL19" s="36">
        <f t="shared" si="1"/>
        <v>0</v>
      </c>
      <c r="BM19" s="36">
        <f t="shared" si="1"/>
        <v>0</v>
      </c>
      <c r="BN19" s="36">
        <f t="shared" ref="BN19:BP19" si="2">SUM(BN6:BN18)</f>
        <v>0</v>
      </c>
      <c r="BO19" s="36">
        <f t="shared" si="2"/>
        <v>0</v>
      </c>
      <c r="BP19" s="36">
        <f t="shared" si="2"/>
        <v>0</v>
      </c>
    </row>
    <row r="20" spans="1:68" x14ac:dyDescent="0.35">
      <c r="A20" s="45"/>
      <c r="B20" s="37"/>
      <c r="C20" s="12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</row>
    <row r="21" spans="1:68" x14ac:dyDescent="0.35">
      <c r="A21" s="47" t="s">
        <v>87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</row>
    <row r="22" spans="1:68" x14ac:dyDescent="0.35">
      <c r="A22" t="s">
        <v>222</v>
      </c>
      <c r="B22" s="37">
        <f t="shared" ref="B22:B28" si="3">SUM(C22:BP22)</f>
        <v>0</v>
      </c>
      <c r="C22" s="35"/>
      <c r="D22" s="35"/>
      <c r="E22" s="35"/>
      <c r="F22" s="35"/>
      <c r="G22" s="35"/>
      <c r="H22" s="35"/>
      <c r="I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</row>
    <row r="23" spans="1:68" x14ac:dyDescent="0.35">
      <c r="A23" t="s">
        <v>223</v>
      </c>
      <c r="B23" s="37">
        <f t="shared" si="3"/>
        <v>2288</v>
      </c>
      <c r="C23" s="35">
        <v>617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>
        <v>200</v>
      </c>
      <c r="Q23" s="35">
        <v>635</v>
      </c>
      <c r="R23" s="35">
        <v>206</v>
      </c>
      <c r="S23" s="35">
        <v>401</v>
      </c>
      <c r="T23" s="35"/>
      <c r="U23" s="35"/>
      <c r="V23" s="35">
        <v>48</v>
      </c>
      <c r="W23" s="35">
        <v>113</v>
      </c>
      <c r="X23" s="35"/>
      <c r="Y23" s="35"/>
      <c r="Z23" s="35"/>
      <c r="AA23" s="35">
        <v>22</v>
      </c>
      <c r="AB23" s="35">
        <v>46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</row>
    <row r="24" spans="1:68" x14ac:dyDescent="0.35">
      <c r="A24" t="s">
        <v>224</v>
      </c>
      <c r="B24" s="37">
        <f t="shared" si="3"/>
        <v>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>
        <v>39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</row>
    <row r="25" spans="1:68" x14ac:dyDescent="0.35">
      <c r="A25" t="s">
        <v>225</v>
      </c>
      <c r="B25" s="37">
        <f t="shared" si="3"/>
        <v>3648</v>
      </c>
      <c r="C25" s="35">
        <v>530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>
        <v>40</v>
      </c>
      <c r="P25" s="35"/>
      <c r="Q25" s="35"/>
      <c r="R25" s="35">
        <v>173</v>
      </c>
      <c r="S25" s="35">
        <v>106</v>
      </c>
      <c r="T25" s="35">
        <v>378</v>
      </c>
      <c r="U25" s="35">
        <v>187</v>
      </c>
      <c r="V25" s="35">
        <v>50</v>
      </c>
      <c r="W25" s="35">
        <v>1352</v>
      </c>
      <c r="X25" s="35">
        <v>53</v>
      </c>
      <c r="Y25" s="35">
        <v>109</v>
      </c>
      <c r="Z25" s="35">
        <v>91</v>
      </c>
      <c r="AA25" s="35">
        <v>412</v>
      </c>
      <c r="AB25" s="35">
        <v>167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68" x14ac:dyDescent="0.35">
      <c r="A26" t="s">
        <v>226</v>
      </c>
      <c r="B26" s="37">
        <f t="shared" si="3"/>
        <v>425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>
        <v>122</v>
      </c>
      <c r="T26" s="35">
        <v>44</v>
      </c>
      <c r="U26" s="35">
        <v>30</v>
      </c>
      <c r="V26" s="35"/>
      <c r="W26" s="35">
        <v>103</v>
      </c>
      <c r="X26" s="35">
        <v>26</v>
      </c>
      <c r="Y26" s="35"/>
      <c r="Z26" s="35">
        <v>75</v>
      </c>
      <c r="AA26" s="35"/>
      <c r="AB26" s="35"/>
      <c r="AC26" s="35"/>
      <c r="AD26" s="35">
        <v>25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27" spans="1:68" x14ac:dyDescent="0.35">
      <c r="A27" t="s">
        <v>229</v>
      </c>
      <c r="B27" s="37">
        <f t="shared" si="3"/>
        <v>137954</v>
      </c>
      <c r="C27" s="35">
        <v>3429</v>
      </c>
      <c r="D27" s="35"/>
      <c r="E27" s="35"/>
      <c r="F27" s="35"/>
      <c r="G27" s="35"/>
      <c r="H27" s="35"/>
      <c r="I27" s="35"/>
      <c r="J27" s="35"/>
      <c r="K27" s="35">
        <v>63</v>
      </c>
      <c r="L27" s="35"/>
      <c r="M27" s="35"/>
      <c r="N27" s="35"/>
      <c r="O27" s="35">
        <v>25324</v>
      </c>
      <c r="P27" s="35">
        <v>5427</v>
      </c>
      <c r="Q27" s="35">
        <v>20983</v>
      </c>
      <c r="R27" s="35">
        <v>5324</v>
      </c>
      <c r="S27" s="35">
        <v>4741</v>
      </c>
      <c r="T27" s="35">
        <v>16237</v>
      </c>
      <c r="U27" s="35">
        <v>6112</v>
      </c>
      <c r="V27" s="35">
        <v>8678</v>
      </c>
      <c r="W27" s="35">
        <v>5625</v>
      </c>
      <c r="X27" s="35">
        <v>1321</v>
      </c>
      <c r="Y27" s="35">
        <v>3348</v>
      </c>
      <c r="Z27" s="35">
        <v>3277</v>
      </c>
      <c r="AA27" s="35">
        <v>9127</v>
      </c>
      <c r="AB27" s="35">
        <v>6468</v>
      </c>
      <c r="AC27" s="35">
        <v>7900</v>
      </c>
      <c r="AD27" s="35">
        <v>4570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</row>
    <row r="28" spans="1:68" x14ac:dyDescent="0.35">
      <c r="A28" t="s">
        <v>232</v>
      </c>
      <c r="B28" s="37">
        <f t="shared" si="3"/>
        <v>11608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>
        <v>9283</v>
      </c>
      <c r="AD28" s="35">
        <v>2325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</row>
    <row r="29" spans="1:68" x14ac:dyDescent="0.35">
      <c r="A29" s="48" t="s">
        <v>115</v>
      </c>
      <c r="B29" s="156">
        <f t="shared" ref="B29:BM29" si="4">SUM(B23:B28)</f>
        <v>155962</v>
      </c>
      <c r="C29" s="156">
        <f t="shared" si="4"/>
        <v>4576</v>
      </c>
      <c r="D29" s="156">
        <f t="shared" si="4"/>
        <v>0</v>
      </c>
      <c r="E29" s="156">
        <f t="shared" si="4"/>
        <v>0</v>
      </c>
      <c r="F29" s="156">
        <f t="shared" si="4"/>
        <v>0</v>
      </c>
      <c r="G29" s="156">
        <f t="shared" si="4"/>
        <v>0</v>
      </c>
      <c r="H29" s="156">
        <f t="shared" si="4"/>
        <v>0</v>
      </c>
      <c r="I29" s="156">
        <f t="shared" si="4"/>
        <v>0</v>
      </c>
      <c r="J29" s="156">
        <f t="shared" si="4"/>
        <v>0</v>
      </c>
      <c r="K29" s="156">
        <f t="shared" si="4"/>
        <v>63</v>
      </c>
      <c r="L29" s="156">
        <f t="shared" si="4"/>
        <v>0</v>
      </c>
      <c r="M29" s="156">
        <f t="shared" si="4"/>
        <v>0</v>
      </c>
      <c r="N29" s="156">
        <f t="shared" si="4"/>
        <v>0</v>
      </c>
      <c r="O29" s="156">
        <f t="shared" si="4"/>
        <v>25364</v>
      </c>
      <c r="P29" s="156">
        <f t="shared" si="4"/>
        <v>5627</v>
      </c>
      <c r="Q29" s="156">
        <f t="shared" si="4"/>
        <v>21618</v>
      </c>
      <c r="R29" s="156">
        <f t="shared" si="4"/>
        <v>5703</v>
      </c>
      <c r="S29" s="156">
        <f t="shared" si="4"/>
        <v>5370</v>
      </c>
      <c r="T29" s="156">
        <f t="shared" si="4"/>
        <v>16659</v>
      </c>
      <c r="U29" s="156">
        <f t="shared" si="4"/>
        <v>6329</v>
      </c>
      <c r="V29" s="156">
        <f t="shared" si="4"/>
        <v>8776</v>
      </c>
      <c r="W29" s="156">
        <f t="shared" si="4"/>
        <v>7193</v>
      </c>
      <c r="X29" s="156">
        <f t="shared" si="4"/>
        <v>1400</v>
      </c>
      <c r="Y29" s="156">
        <f t="shared" si="4"/>
        <v>3457</v>
      </c>
      <c r="Z29" s="156">
        <f t="shared" si="4"/>
        <v>3443</v>
      </c>
      <c r="AA29" s="156">
        <f t="shared" si="4"/>
        <v>9561</v>
      </c>
      <c r="AB29" s="156">
        <f t="shared" si="4"/>
        <v>6681</v>
      </c>
      <c r="AC29" s="156">
        <f t="shared" si="4"/>
        <v>17183</v>
      </c>
      <c r="AD29" s="156">
        <f t="shared" si="4"/>
        <v>6920</v>
      </c>
      <c r="AE29" s="36">
        <f t="shared" si="4"/>
        <v>0</v>
      </c>
      <c r="AF29" s="36">
        <f t="shared" si="4"/>
        <v>0</v>
      </c>
      <c r="AG29" s="36">
        <f t="shared" si="4"/>
        <v>0</v>
      </c>
      <c r="AH29" s="36">
        <f t="shared" si="4"/>
        <v>0</v>
      </c>
      <c r="AI29" s="36">
        <f t="shared" si="4"/>
        <v>0</v>
      </c>
      <c r="AJ29" s="36">
        <f t="shared" si="4"/>
        <v>0</v>
      </c>
      <c r="AK29" s="36">
        <f t="shared" si="4"/>
        <v>0</v>
      </c>
      <c r="AL29" s="36">
        <f t="shared" si="4"/>
        <v>0</v>
      </c>
      <c r="AM29" s="36">
        <f t="shared" si="4"/>
        <v>0</v>
      </c>
      <c r="AN29" s="36">
        <f t="shared" si="4"/>
        <v>0</v>
      </c>
      <c r="AO29" s="36">
        <f t="shared" si="4"/>
        <v>0</v>
      </c>
      <c r="AP29" s="36">
        <f t="shared" si="4"/>
        <v>39</v>
      </c>
      <c r="AQ29" s="36">
        <f t="shared" si="4"/>
        <v>0</v>
      </c>
      <c r="AR29" s="36">
        <f t="shared" si="4"/>
        <v>0</v>
      </c>
      <c r="AS29" s="36">
        <f t="shared" si="4"/>
        <v>0</v>
      </c>
      <c r="AT29" s="36">
        <f t="shared" si="4"/>
        <v>0</v>
      </c>
      <c r="AU29" s="36">
        <f t="shared" si="4"/>
        <v>0</v>
      </c>
      <c r="AV29" s="36">
        <f t="shared" si="4"/>
        <v>0</v>
      </c>
      <c r="AW29" s="36">
        <f t="shared" si="4"/>
        <v>0</v>
      </c>
      <c r="AX29" s="36">
        <f t="shared" si="4"/>
        <v>0</v>
      </c>
      <c r="AY29" s="36">
        <f t="shared" si="4"/>
        <v>0</v>
      </c>
      <c r="AZ29" s="36">
        <f t="shared" si="4"/>
        <v>0</v>
      </c>
      <c r="BA29" s="36">
        <f t="shared" si="4"/>
        <v>0</v>
      </c>
      <c r="BB29" s="36">
        <f t="shared" si="4"/>
        <v>0</v>
      </c>
      <c r="BC29" s="36">
        <f t="shared" si="4"/>
        <v>0</v>
      </c>
      <c r="BD29" s="36">
        <f t="shared" si="4"/>
        <v>0</v>
      </c>
      <c r="BE29" s="36">
        <f t="shared" si="4"/>
        <v>0</v>
      </c>
      <c r="BF29" s="36">
        <f t="shared" si="4"/>
        <v>0</v>
      </c>
      <c r="BG29" s="36">
        <f t="shared" si="4"/>
        <v>0</v>
      </c>
      <c r="BH29" s="36">
        <f t="shared" si="4"/>
        <v>0</v>
      </c>
      <c r="BI29" s="36">
        <f t="shared" si="4"/>
        <v>0</v>
      </c>
      <c r="BJ29" s="36">
        <f t="shared" si="4"/>
        <v>0</v>
      </c>
      <c r="BK29" s="36">
        <f t="shared" si="4"/>
        <v>0</v>
      </c>
      <c r="BL29" s="36">
        <f t="shared" si="4"/>
        <v>0</v>
      </c>
      <c r="BM29" s="36">
        <f t="shared" si="4"/>
        <v>0</v>
      </c>
      <c r="BN29" s="36">
        <f t="shared" ref="BN29:BP29" si="5">SUM(BN23:BN28)</f>
        <v>0</v>
      </c>
      <c r="BO29" s="36">
        <f t="shared" si="5"/>
        <v>0</v>
      </c>
      <c r="BP29" s="36">
        <f t="shared" si="5"/>
        <v>0</v>
      </c>
    </row>
    <row r="30" spans="1:68" x14ac:dyDescent="0.35">
      <c r="A30" s="45"/>
      <c r="B30" s="37"/>
      <c r="C30" s="1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1:68" x14ac:dyDescent="0.35">
      <c r="A31" s="47" t="s">
        <v>116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</row>
    <row r="32" spans="1:68" x14ac:dyDescent="0.35">
      <c r="A32" t="s">
        <v>223</v>
      </c>
      <c r="B32" s="37">
        <f t="shared" ref="B32:B37" si="6">SUM(C32:BP32)</f>
        <v>809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86</v>
      </c>
      <c r="R32" s="35">
        <v>75</v>
      </c>
      <c r="S32" s="35"/>
      <c r="T32" s="35">
        <v>168</v>
      </c>
      <c r="U32" s="35"/>
      <c r="V32" s="35"/>
      <c r="W32" s="35"/>
      <c r="X32" s="35"/>
      <c r="Y32" s="35"/>
      <c r="Z32" s="35"/>
      <c r="AA32" s="35"/>
      <c r="AB32" s="35">
        <v>480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</row>
    <row r="33" spans="1:68" x14ac:dyDescent="0.35">
      <c r="A33" t="s">
        <v>225</v>
      </c>
      <c r="B33" s="37">
        <f t="shared" si="6"/>
        <v>924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>
        <v>94</v>
      </c>
      <c r="T33" s="35">
        <v>133</v>
      </c>
      <c r="U33" s="35"/>
      <c r="V33" s="35"/>
      <c r="W33" s="35"/>
      <c r="X33" s="35">
        <v>65</v>
      </c>
      <c r="Y33" s="35">
        <v>150</v>
      </c>
      <c r="Z33" s="35">
        <v>25</v>
      </c>
      <c r="AA33" s="35">
        <v>270</v>
      </c>
      <c r="AB33" s="35"/>
      <c r="AC33" s="35">
        <v>187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</row>
    <row r="34" spans="1:68" x14ac:dyDescent="0.35">
      <c r="A34" t="s">
        <v>226</v>
      </c>
      <c r="B34" s="37">
        <f t="shared" si="6"/>
        <v>513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>
        <v>95</v>
      </c>
      <c r="Y34" s="35">
        <v>252</v>
      </c>
      <c r="Z34" s="35"/>
      <c r="AA34" s="35">
        <v>166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1:68" x14ac:dyDescent="0.35">
      <c r="A35" t="s">
        <v>100</v>
      </c>
      <c r="B35" s="37">
        <f t="shared" si="6"/>
        <v>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</row>
    <row r="36" spans="1:68" x14ac:dyDescent="0.35">
      <c r="A36" t="s">
        <v>229</v>
      </c>
      <c r="B36" s="37">
        <f t="shared" si="6"/>
        <v>48103</v>
      </c>
      <c r="C36" s="35">
        <v>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651</v>
      </c>
      <c r="O36" s="123">
        <v>438</v>
      </c>
      <c r="P36" s="123">
        <v>739</v>
      </c>
      <c r="Q36" s="123">
        <v>459</v>
      </c>
      <c r="R36" s="123">
        <v>1148</v>
      </c>
      <c r="S36" s="123">
        <v>1300</v>
      </c>
      <c r="T36" s="123">
        <v>2282</v>
      </c>
      <c r="U36" s="123">
        <v>12194</v>
      </c>
      <c r="V36" s="123">
        <v>5171</v>
      </c>
      <c r="W36" s="123">
        <v>2417</v>
      </c>
      <c r="X36" s="123">
        <v>446</v>
      </c>
      <c r="Y36" s="123">
        <v>1171</v>
      </c>
      <c r="Z36" s="123">
        <v>1077</v>
      </c>
      <c r="AA36" s="123">
        <v>8798</v>
      </c>
      <c r="AB36" s="123">
        <v>2941</v>
      </c>
      <c r="AC36" s="123">
        <v>3119</v>
      </c>
      <c r="AD36" s="123">
        <v>3746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</row>
    <row r="37" spans="1:68" x14ac:dyDescent="0.35">
      <c r="A37" t="s">
        <v>103</v>
      </c>
      <c r="B37" s="37">
        <f t="shared" si="6"/>
        <v>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spans="1:68" x14ac:dyDescent="0.35">
      <c r="A38" s="48" t="s">
        <v>117</v>
      </c>
      <c r="B38" s="36">
        <f t="shared" ref="B38:BM38" si="7">SUM(B32:B37)</f>
        <v>50349</v>
      </c>
      <c r="C38" s="36">
        <f t="shared" si="7"/>
        <v>6</v>
      </c>
      <c r="D38" s="36">
        <f t="shared" si="7"/>
        <v>0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651</v>
      </c>
      <c r="O38" s="36">
        <f t="shared" si="7"/>
        <v>438</v>
      </c>
      <c r="P38" s="36">
        <f t="shared" si="7"/>
        <v>739</v>
      </c>
      <c r="Q38" s="36">
        <f t="shared" si="7"/>
        <v>545</v>
      </c>
      <c r="R38" s="36">
        <f t="shared" si="7"/>
        <v>1223</v>
      </c>
      <c r="S38" s="36">
        <f t="shared" si="7"/>
        <v>1394</v>
      </c>
      <c r="T38" s="36">
        <f t="shared" si="7"/>
        <v>2583</v>
      </c>
      <c r="U38" s="36">
        <f t="shared" si="7"/>
        <v>12194</v>
      </c>
      <c r="V38" s="36">
        <f t="shared" si="7"/>
        <v>5171</v>
      </c>
      <c r="W38" s="36">
        <f t="shared" si="7"/>
        <v>2417</v>
      </c>
      <c r="X38" s="36">
        <f t="shared" si="7"/>
        <v>606</v>
      </c>
      <c r="Y38" s="36">
        <f t="shared" si="7"/>
        <v>1573</v>
      </c>
      <c r="Z38" s="36">
        <f t="shared" si="7"/>
        <v>1102</v>
      </c>
      <c r="AA38" s="36">
        <f t="shared" si="7"/>
        <v>9234</v>
      </c>
      <c r="AB38" s="36">
        <f t="shared" si="7"/>
        <v>3421</v>
      </c>
      <c r="AC38" s="36">
        <f t="shared" si="7"/>
        <v>3306</v>
      </c>
      <c r="AD38" s="36">
        <f t="shared" si="7"/>
        <v>3746</v>
      </c>
      <c r="AE38" s="36">
        <f t="shared" si="7"/>
        <v>0</v>
      </c>
      <c r="AF38" s="36">
        <f t="shared" si="7"/>
        <v>0</v>
      </c>
      <c r="AG38" s="36">
        <f t="shared" si="7"/>
        <v>0</v>
      </c>
      <c r="AH38" s="36">
        <f t="shared" si="7"/>
        <v>0</v>
      </c>
      <c r="AI38" s="36">
        <f t="shared" si="7"/>
        <v>0</v>
      </c>
      <c r="AJ38" s="36">
        <f t="shared" si="7"/>
        <v>0</v>
      </c>
      <c r="AK38" s="36">
        <f t="shared" si="7"/>
        <v>0</v>
      </c>
      <c r="AL38" s="36">
        <f t="shared" si="7"/>
        <v>0</v>
      </c>
      <c r="AM38" s="36">
        <f t="shared" si="7"/>
        <v>0</v>
      </c>
      <c r="AN38" s="36">
        <f t="shared" si="7"/>
        <v>0</v>
      </c>
      <c r="AO38" s="36">
        <f t="shared" si="7"/>
        <v>0</v>
      </c>
      <c r="AP38" s="36">
        <f t="shared" si="7"/>
        <v>0</v>
      </c>
      <c r="AQ38" s="36">
        <f t="shared" si="7"/>
        <v>0</v>
      </c>
      <c r="AR38" s="36">
        <f t="shared" si="7"/>
        <v>0</v>
      </c>
      <c r="AS38" s="36">
        <f t="shared" si="7"/>
        <v>0</v>
      </c>
      <c r="AT38" s="36">
        <f t="shared" si="7"/>
        <v>0</v>
      </c>
      <c r="AU38" s="36">
        <f t="shared" si="7"/>
        <v>0</v>
      </c>
      <c r="AV38" s="36">
        <f t="shared" si="7"/>
        <v>0</v>
      </c>
      <c r="AW38" s="36">
        <f t="shared" si="7"/>
        <v>0</v>
      </c>
      <c r="AX38" s="36">
        <f t="shared" si="7"/>
        <v>0</v>
      </c>
      <c r="AY38" s="36">
        <f t="shared" si="7"/>
        <v>0</v>
      </c>
      <c r="AZ38" s="36">
        <f t="shared" si="7"/>
        <v>0</v>
      </c>
      <c r="BA38" s="36">
        <f t="shared" si="7"/>
        <v>0</v>
      </c>
      <c r="BB38" s="36">
        <f t="shared" si="7"/>
        <v>0</v>
      </c>
      <c r="BC38" s="36">
        <f t="shared" si="7"/>
        <v>0</v>
      </c>
      <c r="BD38" s="36">
        <f t="shared" si="7"/>
        <v>0</v>
      </c>
      <c r="BE38" s="36">
        <f t="shared" si="7"/>
        <v>0</v>
      </c>
      <c r="BF38" s="36">
        <f t="shared" si="7"/>
        <v>0</v>
      </c>
      <c r="BG38" s="36">
        <f t="shared" si="7"/>
        <v>0</v>
      </c>
      <c r="BH38" s="36">
        <f t="shared" si="7"/>
        <v>0</v>
      </c>
      <c r="BI38" s="36">
        <f t="shared" si="7"/>
        <v>0</v>
      </c>
      <c r="BJ38" s="36">
        <f t="shared" si="7"/>
        <v>0</v>
      </c>
      <c r="BK38" s="36">
        <f t="shared" si="7"/>
        <v>0</v>
      </c>
      <c r="BL38" s="36">
        <f t="shared" si="7"/>
        <v>0</v>
      </c>
      <c r="BM38" s="36">
        <f t="shared" si="7"/>
        <v>0</v>
      </c>
      <c r="BN38" s="36">
        <f t="shared" ref="BN38:BP38" si="8">SUM(BN32:BN37)</f>
        <v>0</v>
      </c>
      <c r="BO38" s="36">
        <f t="shared" si="8"/>
        <v>0</v>
      </c>
      <c r="BP38" s="36">
        <f t="shared" si="8"/>
        <v>0</v>
      </c>
    </row>
    <row r="39" spans="1:68" x14ac:dyDescent="0.35">
      <c r="A39" s="45"/>
      <c r="B39" s="37"/>
      <c r="C39" s="1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</row>
    <row r="40" spans="1:68" x14ac:dyDescent="0.35">
      <c r="A40" s="47" t="s">
        <v>88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</row>
    <row r="41" spans="1:68" x14ac:dyDescent="0.35">
      <c r="A41" t="s">
        <v>223</v>
      </c>
      <c r="B41" s="37">
        <f t="shared" ref="B41:B49" si="9">SUM(C41:BP41)</f>
        <v>3602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23">
        <v>232</v>
      </c>
      <c r="P41" s="123">
        <v>1434</v>
      </c>
      <c r="Q41" s="123">
        <v>740</v>
      </c>
      <c r="R41" s="123">
        <v>77</v>
      </c>
      <c r="S41" s="123"/>
      <c r="T41" s="123">
        <v>2</v>
      </c>
      <c r="U41" s="123">
        <v>166</v>
      </c>
      <c r="V41" s="123">
        <v>66</v>
      </c>
      <c r="W41" s="123">
        <v>452</v>
      </c>
      <c r="X41" s="123">
        <v>41</v>
      </c>
      <c r="Y41" s="123">
        <v>29</v>
      </c>
      <c r="Z41" s="45"/>
      <c r="AA41" s="45"/>
      <c r="AB41" s="45">
        <v>185</v>
      </c>
      <c r="AC41" s="45">
        <v>150</v>
      </c>
      <c r="AD41" s="45">
        <v>28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</row>
    <row r="42" spans="1:68" x14ac:dyDescent="0.35">
      <c r="A42" t="s">
        <v>224</v>
      </c>
      <c r="B42" s="37">
        <f t="shared" si="9"/>
        <v>83</v>
      </c>
      <c r="C42" s="45">
        <v>28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v>55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</row>
    <row r="43" spans="1:68" x14ac:dyDescent="0.35">
      <c r="A43" t="s">
        <v>225</v>
      </c>
      <c r="B43" s="37">
        <f t="shared" si="9"/>
        <v>4743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>
        <v>90</v>
      </c>
      <c r="N43" s="45"/>
      <c r="O43" s="45"/>
      <c r="P43" s="45"/>
      <c r="Q43" s="45">
        <v>32</v>
      </c>
      <c r="R43" s="45">
        <v>992</v>
      </c>
      <c r="S43" s="45">
        <v>172</v>
      </c>
      <c r="T43" s="45">
        <v>595</v>
      </c>
      <c r="U43" s="45">
        <v>308</v>
      </c>
      <c r="V43" s="45">
        <v>311</v>
      </c>
      <c r="W43" s="45">
        <v>473</v>
      </c>
      <c r="X43" s="45">
        <v>131</v>
      </c>
      <c r="Y43" s="45">
        <v>136</v>
      </c>
      <c r="Z43" s="45">
        <v>131</v>
      </c>
      <c r="AA43" s="45">
        <v>272</v>
      </c>
      <c r="AB43" s="45">
        <v>831</v>
      </c>
      <c r="AC43" s="45">
        <v>124</v>
      </c>
      <c r="AD43" s="45">
        <v>145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</row>
    <row r="44" spans="1:68" x14ac:dyDescent="0.35">
      <c r="A44" t="s">
        <v>226</v>
      </c>
      <c r="B44" s="37">
        <f t="shared" si="9"/>
        <v>406</v>
      </c>
      <c r="C44" s="45">
        <v>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>
        <v>48</v>
      </c>
      <c r="V44" s="45"/>
      <c r="W44" s="45">
        <v>350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</row>
    <row r="45" spans="1:68" x14ac:dyDescent="0.35">
      <c r="A45" t="s">
        <v>100</v>
      </c>
      <c r="B45" s="37">
        <f t="shared" si="9"/>
        <v>12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>
        <v>12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1:68" x14ac:dyDescent="0.35">
      <c r="A46" t="s">
        <v>228</v>
      </c>
      <c r="B46" s="37">
        <f t="shared" si="9"/>
        <v>1036</v>
      </c>
      <c r="C46" s="45">
        <v>44</v>
      </c>
      <c r="D46" s="45"/>
      <c r="E46" s="45"/>
      <c r="F46" s="45"/>
      <c r="G46" s="45"/>
      <c r="H46" s="45"/>
      <c r="I46" s="45"/>
      <c r="J46" s="45"/>
      <c r="K46" s="45"/>
      <c r="L46" s="45">
        <v>487</v>
      </c>
      <c r="M46" s="45">
        <v>144</v>
      </c>
      <c r="N46" s="45">
        <v>145</v>
      </c>
      <c r="O46" s="45"/>
      <c r="P46" s="45">
        <v>40</v>
      </c>
      <c r="Q46" s="45">
        <v>113</v>
      </c>
      <c r="R46" s="45"/>
      <c r="S46" s="45"/>
      <c r="T46" s="45"/>
      <c r="U46" s="45"/>
      <c r="V46" s="45"/>
      <c r="W46" s="45"/>
      <c r="X46" s="45"/>
      <c r="Y46" s="45"/>
      <c r="Z46" s="45">
        <v>63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1:68" x14ac:dyDescent="0.35">
      <c r="A47" t="s">
        <v>229</v>
      </c>
      <c r="B47" s="37">
        <f t="shared" si="9"/>
        <v>124216</v>
      </c>
      <c r="C47" s="45"/>
      <c r="D47" s="45"/>
      <c r="E47" s="45"/>
      <c r="F47" s="45"/>
      <c r="G47" s="45"/>
      <c r="H47" s="45"/>
      <c r="I47" s="45"/>
      <c r="J47" s="45">
        <v>143</v>
      </c>
      <c r="K47" s="45"/>
      <c r="L47" s="45"/>
      <c r="M47" s="45">
        <v>829</v>
      </c>
      <c r="N47" s="45"/>
      <c r="O47" s="45">
        <v>1721</v>
      </c>
      <c r="P47" s="45">
        <v>26550</v>
      </c>
      <c r="Q47" s="45">
        <v>26933</v>
      </c>
      <c r="R47" s="45">
        <v>9770</v>
      </c>
      <c r="S47" s="45">
        <v>4677</v>
      </c>
      <c r="T47" s="45">
        <v>5702</v>
      </c>
      <c r="U47" s="45">
        <v>5069</v>
      </c>
      <c r="V47" s="45">
        <v>2434</v>
      </c>
      <c r="W47" s="45">
        <v>8640</v>
      </c>
      <c r="X47" s="45">
        <v>2212</v>
      </c>
      <c r="Y47" s="45">
        <v>884</v>
      </c>
      <c r="Z47" s="45">
        <v>7579</v>
      </c>
      <c r="AA47" s="45">
        <v>4085</v>
      </c>
      <c r="AB47" s="45">
        <v>9520</v>
      </c>
      <c r="AC47" s="45">
        <v>2327</v>
      </c>
      <c r="AD47" s="45">
        <v>5141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</row>
    <row r="48" spans="1:68" x14ac:dyDescent="0.35">
      <c r="A48" t="s">
        <v>233</v>
      </c>
      <c r="B48" s="37">
        <f t="shared" si="9"/>
        <v>60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>
        <v>60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</row>
    <row r="49" spans="1:68" x14ac:dyDescent="0.35">
      <c r="A49" s="124" t="s">
        <v>230</v>
      </c>
      <c r="B49" s="37">
        <f t="shared" si="9"/>
        <v>4906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>
        <v>2166</v>
      </c>
      <c r="Z49" s="125"/>
      <c r="AA49" s="125"/>
      <c r="AB49" s="125">
        <v>2740</v>
      </c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</row>
    <row r="50" spans="1:68" x14ac:dyDescent="0.35">
      <c r="A50" s="48" t="s">
        <v>118</v>
      </c>
      <c r="B50" s="36">
        <f t="shared" ref="B50:BM50" si="10">SUM(B41:B49)</f>
        <v>139064</v>
      </c>
      <c r="C50" s="36">
        <f t="shared" si="10"/>
        <v>80</v>
      </c>
      <c r="D50" s="36">
        <f t="shared" si="10"/>
        <v>0</v>
      </c>
      <c r="E50" s="36">
        <f t="shared" si="10"/>
        <v>0</v>
      </c>
      <c r="F50" s="36">
        <f t="shared" si="10"/>
        <v>0</v>
      </c>
      <c r="G50" s="36">
        <f t="shared" si="10"/>
        <v>0</v>
      </c>
      <c r="H50" s="36">
        <f t="shared" si="10"/>
        <v>0</v>
      </c>
      <c r="I50" s="36">
        <f t="shared" si="10"/>
        <v>0</v>
      </c>
      <c r="J50" s="36">
        <f t="shared" si="10"/>
        <v>143</v>
      </c>
      <c r="K50" s="36">
        <f t="shared" si="10"/>
        <v>0</v>
      </c>
      <c r="L50" s="36">
        <f t="shared" si="10"/>
        <v>487</v>
      </c>
      <c r="M50" s="36">
        <f t="shared" si="10"/>
        <v>1063</v>
      </c>
      <c r="N50" s="36">
        <f t="shared" si="10"/>
        <v>145</v>
      </c>
      <c r="O50" s="36">
        <f t="shared" si="10"/>
        <v>1965</v>
      </c>
      <c r="P50" s="36">
        <f t="shared" si="10"/>
        <v>28079</v>
      </c>
      <c r="Q50" s="36">
        <f t="shared" si="10"/>
        <v>27818</v>
      </c>
      <c r="R50" s="36">
        <f t="shared" si="10"/>
        <v>10839</v>
      </c>
      <c r="S50" s="36">
        <f t="shared" si="10"/>
        <v>4849</v>
      </c>
      <c r="T50" s="36">
        <f t="shared" si="10"/>
        <v>6299</v>
      </c>
      <c r="U50" s="36">
        <f t="shared" si="10"/>
        <v>5591</v>
      </c>
      <c r="V50" s="36">
        <f t="shared" si="10"/>
        <v>2811</v>
      </c>
      <c r="W50" s="36">
        <f t="shared" si="10"/>
        <v>9915</v>
      </c>
      <c r="X50" s="36">
        <f t="shared" si="10"/>
        <v>2384</v>
      </c>
      <c r="Y50" s="36">
        <f t="shared" si="10"/>
        <v>3215</v>
      </c>
      <c r="Z50" s="36">
        <f t="shared" si="10"/>
        <v>7773</v>
      </c>
      <c r="AA50" s="36">
        <f t="shared" si="10"/>
        <v>4357</v>
      </c>
      <c r="AB50" s="36">
        <f t="shared" si="10"/>
        <v>13336</v>
      </c>
      <c r="AC50" s="36">
        <f t="shared" si="10"/>
        <v>2601</v>
      </c>
      <c r="AD50" s="36">
        <f t="shared" si="10"/>
        <v>5314</v>
      </c>
      <c r="AE50" s="36">
        <f t="shared" si="10"/>
        <v>0</v>
      </c>
      <c r="AF50" s="36">
        <f t="shared" si="10"/>
        <v>0</v>
      </c>
      <c r="AG50" s="36">
        <f t="shared" si="10"/>
        <v>0</v>
      </c>
      <c r="AH50" s="36">
        <f t="shared" si="10"/>
        <v>0</v>
      </c>
      <c r="AI50" s="36">
        <f t="shared" si="10"/>
        <v>0</v>
      </c>
      <c r="AJ50" s="36">
        <f t="shared" si="10"/>
        <v>0</v>
      </c>
      <c r="AK50" s="36">
        <f t="shared" si="10"/>
        <v>0</v>
      </c>
      <c r="AL50" s="36">
        <f t="shared" si="10"/>
        <v>0</v>
      </c>
      <c r="AM50" s="36">
        <f t="shared" si="10"/>
        <v>0</v>
      </c>
      <c r="AN50" s="36">
        <f t="shared" si="10"/>
        <v>0</v>
      </c>
      <c r="AO50" s="36">
        <f t="shared" si="10"/>
        <v>0</v>
      </c>
      <c r="AP50" s="36">
        <f t="shared" si="10"/>
        <v>0</v>
      </c>
      <c r="AQ50" s="36">
        <f t="shared" si="10"/>
        <v>0</v>
      </c>
      <c r="AR50" s="36">
        <f t="shared" si="10"/>
        <v>0</v>
      </c>
      <c r="AS50" s="36">
        <f t="shared" si="10"/>
        <v>0</v>
      </c>
      <c r="AT50" s="36">
        <f t="shared" si="10"/>
        <v>0</v>
      </c>
      <c r="AU50" s="36">
        <f t="shared" si="10"/>
        <v>0</v>
      </c>
      <c r="AV50" s="36">
        <f t="shared" si="10"/>
        <v>0</v>
      </c>
      <c r="AW50" s="36">
        <f t="shared" si="10"/>
        <v>0</v>
      </c>
      <c r="AX50" s="36">
        <f t="shared" si="10"/>
        <v>0</v>
      </c>
      <c r="AY50" s="36">
        <f t="shared" si="10"/>
        <v>0</v>
      </c>
      <c r="AZ50" s="36">
        <f t="shared" si="10"/>
        <v>0</v>
      </c>
      <c r="BA50" s="36">
        <f t="shared" si="10"/>
        <v>0</v>
      </c>
      <c r="BB50" s="36">
        <f t="shared" si="10"/>
        <v>0</v>
      </c>
      <c r="BC50" s="36">
        <f t="shared" si="10"/>
        <v>0</v>
      </c>
      <c r="BD50" s="36">
        <f t="shared" si="10"/>
        <v>0</v>
      </c>
      <c r="BE50" s="36">
        <f t="shared" si="10"/>
        <v>0</v>
      </c>
      <c r="BF50" s="36">
        <f t="shared" si="10"/>
        <v>0</v>
      </c>
      <c r="BG50" s="36">
        <f t="shared" si="10"/>
        <v>0</v>
      </c>
      <c r="BH50" s="36">
        <f t="shared" si="10"/>
        <v>0</v>
      </c>
      <c r="BI50" s="36">
        <f t="shared" si="10"/>
        <v>0</v>
      </c>
      <c r="BJ50" s="36">
        <f t="shared" si="10"/>
        <v>0</v>
      </c>
      <c r="BK50" s="36">
        <f t="shared" si="10"/>
        <v>0</v>
      </c>
      <c r="BL50" s="36">
        <f t="shared" si="10"/>
        <v>0</v>
      </c>
      <c r="BM50" s="36">
        <f t="shared" si="10"/>
        <v>0</v>
      </c>
      <c r="BN50" s="36">
        <f t="shared" ref="BN50:BP50" si="11">SUM(BN41:BN49)</f>
        <v>0</v>
      </c>
      <c r="BO50" s="36">
        <f t="shared" si="11"/>
        <v>0</v>
      </c>
      <c r="BP50" s="36">
        <f t="shared" si="11"/>
        <v>0</v>
      </c>
    </row>
    <row r="51" spans="1:68" x14ac:dyDescent="0.35">
      <c r="A51" s="45"/>
      <c r="B51" s="37"/>
      <c r="C51" s="1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</row>
    <row r="52" spans="1:68" x14ac:dyDescent="0.35">
      <c r="A52" s="47" t="s">
        <v>89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</row>
    <row r="53" spans="1:68" x14ac:dyDescent="0.35">
      <c r="A53" t="s">
        <v>99</v>
      </c>
      <c r="B53" s="37">
        <f t="shared" ref="B53:B57" si="12">SUM(C53:BP53)</f>
        <v>189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>
        <v>189</v>
      </c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</row>
    <row r="54" spans="1:68" x14ac:dyDescent="0.35">
      <c r="A54" t="s">
        <v>224</v>
      </c>
      <c r="B54" s="37">
        <f t="shared" si="12"/>
        <v>191</v>
      </c>
      <c r="C54" s="35">
        <v>191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</row>
    <row r="55" spans="1:68" x14ac:dyDescent="0.35">
      <c r="A55" t="s">
        <v>233</v>
      </c>
      <c r="B55" s="37">
        <f t="shared" si="12"/>
        <v>300</v>
      </c>
      <c r="C55" s="35">
        <v>300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</row>
    <row r="56" spans="1:68" x14ac:dyDescent="0.35">
      <c r="A56" t="s">
        <v>231</v>
      </c>
      <c r="B56" s="37">
        <f t="shared" si="12"/>
        <v>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</row>
    <row r="57" spans="1:68" x14ac:dyDescent="0.35">
      <c r="A57" t="s">
        <v>234</v>
      </c>
      <c r="B57" s="37">
        <f t="shared" si="12"/>
        <v>4013</v>
      </c>
      <c r="C57" s="35">
        <v>4013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</row>
    <row r="58" spans="1:68" x14ac:dyDescent="0.35">
      <c r="A58" s="48" t="s">
        <v>119</v>
      </c>
      <c r="B58" s="36">
        <f>SUM(B53:B57)</f>
        <v>4693</v>
      </c>
      <c r="C58" s="36">
        <f>SUM(C53:C57)</f>
        <v>4504</v>
      </c>
      <c r="D58" s="36">
        <f t="shared" ref="D58:BO58" si="13">SUM(D53:D56)</f>
        <v>0</v>
      </c>
      <c r="E58" s="36">
        <f t="shared" si="13"/>
        <v>0</v>
      </c>
      <c r="F58" s="36">
        <f t="shared" si="13"/>
        <v>0</v>
      </c>
      <c r="G58" s="36">
        <f t="shared" si="13"/>
        <v>0</v>
      </c>
      <c r="H58" s="36">
        <f t="shared" si="13"/>
        <v>0</v>
      </c>
      <c r="I58" s="36">
        <f t="shared" si="13"/>
        <v>0</v>
      </c>
      <c r="J58" s="36">
        <f t="shared" si="13"/>
        <v>0</v>
      </c>
      <c r="K58" s="36">
        <f t="shared" si="13"/>
        <v>0</v>
      </c>
      <c r="L58" s="36">
        <f t="shared" si="13"/>
        <v>0</v>
      </c>
      <c r="M58" s="36">
        <f t="shared" si="13"/>
        <v>0</v>
      </c>
      <c r="N58" s="36">
        <f t="shared" si="13"/>
        <v>0</v>
      </c>
      <c r="O58" s="36">
        <f t="shared" si="13"/>
        <v>0</v>
      </c>
      <c r="P58" s="36">
        <f t="shared" si="13"/>
        <v>0</v>
      </c>
      <c r="Q58" s="36">
        <f t="shared" si="13"/>
        <v>0</v>
      </c>
      <c r="R58" s="36">
        <f t="shared" si="13"/>
        <v>0</v>
      </c>
      <c r="S58" s="36">
        <f t="shared" si="13"/>
        <v>0</v>
      </c>
      <c r="T58" s="36">
        <f t="shared" si="13"/>
        <v>0</v>
      </c>
      <c r="U58" s="36">
        <f t="shared" si="13"/>
        <v>0</v>
      </c>
      <c r="V58" s="36">
        <f t="shared" si="13"/>
        <v>0</v>
      </c>
      <c r="W58" s="36">
        <f t="shared" si="13"/>
        <v>0</v>
      </c>
      <c r="X58" s="36">
        <f t="shared" si="13"/>
        <v>0</v>
      </c>
      <c r="Y58" s="36">
        <f t="shared" si="13"/>
        <v>0</v>
      </c>
      <c r="Z58" s="36">
        <f t="shared" si="13"/>
        <v>0</v>
      </c>
      <c r="AA58" s="36">
        <f t="shared" si="13"/>
        <v>0</v>
      </c>
      <c r="AB58" s="36">
        <f t="shared" si="13"/>
        <v>0</v>
      </c>
      <c r="AC58" s="36">
        <f t="shared" si="13"/>
        <v>0</v>
      </c>
      <c r="AD58" s="36">
        <f t="shared" si="13"/>
        <v>0</v>
      </c>
      <c r="AE58" s="36">
        <f t="shared" si="13"/>
        <v>0</v>
      </c>
      <c r="AF58" s="36">
        <f t="shared" si="13"/>
        <v>0</v>
      </c>
      <c r="AG58" s="36">
        <f t="shared" si="13"/>
        <v>0</v>
      </c>
      <c r="AH58" s="36">
        <f t="shared" si="13"/>
        <v>0</v>
      </c>
      <c r="AI58" s="36">
        <f t="shared" si="13"/>
        <v>0</v>
      </c>
      <c r="AJ58" s="36">
        <f t="shared" si="13"/>
        <v>189</v>
      </c>
      <c r="AK58" s="36">
        <f t="shared" si="13"/>
        <v>0</v>
      </c>
      <c r="AL58" s="36">
        <f t="shared" si="13"/>
        <v>0</v>
      </c>
      <c r="AM58" s="36">
        <f t="shared" si="13"/>
        <v>0</v>
      </c>
      <c r="AN58" s="36">
        <f t="shared" si="13"/>
        <v>0</v>
      </c>
      <c r="AO58" s="36">
        <f t="shared" si="13"/>
        <v>0</v>
      </c>
      <c r="AP58" s="36">
        <f t="shared" si="13"/>
        <v>0</v>
      </c>
      <c r="AQ58" s="36">
        <f t="shared" si="13"/>
        <v>0</v>
      </c>
      <c r="AR58" s="36">
        <f t="shared" si="13"/>
        <v>0</v>
      </c>
      <c r="AS58" s="36">
        <f t="shared" si="13"/>
        <v>0</v>
      </c>
      <c r="AT58" s="36">
        <f t="shared" si="13"/>
        <v>0</v>
      </c>
      <c r="AU58" s="36">
        <f t="shared" si="13"/>
        <v>0</v>
      </c>
      <c r="AV58" s="36">
        <f t="shared" si="13"/>
        <v>0</v>
      </c>
      <c r="AW58" s="36">
        <f t="shared" si="13"/>
        <v>0</v>
      </c>
      <c r="AX58" s="36">
        <f t="shared" si="13"/>
        <v>0</v>
      </c>
      <c r="AY58" s="36">
        <f t="shared" si="13"/>
        <v>0</v>
      </c>
      <c r="AZ58" s="36">
        <f t="shared" si="13"/>
        <v>0</v>
      </c>
      <c r="BA58" s="36">
        <f t="shared" si="13"/>
        <v>0</v>
      </c>
      <c r="BB58" s="36">
        <f t="shared" si="13"/>
        <v>0</v>
      </c>
      <c r="BC58" s="36">
        <f t="shared" si="13"/>
        <v>0</v>
      </c>
      <c r="BD58" s="36">
        <f t="shared" si="13"/>
        <v>0</v>
      </c>
      <c r="BE58" s="36">
        <f t="shared" si="13"/>
        <v>0</v>
      </c>
      <c r="BF58" s="36">
        <f t="shared" si="13"/>
        <v>0</v>
      </c>
      <c r="BG58" s="36">
        <f t="shared" si="13"/>
        <v>0</v>
      </c>
      <c r="BH58" s="36">
        <f t="shared" si="13"/>
        <v>0</v>
      </c>
      <c r="BI58" s="36">
        <f t="shared" si="13"/>
        <v>0</v>
      </c>
      <c r="BJ58" s="36">
        <f t="shared" si="13"/>
        <v>0</v>
      </c>
      <c r="BK58" s="36">
        <f t="shared" si="13"/>
        <v>0</v>
      </c>
      <c r="BL58" s="36">
        <f t="shared" si="13"/>
        <v>0</v>
      </c>
      <c r="BM58" s="36">
        <f t="shared" si="13"/>
        <v>0</v>
      </c>
      <c r="BN58" s="36">
        <f t="shared" si="13"/>
        <v>0</v>
      </c>
      <c r="BO58" s="36">
        <f t="shared" si="13"/>
        <v>0</v>
      </c>
      <c r="BP58" s="36">
        <f t="shared" ref="BP58" si="14">SUM(BP53:BP56)</f>
        <v>0</v>
      </c>
    </row>
    <row r="59" spans="1:68" x14ac:dyDescent="0.35">
      <c r="A59" s="45"/>
      <c r="B59" s="37"/>
      <c r="C59" s="12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</row>
    <row r="60" spans="1:68" x14ac:dyDescent="0.35">
      <c r="A60" s="47" t="s">
        <v>90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</row>
    <row r="61" spans="1:68" x14ac:dyDescent="0.35">
      <c r="A61" t="s">
        <v>100</v>
      </c>
      <c r="B61" s="37">
        <f t="shared" ref="B61:B63" si="15">SUM(C61:BP61)</f>
        <v>666</v>
      </c>
      <c r="C61" s="35">
        <v>666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</row>
    <row r="62" spans="1:68" x14ac:dyDescent="0.35">
      <c r="A62" t="s">
        <v>228</v>
      </c>
      <c r="B62" s="37">
        <f t="shared" si="15"/>
        <v>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</row>
    <row r="63" spans="1:68" x14ac:dyDescent="0.35">
      <c r="A63" t="s">
        <v>235</v>
      </c>
      <c r="B63" s="37">
        <f t="shared" si="15"/>
        <v>0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</row>
    <row r="64" spans="1:68" x14ac:dyDescent="0.35">
      <c r="A64" s="48" t="s">
        <v>120</v>
      </c>
      <c r="B64" s="36">
        <f>SUM(B61:B63)</f>
        <v>666</v>
      </c>
      <c r="C64" s="36">
        <f>SUM(C61:C63)</f>
        <v>666</v>
      </c>
      <c r="D64" s="36">
        <f t="shared" ref="D64:Z64" si="16">SUM(D61:D62)</f>
        <v>0</v>
      </c>
      <c r="E64" s="36">
        <f t="shared" si="16"/>
        <v>0</v>
      </c>
      <c r="F64" s="36">
        <f t="shared" si="16"/>
        <v>0</v>
      </c>
      <c r="G64" s="36">
        <f t="shared" si="16"/>
        <v>0</v>
      </c>
      <c r="H64" s="36">
        <f t="shared" si="16"/>
        <v>0</v>
      </c>
      <c r="I64" s="36">
        <f t="shared" si="16"/>
        <v>0</v>
      </c>
      <c r="J64" s="36">
        <f t="shared" si="16"/>
        <v>0</v>
      </c>
      <c r="K64" s="36">
        <f t="shared" si="16"/>
        <v>0</v>
      </c>
      <c r="L64" s="36">
        <f t="shared" si="16"/>
        <v>0</v>
      </c>
      <c r="M64" s="36">
        <f t="shared" si="16"/>
        <v>0</v>
      </c>
      <c r="N64" s="36">
        <f t="shared" si="16"/>
        <v>0</v>
      </c>
      <c r="O64" s="36">
        <f t="shared" si="16"/>
        <v>0</v>
      </c>
      <c r="P64" s="36">
        <f t="shared" si="16"/>
        <v>0</v>
      </c>
      <c r="Q64" s="36">
        <f t="shared" si="16"/>
        <v>0</v>
      </c>
      <c r="R64" s="36">
        <f t="shared" si="16"/>
        <v>0</v>
      </c>
      <c r="S64" s="36">
        <f t="shared" si="16"/>
        <v>0</v>
      </c>
      <c r="T64" s="36">
        <f t="shared" si="16"/>
        <v>0</v>
      </c>
      <c r="U64" s="36">
        <f t="shared" si="16"/>
        <v>0</v>
      </c>
      <c r="V64" s="36">
        <f t="shared" si="16"/>
        <v>0</v>
      </c>
      <c r="W64" s="36">
        <f t="shared" si="16"/>
        <v>0</v>
      </c>
      <c r="X64" s="36">
        <f t="shared" si="16"/>
        <v>0</v>
      </c>
      <c r="Y64" s="36">
        <f t="shared" si="16"/>
        <v>0</v>
      </c>
      <c r="Z64" s="36">
        <f t="shared" si="16"/>
        <v>0</v>
      </c>
      <c r="AA64" s="36">
        <f>SUM(AA61:AA63)</f>
        <v>0</v>
      </c>
      <c r="AB64" s="36">
        <f>SUM(AB61:AB63)</f>
        <v>0</v>
      </c>
      <c r="AC64" s="36">
        <f>SUM(AC61:AC63)</f>
        <v>0</v>
      </c>
      <c r="AD64" s="36">
        <f>SUM(AD61:AD63)</f>
        <v>0</v>
      </c>
      <c r="AE64" s="36">
        <f t="shared" ref="AE64:BP64" si="17">SUM(AE61:AE62)</f>
        <v>0</v>
      </c>
      <c r="AF64" s="36">
        <f t="shared" si="17"/>
        <v>0</v>
      </c>
      <c r="AG64" s="36">
        <f t="shared" si="17"/>
        <v>0</v>
      </c>
      <c r="AH64" s="36">
        <f t="shared" si="17"/>
        <v>0</v>
      </c>
      <c r="AI64" s="36">
        <f t="shared" si="17"/>
        <v>0</v>
      </c>
      <c r="AJ64" s="36">
        <f t="shared" si="17"/>
        <v>0</v>
      </c>
      <c r="AK64" s="36">
        <f t="shared" si="17"/>
        <v>0</v>
      </c>
      <c r="AL64" s="36">
        <f t="shared" si="17"/>
        <v>0</v>
      </c>
      <c r="AM64" s="36">
        <f t="shared" si="17"/>
        <v>0</v>
      </c>
      <c r="AN64" s="36">
        <f t="shared" si="17"/>
        <v>0</v>
      </c>
      <c r="AO64" s="36">
        <f t="shared" si="17"/>
        <v>0</v>
      </c>
      <c r="AP64" s="36">
        <f t="shared" si="17"/>
        <v>0</v>
      </c>
      <c r="AQ64" s="36">
        <f t="shared" si="17"/>
        <v>0</v>
      </c>
      <c r="AR64" s="36">
        <f t="shared" si="17"/>
        <v>0</v>
      </c>
      <c r="AS64" s="36">
        <f t="shared" si="17"/>
        <v>0</v>
      </c>
      <c r="AT64" s="36">
        <f t="shared" si="17"/>
        <v>0</v>
      </c>
      <c r="AU64" s="36">
        <f t="shared" si="17"/>
        <v>0</v>
      </c>
      <c r="AV64" s="36">
        <f t="shared" si="17"/>
        <v>0</v>
      </c>
      <c r="AW64" s="36">
        <f t="shared" si="17"/>
        <v>0</v>
      </c>
      <c r="AX64" s="36">
        <f t="shared" si="17"/>
        <v>0</v>
      </c>
      <c r="AY64" s="36">
        <f t="shared" si="17"/>
        <v>0</v>
      </c>
      <c r="AZ64" s="36">
        <f t="shared" si="17"/>
        <v>0</v>
      </c>
      <c r="BA64" s="36">
        <f t="shared" si="17"/>
        <v>0</v>
      </c>
      <c r="BB64" s="36">
        <f t="shared" si="17"/>
        <v>0</v>
      </c>
      <c r="BC64" s="36">
        <f t="shared" si="17"/>
        <v>0</v>
      </c>
      <c r="BD64" s="36">
        <f t="shared" si="17"/>
        <v>0</v>
      </c>
      <c r="BE64" s="36">
        <f t="shared" si="17"/>
        <v>0</v>
      </c>
      <c r="BF64" s="36">
        <f t="shared" si="17"/>
        <v>0</v>
      </c>
      <c r="BG64" s="36">
        <f t="shared" si="17"/>
        <v>0</v>
      </c>
      <c r="BH64" s="36">
        <f t="shared" si="17"/>
        <v>0</v>
      </c>
      <c r="BI64" s="36">
        <f t="shared" si="17"/>
        <v>0</v>
      </c>
      <c r="BJ64" s="36">
        <f t="shared" si="17"/>
        <v>0</v>
      </c>
      <c r="BK64" s="36">
        <f t="shared" si="17"/>
        <v>0</v>
      </c>
      <c r="BL64" s="36">
        <f t="shared" si="17"/>
        <v>0</v>
      </c>
      <c r="BM64" s="36">
        <f t="shared" si="17"/>
        <v>0</v>
      </c>
      <c r="BN64" s="36">
        <f t="shared" si="17"/>
        <v>0</v>
      </c>
      <c r="BO64" s="36">
        <f t="shared" si="17"/>
        <v>0</v>
      </c>
      <c r="BP64" s="36">
        <f t="shared" si="17"/>
        <v>0</v>
      </c>
    </row>
    <row r="65" spans="1:68" x14ac:dyDescent="0.35">
      <c r="A65" s="45"/>
      <c r="B65" s="37"/>
      <c r="C65" s="12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</row>
    <row r="66" spans="1:68" x14ac:dyDescent="0.35">
      <c r="A66" s="47" t="s">
        <v>91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</row>
    <row r="67" spans="1:68" x14ac:dyDescent="0.35">
      <c r="A67" t="s">
        <v>223</v>
      </c>
      <c r="B67" s="37">
        <f t="shared" ref="B67:B70" si="18">SUM(C67:BP67)</f>
        <v>324</v>
      </c>
      <c r="C67" s="35">
        <v>160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>
        <v>144</v>
      </c>
      <c r="AC67" s="35"/>
      <c r="AD67" s="35">
        <v>20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</row>
    <row r="68" spans="1:68" x14ac:dyDescent="0.35">
      <c r="A68" t="s">
        <v>99</v>
      </c>
      <c r="B68" s="37">
        <f t="shared" si="18"/>
        <v>303</v>
      </c>
      <c r="C68" s="35">
        <v>303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</row>
    <row r="69" spans="1:68" x14ac:dyDescent="0.35">
      <c r="A69" t="s">
        <v>224</v>
      </c>
      <c r="B69" s="37">
        <f t="shared" si="18"/>
        <v>34</v>
      </c>
      <c r="C69" s="35">
        <v>34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</row>
    <row r="70" spans="1:68" x14ac:dyDescent="0.35">
      <c r="A70" t="s">
        <v>229</v>
      </c>
      <c r="B70" s="37">
        <f t="shared" si="18"/>
        <v>1754</v>
      </c>
      <c r="C70" s="35">
        <v>1754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</row>
    <row r="71" spans="1:68" x14ac:dyDescent="0.35">
      <c r="A71" s="48" t="s">
        <v>121</v>
      </c>
      <c r="B71" s="36">
        <f t="shared" ref="B71:BM71" si="19">SUM(B67:B70)</f>
        <v>2415</v>
      </c>
      <c r="C71" s="36">
        <f t="shared" si="19"/>
        <v>2251</v>
      </c>
      <c r="D71" s="36">
        <f t="shared" si="19"/>
        <v>0</v>
      </c>
      <c r="E71" s="36">
        <f t="shared" si="19"/>
        <v>0</v>
      </c>
      <c r="F71" s="36">
        <f t="shared" si="19"/>
        <v>0</v>
      </c>
      <c r="G71" s="36">
        <f t="shared" si="19"/>
        <v>0</v>
      </c>
      <c r="H71" s="36">
        <f t="shared" si="19"/>
        <v>0</v>
      </c>
      <c r="I71" s="36">
        <f t="shared" si="19"/>
        <v>0</v>
      </c>
      <c r="J71" s="36">
        <f t="shared" si="19"/>
        <v>0</v>
      </c>
      <c r="K71" s="36">
        <f t="shared" si="19"/>
        <v>0</v>
      </c>
      <c r="L71" s="36">
        <f t="shared" si="19"/>
        <v>0</v>
      </c>
      <c r="M71" s="36">
        <f t="shared" si="19"/>
        <v>0</v>
      </c>
      <c r="N71" s="36">
        <f t="shared" si="19"/>
        <v>0</v>
      </c>
      <c r="O71" s="36">
        <f t="shared" si="19"/>
        <v>0</v>
      </c>
      <c r="P71" s="36">
        <f t="shared" si="19"/>
        <v>0</v>
      </c>
      <c r="Q71" s="36">
        <f t="shared" si="19"/>
        <v>0</v>
      </c>
      <c r="R71" s="36">
        <f t="shared" si="19"/>
        <v>0</v>
      </c>
      <c r="S71" s="36">
        <f t="shared" si="19"/>
        <v>0</v>
      </c>
      <c r="T71" s="36">
        <f t="shared" si="19"/>
        <v>0</v>
      </c>
      <c r="U71" s="36">
        <f t="shared" si="19"/>
        <v>0</v>
      </c>
      <c r="V71" s="36">
        <f t="shared" si="19"/>
        <v>0</v>
      </c>
      <c r="W71" s="36">
        <f t="shared" si="19"/>
        <v>0</v>
      </c>
      <c r="X71" s="36">
        <f t="shared" si="19"/>
        <v>0</v>
      </c>
      <c r="Y71" s="36">
        <f t="shared" si="19"/>
        <v>0</v>
      </c>
      <c r="Z71" s="36">
        <f t="shared" si="19"/>
        <v>0</v>
      </c>
      <c r="AA71" s="36">
        <f t="shared" si="19"/>
        <v>0</v>
      </c>
      <c r="AB71" s="36">
        <f t="shared" si="19"/>
        <v>144</v>
      </c>
      <c r="AC71" s="36">
        <f t="shared" si="19"/>
        <v>0</v>
      </c>
      <c r="AD71" s="36">
        <f t="shared" si="19"/>
        <v>20</v>
      </c>
      <c r="AE71" s="36">
        <f t="shared" si="19"/>
        <v>0</v>
      </c>
      <c r="AF71" s="36">
        <f t="shared" si="19"/>
        <v>0</v>
      </c>
      <c r="AG71" s="36">
        <f t="shared" si="19"/>
        <v>0</v>
      </c>
      <c r="AH71" s="36">
        <f t="shared" si="19"/>
        <v>0</v>
      </c>
      <c r="AI71" s="36">
        <f t="shared" si="19"/>
        <v>0</v>
      </c>
      <c r="AJ71" s="36">
        <f t="shared" si="19"/>
        <v>0</v>
      </c>
      <c r="AK71" s="36">
        <f t="shared" si="19"/>
        <v>0</v>
      </c>
      <c r="AL71" s="36">
        <f t="shared" si="19"/>
        <v>0</v>
      </c>
      <c r="AM71" s="36">
        <f t="shared" si="19"/>
        <v>0</v>
      </c>
      <c r="AN71" s="36">
        <f t="shared" si="19"/>
        <v>0</v>
      </c>
      <c r="AO71" s="36">
        <f t="shared" si="19"/>
        <v>0</v>
      </c>
      <c r="AP71" s="36">
        <f t="shared" si="19"/>
        <v>0</v>
      </c>
      <c r="AQ71" s="36">
        <f t="shared" si="19"/>
        <v>0</v>
      </c>
      <c r="AR71" s="36">
        <f t="shared" si="19"/>
        <v>0</v>
      </c>
      <c r="AS71" s="36">
        <f t="shared" si="19"/>
        <v>0</v>
      </c>
      <c r="AT71" s="36">
        <f t="shared" si="19"/>
        <v>0</v>
      </c>
      <c r="AU71" s="36">
        <f t="shared" si="19"/>
        <v>0</v>
      </c>
      <c r="AV71" s="36">
        <f t="shared" si="19"/>
        <v>0</v>
      </c>
      <c r="AW71" s="36">
        <f t="shared" si="19"/>
        <v>0</v>
      </c>
      <c r="AX71" s="36">
        <f t="shared" si="19"/>
        <v>0</v>
      </c>
      <c r="AY71" s="36">
        <f t="shared" si="19"/>
        <v>0</v>
      </c>
      <c r="AZ71" s="36">
        <f t="shared" si="19"/>
        <v>0</v>
      </c>
      <c r="BA71" s="36">
        <f t="shared" si="19"/>
        <v>0</v>
      </c>
      <c r="BB71" s="36">
        <f t="shared" si="19"/>
        <v>0</v>
      </c>
      <c r="BC71" s="36">
        <f t="shared" si="19"/>
        <v>0</v>
      </c>
      <c r="BD71" s="36">
        <f t="shared" si="19"/>
        <v>0</v>
      </c>
      <c r="BE71" s="36">
        <f t="shared" si="19"/>
        <v>0</v>
      </c>
      <c r="BF71" s="36">
        <f t="shared" si="19"/>
        <v>0</v>
      </c>
      <c r="BG71" s="36">
        <f t="shared" si="19"/>
        <v>0</v>
      </c>
      <c r="BH71" s="36">
        <f t="shared" si="19"/>
        <v>0</v>
      </c>
      <c r="BI71" s="36">
        <f t="shared" si="19"/>
        <v>0</v>
      </c>
      <c r="BJ71" s="36">
        <f t="shared" si="19"/>
        <v>0</v>
      </c>
      <c r="BK71" s="36">
        <f t="shared" si="19"/>
        <v>0</v>
      </c>
      <c r="BL71" s="36">
        <f t="shared" si="19"/>
        <v>0</v>
      </c>
      <c r="BM71" s="36">
        <f t="shared" si="19"/>
        <v>0</v>
      </c>
      <c r="BN71" s="36">
        <f t="shared" ref="BN71:BP71" si="20">SUM(BN67:BN70)</f>
        <v>0</v>
      </c>
      <c r="BO71" s="36">
        <f t="shared" si="20"/>
        <v>0</v>
      </c>
      <c r="BP71" s="36">
        <f t="shared" si="20"/>
        <v>0</v>
      </c>
    </row>
    <row r="72" spans="1:68" x14ac:dyDescent="0.35">
      <c r="A72" s="45"/>
      <c r="B72" s="37"/>
      <c r="C72" s="122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</row>
    <row r="73" spans="1:68" x14ac:dyDescent="0.35">
      <c r="A73" s="47" t="s">
        <v>92</v>
      </c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</row>
    <row r="74" spans="1:68" x14ac:dyDescent="0.35">
      <c r="A74" t="s">
        <v>102</v>
      </c>
      <c r="B74" s="37">
        <f t="shared" ref="B74:B82" si="21">SUM(C74:BP74)</f>
        <v>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</row>
    <row r="75" spans="1:68" x14ac:dyDescent="0.35">
      <c r="A75" t="s">
        <v>99</v>
      </c>
      <c r="B75" s="37">
        <f t="shared" si="21"/>
        <v>319</v>
      </c>
      <c r="C75" s="35">
        <v>123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>
        <v>72</v>
      </c>
      <c r="AJ75" s="35">
        <v>8</v>
      </c>
      <c r="AK75" s="35">
        <v>16</v>
      </c>
      <c r="AL75" s="35"/>
      <c r="AM75" s="35"/>
      <c r="AN75" s="35"/>
      <c r="AO75" s="35"/>
      <c r="AP75" s="35"/>
      <c r="AQ75" s="35">
        <v>55</v>
      </c>
      <c r="AR75" s="35"/>
      <c r="AS75" s="35">
        <v>45</v>
      </c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</row>
    <row r="76" spans="1:68" x14ac:dyDescent="0.35">
      <c r="A76" t="s">
        <v>224</v>
      </c>
      <c r="B76" s="37">
        <f t="shared" si="21"/>
        <v>145</v>
      </c>
      <c r="C76" s="35">
        <v>145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</row>
    <row r="77" spans="1:68" x14ac:dyDescent="0.35">
      <c r="A77" t="s">
        <v>100</v>
      </c>
      <c r="B77" s="37">
        <f t="shared" si="21"/>
        <v>878</v>
      </c>
      <c r="C77" s="35">
        <v>35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>
        <v>35</v>
      </c>
      <c r="AD77" s="35"/>
      <c r="AE77" s="35">
        <v>206</v>
      </c>
      <c r="AF77" s="35">
        <v>602</v>
      </c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</row>
    <row r="78" spans="1:68" x14ac:dyDescent="0.35">
      <c r="A78" t="s">
        <v>228</v>
      </c>
      <c r="B78" s="37">
        <f t="shared" si="21"/>
        <v>6</v>
      </c>
      <c r="C78" s="35">
        <v>6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</row>
    <row r="79" spans="1:68" x14ac:dyDescent="0.35">
      <c r="A79" t="s">
        <v>101</v>
      </c>
      <c r="B79" s="37">
        <f t="shared" si="21"/>
        <v>339</v>
      </c>
      <c r="C79" s="35">
        <v>339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</row>
    <row r="80" spans="1:68" x14ac:dyDescent="0.35">
      <c r="A80" t="s">
        <v>231</v>
      </c>
      <c r="B80" s="37">
        <f t="shared" si="21"/>
        <v>95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>
        <v>95</v>
      </c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</row>
    <row r="81" spans="1:68" x14ac:dyDescent="0.35">
      <c r="A81" t="s">
        <v>103</v>
      </c>
      <c r="B81" s="37">
        <f t="shared" si="21"/>
        <v>735</v>
      </c>
      <c r="C81" s="35">
        <v>628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>
        <v>107</v>
      </c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</row>
    <row r="82" spans="1:68" x14ac:dyDescent="0.35">
      <c r="A82" t="s">
        <v>236</v>
      </c>
      <c r="B82" s="37">
        <f t="shared" si="21"/>
        <v>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</row>
    <row r="83" spans="1:68" x14ac:dyDescent="0.35">
      <c r="A83" s="48" t="s">
        <v>122</v>
      </c>
      <c r="B83" s="36">
        <f>SUM(B74:B82)</f>
        <v>2517</v>
      </c>
      <c r="C83" s="36">
        <f>SUM(C74:C82)</f>
        <v>1276</v>
      </c>
      <c r="D83" s="36">
        <f t="shared" ref="D83:BO83" si="22">SUM(D74:D81)</f>
        <v>0</v>
      </c>
      <c r="E83" s="36">
        <f t="shared" si="22"/>
        <v>0</v>
      </c>
      <c r="F83" s="36">
        <f t="shared" si="22"/>
        <v>0</v>
      </c>
      <c r="G83" s="36">
        <f t="shared" si="22"/>
        <v>0</v>
      </c>
      <c r="H83" s="36">
        <f t="shared" si="22"/>
        <v>0</v>
      </c>
      <c r="I83" s="36">
        <f t="shared" si="22"/>
        <v>0</v>
      </c>
      <c r="J83" s="36">
        <f t="shared" si="22"/>
        <v>0</v>
      </c>
      <c r="K83" s="36">
        <f t="shared" si="22"/>
        <v>0</v>
      </c>
      <c r="L83" s="36">
        <f t="shared" si="22"/>
        <v>0</v>
      </c>
      <c r="M83" s="36">
        <f t="shared" si="22"/>
        <v>0</v>
      </c>
      <c r="N83" s="36">
        <f t="shared" si="22"/>
        <v>0</v>
      </c>
      <c r="O83" s="36">
        <f t="shared" si="22"/>
        <v>0</v>
      </c>
      <c r="P83" s="36">
        <f t="shared" si="22"/>
        <v>0</v>
      </c>
      <c r="Q83" s="36">
        <f t="shared" si="22"/>
        <v>0</v>
      </c>
      <c r="R83" s="36">
        <f t="shared" si="22"/>
        <v>0</v>
      </c>
      <c r="S83" s="36">
        <f t="shared" si="22"/>
        <v>0</v>
      </c>
      <c r="T83" s="36">
        <f t="shared" si="22"/>
        <v>0</v>
      </c>
      <c r="U83" s="36">
        <f t="shared" si="22"/>
        <v>0</v>
      </c>
      <c r="V83" s="36">
        <f t="shared" si="22"/>
        <v>0</v>
      </c>
      <c r="W83" s="36">
        <f t="shared" si="22"/>
        <v>0</v>
      </c>
      <c r="X83" s="36">
        <f t="shared" si="22"/>
        <v>0</v>
      </c>
      <c r="Y83" s="36">
        <f t="shared" si="22"/>
        <v>0</v>
      </c>
      <c r="Z83" s="36">
        <f t="shared" si="22"/>
        <v>0</v>
      </c>
      <c r="AA83" s="36">
        <f t="shared" si="22"/>
        <v>0</v>
      </c>
      <c r="AB83" s="36">
        <f t="shared" si="22"/>
        <v>0</v>
      </c>
      <c r="AC83" s="36">
        <f t="shared" si="22"/>
        <v>35</v>
      </c>
      <c r="AD83" s="36">
        <f t="shared" si="22"/>
        <v>0</v>
      </c>
      <c r="AE83" s="36">
        <f t="shared" si="22"/>
        <v>206</v>
      </c>
      <c r="AF83" s="36">
        <f t="shared" si="22"/>
        <v>602</v>
      </c>
      <c r="AG83" s="36">
        <f t="shared" si="22"/>
        <v>0</v>
      </c>
      <c r="AH83" s="36">
        <f t="shared" si="22"/>
        <v>0</v>
      </c>
      <c r="AI83" s="36">
        <f t="shared" si="22"/>
        <v>72</v>
      </c>
      <c r="AJ83" s="36">
        <f t="shared" si="22"/>
        <v>8</v>
      </c>
      <c r="AK83" s="36">
        <f t="shared" si="22"/>
        <v>16</v>
      </c>
      <c r="AL83" s="36">
        <f t="shared" si="22"/>
        <v>0</v>
      </c>
      <c r="AM83" s="36">
        <f t="shared" si="22"/>
        <v>95</v>
      </c>
      <c r="AN83" s="36">
        <f t="shared" si="22"/>
        <v>0</v>
      </c>
      <c r="AO83" s="36">
        <f t="shared" si="22"/>
        <v>0</v>
      </c>
      <c r="AP83" s="36">
        <f t="shared" si="22"/>
        <v>0</v>
      </c>
      <c r="AQ83" s="36">
        <f t="shared" si="22"/>
        <v>55</v>
      </c>
      <c r="AR83" s="36">
        <f t="shared" si="22"/>
        <v>0</v>
      </c>
      <c r="AS83" s="36">
        <f t="shared" si="22"/>
        <v>45</v>
      </c>
      <c r="AT83" s="36">
        <f t="shared" si="22"/>
        <v>0</v>
      </c>
      <c r="AU83" s="36">
        <f t="shared" si="22"/>
        <v>0</v>
      </c>
      <c r="AV83" s="36">
        <f t="shared" si="22"/>
        <v>0</v>
      </c>
      <c r="AW83" s="36">
        <f t="shared" si="22"/>
        <v>0</v>
      </c>
      <c r="AX83" s="36">
        <f t="shared" si="22"/>
        <v>0</v>
      </c>
      <c r="AY83" s="36">
        <f t="shared" si="22"/>
        <v>0</v>
      </c>
      <c r="AZ83" s="36">
        <f t="shared" si="22"/>
        <v>0</v>
      </c>
      <c r="BA83" s="36">
        <f t="shared" si="22"/>
        <v>0</v>
      </c>
      <c r="BB83" s="36">
        <f t="shared" si="22"/>
        <v>0</v>
      </c>
      <c r="BC83" s="36">
        <f t="shared" si="22"/>
        <v>0</v>
      </c>
      <c r="BD83" s="36">
        <f t="shared" si="22"/>
        <v>0</v>
      </c>
      <c r="BE83" s="36">
        <f t="shared" si="22"/>
        <v>107</v>
      </c>
      <c r="BF83" s="36">
        <f t="shared" si="22"/>
        <v>0</v>
      </c>
      <c r="BG83" s="36">
        <f t="shared" si="22"/>
        <v>0</v>
      </c>
      <c r="BH83" s="36">
        <f t="shared" si="22"/>
        <v>0</v>
      </c>
      <c r="BI83" s="36">
        <f t="shared" si="22"/>
        <v>0</v>
      </c>
      <c r="BJ83" s="36">
        <f t="shared" si="22"/>
        <v>0</v>
      </c>
      <c r="BK83" s="36">
        <f t="shared" si="22"/>
        <v>0</v>
      </c>
      <c r="BL83" s="36">
        <f t="shared" si="22"/>
        <v>0</v>
      </c>
      <c r="BM83" s="36">
        <f t="shared" si="22"/>
        <v>0</v>
      </c>
      <c r="BN83" s="36">
        <f t="shared" si="22"/>
        <v>0</v>
      </c>
      <c r="BO83" s="36">
        <f t="shared" si="22"/>
        <v>0</v>
      </c>
      <c r="BP83" s="36">
        <f t="shared" ref="BP83" si="23">SUM(BP74:BP81)</f>
        <v>0</v>
      </c>
    </row>
    <row r="84" spans="1:68" x14ac:dyDescent="0.35">
      <c r="A84" s="45"/>
      <c r="B84" s="37"/>
      <c r="C84" s="122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</row>
    <row r="85" spans="1:68" x14ac:dyDescent="0.35">
      <c r="A85" s="47" t="s">
        <v>93</v>
      </c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</row>
    <row r="86" spans="1:68" x14ac:dyDescent="0.35">
      <c r="A86" t="s">
        <v>223</v>
      </c>
      <c r="B86" s="37">
        <f t="shared" ref="B86:B98" si="24">SUM(C86:BP86)</f>
        <v>2451</v>
      </c>
      <c r="C86" s="35">
        <v>1954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>
        <v>130</v>
      </c>
      <c r="V86" s="35"/>
      <c r="W86" s="35"/>
      <c r="X86" s="35"/>
      <c r="Y86" s="35"/>
      <c r="Z86" s="35"/>
      <c r="AA86" s="35"/>
      <c r="AB86" s="35"/>
      <c r="AC86" s="35"/>
      <c r="AD86" s="35">
        <v>367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</row>
    <row r="87" spans="1:68" x14ac:dyDescent="0.35">
      <c r="A87" t="s">
        <v>99</v>
      </c>
      <c r="B87" s="37">
        <f t="shared" si="24"/>
        <v>151</v>
      </c>
      <c r="C87" s="35">
        <v>20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>
        <v>101</v>
      </c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>
        <v>30</v>
      </c>
      <c r="BK87" s="35"/>
      <c r="BL87" s="35"/>
      <c r="BM87" s="35"/>
      <c r="BN87" s="35"/>
      <c r="BO87" s="35"/>
      <c r="BP87" s="35"/>
    </row>
    <row r="88" spans="1:68" x14ac:dyDescent="0.35">
      <c r="A88" t="s">
        <v>225</v>
      </c>
      <c r="B88" s="37">
        <f t="shared" si="24"/>
        <v>1035</v>
      </c>
      <c r="C88" s="35">
        <v>905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>
        <v>130</v>
      </c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</row>
    <row r="89" spans="1:68" x14ac:dyDescent="0.35">
      <c r="A89" t="s">
        <v>226</v>
      </c>
      <c r="B89" s="37">
        <f t="shared" si="24"/>
        <v>715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>
        <v>715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</row>
    <row r="90" spans="1:68" x14ac:dyDescent="0.35">
      <c r="A90" t="s">
        <v>237</v>
      </c>
      <c r="B90" s="37">
        <f t="shared" si="24"/>
        <v>386</v>
      </c>
      <c r="C90" s="35">
        <v>386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</row>
    <row r="91" spans="1:68" x14ac:dyDescent="0.35">
      <c r="A91" t="s">
        <v>100</v>
      </c>
      <c r="B91" s="37">
        <f t="shared" si="24"/>
        <v>1837</v>
      </c>
      <c r="C91" s="35">
        <v>1837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</row>
    <row r="92" spans="1:68" x14ac:dyDescent="0.35">
      <c r="A92" t="s">
        <v>228</v>
      </c>
      <c r="B92" s="37">
        <f t="shared" si="24"/>
        <v>74</v>
      </c>
      <c r="C92" s="35">
        <v>74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</row>
    <row r="93" spans="1:68" x14ac:dyDescent="0.35">
      <c r="A93" t="s">
        <v>229</v>
      </c>
      <c r="B93" s="37">
        <f t="shared" si="24"/>
        <v>47282</v>
      </c>
      <c r="C93" s="35">
        <v>32823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>
        <v>814</v>
      </c>
      <c r="V93" s="35"/>
      <c r="W93" s="35"/>
      <c r="X93" s="35"/>
      <c r="Y93" s="35"/>
      <c r="Z93" s="35"/>
      <c r="AA93" s="35"/>
      <c r="AB93" s="35"/>
      <c r="AC93" s="35"/>
      <c r="AD93" s="35">
        <v>13645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</row>
    <row r="94" spans="1:68" x14ac:dyDescent="0.35">
      <c r="A94" t="s">
        <v>101</v>
      </c>
      <c r="B94" s="37">
        <f t="shared" si="24"/>
        <v>170</v>
      </c>
      <c r="C94" s="35">
        <v>170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</row>
    <row r="95" spans="1:68" x14ac:dyDescent="0.35">
      <c r="A95" t="s">
        <v>231</v>
      </c>
      <c r="B95" s="37">
        <f t="shared" si="24"/>
        <v>1130</v>
      </c>
      <c r="C95" s="35">
        <v>948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>
        <v>182</v>
      </c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</row>
    <row r="96" spans="1:68" x14ac:dyDescent="0.35">
      <c r="A96" t="s">
        <v>232</v>
      </c>
      <c r="B96" s="37">
        <f t="shared" si="24"/>
        <v>314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>
        <v>314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</row>
    <row r="97" spans="1:68" x14ac:dyDescent="0.35">
      <c r="A97" t="s">
        <v>238</v>
      </c>
      <c r="B97" s="37">
        <f t="shared" si="24"/>
        <v>439</v>
      </c>
      <c r="C97" s="35">
        <v>439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</row>
    <row r="98" spans="1:68" x14ac:dyDescent="0.35">
      <c r="A98" t="s">
        <v>234</v>
      </c>
      <c r="B98" s="37">
        <f t="shared" si="24"/>
        <v>1966</v>
      </c>
      <c r="C98" s="35">
        <v>1966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</row>
    <row r="99" spans="1:68" x14ac:dyDescent="0.35">
      <c r="A99" s="48" t="s">
        <v>123</v>
      </c>
      <c r="B99" s="36">
        <f t="shared" ref="B99:BM99" si="25">SUM(B86:B98)</f>
        <v>57950</v>
      </c>
      <c r="C99" s="36">
        <f t="shared" si="25"/>
        <v>41522</v>
      </c>
      <c r="D99" s="36">
        <f t="shared" si="25"/>
        <v>0</v>
      </c>
      <c r="E99" s="36">
        <f t="shared" si="25"/>
        <v>0</v>
      </c>
      <c r="F99" s="36">
        <f t="shared" si="25"/>
        <v>0</v>
      </c>
      <c r="G99" s="36">
        <f t="shared" si="25"/>
        <v>0</v>
      </c>
      <c r="H99" s="36">
        <f t="shared" si="25"/>
        <v>0</v>
      </c>
      <c r="I99" s="36">
        <f t="shared" si="25"/>
        <v>0</v>
      </c>
      <c r="J99" s="36">
        <f t="shared" si="25"/>
        <v>0</v>
      </c>
      <c r="K99" s="36">
        <f t="shared" si="25"/>
        <v>0</v>
      </c>
      <c r="L99" s="36">
        <f t="shared" si="25"/>
        <v>0</v>
      </c>
      <c r="M99" s="36">
        <f t="shared" si="25"/>
        <v>0</v>
      </c>
      <c r="N99" s="36">
        <f t="shared" si="25"/>
        <v>0</v>
      </c>
      <c r="O99" s="36">
        <f t="shared" si="25"/>
        <v>0</v>
      </c>
      <c r="P99" s="36">
        <f t="shared" si="25"/>
        <v>0</v>
      </c>
      <c r="Q99" s="36">
        <f t="shared" si="25"/>
        <v>0</v>
      </c>
      <c r="R99" s="36">
        <f t="shared" si="25"/>
        <v>0</v>
      </c>
      <c r="S99" s="36">
        <f t="shared" si="25"/>
        <v>0</v>
      </c>
      <c r="T99" s="36">
        <f t="shared" si="25"/>
        <v>0</v>
      </c>
      <c r="U99" s="36">
        <f t="shared" si="25"/>
        <v>944</v>
      </c>
      <c r="V99" s="36">
        <f t="shared" si="25"/>
        <v>0</v>
      </c>
      <c r="W99" s="36">
        <f t="shared" si="25"/>
        <v>0</v>
      </c>
      <c r="X99" s="36">
        <f t="shared" si="25"/>
        <v>0</v>
      </c>
      <c r="Y99" s="36">
        <f t="shared" si="25"/>
        <v>0</v>
      </c>
      <c r="Z99" s="36">
        <f t="shared" si="25"/>
        <v>0</v>
      </c>
      <c r="AA99" s="36">
        <f t="shared" si="25"/>
        <v>0</v>
      </c>
      <c r="AB99" s="36">
        <f t="shared" si="25"/>
        <v>0</v>
      </c>
      <c r="AC99" s="36">
        <f t="shared" si="25"/>
        <v>0</v>
      </c>
      <c r="AD99" s="36">
        <f t="shared" si="25"/>
        <v>15171</v>
      </c>
      <c r="AE99" s="36">
        <f t="shared" si="25"/>
        <v>0</v>
      </c>
      <c r="AF99" s="36">
        <f t="shared" si="25"/>
        <v>0</v>
      </c>
      <c r="AG99" s="36">
        <f t="shared" si="25"/>
        <v>0</v>
      </c>
      <c r="AH99" s="36">
        <f t="shared" si="25"/>
        <v>0</v>
      </c>
      <c r="AI99" s="36">
        <f t="shared" si="25"/>
        <v>0</v>
      </c>
      <c r="AJ99" s="36">
        <f t="shared" si="25"/>
        <v>101</v>
      </c>
      <c r="AK99" s="36">
        <f t="shared" si="25"/>
        <v>182</v>
      </c>
      <c r="AL99" s="36">
        <f t="shared" si="25"/>
        <v>0</v>
      </c>
      <c r="AM99" s="36">
        <f t="shared" si="25"/>
        <v>0</v>
      </c>
      <c r="AN99" s="36">
        <f t="shared" si="25"/>
        <v>0</v>
      </c>
      <c r="AO99" s="36">
        <f t="shared" si="25"/>
        <v>0</v>
      </c>
      <c r="AP99" s="36">
        <f t="shared" si="25"/>
        <v>0</v>
      </c>
      <c r="AQ99" s="36">
        <f t="shared" si="25"/>
        <v>0</v>
      </c>
      <c r="AR99" s="36">
        <f t="shared" si="25"/>
        <v>0</v>
      </c>
      <c r="AS99" s="36">
        <f t="shared" si="25"/>
        <v>0</v>
      </c>
      <c r="AT99" s="36">
        <f t="shared" si="25"/>
        <v>0</v>
      </c>
      <c r="AU99" s="36">
        <f t="shared" si="25"/>
        <v>0</v>
      </c>
      <c r="AV99" s="36">
        <f t="shared" si="25"/>
        <v>0</v>
      </c>
      <c r="AW99" s="36">
        <f t="shared" si="25"/>
        <v>0</v>
      </c>
      <c r="AX99" s="36">
        <f t="shared" si="25"/>
        <v>0</v>
      </c>
      <c r="AY99" s="36">
        <f t="shared" si="25"/>
        <v>0</v>
      </c>
      <c r="AZ99" s="36">
        <f t="shared" si="25"/>
        <v>0</v>
      </c>
      <c r="BA99" s="36">
        <f t="shared" si="25"/>
        <v>0</v>
      </c>
      <c r="BB99" s="36">
        <f t="shared" si="25"/>
        <v>0</v>
      </c>
      <c r="BC99" s="36">
        <f t="shared" si="25"/>
        <v>0</v>
      </c>
      <c r="BD99" s="36">
        <f t="shared" si="25"/>
        <v>0</v>
      </c>
      <c r="BE99" s="36">
        <f t="shared" si="25"/>
        <v>0</v>
      </c>
      <c r="BF99" s="36">
        <f t="shared" si="25"/>
        <v>0</v>
      </c>
      <c r="BG99" s="36">
        <f t="shared" si="25"/>
        <v>0</v>
      </c>
      <c r="BH99" s="36">
        <f t="shared" si="25"/>
        <v>0</v>
      </c>
      <c r="BI99" s="36">
        <f t="shared" si="25"/>
        <v>0</v>
      </c>
      <c r="BJ99" s="36">
        <f t="shared" si="25"/>
        <v>30</v>
      </c>
      <c r="BK99" s="36">
        <f t="shared" si="25"/>
        <v>0</v>
      </c>
      <c r="BL99" s="36">
        <f t="shared" si="25"/>
        <v>0</v>
      </c>
      <c r="BM99" s="36">
        <f t="shared" si="25"/>
        <v>0</v>
      </c>
      <c r="BN99" s="36">
        <f t="shared" ref="BN99:BP99" si="26">SUM(BN86:BN98)</f>
        <v>0</v>
      </c>
      <c r="BO99" s="36">
        <f t="shared" si="26"/>
        <v>0</v>
      </c>
      <c r="BP99" s="36">
        <f t="shared" si="26"/>
        <v>0</v>
      </c>
    </row>
    <row r="100" spans="1:68" x14ac:dyDescent="0.35">
      <c r="A100" s="45"/>
      <c r="B100" s="37"/>
      <c r="C100" s="122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</row>
    <row r="101" spans="1:68" x14ac:dyDescent="0.35">
      <c r="A101" s="47" t="s">
        <v>94</v>
      </c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</row>
    <row r="102" spans="1:68" x14ac:dyDescent="0.35">
      <c r="A102" t="s">
        <v>223</v>
      </c>
      <c r="B102" s="37">
        <f t="shared" ref="B102:B109" si="27">SUM(C102:BP102)</f>
        <v>0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</row>
    <row r="103" spans="1:68" x14ac:dyDescent="0.35">
      <c r="A103" t="s">
        <v>99</v>
      </c>
      <c r="B103" s="37">
        <f t="shared" si="27"/>
        <v>75</v>
      </c>
      <c r="C103" s="35">
        <v>75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</row>
    <row r="104" spans="1:68" x14ac:dyDescent="0.35">
      <c r="A104" t="s">
        <v>225</v>
      </c>
      <c r="B104" s="37">
        <f t="shared" si="27"/>
        <v>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</row>
    <row r="105" spans="1:68" x14ac:dyDescent="0.35">
      <c r="A105" t="s">
        <v>239</v>
      </c>
      <c r="B105" s="37">
        <f t="shared" si="27"/>
        <v>258</v>
      </c>
      <c r="C105" s="35">
        <v>187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>
        <v>71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</row>
    <row r="106" spans="1:68" x14ac:dyDescent="0.35">
      <c r="A106" t="s">
        <v>229</v>
      </c>
      <c r="B106" s="37">
        <f t="shared" si="27"/>
        <v>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</row>
    <row r="107" spans="1:68" x14ac:dyDescent="0.35">
      <c r="A107" t="s">
        <v>240</v>
      </c>
      <c r="B107" s="37">
        <f t="shared" si="27"/>
        <v>150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>
        <v>150</v>
      </c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</row>
    <row r="108" spans="1:68" x14ac:dyDescent="0.35">
      <c r="A108" t="s">
        <v>141</v>
      </c>
      <c r="B108" s="37">
        <f t="shared" si="27"/>
        <v>635</v>
      </c>
      <c r="C108" s="35">
        <v>635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</row>
    <row r="109" spans="1:68" x14ac:dyDescent="0.35">
      <c r="A109" t="s">
        <v>232</v>
      </c>
      <c r="B109" s="37">
        <f t="shared" si="27"/>
        <v>770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>
        <v>770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</row>
    <row r="110" spans="1:68" x14ac:dyDescent="0.35">
      <c r="A110" s="48" t="s">
        <v>124</v>
      </c>
      <c r="B110" s="36">
        <f t="shared" ref="B110:BM110" si="28">SUM(B102:B109)</f>
        <v>1888</v>
      </c>
      <c r="C110" s="36">
        <f t="shared" si="28"/>
        <v>897</v>
      </c>
      <c r="D110" s="36">
        <f t="shared" si="28"/>
        <v>0</v>
      </c>
      <c r="E110" s="36">
        <f t="shared" si="28"/>
        <v>0</v>
      </c>
      <c r="F110" s="36">
        <f t="shared" si="28"/>
        <v>0</v>
      </c>
      <c r="G110" s="36">
        <f t="shared" si="28"/>
        <v>0</v>
      </c>
      <c r="H110" s="36">
        <f t="shared" si="28"/>
        <v>0</v>
      </c>
      <c r="I110" s="36">
        <f t="shared" si="28"/>
        <v>0</v>
      </c>
      <c r="J110" s="36">
        <f t="shared" si="28"/>
        <v>0</v>
      </c>
      <c r="K110" s="36">
        <f t="shared" si="28"/>
        <v>0</v>
      </c>
      <c r="L110" s="36">
        <f t="shared" si="28"/>
        <v>0</v>
      </c>
      <c r="M110" s="36">
        <f t="shared" si="28"/>
        <v>0</v>
      </c>
      <c r="N110" s="36">
        <f t="shared" si="28"/>
        <v>0</v>
      </c>
      <c r="O110" s="36">
        <f t="shared" si="28"/>
        <v>0</v>
      </c>
      <c r="P110" s="36">
        <f t="shared" si="28"/>
        <v>0</v>
      </c>
      <c r="Q110" s="36">
        <f t="shared" si="28"/>
        <v>0</v>
      </c>
      <c r="R110" s="36">
        <f t="shared" si="28"/>
        <v>0</v>
      </c>
      <c r="S110" s="36">
        <f t="shared" si="28"/>
        <v>0</v>
      </c>
      <c r="T110" s="36">
        <f t="shared" si="28"/>
        <v>0</v>
      </c>
      <c r="U110" s="36">
        <f t="shared" si="28"/>
        <v>0</v>
      </c>
      <c r="V110" s="36">
        <f t="shared" si="28"/>
        <v>0</v>
      </c>
      <c r="W110" s="36">
        <f t="shared" si="28"/>
        <v>0</v>
      </c>
      <c r="X110" s="36">
        <f t="shared" si="28"/>
        <v>0</v>
      </c>
      <c r="Y110" s="36">
        <f t="shared" si="28"/>
        <v>0</v>
      </c>
      <c r="Z110" s="36">
        <f t="shared" si="28"/>
        <v>0</v>
      </c>
      <c r="AA110" s="36">
        <f t="shared" si="28"/>
        <v>0</v>
      </c>
      <c r="AB110" s="36">
        <f t="shared" si="28"/>
        <v>0</v>
      </c>
      <c r="AC110" s="36">
        <f t="shared" si="28"/>
        <v>0</v>
      </c>
      <c r="AD110" s="36">
        <f t="shared" si="28"/>
        <v>770</v>
      </c>
      <c r="AE110" s="36">
        <f t="shared" si="28"/>
        <v>0</v>
      </c>
      <c r="AF110" s="36">
        <f t="shared" si="28"/>
        <v>0</v>
      </c>
      <c r="AG110" s="36">
        <f t="shared" si="28"/>
        <v>0</v>
      </c>
      <c r="AH110" s="36">
        <f t="shared" si="28"/>
        <v>0</v>
      </c>
      <c r="AI110" s="36">
        <f t="shared" si="28"/>
        <v>0</v>
      </c>
      <c r="AJ110" s="36">
        <f t="shared" si="28"/>
        <v>0</v>
      </c>
      <c r="AK110" s="36">
        <f t="shared" si="28"/>
        <v>150</v>
      </c>
      <c r="AL110" s="36">
        <f t="shared" si="28"/>
        <v>0</v>
      </c>
      <c r="AM110" s="36">
        <f t="shared" si="28"/>
        <v>0</v>
      </c>
      <c r="AN110" s="36">
        <f t="shared" si="28"/>
        <v>0</v>
      </c>
      <c r="AO110" s="36">
        <f t="shared" si="28"/>
        <v>0</v>
      </c>
      <c r="AP110" s="36">
        <f t="shared" si="28"/>
        <v>0</v>
      </c>
      <c r="AQ110" s="36">
        <f t="shared" si="28"/>
        <v>0</v>
      </c>
      <c r="AR110" s="36">
        <f t="shared" si="28"/>
        <v>0</v>
      </c>
      <c r="AS110" s="36">
        <f t="shared" si="28"/>
        <v>0</v>
      </c>
      <c r="AT110" s="36">
        <f t="shared" si="28"/>
        <v>0</v>
      </c>
      <c r="AU110" s="36">
        <f t="shared" si="28"/>
        <v>0</v>
      </c>
      <c r="AV110" s="36">
        <f t="shared" si="28"/>
        <v>0</v>
      </c>
      <c r="AW110" s="36">
        <f t="shared" si="28"/>
        <v>0</v>
      </c>
      <c r="AX110" s="36">
        <f t="shared" si="28"/>
        <v>0</v>
      </c>
      <c r="AY110" s="36">
        <f t="shared" si="28"/>
        <v>0</v>
      </c>
      <c r="AZ110" s="36">
        <f t="shared" si="28"/>
        <v>0</v>
      </c>
      <c r="BA110" s="36">
        <f t="shared" si="28"/>
        <v>71</v>
      </c>
      <c r="BB110" s="36">
        <f t="shared" si="28"/>
        <v>0</v>
      </c>
      <c r="BC110" s="36">
        <f t="shared" si="28"/>
        <v>0</v>
      </c>
      <c r="BD110" s="36">
        <f t="shared" si="28"/>
        <v>0</v>
      </c>
      <c r="BE110" s="36">
        <f t="shared" si="28"/>
        <v>0</v>
      </c>
      <c r="BF110" s="36">
        <f t="shared" si="28"/>
        <v>0</v>
      </c>
      <c r="BG110" s="36">
        <f t="shared" si="28"/>
        <v>0</v>
      </c>
      <c r="BH110" s="36">
        <f t="shared" si="28"/>
        <v>0</v>
      </c>
      <c r="BI110" s="36">
        <f t="shared" si="28"/>
        <v>0</v>
      </c>
      <c r="BJ110" s="36">
        <f t="shared" si="28"/>
        <v>0</v>
      </c>
      <c r="BK110" s="36">
        <f t="shared" si="28"/>
        <v>0</v>
      </c>
      <c r="BL110" s="36">
        <f t="shared" si="28"/>
        <v>0</v>
      </c>
      <c r="BM110" s="36">
        <f t="shared" si="28"/>
        <v>0</v>
      </c>
      <c r="BN110" s="36">
        <f t="shared" ref="BN110:BP110" si="29">SUM(BN102:BN109)</f>
        <v>0</v>
      </c>
      <c r="BO110" s="36">
        <f t="shared" si="29"/>
        <v>0</v>
      </c>
      <c r="BP110" s="36">
        <f t="shared" si="29"/>
        <v>0</v>
      </c>
    </row>
    <row r="111" spans="1:68" x14ac:dyDescent="0.35">
      <c r="A111" s="45"/>
      <c r="B111" s="37"/>
      <c r="C111" s="122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</row>
    <row r="112" spans="1:68" x14ac:dyDescent="0.35">
      <c r="A112" s="47" t="s">
        <v>142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</row>
    <row r="113" spans="1:68" x14ac:dyDescent="0.35">
      <c r="A113" t="s">
        <v>99</v>
      </c>
      <c r="B113" s="37">
        <f t="shared" ref="B113:B114" si="30">SUM(C113:BP113)</f>
        <v>65</v>
      </c>
      <c r="C113" s="35">
        <v>65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</row>
    <row r="114" spans="1:68" x14ac:dyDescent="0.35">
      <c r="A114" t="s">
        <v>141</v>
      </c>
      <c r="B114" s="37">
        <f t="shared" si="30"/>
        <v>214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>
        <v>214</v>
      </c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</row>
    <row r="115" spans="1:68" x14ac:dyDescent="0.35">
      <c r="A115" s="48" t="s">
        <v>143</v>
      </c>
      <c r="B115" s="36">
        <f t="shared" ref="B115:BM115" si="31">SUM(B113:B114)</f>
        <v>279</v>
      </c>
      <c r="C115" s="36">
        <f t="shared" si="31"/>
        <v>65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  <c r="Q115" s="36">
        <f t="shared" si="31"/>
        <v>0</v>
      </c>
      <c r="R115" s="36">
        <f t="shared" si="31"/>
        <v>0</v>
      </c>
      <c r="S115" s="36">
        <f t="shared" si="31"/>
        <v>0</v>
      </c>
      <c r="T115" s="36">
        <f t="shared" si="31"/>
        <v>0</v>
      </c>
      <c r="U115" s="36">
        <f t="shared" si="31"/>
        <v>0</v>
      </c>
      <c r="V115" s="36">
        <f t="shared" si="31"/>
        <v>0</v>
      </c>
      <c r="W115" s="36">
        <f t="shared" si="31"/>
        <v>0</v>
      </c>
      <c r="X115" s="36">
        <f t="shared" si="31"/>
        <v>0</v>
      </c>
      <c r="Y115" s="36">
        <f t="shared" si="31"/>
        <v>0</v>
      </c>
      <c r="Z115" s="36">
        <f t="shared" si="31"/>
        <v>0</v>
      </c>
      <c r="AA115" s="36">
        <f t="shared" si="31"/>
        <v>0</v>
      </c>
      <c r="AB115" s="36">
        <f t="shared" si="31"/>
        <v>0</v>
      </c>
      <c r="AC115" s="36">
        <f t="shared" si="31"/>
        <v>0</v>
      </c>
      <c r="AD115" s="36">
        <f t="shared" si="31"/>
        <v>0</v>
      </c>
      <c r="AE115" s="36">
        <f t="shared" si="31"/>
        <v>0</v>
      </c>
      <c r="AF115" s="36">
        <f t="shared" si="31"/>
        <v>0</v>
      </c>
      <c r="AG115" s="36">
        <f t="shared" si="31"/>
        <v>0</v>
      </c>
      <c r="AH115" s="36">
        <f t="shared" si="31"/>
        <v>0</v>
      </c>
      <c r="AI115" s="36">
        <f t="shared" si="31"/>
        <v>0</v>
      </c>
      <c r="AJ115" s="36">
        <f t="shared" si="31"/>
        <v>0</v>
      </c>
      <c r="AK115" s="36">
        <f t="shared" si="31"/>
        <v>0</v>
      </c>
      <c r="AL115" s="36">
        <f t="shared" si="31"/>
        <v>0</v>
      </c>
      <c r="AM115" s="36">
        <f t="shared" si="31"/>
        <v>0</v>
      </c>
      <c r="AN115" s="36">
        <f t="shared" si="31"/>
        <v>0</v>
      </c>
      <c r="AO115" s="36">
        <f t="shared" si="31"/>
        <v>0</v>
      </c>
      <c r="AP115" s="36">
        <f t="shared" si="31"/>
        <v>0</v>
      </c>
      <c r="AQ115" s="36">
        <f t="shared" si="31"/>
        <v>0</v>
      </c>
      <c r="AR115" s="36">
        <f t="shared" si="31"/>
        <v>214</v>
      </c>
      <c r="AS115" s="36">
        <f t="shared" si="31"/>
        <v>0</v>
      </c>
      <c r="AT115" s="36">
        <f t="shared" si="31"/>
        <v>0</v>
      </c>
      <c r="AU115" s="36">
        <f t="shared" si="31"/>
        <v>0</v>
      </c>
      <c r="AV115" s="36">
        <f t="shared" si="31"/>
        <v>0</v>
      </c>
      <c r="AW115" s="36">
        <f t="shared" si="31"/>
        <v>0</v>
      </c>
      <c r="AX115" s="36">
        <f t="shared" si="31"/>
        <v>0</v>
      </c>
      <c r="AY115" s="36">
        <f t="shared" si="31"/>
        <v>0</v>
      </c>
      <c r="AZ115" s="36">
        <f t="shared" si="31"/>
        <v>0</v>
      </c>
      <c r="BA115" s="36">
        <f t="shared" si="31"/>
        <v>0</v>
      </c>
      <c r="BB115" s="36">
        <f t="shared" si="31"/>
        <v>0</v>
      </c>
      <c r="BC115" s="36">
        <f t="shared" si="31"/>
        <v>0</v>
      </c>
      <c r="BD115" s="36">
        <f t="shared" si="31"/>
        <v>0</v>
      </c>
      <c r="BE115" s="36">
        <f t="shared" si="31"/>
        <v>0</v>
      </c>
      <c r="BF115" s="36">
        <f t="shared" si="31"/>
        <v>0</v>
      </c>
      <c r="BG115" s="36">
        <f t="shared" si="31"/>
        <v>0</v>
      </c>
      <c r="BH115" s="36">
        <f t="shared" si="31"/>
        <v>0</v>
      </c>
      <c r="BI115" s="36">
        <f t="shared" si="31"/>
        <v>0</v>
      </c>
      <c r="BJ115" s="36">
        <f t="shared" si="31"/>
        <v>0</v>
      </c>
      <c r="BK115" s="36">
        <f t="shared" si="31"/>
        <v>0</v>
      </c>
      <c r="BL115" s="36">
        <f t="shared" si="31"/>
        <v>0</v>
      </c>
      <c r="BM115" s="36">
        <f t="shared" si="31"/>
        <v>0</v>
      </c>
      <c r="BN115" s="36">
        <f t="shared" ref="BN115:BP115" si="32">SUM(BN113:BN114)</f>
        <v>0</v>
      </c>
      <c r="BO115" s="36">
        <f t="shared" si="32"/>
        <v>0</v>
      </c>
      <c r="BP115" s="36">
        <f t="shared" si="32"/>
        <v>0</v>
      </c>
    </row>
    <row r="116" spans="1:68" x14ac:dyDescent="0.35">
      <c r="A116" s="45"/>
      <c r="B116" s="37"/>
      <c r="C116" s="12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</row>
    <row r="117" spans="1:68" x14ac:dyDescent="0.35">
      <c r="A117" s="47" t="s">
        <v>144</v>
      </c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</row>
    <row r="118" spans="1:68" x14ac:dyDescent="0.35">
      <c r="A118" t="s">
        <v>102</v>
      </c>
      <c r="B118" s="3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</row>
    <row r="119" spans="1:68" x14ac:dyDescent="0.35">
      <c r="A119" t="s">
        <v>99</v>
      </c>
      <c r="B119" s="3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</row>
    <row r="120" spans="1:68" x14ac:dyDescent="0.35">
      <c r="A120" t="s">
        <v>100</v>
      </c>
      <c r="B120" s="3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</row>
    <row r="121" spans="1:68" x14ac:dyDescent="0.35">
      <c r="A121" t="s">
        <v>141</v>
      </c>
      <c r="B121" s="3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</row>
    <row r="122" spans="1:68" x14ac:dyDescent="0.35">
      <c r="A122" t="s">
        <v>101</v>
      </c>
      <c r="B122" s="3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</row>
    <row r="123" spans="1:68" x14ac:dyDescent="0.35">
      <c r="A123" t="s">
        <v>103</v>
      </c>
      <c r="B123" s="3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</row>
    <row r="124" spans="1:68" x14ac:dyDescent="0.35">
      <c r="A124" s="48" t="s">
        <v>145</v>
      </c>
      <c r="B124" s="36">
        <f t="shared" ref="B124:BM124" si="33">SUM(B118:B123)</f>
        <v>0</v>
      </c>
      <c r="C124" s="36">
        <f t="shared" si="33"/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  <c r="Q124" s="36">
        <f t="shared" si="33"/>
        <v>0</v>
      </c>
      <c r="R124" s="36">
        <f t="shared" si="33"/>
        <v>0</v>
      </c>
      <c r="S124" s="36">
        <f t="shared" si="33"/>
        <v>0</v>
      </c>
      <c r="T124" s="36">
        <f t="shared" si="33"/>
        <v>0</v>
      </c>
      <c r="U124" s="36">
        <f t="shared" si="33"/>
        <v>0</v>
      </c>
      <c r="V124" s="36">
        <f t="shared" si="33"/>
        <v>0</v>
      </c>
      <c r="W124" s="36">
        <f t="shared" si="33"/>
        <v>0</v>
      </c>
      <c r="X124" s="36">
        <f t="shared" si="33"/>
        <v>0</v>
      </c>
      <c r="Y124" s="36">
        <f t="shared" si="33"/>
        <v>0</v>
      </c>
      <c r="Z124" s="36">
        <f t="shared" si="33"/>
        <v>0</v>
      </c>
      <c r="AA124" s="36">
        <f t="shared" si="33"/>
        <v>0</v>
      </c>
      <c r="AB124" s="36">
        <f t="shared" si="33"/>
        <v>0</v>
      </c>
      <c r="AC124" s="36">
        <f t="shared" si="33"/>
        <v>0</v>
      </c>
      <c r="AD124" s="36">
        <f t="shared" si="33"/>
        <v>0</v>
      </c>
      <c r="AE124" s="36">
        <f t="shared" si="33"/>
        <v>0</v>
      </c>
      <c r="AF124" s="36">
        <f t="shared" si="33"/>
        <v>0</v>
      </c>
      <c r="AG124" s="36">
        <f t="shared" si="33"/>
        <v>0</v>
      </c>
      <c r="AH124" s="36">
        <f t="shared" si="33"/>
        <v>0</v>
      </c>
      <c r="AI124" s="36">
        <f t="shared" si="33"/>
        <v>0</v>
      </c>
      <c r="AJ124" s="36">
        <f t="shared" si="33"/>
        <v>0</v>
      </c>
      <c r="AK124" s="36">
        <f t="shared" si="33"/>
        <v>0</v>
      </c>
      <c r="AL124" s="36">
        <f t="shared" si="33"/>
        <v>0</v>
      </c>
      <c r="AM124" s="36">
        <f t="shared" si="33"/>
        <v>0</v>
      </c>
      <c r="AN124" s="36">
        <f t="shared" si="33"/>
        <v>0</v>
      </c>
      <c r="AO124" s="36">
        <f t="shared" si="33"/>
        <v>0</v>
      </c>
      <c r="AP124" s="36">
        <f t="shared" si="33"/>
        <v>0</v>
      </c>
      <c r="AQ124" s="36">
        <f t="shared" si="33"/>
        <v>0</v>
      </c>
      <c r="AR124" s="36">
        <f t="shared" si="33"/>
        <v>0</v>
      </c>
      <c r="AS124" s="36">
        <f t="shared" si="33"/>
        <v>0</v>
      </c>
      <c r="AT124" s="36">
        <f t="shared" si="33"/>
        <v>0</v>
      </c>
      <c r="AU124" s="36">
        <f t="shared" si="33"/>
        <v>0</v>
      </c>
      <c r="AV124" s="36">
        <f t="shared" si="33"/>
        <v>0</v>
      </c>
      <c r="AW124" s="36">
        <f t="shared" si="33"/>
        <v>0</v>
      </c>
      <c r="AX124" s="36">
        <f t="shared" si="33"/>
        <v>0</v>
      </c>
      <c r="AY124" s="36">
        <f t="shared" si="33"/>
        <v>0</v>
      </c>
      <c r="AZ124" s="36">
        <f t="shared" si="33"/>
        <v>0</v>
      </c>
      <c r="BA124" s="36">
        <f t="shared" si="33"/>
        <v>0</v>
      </c>
      <c r="BB124" s="36">
        <f t="shared" si="33"/>
        <v>0</v>
      </c>
      <c r="BC124" s="36">
        <f t="shared" si="33"/>
        <v>0</v>
      </c>
      <c r="BD124" s="36">
        <f t="shared" si="33"/>
        <v>0</v>
      </c>
      <c r="BE124" s="36">
        <f t="shared" si="33"/>
        <v>0</v>
      </c>
      <c r="BF124" s="36">
        <f t="shared" si="33"/>
        <v>0</v>
      </c>
      <c r="BG124" s="36">
        <f t="shared" si="33"/>
        <v>0</v>
      </c>
      <c r="BH124" s="36">
        <f t="shared" si="33"/>
        <v>0</v>
      </c>
      <c r="BI124" s="36">
        <f t="shared" si="33"/>
        <v>0</v>
      </c>
      <c r="BJ124" s="36">
        <f t="shared" si="33"/>
        <v>0</v>
      </c>
      <c r="BK124" s="36">
        <f t="shared" si="33"/>
        <v>0</v>
      </c>
      <c r="BL124" s="36">
        <f t="shared" si="33"/>
        <v>0</v>
      </c>
      <c r="BM124" s="36">
        <f t="shared" si="33"/>
        <v>0</v>
      </c>
      <c r="BN124" s="36">
        <f t="shared" ref="BN124:BP124" si="34">SUM(BN118:BN123)</f>
        <v>0</v>
      </c>
      <c r="BO124" s="36">
        <f t="shared" si="34"/>
        <v>0</v>
      </c>
      <c r="BP124" s="36">
        <f t="shared" si="34"/>
        <v>0</v>
      </c>
    </row>
    <row r="125" spans="1:68" x14ac:dyDescent="0.35">
      <c r="A125" s="45"/>
      <c r="B125" s="37"/>
      <c r="C125" s="12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</row>
    <row r="126" spans="1:68" x14ac:dyDescent="0.35">
      <c r="A126" s="47" t="s">
        <v>146</v>
      </c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</row>
    <row r="127" spans="1:68" x14ac:dyDescent="0.35">
      <c r="A127" t="s">
        <v>222</v>
      </c>
      <c r="B127" s="37">
        <f t="shared" ref="B127:B149" si="35">SUM(C127:BP127)</f>
        <v>0</v>
      </c>
      <c r="C127" s="35">
        <f t="shared" ref="C127:BN127" si="36">SUM(C6)</f>
        <v>0</v>
      </c>
      <c r="D127" s="35">
        <f t="shared" si="36"/>
        <v>0</v>
      </c>
      <c r="E127" s="35">
        <f t="shared" si="36"/>
        <v>0</v>
      </c>
      <c r="F127" s="35">
        <f t="shared" si="36"/>
        <v>0</v>
      </c>
      <c r="G127" s="35">
        <f t="shared" si="36"/>
        <v>0</v>
      </c>
      <c r="H127" s="35">
        <f t="shared" si="36"/>
        <v>0</v>
      </c>
      <c r="I127" s="35">
        <f t="shared" si="36"/>
        <v>0</v>
      </c>
      <c r="J127" s="35">
        <f t="shared" si="36"/>
        <v>0</v>
      </c>
      <c r="K127" s="35">
        <f t="shared" si="36"/>
        <v>0</v>
      </c>
      <c r="L127" s="35">
        <f t="shared" si="36"/>
        <v>0</v>
      </c>
      <c r="M127" s="35">
        <f t="shared" si="36"/>
        <v>0</v>
      </c>
      <c r="N127" s="35">
        <f t="shared" si="36"/>
        <v>0</v>
      </c>
      <c r="O127" s="35">
        <f t="shared" si="36"/>
        <v>0</v>
      </c>
      <c r="P127" s="35">
        <f t="shared" si="36"/>
        <v>0</v>
      </c>
      <c r="Q127" s="35">
        <f t="shared" si="36"/>
        <v>0</v>
      </c>
      <c r="R127" s="35">
        <f t="shared" si="36"/>
        <v>0</v>
      </c>
      <c r="S127" s="35">
        <f t="shared" si="36"/>
        <v>0</v>
      </c>
      <c r="T127" s="35">
        <f t="shared" si="36"/>
        <v>0</v>
      </c>
      <c r="U127" s="35">
        <f t="shared" si="36"/>
        <v>0</v>
      </c>
      <c r="V127" s="35">
        <f t="shared" si="36"/>
        <v>0</v>
      </c>
      <c r="W127" s="35">
        <f t="shared" si="36"/>
        <v>0</v>
      </c>
      <c r="X127" s="35">
        <f t="shared" si="36"/>
        <v>0</v>
      </c>
      <c r="Y127" s="35">
        <f t="shared" si="36"/>
        <v>0</v>
      </c>
      <c r="Z127" s="35">
        <f t="shared" si="36"/>
        <v>0</v>
      </c>
      <c r="AA127" s="35">
        <f t="shared" si="36"/>
        <v>0</v>
      </c>
      <c r="AB127" s="35">
        <f t="shared" si="36"/>
        <v>0</v>
      </c>
      <c r="AC127" s="35">
        <f t="shared" si="36"/>
        <v>0</v>
      </c>
      <c r="AD127" s="35">
        <f t="shared" si="36"/>
        <v>0</v>
      </c>
      <c r="AE127" s="35">
        <f t="shared" si="36"/>
        <v>0</v>
      </c>
      <c r="AF127" s="35">
        <f t="shared" si="36"/>
        <v>0</v>
      </c>
      <c r="AG127" s="35">
        <f t="shared" si="36"/>
        <v>0</v>
      </c>
      <c r="AH127" s="35">
        <f t="shared" si="36"/>
        <v>0</v>
      </c>
      <c r="AI127" s="35">
        <f t="shared" si="36"/>
        <v>0</v>
      </c>
      <c r="AJ127" s="35">
        <f t="shared" si="36"/>
        <v>0</v>
      </c>
      <c r="AK127" s="35">
        <f t="shared" si="36"/>
        <v>0</v>
      </c>
      <c r="AL127" s="35">
        <f t="shared" si="36"/>
        <v>0</v>
      </c>
      <c r="AM127" s="35">
        <f t="shared" si="36"/>
        <v>0</v>
      </c>
      <c r="AN127" s="35">
        <f t="shared" si="36"/>
        <v>0</v>
      </c>
      <c r="AO127" s="35">
        <f t="shared" si="36"/>
        <v>0</v>
      </c>
      <c r="AP127" s="35">
        <f t="shared" si="36"/>
        <v>0</v>
      </c>
      <c r="AQ127" s="35">
        <f t="shared" si="36"/>
        <v>0</v>
      </c>
      <c r="AR127" s="35">
        <f t="shared" si="36"/>
        <v>0</v>
      </c>
      <c r="AS127" s="35">
        <f t="shared" si="36"/>
        <v>0</v>
      </c>
      <c r="AT127" s="35">
        <f t="shared" si="36"/>
        <v>0</v>
      </c>
      <c r="AU127" s="35">
        <f t="shared" si="36"/>
        <v>0</v>
      </c>
      <c r="AV127" s="35">
        <f t="shared" si="36"/>
        <v>0</v>
      </c>
      <c r="AW127" s="35">
        <f t="shared" si="36"/>
        <v>0</v>
      </c>
      <c r="AX127" s="35">
        <f t="shared" si="36"/>
        <v>0</v>
      </c>
      <c r="AY127" s="35">
        <f t="shared" si="36"/>
        <v>0</v>
      </c>
      <c r="AZ127" s="35">
        <f t="shared" si="36"/>
        <v>0</v>
      </c>
      <c r="BA127" s="35">
        <f t="shared" si="36"/>
        <v>0</v>
      </c>
      <c r="BB127" s="35">
        <f t="shared" si="36"/>
        <v>0</v>
      </c>
      <c r="BC127" s="35">
        <f t="shared" si="36"/>
        <v>0</v>
      </c>
      <c r="BD127" s="35">
        <f t="shared" si="36"/>
        <v>0</v>
      </c>
      <c r="BE127" s="35">
        <f t="shared" si="36"/>
        <v>0</v>
      </c>
      <c r="BF127" s="35">
        <f t="shared" si="36"/>
        <v>0</v>
      </c>
      <c r="BG127" s="35">
        <f t="shared" si="36"/>
        <v>0</v>
      </c>
      <c r="BH127" s="35">
        <f t="shared" si="36"/>
        <v>0</v>
      </c>
      <c r="BI127" s="35">
        <f t="shared" si="36"/>
        <v>0</v>
      </c>
      <c r="BJ127" s="35">
        <f t="shared" si="36"/>
        <v>0</v>
      </c>
      <c r="BK127" s="35">
        <f t="shared" si="36"/>
        <v>0</v>
      </c>
      <c r="BL127" s="35">
        <f t="shared" si="36"/>
        <v>0</v>
      </c>
      <c r="BM127" s="35">
        <f t="shared" si="36"/>
        <v>0</v>
      </c>
      <c r="BN127" s="35">
        <f t="shared" si="36"/>
        <v>0</v>
      </c>
      <c r="BO127" s="35">
        <f t="shared" ref="BO127:BP127" si="37">SUM(BO6)</f>
        <v>0</v>
      </c>
      <c r="BP127" s="35">
        <f t="shared" si="37"/>
        <v>0</v>
      </c>
    </row>
    <row r="128" spans="1:68" x14ac:dyDescent="0.35">
      <c r="A128" t="s">
        <v>102</v>
      </c>
      <c r="B128" s="37">
        <f t="shared" si="35"/>
        <v>0</v>
      </c>
      <c r="C128" s="35">
        <f t="shared" ref="C128:BN128" si="38">SUM(C118,C74)</f>
        <v>0</v>
      </c>
      <c r="D128" s="35">
        <f t="shared" si="38"/>
        <v>0</v>
      </c>
      <c r="E128" s="35">
        <f t="shared" si="38"/>
        <v>0</v>
      </c>
      <c r="F128" s="35">
        <f t="shared" si="38"/>
        <v>0</v>
      </c>
      <c r="G128" s="35">
        <f t="shared" si="38"/>
        <v>0</v>
      </c>
      <c r="H128" s="35">
        <f t="shared" si="38"/>
        <v>0</v>
      </c>
      <c r="I128" s="35">
        <f t="shared" si="38"/>
        <v>0</v>
      </c>
      <c r="J128" s="35">
        <f t="shared" si="38"/>
        <v>0</v>
      </c>
      <c r="K128" s="35">
        <f t="shared" si="38"/>
        <v>0</v>
      </c>
      <c r="L128" s="35">
        <f t="shared" si="38"/>
        <v>0</v>
      </c>
      <c r="M128" s="35">
        <f t="shared" si="38"/>
        <v>0</v>
      </c>
      <c r="N128" s="35">
        <f t="shared" si="38"/>
        <v>0</v>
      </c>
      <c r="O128" s="35">
        <f t="shared" si="38"/>
        <v>0</v>
      </c>
      <c r="P128" s="35">
        <f t="shared" si="38"/>
        <v>0</v>
      </c>
      <c r="Q128" s="35">
        <f t="shared" si="38"/>
        <v>0</v>
      </c>
      <c r="R128" s="35">
        <f t="shared" si="38"/>
        <v>0</v>
      </c>
      <c r="S128" s="35">
        <f t="shared" si="38"/>
        <v>0</v>
      </c>
      <c r="T128" s="35">
        <f t="shared" si="38"/>
        <v>0</v>
      </c>
      <c r="U128" s="35">
        <f t="shared" si="38"/>
        <v>0</v>
      </c>
      <c r="V128" s="35">
        <f t="shared" si="38"/>
        <v>0</v>
      </c>
      <c r="W128" s="35">
        <f t="shared" si="38"/>
        <v>0</v>
      </c>
      <c r="X128" s="35">
        <f t="shared" si="38"/>
        <v>0</v>
      </c>
      <c r="Y128" s="35">
        <f t="shared" si="38"/>
        <v>0</v>
      </c>
      <c r="Z128" s="35">
        <f t="shared" si="38"/>
        <v>0</v>
      </c>
      <c r="AA128" s="35">
        <f t="shared" si="38"/>
        <v>0</v>
      </c>
      <c r="AB128" s="35">
        <f t="shared" si="38"/>
        <v>0</v>
      </c>
      <c r="AC128" s="35">
        <f t="shared" si="38"/>
        <v>0</v>
      </c>
      <c r="AD128" s="35">
        <f t="shared" si="38"/>
        <v>0</v>
      </c>
      <c r="AE128" s="35">
        <f t="shared" si="38"/>
        <v>0</v>
      </c>
      <c r="AF128" s="35">
        <f t="shared" si="38"/>
        <v>0</v>
      </c>
      <c r="AG128" s="35">
        <f t="shared" si="38"/>
        <v>0</v>
      </c>
      <c r="AH128" s="35">
        <f t="shared" si="38"/>
        <v>0</v>
      </c>
      <c r="AI128" s="35">
        <f t="shared" si="38"/>
        <v>0</v>
      </c>
      <c r="AJ128" s="35">
        <f t="shared" si="38"/>
        <v>0</v>
      </c>
      <c r="AK128" s="35">
        <f t="shared" si="38"/>
        <v>0</v>
      </c>
      <c r="AL128" s="35">
        <f t="shared" si="38"/>
        <v>0</v>
      </c>
      <c r="AM128" s="35">
        <f t="shared" si="38"/>
        <v>0</v>
      </c>
      <c r="AN128" s="35">
        <f t="shared" si="38"/>
        <v>0</v>
      </c>
      <c r="AO128" s="35">
        <f t="shared" si="38"/>
        <v>0</v>
      </c>
      <c r="AP128" s="35">
        <f t="shared" si="38"/>
        <v>0</v>
      </c>
      <c r="AQ128" s="35">
        <f t="shared" si="38"/>
        <v>0</v>
      </c>
      <c r="AR128" s="35">
        <f t="shared" si="38"/>
        <v>0</v>
      </c>
      <c r="AS128" s="35">
        <f t="shared" si="38"/>
        <v>0</v>
      </c>
      <c r="AT128" s="35">
        <f t="shared" si="38"/>
        <v>0</v>
      </c>
      <c r="AU128" s="35">
        <f t="shared" si="38"/>
        <v>0</v>
      </c>
      <c r="AV128" s="35">
        <f t="shared" si="38"/>
        <v>0</v>
      </c>
      <c r="AW128" s="35">
        <f t="shared" si="38"/>
        <v>0</v>
      </c>
      <c r="AX128" s="35">
        <f t="shared" si="38"/>
        <v>0</v>
      </c>
      <c r="AY128" s="35">
        <f t="shared" si="38"/>
        <v>0</v>
      </c>
      <c r="AZ128" s="35">
        <f t="shared" si="38"/>
        <v>0</v>
      </c>
      <c r="BA128" s="35">
        <f t="shared" si="38"/>
        <v>0</v>
      </c>
      <c r="BB128" s="35">
        <f t="shared" si="38"/>
        <v>0</v>
      </c>
      <c r="BC128" s="35">
        <f t="shared" si="38"/>
        <v>0</v>
      </c>
      <c r="BD128" s="35">
        <f t="shared" si="38"/>
        <v>0</v>
      </c>
      <c r="BE128" s="35">
        <f t="shared" si="38"/>
        <v>0</v>
      </c>
      <c r="BF128" s="35">
        <f t="shared" si="38"/>
        <v>0</v>
      </c>
      <c r="BG128" s="35">
        <f t="shared" si="38"/>
        <v>0</v>
      </c>
      <c r="BH128" s="35">
        <f t="shared" si="38"/>
        <v>0</v>
      </c>
      <c r="BI128" s="35">
        <f t="shared" si="38"/>
        <v>0</v>
      </c>
      <c r="BJ128" s="35">
        <f t="shared" si="38"/>
        <v>0</v>
      </c>
      <c r="BK128" s="35">
        <f t="shared" si="38"/>
        <v>0</v>
      </c>
      <c r="BL128" s="35">
        <f t="shared" si="38"/>
        <v>0</v>
      </c>
      <c r="BM128" s="35">
        <f t="shared" si="38"/>
        <v>0</v>
      </c>
      <c r="BN128" s="35">
        <f t="shared" si="38"/>
        <v>0</v>
      </c>
      <c r="BO128" s="35">
        <f t="shared" ref="BO128:BP128" si="39">SUM(BO118,BO74)</f>
        <v>0</v>
      </c>
      <c r="BP128" s="35">
        <f t="shared" si="39"/>
        <v>0</v>
      </c>
    </row>
    <row r="129" spans="1:68" x14ac:dyDescent="0.35">
      <c r="A129" t="s">
        <v>223</v>
      </c>
      <c r="B129" s="37">
        <f t="shared" si="35"/>
        <v>12169</v>
      </c>
      <c r="C129" s="35">
        <f t="shared" ref="C129:BN129" si="40">SUM(C102,C86,C67,C41,C32,C23,C7)</f>
        <v>2736</v>
      </c>
      <c r="D129" s="35">
        <f t="shared" si="40"/>
        <v>0</v>
      </c>
      <c r="E129" s="35">
        <f t="shared" si="40"/>
        <v>0</v>
      </c>
      <c r="F129" s="35">
        <f t="shared" si="40"/>
        <v>0</v>
      </c>
      <c r="G129" s="35">
        <f t="shared" si="40"/>
        <v>0</v>
      </c>
      <c r="H129" s="35">
        <f t="shared" si="40"/>
        <v>0</v>
      </c>
      <c r="I129" s="35">
        <f t="shared" si="40"/>
        <v>0</v>
      </c>
      <c r="J129" s="35">
        <f t="shared" si="40"/>
        <v>0</v>
      </c>
      <c r="K129" s="35">
        <f t="shared" si="40"/>
        <v>0</v>
      </c>
      <c r="L129" s="35">
        <f t="shared" si="40"/>
        <v>0</v>
      </c>
      <c r="M129" s="35">
        <f t="shared" si="40"/>
        <v>0</v>
      </c>
      <c r="N129" s="35">
        <f t="shared" si="40"/>
        <v>0</v>
      </c>
      <c r="O129" s="35">
        <f t="shared" si="40"/>
        <v>232</v>
      </c>
      <c r="P129" s="35">
        <f t="shared" si="40"/>
        <v>1941</v>
      </c>
      <c r="Q129" s="35">
        <f t="shared" si="40"/>
        <v>2069</v>
      </c>
      <c r="R129" s="35">
        <f t="shared" si="40"/>
        <v>564</v>
      </c>
      <c r="S129" s="35">
        <f t="shared" si="40"/>
        <v>601</v>
      </c>
      <c r="T129" s="35">
        <f t="shared" si="40"/>
        <v>338</v>
      </c>
      <c r="U129" s="35">
        <f t="shared" si="40"/>
        <v>296</v>
      </c>
      <c r="V129" s="35">
        <f t="shared" si="40"/>
        <v>114</v>
      </c>
      <c r="W129" s="35">
        <f t="shared" si="40"/>
        <v>625</v>
      </c>
      <c r="X129" s="35">
        <f t="shared" si="40"/>
        <v>151</v>
      </c>
      <c r="Y129" s="35">
        <f t="shared" si="40"/>
        <v>29</v>
      </c>
      <c r="Z129" s="35">
        <f t="shared" si="40"/>
        <v>52</v>
      </c>
      <c r="AA129" s="35">
        <f t="shared" si="40"/>
        <v>22</v>
      </c>
      <c r="AB129" s="35">
        <f t="shared" si="40"/>
        <v>1301</v>
      </c>
      <c r="AC129" s="35">
        <f t="shared" si="40"/>
        <v>596</v>
      </c>
      <c r="AD129" s="35">
        <f t="shared" si="40"/>
        <v>502</v>
      </c>
      <c r="AE129" s="35">
        <f t="shared" si="40"/>
        <v>0</v>
      </c>
      <c r="AF129" s="35">
        <f t="shared" si="40"/>
        <v>0</v>
      </c>
      <c r="AG129" s="35">
        <f t="shared" si="40"/>
        <v>0</v>
      </c>
      <c r="AH129" s="35">
        <f t="shared" si="40"/>
        <v>0</v>
      </c>
      <c r="AI129" s="35">
        <f t="shared" si="40"/>
        <v>0</v>
      </c>
      <c r="AJ129" s="35">
        <f t="shared" si="40"/>
        <v>0</v>
      </c>
      <c r="AK129" s="35">
        <f t="shared" si="40"/>
        <v>0</v>
      </c>
      <c r="AL129" s="35">
        <f t="shared" si="40"/>
        <v>0</v>
      </c>
      <c r="AM129" s="35">
        <f t="shared" si="40"/>
        <v>0</v>
      </c>
      <c r="AN129" s="35">
        <f t="shared" si="40"/>
        <v>0</v>
      </c>
      <c r="AO129" s="35">
        <f t="shared" si="40"/>
        <v>0</v>
      </c>
      <c r="AP129" s="35">
        <f t="shared" si="40"/>
        <v>0</v>
      </c>
      <c r="AQ129" s="35">
        <f t="shared" si="40"/>
        <v>0</v>
      </c>
      <c r="AR129" s="35">
        <f t="shared" si="40"/>
        <v>0</v>
      </c>
      <c r="AS129" s="35">
        <f t="shared" si="40"/>
        <v>0</v>
      </c>
      <c r="AT129" s="35">
        <f t="shared" si="40"/>
        <v>0</v>
      </c>
      <c r="AU129" s="35">
        <f t="shared" si="40"/>
        <v>0</v>
      </c>
      <c r="AV129" s="35">
        <f t="shared" si="40"/>
        <v>0</v>
      </c>
      <c r="AW129" s="35">
        <f t="shared" si="40"/>
        <v>0</v>
      </c>
      <c r="AX129" s="35">
        <f t="shared" si="40"/>
        <v>0</v>
      </c>
      <c r="AY129" s="35">
        <f t="shared" si="40"/>
        <v>0</v>
      </c>
      <c r="AZ129" s="35">
        <f t="shared" si="40"/>
        <v>0</v>
      </c>
      <c r="BA129" s="35">
        <f t="shared" si="40"/>
        <v>0</v>
      </c>
      <c r="BB129" s="35">
        <f t="shared" si="40"/>
        <v>0</v>
      </c>
      <c r="BC129" s="35">
        <f t="shared" si="40"/>
        <v>0</v>
      </c>
      <c r="BD129" s="35">
        <f t="shared" si="40"/>
        <v>0</v>
      </c>
      <c r="BE129" s="35">
        <f t="shared" si="40"/>
        <v>0</v>
      </c>
      <c r="BF129" s="35">
        <f t="shared" si="40"/>
        <v>0</v>
      </c>
      <c r="BG129" s="35">
        <f t="shared" si="40"/>
        <v>0</v>
      </c>
      <c r="BH129" s="35">
        <f t="shared" si="40"/>
        <v>0</v>
      </c>
      <c r="BI129" s="35">
        <f t="shared" si="40"/>
        <v>0</v>
      </c>
      <c r="BJ129" s="35">
        <f t="shared" si="40"/>
        <v>0</v>
      </c>
      <c r="BK129" s="35">
        <f t="shared" si="40"/>
        <v>0</v>
      </c>
      <c r="BL129" s="35">
        <f t="shared" si="40"/>
        <v>0</v>
      </c>
      <c r="BM129" s="35">
        <f t="shared" si="40"/>
        <v>0</v>
      </c>
      <c r="BN129" s="35">
        <f t="shared" si="40"/>
        <v>0</v>
      </c>
      <c r="BO129" s="35">
        <f t="shared" ref="BO129:BP129" si="41">SUM(BO102,BO86,BO67,BO41,BO32,BO23,BO7)</f>
        <v>0</v>
      </c>
      <c r="BP129" s="35">
        <f t="shared" si="41"/>
        <v>0</v>
      </c>
    </row>
    <row r="130" spans="1:68" x14ac:dyDescent="0.35">
      <c r="A130" t="s">
        <v>99</v>
      </c>
      <c r="B130" s="37">
        <f t="shared" si="35"/>
        <v>1195</v>
      </c>
      <c r="C130" s="35">
        <f t="shared" ref="C130:BN130" si="42">SUM(C119,C113,C103,C87,C75,C68,C53,C8)</f>
        <v>679</v>
      </c>
      <c r="D130" s="35">
        <f t="shared" si="42"/>
        <v>0</v>
      </c>
      <c r="E130" s="35">
        <f t="shared" si="42"/>
        <v>0</v>
      </c>
      <c r="F130" s="35">
        <f t="shared" si="42"/>
        <v>0</v>
      </c>
      <c r="G130" s="35">
        <f t="shared" si="42"/>
        <v>0</v>
      </c>
      <c r="H130" s="35">
        <f t="shared" si="42"/>
        <v>0</v>
      </c>
      <c r="I130" s="35">
        <f t="shared" si="42"/>
        <v>0</v>
      </c>
      <c r="J130" s="35">
        <f t="shared" si="42"/>
        <v>0</v>
      </c>
      <c r="K130" s="35">
        <f t="shared" si="42"/>
        <v>0</v>
      </c>
      <c r="L130" s="35">
        <f t="shared" si="42"/>
        <v>0</v>
      </c>
      <c r="M130" s="35">
        <f t="shared" si="42"/>
        <v>0</v>
      </c>
      <c r="N130" s="35">
        <f t="shared" si="42"/>
        <v>0</v>
      </c>
      <c r="O130" s="35">
        <f t="shared" si="42"/>
        <v>0</v>
      </c>
      <c r="P130" s="35">
        <f t="shared" si="42"/>
        <v>0</v>
      </c>
      <c r="Q130" s="35">
        <f t="shared" si="42"/>
        <v>0</v>
      </c>
      <c r="R130" s="35">
        <f t="shared" si="42"/>
        <v>0</v>
      </c>
      <c r="S130" s="35">
        <f t="shared" si="42"/>
        <v>0</v>
      </c>
      <c r="T130" s="35">
        <f t="shared" si="42"/>
        <v>0</v>
      </c>
      <c r="U130" s="35">
        <f t="shared" si="42"/>
        <v>0</v>
      </c>
      <c r="V130" s="35">
        <f t="shared" si="42"/>
        <v>0</v>
      </c>
      <c r="W130" s="35">
        <f t="shared" si="42"/>
        <v>0</v>
      </c>
      <c r="X130" s="35">
        <f t="shared" si="42"/>
        <v>0</v>
      </c>
      <c r="Y130" s="35">
        <f t="shared" si="42"/>
        <v>0</v>
      </c>
      <c r="Z130" s="35">
        <f t="shared" si="42"/>
        <v>0</v>
      </c>
      <c r="AA130" s="35">
        <f t="shared" si="42"/>
        <v>0</v>
      </c>
      <c r="AB130" s="35">
        <f t="shared" si="42"/>
        <v>0</v>
      </c>
      <c r="AC130" s="35">
        <f t="shared" si="42"/>
        <v>0</v>
      </c>
      <c r="AD130" s="35">
        <f t="shared" si="42"/>
        <v>0</v>
      </c>
      <c r="AE130" s="35">
        <f t="shared" si="42"/>
        <v>0</v>
      </c>
      <c r="AF130" s="35">
        <f t="shared" si="42"/>
        <v>0</v>
      </c>
      <c r="AG130" s="35">
        <f t="shared" si="42"/>
        <v>0</v>
      </c>
      <c r="AH130" s="35">
        <f t="shared" si="42"/>
        <v>0</v>
      </c>
      <c r="AI130" s="35">
        <f t="shared" si="42"/>
        <v>72</v>
      </c>
      <c r="AJ130" s="35">
        <f t="shared" si="42"/>
        <v>298</v>
      </c>
      <c r="AK130" s="35">
        <f t="shared" si="42"/>
        <v>16</v>
      </c>
      <c r="AL130" s="35">
        <f t="shared" si="42"/>
        <v>0</v>
      </c>
      <c r="AM130" s="35">
        <f t="shared" si="42"/>
        <v>0</v>
      </c>
      <c r="AN130" s="35">
        <f t="shared" si="42"/>
        <v>0</v>
      </c>
      <c r="AO130" s="35">
        <f t="shared" si="42"/>
        <v>0</v>
      </c>
      <c r="AP130" s="35">
        <f t="shared" si="42"/>
        <v>0</v>
      </c>
      <c r="AQ130" s="35">
        <f t="shared" si="42"/>
        <v>55</v>
      </c>
      <c r="AR130" s="35">
        <f t="shared" si="42"/>
        <v>0</v>
      </c>
      <c r="AS130" s="35">
        <f t="shared" si="42"/>
        <v>45</v>
      </c>
      <c r="AT130" s="35">
        <f t="shared" si="42"/>
        <v>0</v>
      </c>
      <c r="AU130" s="35">
        <f t="shared" si="42"/>
        <v>0</v>
      </c>
      <c r="AV130" s="35">
        <f t="shared" si="42"/>
        <v>0</v>
      </c>
      <c r="AW130" s="35">
        <f t="shared" si="42"/>
        <v>0</v>
      </c>
      <c r="AX130" s="35">
        <f t="shared" si="42"/>
        <v>0</v>
      </c>
      <c r="AY130" s="35">
        <f t="shared" si="42"/>
        <v>0</v>
      </c>
      <c r="AZ130" s="35">
        <f t="shared" si="42"/>
        <v>0</v>
      </c>
      <c r="BA130" s="35">
        <f t="shared" si="42"/>
        <v>0</v>
      </c>
      <c r="BB130" s="35">
        <f t="shared" si="42"/>
        <v>0</v>
      </c>
      <c r="BC130" s="35">
        <f t="shared" si="42"/>
        <v>0</v>
      </c>
      <c r="BD130" s="35">
        <f t="shared" si="42"/>
        <v>0</v>
      </c>
      <c r="BE130" s="35">
        <f t="shared" si="42"/>
        <v>0</v>
      </c>
      <c r="BF130" s="35">
        <f t="shared" si="42"/>
        <v>0</v>
      </c>
      <c r="BG130" s="35">
        <f t="shared" si="42"/>
        <v>0</v>
      </c>
      <c r="BH130" s="35">
        <f t="shared" si="42"/>
        <v>0</v>
      </c>
      <c r="BI130" s="35">
        <f t="shared" si="42"/>
        <v>0</v>
      </c>
      <c r="BJ130" s="35">
        <f t="shared" si="42"/>
        <v>30</v>
      </c>
      <c r="BK130" s="35">
        <f t="shared" si="42"/>
        <v>0</v>
      </c>
      <c r="BL130" s="35">
        <f t="shared" si="42"/>
        <v>0</v>
      </c>
      <c r="BM130" s="35">
        <f t="shared" si="42"/>
        <v>0</v>
      </c>
      <c r="BN130" s="35">
        <f t="shared" si="42"/>
        <v>0</v>
      </c>
      <c r="BO130" s="35">
        <f t="shared" ref="BO130:BP130" si="43">SUM(BO119,BO113,BO103,BO87,BO75,BO68,BO53,BO8)</f>
        <v>0</v>
      </c>
      <c r="BP130" s="35">
        <f t="shared" si="43"/>
        <v>0</v>
      </c>
    </row>
    <row r="131" spans="1:68" x14ac:dyDescent="0.35">
      <c r="A131" t="s">
        <v>224</v>
      </c>
      <c r="B131" s="37">
        <f t="shared" si="35"/>
        <v>760</v>
      </c>
      <c r="C131" s="35">
        <f t="shared" ref="C131:BN131" si="44">SUM(C76,C69,C54,C42,C24,C9)</f>
        <v>398</v>
      </c>
      <c r="D131" s="35">
        <f t="shared" si="44"/>
        <v>0</v>
      </c>
      <c r="E131" s="35">
        <f t="shared" si="44"/>
        <v>0</v>
      </c>
      <c r="F131" s="35">
        <f t="shared" si="44"/>
        <v>0</v>
      </c>
      <c r="G131" s="35">
        <f t="shared" si="44"/>
        <v>0</v>
      </c>
      <c r="H131" s="35">
        <f t="shared" si="44"/>
        <v>0</v>
      </c>
      <c r="I131" s="35">
        <f t="shared" si="44"/>
        <v>0</v>
      </c>
      <c r="J131" s="35">
        <f t="shared" si="44"/>
        <v>0</v>
      </c>
      <c r="K131" s="35">
        <f t="shared" si="44"/>
        <v>42</v>
      </c>
      <c r="L131" s="35">
        <f t="shared" si="44"/>
        <v>127</v>
      </c>
      <c r="M131" s="35">
        <f t="shared" si="44"/>
        <v>45</v>
      </c>
      <c r="N131" s="35">
        <f t="shared" si="44"/>
        <v>0</v>
      </c>
      <c r="O131" s="35">
        <f t="shared" si="44"/>
        <v>0</v>
      </c>
      <c r="P131" s="35">
        <f t="shared" si="44"/>
        <v>55</v>
      </c>
      <c r="Q131" s="35">
        <f t="shared" si="44"/>
        <v>0</v>
      </c>
      <c r="R131" s="35">
        <f t="shared" si="44"/>
        <v>0</v>
      </c>
      <c r="S131" s="35">
        <f t="shared" si="44"/>
        <v>0</v>
      </c>
      <c r="T131" s="35">
        <f t="shared" si="44"/>
        <v>54</v>
      </c>
      <c r="U131" s="35">
        <f t="shared" si="44"/>
        <v>0</v>
      </c>
      <c r="V131" s="35">
        <f t="shared" si="44"/>
        <v>0</v>
      </c>
      <c r="W131" s="35">
        <f t="shared" si="44"/>
        <v>0</v>
      </c>
      <c r="X131" s="35">
        <f t="shared" si="44"/>
        <v>0</v>
      </c>
      <c r="Y131" s="35">
        <f t="shared" si="44"/>
        <v>0</v>
      </c>
      <c r="Z131" s="35">
        <f t="shared" si="44"/>
        <v>0</v>
      </c>
      <c r="AA131" s="35">
        <f t="shared" si="44"/>
        <v>0</v>
      </c>
      <c r="AB131" s="35">
        <f t="shared" si="44"/>
        <v>0</v>
      </c>
      <c r="AC131" s="35">
        <f t="shared" si="44"/>
        <v>0</v>
      </c>
      <c r="AD131" s="35">
        <f t="shared" si="44"/>
        <v>0</v>
      </c>
      <c r="AE131" s="35">
        <f t="shared" si="44"/>
        <v>0</v>
      </c>
      <c r="AF131" s="35">
        <f t="shared" si="44"/>
        <v>0</v>
      </c>
      <c r="AG131" s="35">
        <f t="shared" si="44"/>
        <v>0</v>
      </c>
      <c r="AH131" s="35">
        <f t="shared" si="44"/>
        <v>0</v>
      </c>
      <c r="AI131" s="35">
        <f t="shared" si="44"/>
        <v>0</v>
      </c>
      <c r="AJ131" s="35">
        <f t="shared" si="44"/>
        <v>0</v>
      </c>
      <c r="AK131" s="35">
        <f t="shared" si="44"/>
        <v>0</v>
      </c>
      <c r="AL131" s="35">
        <f t="shared" si="44"/>
        <v>0</v>
      </c>
      <c r="AM131" s="35">
        <f t="shared" si="44"/>
        <v>0</v>
      </c>
      <c r="AN131" s="35">
        <f t="shared" si="44"/>
        <v>0</v>
      </c>
      <c r="AO131" s="35">
        <f t="shared" si="44"/>
        <v>0</v>
      </c>
      <c r="AP131" s="35">
        <f t="shared" si="44"/>
        <v>39</v>
      </c>
      <c r="AQ131" s="35">
        <f t="shared" si="44"/>
        <v>0</v>
      </c>
      <c r="AR131" s="35">
        <f t="shared" si="44"/>
        <v>0</v>
      </c>
      <c r="AS131" s="35">
        <f t="shared" si="44"/>
        <v>0</v>
      </c>
      <c r="AT131" s="35">
        <f t="shared" si="44"/>
        <v>0</v>
      </c>
      <c r="AU131" s="35">
        <f t="shared" si="44"/>
        <v>0</v>
      </c>
      <c r="AV131" s="35">
        <f t="shared" si="44"/>
        <v>0</v>
      </c>
      <c r="AW131" s="35">
        <f t="shared" si="44"/>
        <v>0</v>
      </c>
      <c r="AX131" s="35">
        <f t="shared" si="44"/>
        <v>0</v>
      </c>
      <c r="AY131" s="35">
        <f t="shared" si="44"/>
        <v>0</v>
      </c>
      <c r="AZ131" s="35">
        <f t="shared" si="44"/>
        <v>0</v>
      </c>
      <c r="BA131" s="35">
        <f t="shared" si="44"/>
        <v>0</v>
      </c>
      <c r="BB131" s="35">
        <f t="shared" si="44"/>
        <v>0</v>
      </c>
      <c r="BC131" s="35">
        <f t="shared" si="44"/>
        <v>0</v>
      </c>
      <c r="BD131" s="35">
        <f t="shared" si="44"/>
        <v>0</v>
      </c>
      <c r="BE131" s="35">
        <f t="shared" si="44"/>
        <v>0</v>
      </c>
      <c r="BF131" s="35">
        <f t="shared" si="44"/>
        <v>0</v>
      </c>
      <c r="BG131" s="35">
        <f t="shared" si="44"/>
        <v>0</v>
      </c>
      <c r="BH131" s="35">
        <f t="shared" si="44"/>
        <v>0</v>
      </c>
      <c r="BI131" s="35">
        <f t="shared" si="44"/>
        <v>0</v>
      </c>
      <c r="BJ131" s="35">
        <f t="shared" si="44"/>
        <v>0</v>
      </c>
      <c r="BK131" s="35">
        <f t="shared" si="44"/>
        <v>0</v>
      </c>
      <c r="BL131" s="35">
        <f t="shared" si="44"/>
        <v>0</v>
      </c>
      <c r="BM131" s="35">
        <f t="shared" si="44"/>
        <v>0</v>
      </c>
      <c r="BN131" s="35">
        <f t="shared" si="44"/>
        <v>0</v>
      </c>
      <c r="BO131" s="35">
        <f t="shared" ref="BO131:BP131" si="45">SUM(BO76,BO69,BO54,BO42,BO24,BO9)</f>
        <v>0</v>
      </c>
      <c r="BP131" s="35">
        <f t="shared" si="45"/>
        <v>0</v>
      </c>
    </row>
    <row r="132" spans="1:68" x14ac:dyDescent="0.35">
      <c r="A132" t="s">
        <v>225</v>
      </c>
      <c r="B132" s="37">
        <f t="shared" si="35"/>
        <v>13303</v>
      </c>
      <c r="C132" s="35">
        <f t="shared" ref="C132:BN132" si="46">SUM(C104,C88,C43,C33,C25,C10)</f>
        <v>2142</v>
      </c>
      <c r="D132" s="35">
        <f t="shared" si="46"/>
        <v>0</v>
      </c>
      <c r="E132" s="35">
        <f t="shared" si="46"/>
        <v>0</v>
      </c>
      <c r="F132" s="35">
        <f t="shared" si="46"/>
        <v>0</v>
      </c>
      <c r="G132" s="35">
        <f t="shared" si="46"/>
        <v>0</v>
      </c>
      <c r="H132" s="35">
        <f t="shared" si="46"/>
        <v>0</v>
      </c>
      <c r="I132" s="35">
        <f t="shared" si="46"/>
        <v>0</v>
      </c>
      <c r="J132" s="35">
        <f t="shared" si="46"/>
        <v>0</v>
      </c>
      <c r="K132" s="35">
        <f t="shared" si="46"/>
        <v>0</v>
      </c>
      <c r="L132" s="35">
        <f t="shared" si="46"/>
        <v>0</v>
      </c>
      <c r="M132" s="35">
        <f t="shared" si="46"/>
        <v>90</v>
      </c>
      <c r="N132" s="35">
        <f t="shared" si="46"/>
        <v>0</v>
      </c>
      <c r="O132" s="35">
        <f t="shared" si="46"/>
        <v>40</v>
      </c>
      <c r="P132" s="35">
        <f t="shared" si="46"/>
        <v>0</v>
      </c>
      <c r="Q132" s="35">
        <f t="shared" si="46"/>
        <v>32</v>
      </c>
      <c r="R132" s="35">
        <f t="shared" si="46"/>
        <v>1241</v>
      </c>
      <c r="S132" s="35">
        <f t="shared" si="46"/>
        <v>667</v>
      </c>
      <c r="T132" s="35">
        <f t="shared" si="46"/>
        <v>1371</v>
      </c>
      <c r="U132" s="35">
        <f t="shared" si="46"/>
        <v>678</v>
      </c>
      <c r="V132" s="35">
        <f t="shared" si="46"/>
        <v>558</v>
      </c>
      <c r="W132" s="35">
        <f t="shared" si="46"/>
        <v>2344</v>
      </c>
      <c r="X132" s="35">
        <f t="shared" si="46"/>
        <v>297</v>
      </c>
      <c r="Y132" s="35">
        <f t="shared" si="46"/>
        <v>427</v>
      </c>
      <c r="Z132" s="35">
        <f t="shared" si="46"/>
        <v>247</v>
      </c>
      <c r="AA132" s="35">
        <f t="shared" si="46"/>
        <v>1180</v>
      </c>
      <c r="AB132" s="35">
        <f t="shared" si="46"/>
        <v>1315</v>
      </c>
      <c r="AC132" s="35">
        <f t="shared" si="46"/>
        <v>399</v>
      </c>
      <c r="AD132" s="35">
        <f t="shared" si="46"/>
        <v>275</v>
      </c>
      <c r="AE132" s="35">
        <f t="shared" si="46"/>
        <v>0</v>
      </c>
      <c r="AF132" s="35">
        <f t="shared" si="46"/>
        <v>0</v>
      </c>
      <c r="AG132" s="35">
        <f t="shared" si="46"/>
        <v>0</v>
      </c>
      <c r="AH132" s="35">
        <f t="shared" si="46"/>
        <v>0</v>
      </c>
      <c r="AI132" s="35">
        <f t="shared" si="46"/>
        <v>0</v>
      </c>
      <c r="AJ132" s="35">
        <f t="shared" si="46"/>
        <v>0</v>
      </c>
      <c r="AK132" s="35">
        <f t="shared" si="46"/>
        <v>0</v>
      </c>
      <c r="AL132" s="35">
        <f t="shared" si="46"/>
        <v>0</v>
      </c>
      <c r="AM132" s="35">
        <f t="shared" si="46"/>
        <v>0</v>
      </c>
      <c r="AN132" s="35">
        <f t="shared" si="46"/>
        <v>0</v>
      </c>
      <c r="AO132" s="35">
        <f t="shared" si="46"/>
        <v>0</v>
      </c>
      <c r="AP132" s="35">
        <f t="shared" si="46"/>
        <v>0</v>
      </c>
      <c r="AQ132" s="35">
        <f t="shared" si="46"/>
        <v>0</v>
      </c>
      <c r="AR132" s="35">
        <f t="shared" si="46"/>
        <v>0</v>
      </c>
      <c r="AS132" s="35">
        <f t="shared" si="46"/>
        <v>0</v>
      </c>
      <c r="AT132" s="35">
        <f t="shared" si="46"/>
        <v>0</v>
      </c>
      <c r="AU132" s="35">
        <f t="shared" si="46"/>
        <v>0</v>
      </c>
      <c r="AV132" s="35">
        <f t="shared" si="46"/>
        <v>0</v>
      </c>
      <c r="AW132" s="35">
        <f t="shared" si="46"/>
        <v>0</v>
      </c>
      <c r="AX132" s="35">
        <f t="shared" si="46"/>
        <v>0</v>
      </c>
      <c r="AY132" s="35">
        <f t="shared" si="46"/>
        <v>0</v>
      </c>
      <c r="AZ132" s="35">
        <f t="shared" si="46"/>
        <v>0</v>
      </c>
      <c r="BA132" s="35">
        <f t="shared" si="46"/>
        <v>0</v>
      </c>
      <c r="BB132" s="35">
        <f t="shared" si="46"/>
        <v>0</v>
      </c>
      <c r="BC132" s="35">
        <f t="shared" si="46"/>
        <v>0</v>
      </c>
      <c r="BD132" s="35">
        <f t="shared" si="46"/>
        <v>0</v>
      </c>
      <c r="BE132" s="35">
        <f t="shared" si="46"/>
        <v>0</v>
      </c>
      <c r="BF132" s="35">
        <f t="shared" si="46"/>
        <v>0</v>
      </c>
      <c r="BG132" s="35">
        <f t="shared" si="46"/>
        <v>0</v>
      </c>
      <c r="BH132" s="35">
        <f t="shared" si="46"/>
        <v>0</v>
      </c>
      <c r="BI132" s="35">
        <f t="shared" si="46"/>
        <v>0</v>
      </c>
      <c r="BJ132" s="35">
        <f t="shared" si="46"/>
        <v>0</v>
      </c>
      <c r="BK132" s="35">
        <f t="shared" si="46"/>
        <v>0</v>
      </c>
      <c r="BL132" s="35">
        <f t="shared" si="46"/>
        <v>0</v>
      </c>
      <c r="BM132" s="35">
        <f t="shared" si="46"/>
        <v>0</v>
      </c>
      <c r="BN132" s="35">
        <f t="shared" si="46"/>
        <v>0</v>
      </c>
      <c r="BO132" s="35">
        <f t="shared" ref="BO132:BP132" si="47">SUM(BO104,BO88,BO43,BO33,BO25,BO10)</f>
        <v>0</v>
      </c>
      <c r="BP132" s="35">
        <f t="shared" si="47"/>
        <v>0</v>
      </c>
    </row>
    <row r="133" spans="1:68" x14ac:dyDescent="0.35">
      <c r="A133" t="s">
        <v>239</v>
      </c>
      <c r="B133" s="37">
        <f t="shared" si="35"/>
        <v>258</v>
      </c>
      <c r="C133" s="35">
        <f>SUM(C105)</f>
        <v>187</v>
      </c>
      <c r="D133" s="35">
        <f t="shared" ref="D133:BO133" si="48">SUM(D105)</f>
        <v>0</v>
      </c>
      <c r="E133" s="35">
        <f t="shared" si="48"/>
        <v>0</v>
      </c>
      <c r="F133" s="35">
        <f t="shared" si="48"/>
        <v>0</v>
      </c>
      <c r="G133" s="35">
        <f t="shared" si="48"/>
        <v>0</v>
      </c>
      <c r="H133" s="35">
        <f t="shared" si="48"/>
        <v>0</v>
      </c>
      <c r="I133" s="35">
        <f t="shared" si="48"/>
        <v>0</v>
      </c>
      <c r="J133" s="35">
        <f t="shared" si="48"/>
        <v>0</v>
      </c>
      <c r="K133" s="35">
        <f t="shared" si="48"/>
        <v>0</v>
      </c>
      <c r="L133" s="35">
        <f t="shared" si="48"/>
        <v>0</v>
      </c>
      <c r="M133" s="35">
        <f t="shared" si="48"/>
        <v>0</v>
      </c>
      <c r="N133" s="35">
        <f t="shared" si="48"/>
        <v>0</v>
      </c>
      <c r="O133" s="35">
        <f t="shared" si="48"/>
        <v>0</v>
      </c>
      <c r="P133" s="35">
        <f t="shared" si="48"/>
        <v>0</v>
      </c>
      <c r="Q133" s="35">
        <f t="shared" si="48"/>
        <v>0</v>
      </c>
      <c r="R133" s="35">
        <f t="shared" si="48"/>
        <v>0</v>
      </c>
      <c r="S133" s="35">
        <f t="shared" si="48"/>
        <v>0</v>
      </c>
      <c r="T133" s="35">
        <f t="shared" si="48"/>
        <v>0</v>
      </c>
      <c r="U133" s="35">
        <f t="shared" si="48"/>
        <v>0</v>
      </c>
      <c r="V133" s="35">
        <f t="shared" si="48"/>
        <v>0</v>
      </c>
      <c r="W133" s="35">
        <f t="shared" si="48"/>
        <v>0</v>
      </c>
      <c r="X133" s="35">
        <f t="shared" si="48"/>
        <v>0</v>
      </c>
      <c r="Y133" s="35">
        <f t="shared" si="48"/>
        <v>0</v>
      </c>
      <c r="Z133" s="35">
        <f t="shared" si="48"/>
        <v>0</v>
      </c>
      <c r="AA133" s="35">
        <f t="shared" si="48"/>
        <v>0</v>
      </c>
      <c r="AB133" s="35">
        <f t="shared" si="48"/>
        <v>0</v>
      </c>
      <c r="AC133" s="35">
        <f t="shared" si="48"/>
        <v>0</v>
      </c>
      <c r="AD133" s="35">
        <f t="shared" si="48"/>
        <v>0</v>
      </c>
      <c r="AE133" s="35">
        <f t="shared" si="48"/>
        <v>0</v>
      </c>
      <c r="AF133" s="35">
        <f t="shared" si="48"/>
        <v>0</v>
      </c>
      <c r="AG133" s="35">
        <f t="shared" si="48"/>
        <v>0</v>
      </c>
      <c r="AH133" s="35">
        <f t="shared" si="48"/>
        <v>0</v>
      </c>
      <c r="AI133" s="35">
        <f t="shared" si="48"/>
        <v>0</v>
      </c>
      <c r="AJ133" s="35">
        <f t="shared" si="48"/>
        <v>0</v>
      </c>
      <c r="AK133" s="35">
        <f t="shared" si="48"/>
        <v>0</v>
      </c>
      <c r="AL133" s="35">
        <f t="shared" si="48"/>
        <v>0</v>
      </c>
      <c r="AM133" s="35">
        <f t="shared" si="48"/>
        <v>0</v>
      </c>
      <c r="AN133" s="35">
        <f t="shared" si="48"/>
        <v>0</v>
      </c>
      <c r="AO133" s="35">
        <f t="shared" si="48"/>
        <v>0</v>
      </c>
      <c r="AP133" s="35">
        <f t="shared" si="48"/>
        <v>0</v>
      </c>
      <c r="AQ133" s="35">
        <f t="shared" si="48"/>
        <v>0</v>
      </c>
      <c r="AR133" s="35">
        <f t="shared" si="48"/>
        <v>0</v>
      </c>
      <c r="AS133" s="35">
        <f t="shared" si="48"/>
        <v>0</v>
      </c>
      <c r="AT133" s="35">
        <f t="shared" si="48"/>
        <v>0</v>
      </c>
      <c r="AU133" s="35">
        <f t="shared" si="48"/>
        <v>0</v>
      </c>
      <c r="AV133" s="35">
        <f t="shared" si="48"/>
        <v>0</v>
      </c>
      <c r="AW133" s="35">
        <f t="shared" si="48"/>
        <v>0</v>
      </c>
      <c r="AX133" s="35">
        <f t="shared" si="48"/>
        <v>0</v>
      </c>
      <c r="AY133" s="35">
        <f t="shared" si="48"/>
        <v>0</v>
      </c>
      <c r="AZ133" s="35">
        <f t="shared" si="48"/>
        <v>0</v>
      </c>
      <c r="BA133" s="35">
        <f t="shared" si="48"/>
        <v>71</v>
      </c>
      <c r="BB133" s="35">
        <f t="shared" si="48"/>
        <v>0</v>
      </c>
      <c r="BC133" s="35">
        <f t="shared" si="48"/>
        <v>0</v>
      </c>
      <c r="BD133" s="35">
        <f t="shared" si="48"/>
        <v>0</v>
      </c>
      <c r="BE133" s="35">
        <f t="shared" si="48"/>
        <v>0</v>
      </c>
      <c r="BF133" s="35">
        <f t="shared" si="48"/>
        <v>0</v>
      </c>
      <c r="BG133" s="35">
        <f t="shared" si="48"/>
        <v>0</v>
      </c>
      <c r="BH133" s="35">
        <f t="shared" si="48"/>
        <v>0</v>
      </c>
      <c r="BI133" s="35">
        <f t="shared" si="48"/>
        <v>0</v>
      </c>
      <c r="BJ133" s="35">
        <f t="shared" si="48"/>
        <v>0</v>
      </c>
      <c r="BK133" s="35">
        <f t="shared" si="48"/>
        <v>0</v>
      </c>
      <c r="BL133" s="35">
        <f t="shared" si="48"/>
        <v>0</v>
      </c>
      <c r="BM133" s="35">
        <f t="shared" si="48"/>
        <v>0</v>
      </c>
      <c r="BN133" s="35">
        <f t="shared" si="48"/>
        <v>0</v>
      </c>
      <c r="BO133" s="35">
        <f t="shared" si="48"/>
        <v>0</v>
      </c>
      <c r="BP133" s="35">
        <f t="shared" ref="BP133" si="49">SUM(BP105)</f>
        <v>0</v>
      </c>
    </row>
    <row r="134" spans="1:68" x14ac:dyDescent="0.35">
      <c r="A134" t="s">
        <v>237</v>
      </c>
      <c r="B134" s="37">
        <f t="shared" si="35"/>
        <v>386</v>
      </c>
      <c r="C134" s="35">
        <f>SUM(C90)</f>
        <v>386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</row>
    <row r="135" spans="1:68" x14ac:dyDescent="0.35">
      <c r="A135" t="s">
        <v>226</v>
      </c>
      <c r="B135" s="37">
        <f t="shared" si="35"/>
        <v>2415</v>
      </c>
      <c r="C135" s="35">
        <f t="shared" ref="C135:BN135" si="50">SUM(C89,C44,C34,C26,C11)</f>
        <v>135</v>
      </c>
      <c r="D135" s="35">
        <f t="shared" si="50"/>
        <v>0</v>
      </c>
      <c r="E135" s="35">
        <f t="shared" si="50"/>
        <v>0</v>
      </c>
      <c r="F135" s="35">
        <f t="shared" si="50"/>
        <v>0</v>
      </c>
      <c r="G135" s="35">
        <f t="shared" si="50"/>
        <v>0</v>
      </c>
      <c r="H135" s="35">
        <f t="shared" si="50"/>
        <v>0</v>
      </c>
      <c r="I135" s="35">
        <f t="shared" si="50"/>
        <v>0</v>
      </c>
      <c r="J135" s="35">
        <f t="shared" si="50"/>
        <v>0</v>
      </c>
      <c r="K135" s="35">
        <f t="shared" si="50"/>
        <v>0</v>
      </c>
      <c r="L135" s="35">
        <f t="shared" si="50"/>
        <v>0</v>
      </c>
      <c r="M135" s="35">
        <f t="shared" si="50"/>
        <v>0</v>
      </c>
      <c r="N135" s="35">
        <f t="shared" si="50"/>
        <v>0</v>
      </c>
      <c r="O135" s="35">
        <f t="shared" si="50"/>
        <v>0</v>
      </c>
      <c r="P135" s="35">
        <f t="shared" si="50"/>
        <v>0</v>
      </c>
      <c r="Q135" s="35">
        <f t="shared" si="50"/>
        <v>0</v>
      </c>
      <c r="R135" s="35">
        <f t="shared" si="50"/>
        <v>0</v>
      </c>
      <c r="S135" s="35">
        <f t="shared" si="50"/>
        <v>122</v>
      </c>
      <c r="T135" s="35">
        <f t="shared" si="50"/>
        <v>89</v>
      </c>
      <c r="U135" s="35">
        <f t="shared" si="50"/>
        <v>78</v>
      </c>
      <c r="V135" s="35">
        <f t="shared" si="50"/>
        <v>98</v>
      </c>
      <c r="W135" s="35">
        <f t="shared" si="50"/>
        <v>453</v>
      </c>
      <c r="X135" s="35">
        <f t="shared" si="50"/>
        <v>207</v>
      </c>
      <c r="Y135" s="35">
        <f t="shared" si="50"/>
        <v>252</v>
      </c>
      <c r="Z135" s="35">
        <f t="shared" si="50"/>
        <v>75</v>
      </c>
      <c r="AA135" s="35">
        <f t="shared" si="50"/>
        <v>166</v>
      </c>
      <c r="AB135" s="35">
        <f t="shared" si="50"/>
        <v>0</v>
      </c>
      <c r="AC135" s="35">
        <f t="shared" si="50"/>
        <v>0</v>
      </c>
      <c r="AD135" s="35">
        <f t="shared" si="50"/>
        <v>740</v>
      </c>
      <c r="AE135" s="35">
        <f t="shared" si="50"/>
        <v>0</v>
      </c>
      <c r="AF135" s="35">
        <f t="shared" si="50"/>
        <v>0</v>
      </c>
      <c r="AG135" s="35">
        <f t="shared" si="50"/>
        <v>0</v>
      </c>
      <c r="AH135" s="35">
        <f t="shared" si="50"/>
        <v>0</v>
      </c>
      <c r="AI135" s="35">
        <f t="shared" si="50"/>
        <v>0</v>
      </c>
      <c r="AJ135" s="35">
        <f t="shared" si="50"/>
        <v>0</v>
      </c>
      <c r="AK135" s="35">
        <f t="shared" si="50"/>
        <v>0</v>
      </c>
      <c r="AL135" s="35">
        <f t="shared" si="50"/>
        <v>0</v>
      </c>
      <c r="AM135" s="35">
        <f t="shared" si="50"/>
        <v>0</v>
      </c>
      <c r="AN135" s="35">
        <f t="shared" si="50"/>
        <v>0</v>
      </c>
      <c r="AO135" s="35">
        <f t="shared" si="50"/>
        <v>0</v>
      </c>
      <c r="AP135" s="35">
        <f t="shared" si="50"/>
        <v>0</v>
      </c>
      <c r="AQ135" s="35">
        <f t="shared" si="50"/>
        <v>0</v>
      </c>
      <c r="AR135" s="35">
        <f t="shared" si="50"/>
        <v>0</v>
      </c>
      <c r="AS135" s="35">
        <f t="shared" si="50"/>
        <v>0</v>
      </c>
      <c r="AT135" s="35">
        <f t="shared" si="50"/>
        <v>0</v>
      </c>
      <c r="AU135" s="35">
        <f t="shared" si="50"/>
        <v>0</v>
      </c>
      <c r="AV135" s="35">
        <f t="shared" si="50"/>
        <v>0</v>
      </c>
      <c r="AW135" s="35">
        <f t="shared" si="50"/>
        <v>0</v>
      </c>
      <c r="AX135" s="35">
        <f t="shared" si="50"/>
        <v>0</v>
      </c>
      <c r="AY135" s="35">
        <f t="shared" si="50"/>
        <v>0</v>
      </c>
      <c r="AZ135" s="35">
        <f t="shared" si="50"/>
        <v>0</v>
      </c>
      <c r="BA135" s="35">
        <f t="shared" si="50"/>
        <v>0</v>
      </c>
      <c r="BB135" s="35">
        <f t="shared" si="50"/>
        <v>0</v>
      </c>
      <c r="BC135" s="35">
        <f t="shared" si="50"/>
        <v>0</v>
      </c>
      <c r="BD135" s="35">
        <f t="shared" si="50"/>
        <v>0</v>
      </c>
      <c r="BE135" s="35">
        <f t="shared" si="50"/>
        <v>0</v>
      </c>
      <c r="BF135" s="35">
        <f t="shared" si="50"/>
        <v>0</v>
      </c>
      <c r="BG135" s="35">
        <f t="shared" si="50"/>
        <v>0</v>
      </c>
      <c r="BH135" s="35">
        <f t="shared" si="50"/>
        <v>0</v>
      </c>
      <c r="BI135" s="35">
        <f t="shared" si="50"/>
        <v>0</v>
      </c>
      <c r="BJ135" s="35">
        <f t="shared" si="50"/>
        <v>0</v>
      </c>
      <c r="BK135" s="35">
        <f t="shared" si="50"/>
        <v>0</v>
      </c>
      <c r="BL135" s="35">
        <f t="shared" si="50"/>
        <v>0</v>
      </c>
      <c r="BM135" s="35">
        <f t="shared" si="50"/>
        <v>0</v>
      </c>
      <c r="BN135" s="35">
        <f t="shared" si="50"/>
        <v>0</v>
      </c>
      <c r="BO135" s="35">
        <f t="shared" ref="BO135:BP135" si="51">SUM(BO89,BO44,BO34,BO26,BO11)</f>
        <v>0</v>
      </c>
      <c r="BP135" s="35">
        <f t="shared" si="51"/>
        <v>0</v>
      </c>
    </row>
    <row r="136" spans="1:68" x14ac:dyDescent="0.35">
      <c r="A136" t="s">
        <v>227</v>
      </c>
      <c r="B136" s="37">
        <f t="shared" si="35"/>
        <v>3211</v>
      </c>
      <c r="C136" s="35">
        <f t="shared" ref="C136:BN136" si="52">SUM(C12)</f>
        <v>3211</v>
      </c>
      <c r="D136" s="35">
        <f t="shared" si="52"/>
        <v>0</v>
      </c>
      <c r="E136" s="35">
        <f t="shared" si="52"/>
        <v>0</v>
      </c>
      <c r="F136" s="35">
        <f t="shared" si="52"/>
        <v>0</v>
      </c>
      <c r="G136" s="35">
        <f t="shared" si="52"/>
        <v>0</v>
      </c>
      <c r="H136" s="35">
        <f t="shared" si="52"/>
        <v>0</v>
      </c>
      <c r="I136" s="35">
        <f t="shared" si="52"/>
        <v>0</v>
      </c>
      <c r="J136" s="35">
        <f t="shared" si="52"/>
        <v>0</v>
      </c>
      <c r="K136" s="35">
        <f t="shared" si="52"/>
        <v>0</v>
      </c>
      <c r="L136" s="35">
        <f t="shared" si="52"/>
        <v>0</v>
      </c>
      <c r="M136" s="35">
        <f t="shared" si="52"/>
        <v>0</v>
      </c>
      <c r="N136" s="35">
        <f t="shared" si="52"/>
        <v>0</v>
      </c>
      <c r="O136" s="35">
        <f t="shared" si="52"/>
        <v>0</v>
      </c>
      <c r="P136" s="35">
        <f t="shared" si="52"/>
        <v>0</v>
      </c>
      <c r="Q136" s="35">
        <f t="shared" si="52"/>
        <v>0</v>
      </c>
      <c r="R136" s="35">
        <f t="shared" si="52"/>
        <v>0</v>
      </c>
      <c r="S136" s="35">
        <f t="shared" si="52"/>
        <v>0</v>
      </c>
      <c r="T136" s="35">
        <f t="shared" si="52"/>
        <v>0</v>
      </c>
      <c r="U136" s="35">
        <f t="shared" si="52"/>
        <v>0</v>
      </c>
      <c r="V136" s="35">
        <f t="shared" si="52"/>
        <v>0</v>
      </c>
      <c r="W136" s="35">
        <f t="shared" si="52"/>
        <v>0</v>
      </c>
      <c r="X136" s="35">
        <f t="shared" si="52"/>
        <v>0</v>
      </c>
      <c r="Y136" s="35">
        <f t="shared" si="52"/>
        <v>0</v>
      </c>
      <c r="Z136" s="35">
        <f t="shared" si="52"/>
        <v>0</v>
      </c>
      <c r="AA136" s="35">
        <f t="shared" si="52"/>
        <v>0</v>
      </c>
      <c r="AB136" s="35">
        <f t="shared" si="52"/>
        <v>0</v>
      </c>
      <c r="AC136" s="35">
        <f t="shared" si="52"/>
        <v>0</v>
      </c>
      <c r="AD136" s="35">
        <f t="shared" si="52"/>
        <v>0</v>
      </c>
      <c r="AE136" s="35">
        <f t="shared" si="52"/>
        <v>0</v>
      </c>
      <c r="AF136" s="35">
        <f t="shared" si="52"/>
        <v>0</v>
      </c>
      <c r="AG136" s="35">
        <f t="shared" si="52"/>
        <v>0</v>
      </c>
      <c r="AH136" s="35">
        <f t="shared" si="52"/>
        <v>0</v>
      </c>
      <c r="AI136" s="35">
        <f t="shared" si="52"/>
        <v>0</v>
      </c>
      <c r="AJ136" s="35">
        <f t="shared" si="52"/>
        <v>0</v>
      </c>
      <c r="AK136" s="35">
        <f t="shared" si="52"/>
        <v>0</v>
      </c>
      <c r="AL136" s="35">
        <f t="shared" si="52"/>
        <v>0</v>
      </c>
      <c r="AM136" s="35">
        <f t="shared" si="52"/>
        <v>0</v>
      </c>
      <c r="AN136" s="35">
        <f t="shared" si="52"/>
        <v>0</v>
      </c>
      <c r="AO136" s="35">
        <f t="shared" si="52"/>
        <v>0</v>
      </c>
      <c r="AP136" s="35">
        <f t="shared" si="52"/>
        <v>0</v>
      </c>
      <c r="AQ136" s="35">
        <f t="shared" si="52"/>
        <v>0</v>
      </c>
      <c r="AR136" s="35">
        <f t="shared" si="52"/>
        <v>0</v>
      </c>
      <c r="AS136" s="35">
        <f t="shared" si="52"/>
        <v>0</v>
      </c>
      <c r="AT136" s="35">
        <f t="shared" si="52"/>
        <v>0</v>
      </c>
      <c r="AU136" s="35">
        <f t="shared" si="52"/>
        <v>0</v>
      </c>
      <c r="AV136" s="35">
        <f t="shared" si="52"/>
        <v>0</v>
      </c>
      <c r="AW136" s="35">
        <f t="shared" si="52"/>
        <v>0</v>
      </c>
      <c r="AX136" s="35">
        <f t="shared" si="52"/>
        <v>0</v>
      </c>
      <c r="AY136" s="35">
        <f t="shared" si="52"/>
        <v>0</v>
      </c>
      <c r="AZ136" s="35">
        <f t="shared" si="52"/>
        <v>0</v>
      </c>
      <c r="BA136" s="35">
        <f t="shared" si="52"/>
        <v>0</v>
      </c>
      <c r="BB136" s="35">
        <f t="shared" si="52"/>
        <v>0</v>
      </c>
      <c r="BC136" s="35">
        <f t="shared" si="52"/>
        <v>0</v>
      </c>
      <c r="BD136" s="35">
        <f t="shared" si="52"/>
        <v>0</v>
      </c>
      <c r="BE136" s="35">
        <f t="shared" si="52"/>
        <v>0</v>
      </c>
      <c r="BF136" s="35">
        <f t="shared" si="52"/>
        <v>0</v>
      </c>
      <c r="BG136" s="35">
        <f t="shared" si="52"/>
        <v>0</v>
      </c>
      <c r="BH136" s="35">
        <f t="shared" si="52"/>
        <v>0</v>
      </c>
      <c r="BI136" s="35">
        <f t="shared" si="52"/>
        <v>0</v>
      </c>
      <c r="BJ136" s="35">
        <f t="shared" si="52"/>
        <v>0</v>
      </c>
      <c r="BK136" s="35">
        <f t="shared" si="52"/>
        <v>0</v>
      </c>
      <c r="BL136" s="35">
        <f t="shared" si="52"/>
        <v>0</v>
      </c>
      <c r="BM136" s="35">
        <f t="shared" si="52"/>
        <v>0</v>
      </c>
      <c r="BN136" s="35">
        <f t="shared" si="52"/>
        <v>0</v>
      </c>
      <c r="BO136" s="35">
        <f t="shared" ref="BO136:BP136" si="53">SUM(BO12)</f>
        <v>0</v>
      </c>
      <c r="BP136" s="35">
        <f t="shared" si="53"/>
        <v>0</v>
      </c>
    </row>
    <row r="137" spans="1:68" x14ac:dyDescent="0.35">
      <c r="A137" t="s">
        <v>100</v>
      </c>
      <c r="B137" s="37">
        <f t="shared" si="35"/>
        <v>3624</v>
      </c>
      <c r="C137" s="35">
        <f t="shared" ref="C137:BN137" si="54">SUM(C120,C91,C77,C61,C45,C35,C13)</f>
        <v>2696</v>
      </c>
      <c r="D137" s="35">
        <f t="shared" si="54"/>
        <v>0</v>
      </c>
      <c r="E137" s="35">
        <f t="shared" si="54"/>
        <v>0</v>
      </c>
      <c r="F137" s="35">
        <f t="shared" si="54"/>
        <v>0</v>
      </c>
      <c r="G137" s="35">
        <f t="shared" si="54"/>
        <v>0</v>
      </c>
      <c r="H137" s="35">
        <f t="shared" si="54"/>
        <v>0</v>
      </c>
      <c r="I137" s="35">
        <f t="shared" si="54"/>
        <v>0</v>
      </c>
      <c r="J137" s="35">
        <f t="shared" si="54"/>
        <v>0</v>
      </c>
      <c r="K137" s="35">
        <f t="shared" si="54"/>
        <v>0</v>
      </c>
      <c r="L137" s="35">
        <f t="shared" si="54"/>
        <v>0</v>
      </c>
      <c r="M137" s="35">
        <f t="shared" si="54"/>
        <v>73</v>
      </c>
      <c r="N137" s="35">
        <f t="shared" si="54"/>
        <v>0</v>
      </c>
      <c r="O137" s="35">
        <f t="shared" si="54"/>
        <v>12</v>
      </c>
      <c r="P137" s="35">
        <f t="shared" si="54"/>
        <v>0</v>
      </c>
      <c r="Q137" s="35">
        <f t="shared" si="54"/>
        <v>0</v>
      </c>
      <c r="R137" s="35">
        <f t="shared" si="54"/>
        <v>0</v>
      </c>
      <c r="S137" s="35">
        <f t="shared" si="54"/>
        <v>0</v>
      </c>
      <c r="T137" s="35">
        <f t="shared" si="54"/>
        <v>0</v>
      </c>
      <c r="U137" s="35">
        <f t="shared" si="54"/>
        <v>0</v>
      </c>
      <c r="V137" s="35">
        <f t="shared" si="54"/>
        <v>0</v>
      </c>
      <c r="W137" s="35">
        <f t="shared" si="54"/>
        <v>0</v>
      </c>
      <c r="X137" s="35">
        <f t="shared" si="54"/>
        <v>0</v>
      </c>
      <c r="Y137" s="35">
        <f t="shared" si="54"/>
        <v>0</v>
      </c>
      <c r="Z137" s="35">
        <f t="shared" si="54"/>
        <v>0</v>
      </c>
      <c r="AA137" s="35">
        <f t="shared" si="54"/>
        <v>0</v>
      </c>
      <c r="AB137" s="35">
        <f t="shared" si="54"/>
        <v>0</v>
      </c>
      <c r="AC137" s="35">
        <f t="shared" si="54"/>
        <v>35</v>
      </c>
      <c r="AD137" s="35">
        <f t="shared" si="54"/>
        <v>0</v>
      </c>
      <c r="AE137" s="35">
        <f t="shared" si="54"/>
        <v>206</v>
      </c>
      <c r="AF137" s="35">
        <f t="shared" si="54"/>
        <v>602</v>
      </c>
      <c r="AG137" s="35">
        <f t="shared" si="54"/>
        <v>0</v>
      </c>
      <c r="AH137" s="35">
        <f t="shared" si="54"/>
        <v>0</v>
      </c>
      <c r="AI137" s="35">
        <f t="shared" si="54"/>
        <v>0</v>
      </c>
      <c r="AJ137" s="35">
        <f t="shared" si="54"/>
        <v>0</v>
      </c>
      <c r="AK137" s="35">
        <f t="shared" si="54"/>
        <v>0</v>
      </c>
      <c r="AL137" s="35">
        <f t="shared" si="54"/>
        <v>0</v>
      </c>
      <c r="AM137" s="35">
        <f t="shared" si="54"/>
        <v>0</v>
      </c>
      <c r="AN137" s="35">
        <f t="shared" si="54"/>
        <v>0</v>
      </c>
      <c r="AO137" s="35">
        <f t="shared" si="54"/>
        <v>0</v>
      </c>
      <c r="AP137" s="35">
        <f t="shared" si="54"/>
        <v>0</v>
      </c>
      <c r="AQ137" s="35">
        <f t="shared" si="54"/>
        <v>0</v>
      </c>
      <c r="AR137" s="35">
        <f t="shared" si="54"/>
        <v>0</v>
      </c>
      <c r="AS137" s="35">
        <f t="shared" si="54"/>
        <v>0</v>
      </c>
      <c r="AT137" s="35">
        <f t="shared" si="54"/>
        <v>0</v>
      </c>
      <c r="AU137" s="35">
        <f t="shared" si="54"/>
        <v>0</v>
      </c>
      <c r="AV137" s="35">
        <f t="shared" si="54"/>
        <v>0</v>
      </c>
      <c r="AW137" s="35">
        <f t="shared" si="54"/>
        <v>0</v>
      </c>
      <c r="AX137" s="35">
        <f t="shared" si="54"/>
        <v>0</v>
      </c>
      <c r="AY137" s="35">
        <f t="shared" si="54"/>
        <v>0</v>
      </c>
      <c r="AZ137" s="35">
        <f t="shared" si="54"/>
        <v>0</v>
      </c>
      <c r="BA137" s="35">
        <f t="shared" si="54"/>
        <v>0</v>
      </c>
      <c r="BB137" s="35">
        <f t="shared" si="54"/>
        <v>0</v>
      </c>
      <c r="BC137" s="35">
        <f t="shared" si="54"/>
        <v>0</v>
      </c>
      <c r="BD137" s="35">
        <f t="shared" si="54"/>
        <v>0</v>
      </c>
      <c r="BE137" s="35">
        <f t="shared" si="54"/>
        <v>0</v>
      </c>
      <c r="BF137" s="35">
        <f t="shared" si="54"/>
        <v>0</v>
      </c>
      <c r="BG137" s="35">
        <f t="shared" si="54"/>
        <v>0</v>
      </c>
      <c r="BH137" s="35">
        <f t="shared" si="54"/>
        <v>0</v>
      </c>
      <c r="BI137" s="35">
        <f t="shared" si="54"/>
        <v>0</v>
      </c>
      <c r="BJ137" s="35">
        <f t="shared" si="54"/>
        <v>0</v>
      </c>
      <c r="BK137" s="35">
        <f t="shared" si="54"/>
        <v>0</v>
      </c>
      <c r="BL137" s="35">
        <f t="shared" si="54"/>
        <v>0</v>
      </c>
      <c r="BM137" s="35">
        <f t="shared" si="54"/>
        <v>0</v>
      </c>
      <c r="BN137" s="35">
        <f t="shared" si="54"/>
        <v>0</v>
      </c>
      <c r="BO137" s="35">
        <f t="shared" ref="BO137:BP137" si="55">SUM(BO120,BO91,BO77,BO61,BO45,BO35,BO13)</f>
        <v>0</v>
      </c>
      <c r="BP137" s="35">
        <f t="shared" si="55"/>
        <v>0</v>
      </c>
    </row>
    <row r="138" spans="1:68" x14ac:dyDescent="0.35">
      <c r="A138" t="s">
        <v>228</v>
      </c>
      <c r="B138" s="37">
        <f t="shared" si="35"/>
        <v>2217</v>
      </c>
      <c r="C138" s="35">
        <f t="shared" ref="C138:BN138" si="56">SUM(C92,C78,C62,C46,C14)</f>
        <v>124</v>
      </c>
      <c r="D138" s="35">
        <f t="shared" si="56"/>
        <v>0</v>
      </c>
      <c r="E138" s="35">
        <f t="shared" si="56"/>
        <v>0</v>
      </c>
      <c r="F138" s="35">
        <f t="shared" si="56"/>
        <v>0</v>
      </c>
      <c r="G138" s="35">
        <f t="shared" si="56"/>
        <v>0</v>
      </c>
      <c r="H138" s="35">
        <f t="shared" si="56"/>
        <v>0</v>
      </c>
      <c r="I138" s="35">
        <f t="shared" si="56"/>
        <v>0</v>
      </c>
      <c r="J138" s="35">
        <f t="shared" si="56"/>
        <v>0</v>
      </c>
      <c r="K138" s="35">
        <f t="shared" si="56"/>
        <v>794</v>
      </c>
      <c r="L138" s="35">
        <f t="shared" si="56"/>
        <v>487</v>
      </c>
      <c r="M138" s="35">
        <f t="shared" si="56"/>
        <v>144</v>
      </c>
      <c r="N138" s="35">
        <f t="shared" si="56"/>
        <v>145</v>
      </c>
      <c r="O138" s="35">
        <f t="shared" si="56"/>
        <v>0</v>
      </c>
      <c r="P138" s="35">
        <f t="shared" si="56"/>
        <v>40</v>
      </c>
      <c r="Q138" s="35">
        <f t="shared" si="56"/>
        <v>113</v>
      </c>
      <c r="R138" s="35">
        <f t="shared" si="56"/>
        <v>50</v>
      </c>
      <c r="S138" s="35">
        <f t="shared" si="56"/>
        <v>205</v>
      </c>
      <c r="T138" s="35">
        <f t="shared" si="56"/>
        <v>0</v>
      </c>
      <c r="U138" s="35">
        <f t="shared" si="56"/>
        <v>0</v>
      </c>
      <c r="V138" s="35">
        <f t="shared" si="56"/>
        <v>0</v>
      </c>
      <c r="W138" s="35">
        <f t="shared" si="56"/>
        <v>0</v>
      </c>
      <c r="X138" s="35">
        <f t="shared" si="56"/>
        <v>0</v>
      </c>
      <c r="Y138" s="35">
        <f t="shared" si="56"/>
        <v>0</v>
      </c>
      <c r="Z138" s="35">
        <f t="shared" si="56"/>
        <v>115</v>
      </c>
      <c r="AA138" s="35">
        <f t="shared" si="56"/>
        <v>0</v>
      </c>
      <c r="AB138" s="35">
        <f t="shared" si="56"/>
        <v>0</v>
      </c>
      <c r="AC138" s="35">
        <f t="shared" si="56"/>
        <v>0</v>
      </c>
      <c r="AD138" s="35">
        <f t="shared" si="56"/>
        <v>0</v>
      </c>
      <c r="AE138" s="35">
        <f t="shared" si="56"/>
        <v>0</v>
      </c>
      <c r="AF138" s="35">
        <f t="shared" si="56"/>
        <v>0</v>
      </c>
      <c r="AG138" s="35">
        <f t="shared" si="56"/>
        <v>0</v>
      </c>
      <c r="AH138" s="35">
        <f t="shared" si="56"/>
        <v>0</v>
      </c>
      <c r="AI138" s="35">
        <f t="shared" si="56"/>
        <v>0</v>
      </c>
      <c r="AJ138" s="35">
        <f t="shared" si="56"/>
        <v>0</v>
      </c>
      <c r="AK138" s="35">
        <f t="shared" si="56"/>
        <v>0</v>
      </c>
      <c r="AL138" s="35">
        <f t="shared" si="56"/>
        <v>0</v>
      </c>
      <c r="AM138" s="35">
        <f t="shared" si="56"/>
        <v>0</v>
      </c>
      <c r="AN138" s="35">
        <f t="shared" si="56"/>
        <v>0</v>
      </c>
      <c r="AO138" s="35">
        <f t="shared" si="56"/>
        <v>0</v>
      </c>
      <c r="AP138" s="35">
        <f t="shared" si="56"/>
        <v>0</v>
      </c>
      <c r="AQ138" s="35">
        <f t="shared" si="56"/>
        <v>0</v>
      </c>
      <c r="AR138" s="35">
        <f t="shared" si="56"/>
        <v>0</v>
      </c>
      <c r="AS138" s="35">
        <f t="shared" si="56"/>
        <v>0</v>
      </c>
      <c r="AT138" s="35">
        <f t="shared" si="56"/>
        <v>0</v>
      </c>
      <c r="AU138" s="35">
        <f t="shared" si="56"/>
        <v>0</v>
      </c>
      <c r="AV138" s="35">
        <f t="shared" si="56"/>
        <v>0</v>
      </c>
      <c r="AW138" s="35">
        <f t="shared" si="56"/>
        <v>0</v>
      </c>
      <c r="AX138" s="35">
        <f t="shared" si="56"/>
        <v>0</v>
      </c>
      <c r="AY138" s="35">
        <f t="shared" si="56"/>
        <v>0</v>
      </c>
      <c r="AZ138" s="35">
        <f t="shared" si="56"/>
        <v>0</v>
      </c>
      <c r="BA138" s="35">
        <f t="shared" si="56"/>
        <v>0</v>
      </c>
      <c r="BB138" s="35">
        <f t="shared" si="56"/>
        <v>0</v>
      </c>
      <c r="BC138" s="35">
        <f t="shared" si="56"/>
        <v>0</v>
      </c>
      <c r="BD138" s="35">
        <f t="shared" si="56"/>
        <v>0</v>
      </c>
      <c r="BE138" s="35">
        <f t="shared" si="56"/>
        <v>0</v>
      </c>
      <c r="BF138" s="35">
        <f t="shared" si="56"/>
        <v>0</v>
      </c>
      <c r="BG138" s="35">
        <f t="shared" si="56"/>
        <v>0</v>
      </c>
      <c r="BH138" s="35">
        <f t="shared" si="56"/>
        <v>0</v>
      </c>
      <c r="BI138" s="35">
        <f t="shared" si="56"/>
        <v>0</v>
      </c>
      <c r="BJ138" s="35">
        <f t="shared" si="56"/>
        <v>0</v>
      </c>
      <c r="BK138" s="35">
        <f t="shared" si="56"/>
        <v>0</v>
      </c>
      <c r="BL138" s="35">
        <f t="shared" si="56"/>
        <v>0</v>
      </c>
      <c r="BM138" s="35">
        <f t="shared" si="56"/>
        <v>0</v>
      </c>
      <c r="BN138" s="35">
        <f t="shared" si="56"/>
        <v>0</v>
      </c>
      <c r="BO138" s="35">
        <f t="shared" ref="BO138:BP138" si="57">SUM(BO92,BO78,BO62,BO46,BO14)</f>
        <v>0</v>
      </c>
      <c r="BP138" s="35">
        <f t="shared" si="57"/>
        <v>0</v>
      </c>
    </row>
    <row r="139" spans="1:68" x14ac:dyDescent="0.35">
      <c r="A139" t="s">
        <v>229</v>
      </c>
      <c r="B139" s="37">
        <f t="shared" si="35"/>
        <v>475694</v>
      </c>
      <c r="C139" s="35">
        <f t="shared" ref="C139:BN139" si="58">SUM(C106,C93,C70,C36,C27,C15,C47)</f>
        <v>46020</v>
      </c>
      <c r="D139" s="35">
        <f t="shared" si="58"/>
        <v>0</v>
      </c>
      <c r="E139" s="35">
        <f t="shared" si="58"/>
        <v>0</v>
      </c>
      <c r="F139" s="35">
        <f t="shared" si="58"/>
        <v>0</v>
      </c>
      <c r="G139" s="35">
        <f t="shared" si="58"/>
        <v>0</v>
      </c>
      <c r="H139" s="35">
        <f t="shared" si="58"/>
        <v>0</v>
      </c>
      <c r="I139" s="35">
        <f t="shared" si="58"/>
        <v>0</v>
      </c>
      <c r="J139" s="35">
        <f t="shared" si="58"/>
        <v>143</v>
      </c>
      <c r="K139" s="35">
        <f t="shared" si="58"/>
        <v>63</v>
      </c>
      <c r="L139" s="35">
        <f t="shared" si="58"/>
        <v>0</v>
      </c>
      <c r="M139" s="35">
        <f t="shared" si="58"/>
        <v>829</v>
      </c>
      <c r="N139" s="35">
        <f t="shared" si="58"/>
        <v>651</v>
      </c>
      <c r="O139" s="35">
        <f t="shared" si="58"/>
        <v>27483</v>
      </c>
      <c r="P139" s="35">
        <f t="shared" si="58"/>
        <v>45871</v>
      </c>
      <c r="Q139" s="35">
        <f t="shared" si="58"/>
        <v>97392</v>
      </c>
      <c r="R139" s="35">
        <f t="shared" si="58"/>
        <v>28368</v>
      </c>
      <c r="S139" s="35">
        <f t="shared" si="58"/>
        <v>15413</v>
      </c>
      <c r="T139" s="35">
        <f t="shared" si="58"/>
        <v>28810</v>
      </c>
      <c r="U139" s="35">
        <f t="shared" si="58"/>
        <v>25276</v>
      </c>
      <c r="V139" s="35">
        <f t="shared" si="58"/>
        <v>18733</v>
      </c>
      <c r="W139" s="35">
        <f t="shared" si="58"/>
        <v>16932</v>
      </c>
      <c r="X139" s="35">
        <f t="shared" si="58"/>
        <v>5077</v>
      </c>
      <c r="Y139" s="35">
        <f t="shared" si="58"/>
        <v>5736</v>
      </c>
      <c r="Z139" s="35">
        <f t="shared" si="58"/>
        <v>15354</v>
      </c>
      <c r="AA139" s="35">
        <f t="shared" si="58"/>
        <v>22760</v>
      </c>
      <c r="AB139" s="35">
        <f t="shared" si="58"/>
        <v>26427</v>
      </c>
      <c r="AC139" s="35">
        <f t="shared" si="58"/>
        <v>17429</v>
      </c>
      <c r="AD139" s="35">
        <f t="shared" si="58"/>
        <v>30927</v>
      </c>
      <c r="AE139" s="35">
        <f t="shared" si="58"/>
        <v>0</v>
      </c>
      <c r="AF139" s="35">
        <f t="shared" si="58"/>
        <v>0</v>
      </c>
      <c r="AG139" s="35">
        <f t="shared" si="58"/>
        <v>0</v>
      </c>
      <c r="AH139" s="35">
        <f t="shared" si="58"/>
        <v>0</v>
      </c>
      <c r="AI139" s="35">
        <f t="shared" si="58"/>
        <v>0</v>
      </c>
      <c r="AJ139" s="35">
        <f t="shared" si="58"/>
        <v>0</v>
      </c>
      <c r="AK139" s="35">
        <f t="shared" si="58"/>
        <v>0</v>
      </c>
      <c r="AL139" s="35">
        <f t="shared" si="58"/>
        <v>0</v>
      </c>
      <c r="AM139" s="35">
        <f t="shared" si="58"/>
        <v>0</v>
      </c>
      <c r="AN139" s="35">
        <f t="shared" si="58"/>
        <v>0</v>
      </c>
      <c r="AO139" s="35">
        <f t="shared" si="58"/>
        <v>0</v>
      </c>
      <c r="AP139" s="35">
        <f t="shared" si="58"/>
        <v>0</v>
      </c>
      <c r="AQ139" s="35">
        <f t="shared" si="58"/>
        <v>0</v>
      </c>
      <c r="AR139" s="35">
        <f t="shared" si="58"/>
        <v>0</v>
      </c>
      <c r="AS139" s="35">
        <f t="shared" si="58"/>
        <v>0</v>
      </c>
      <c r="AT139" s="35">
        <f t="shared" si="58"/>
        <v>0</v>
      </c>
      <c r="AU139" s="35">
        <f t="shared" si="58"/>
        <v>0</v>
      </c>
      <c r="AV139" s="35">
        <f t="shared" si="58"/>
        <v>0</v>
      </c>
      <c r="AW139" s="35">
        <f t="shared" si="58"/>
        <v>0</v>
      </c>
      <c r="AX139" s="35">
        <f t="shared" si="58"/>
        <v>0</v>
      </c>
      <c r="AY139" s="35">
        <f t="shared" si="58"/>
        <v>0</v>
      </c>
      <c r="AZ139" s="35">
        <f t="shared" si="58"/>
        <v>0</v>
      </c>
      <c r="BA139" s="35">
        <f t="shared" si="58"/>
        <v>0</v>
      </c>
      <c r="BB139" s="35">
        <f t="shared" si="58"/>
        <v>0</v>
      </c>
      <c r="BC139" s="35">
        <f t="shared" si="58"/>
        <v>0</v>
      </c>
      <c r="BD139" s="35">
        <f t="shared" si="58"/>
        <v>0</v>
      </c>
      <c r="BE139" s="35">
        <f t="shared" si="58"/>
        <v>0</v>
      </c>
      <c r="BF139" s="35">
        <f t="shared" si="58"/>
        <v>0</v>
      </c>
      <c r="BG139" s="35">
        <f t="shared" si="58"/>
        <v>0</v>
      </c>
      <c r="BH139" s="35">
        <f t="shared" si="58"/>
        <v>0</v>
      </c>
      <c r="BI139" s="35">
        <f t="shared" si="58"/>
        <v>0</v>
      </c>
      <c r="BJ139" s="35">
        <f t="shared" si="58"/>
        <v>0</v>
      </c>
      <c r="BK139" s="35">
        <f t="shared" si="58"/>
        <v>0</v>
      </c>
      <c r="BL139" s="35">
        <f t="shared" si="58"/>
        <v>0</v>
      </c>
      <c r="BM139" s="35">
        <f t="shared" si="58"/>
        <v>0</v>
      </c>
      <c r="BN139" s="35">
        <f t="shared" si="58"/>
        <v>0</v>
      </c>
      <c r="BO139" s="35">
        <f t="shared" ref="BO139:BP139" si="59">SUM(BO106,BO93,BO70,BO36,BO27,BO15,BO47)</f>
        <v>0</v>
      </c>
      <c r="BP139" s="35">
        <f t="shared" si="59"/>
        <v>0</v>
      </c>
    </row>
    <row r="140" spans="1:68" x14ac:dyDescent="0.35">
      <c r="A140" t="s">
        <v>141</v>
      </c>
      <c r="B140" s="37">
        <f t="shared" si="35"/>
        <v>849</v>
      </c>
      <c r="C140" s="35">
        <f t="shared" ref="C140:BN140" si="60">SUM(C121,C108,C114)</f>
        <v>635</v>
      </c>
      <c r="D140" s="35">
        <f t="shared" si="60"/>
        <v>0</v>
      </c>
      <c r="E140" s="35">
        <f t="shared" si="60"/>
        <v>0</v>
      </c>
      <c r="F140" s="35">
        <f t="shared" si="60"/>
        <v>0</v>
      </c>
      <c r="G140" s="35">
        <f t="shared" si="60"/>
        <v>0</v>
      </c>
      <c r="H140" s="35">
        <f t="shared" si="60"/>
        <v>0</v>
      </c>
      <c r="I140" s="35">
        <f t="shared" si="60"/>
        <v>0</v>
      </c>
      <c r="J140" s="35">
        <f t="shared" si="60"/>
        <v>0</v>
      </c>
      <c r="K140" s="35">
        <f t="shared" si="60"/>
        <v>0</v>
      </c>
      <c r="L140" s="35">
        <f t="shared" si="60"/>
        <v>0</v>
      </c>
      <c r="M140" s="35">
        <f t="shared" si="60"/>
        <v>0</v>
      </c>
      <c r="N140" s="35">
        <f t="shared" si="60"/>
        <v>0</v>
      </c>
      <c r="O140" s="35">
        <f t="shared" si="60"/>
        <v>0</v>
      </c>
      <c r="P140" s="35">
        <f t="shared" si="60"/>
        <v>0</v>
      </c>
      <c r="Q140" s="35">
        <f t="shared" si="60"/>
        <v>0</v>
      </c>
      <c r="R140" s="35">
        <f t="shared" si="60"/>
        <v>0</v>
      </c>
      <c r="S140" s="35">
        <f t="shared" si="60"/>
        <v>0</v>
      </c>
      <c r="T140" s="35">
        <f t="shared" si="60"/>
        <v>0</v>
      </c>
      <c r="U140" s="35">
        <f t="shared" si="60"/>
        <v>0</v>
      </c>
      <c r="V140" s="35">
        <f t="shared" si="60"/>
        <v>0</v>
      </c>
      <c r="W140" s="35">
        <f t="shared" si="60"/>
        <v>0</v>
      </c>
      <c r="X140" s="35">
        <f t="shared" si="60"/>
        <v>0</v>
      </c>
      <c r="Y140" s="35">
        <f t="shared" si="60"/>
        <v>0</v>
      </c>
      <c r="Z140" s="35">
        <f t="shared" si="60"/>
        <v>0</v>
      </c>
      <c r="AA140" s="35">
        <f t="shared" si="60"/>
        <v>0</v>
      </c>
      <c r="AB140" s="35">
        <f t="shared" si="60"/>
        <v>0</v>
      </c>
      <c r="AC140" s="35">
        <f t="shared" si="60"/>
        <v>0</v>
      </c>
      <c r="AD140" s="35">
        <f t="shared" si="60"/>
        <v>0</v>
      </c>
      <c r="AE140" s="35">
        <f t="shared" si="60"/>
        <v>0</v>
      </c>
      <c r="AF140" s="35">
        <f t="shared" si="60"/>
        <v>0</v>
      </c>
      <c r="AG140" s="35">
        <f t="shared" si="60"/>
        <v>0</v>
      </c>
      <c r="AH140" s="35">
        <f t="shared" si="60"/>
        <v>0</v>
      </c>
      <c r="AI140" s="35">
        <f t="shared" si="60"/>
        <v>0</v>
      </c>
      <c r="AJ140" s="35">
        <f t="shared" si="60"/>
        <v>0</v>
      </c>
      <c r="AK140" s="35">
        <f t="shared" si="60"/>
        <v>0</v>
      </c>
      <c r="AL140" s="35">
        <f t="shared" si="60"/>
        <v>0</v>
      </c>
      <c r="AM140" s="35">
        <f t="shared" si="60"/>
        <v>0</v>
      </c>
      <c r="AN140" s="35">
        <f t="shared" si="60"/>
        <v>0</v>
      </c>
      <c r="AO140" s="35">
        <f t="shared" si="60"/>
        <v>0</v>
      </c>
      <c r="AP140" s="35">
        <f t="shared" si="60"/>
        <v>0</v>
      </c>
      <c r="AQ140" s="35">
        <f t="shared" si="60"/>
        <v>0</v>
      </c>
      <c r="AR140" s="35">
        <f t="shared" si="60"/>
        <v>214</v>
      </c>
      <c r="AS140" s="35">
        <f t="shared" si="60"/>
        <v>0</v>
      </c>
      <c r="AT140" s="35">
        <f t="shared" si="60"/>
        <v>0</v>
      </c>
      <c r="AU140" s="35">
        <f t="shared" si="60"/>
        <v>0</v>
      </c>
      <c r="AV140" s="35">
        <f t="shared" si="60"/>
        <v>0</v>
      </c>
      <c r="AW140" s="35">
        <f t="shared" si="60"/>
        <v>0</v>
      </c>
      <c r="AX140" s="35">
        <f t="shared" si="60"/>
        <v>0</v>
      </c>
      <c r="AY140" s="35">
        <f t="shared" si="60"/>
        <v>0</v>
      </c>
      <c r="AZ140" s="35">
        <f t="shared" si="60"/>
        <v>0</v>
      </c>
      <c r="BA140" s="35">
        <f t="shared" si="60"/>
        <v>0</v>
      </c>
      <c r="BB140" s="35">
        <f t="shared" si="60"/>
        <v>0</v>
      </c>
      <c r="BC140" s="35">
        <f t="shared" si="60"/>
        <v>0</v>
      </c>
      <c r="BD140" s="35">
        <f t="shared" si="60"/>
        <v>0</v>
      </c>
      <c r="BE140" s="35">
        <f t="shared" si="60"/>
        <v>0</v>
      </c>
      <c r="BF140" s="35">
        <f t="shared" si="60"/>
        <v>0</v>
      </c>
      <c r="BG140" s="35">
        <f t="shared" si="60"/>
        <v>0</v>
      </c>
      <c r="BH140" s="35">
        <f t="shared" si="60"/>
        <v>0</v>
      </c>
      <c r="BI140" s="35">
        <f t="shared" si="60"/>
        <v>0</v>
      </c>
      <c r="BJ140" s="35">
        <f t="shared" si="60"/>
        <v>0</v>
      </c>
      <c r="BK140" s="35">
        <f t="shared" si="60"/>
        <v>0</v>
      </c>
      <c r="BL140" s="35">
        <f t="shared" si="60"/>
        <v>0</v>
      </c>
      <c r="BM140" s="35">
        <f t="shared" si="60"/>
        <v>0</v>
      </c>
      <c r="BN140" s="35">
        <f t="shared" si="60"/>
        <v>0</v>
      </c>
      <c r="BO140" s="35">
        <f t="shared" ref="BO140:BP140" si="61">SUM(BO121,BO108,BO114)</f>
        <v>0</v>
      </c>
      <c r="BP140" s="35">
        <f t="shared" si="61"/>
        <v>0</v>
      </c>
    </row>
    <row r="141" spans="1:68" x14ac:dyDescent="0.35">
      <c r="A141" t="s">
        <v>233</v>
      </c>
      <c r="B141" s="37">
        <f t="shared" si="35"/>
        <v>360</v>
      </c>
      <c r="C141" s="35">
        <f t="shared" ref="C141:BN141" si="62">SUM(C55,C48)</f>
        <v>300</v>
      </c>
      <c r="D141" s="35">
        <f t="shared" si="62"/>
        <v>0</v>
      </c>
      <c r="E141" s="35">
        <f t="shared" si="62"/>
        <v>0</v>
      </c>
      <c r="F141" s="35">
        <f t="shared" si="62"/>
        <v>0</v>
      </c>
      <c r="G141" s="35">
        <f t="shared" si="62"/>
        <v>0</v>
      </c>
      <c r="H141" s="35">
        <f t="shared" si="62"/>
        <v>0</v>
      </c>
      <c r="I141" s="35">
        <f t="shared" si="62"/>
        <v>0</v>
      </c>
      <c r="J141" s="35">
        <f t="shared" si="62"/>
        <v>0</v>
      </c>
      <c r="K141" s="35">
        <f t="shared" si="62"/>
        <v>0</v>
      </c>
      <c r="L141" s="35">
        <f t="shared" si="62"/>
        <v>0</v>
      </c>
      <c r="M141" s="35">
        <f t="shared" si="62"/>
        <v>0</v>
      </c>
      <c r="N141" s="35">
        <f t="shared" si="62"/>
        <v>0</v>
      </c>
      <c r="O141" s="35">
        <f t="shared" si="62"/>
        <v>0</v>
      </c>
      <c r="P141" s="35">
        <f t="shared" si="62"/>
        <v>0</v>
      </c>
      <c r="Q141" s="35">
        <f t="shared" si="62"/>
        <v>0</v>
      </c>
      <c r="R141" s="35">
        <f t="shared" si="62"/>
        <v>0</v>
      </c>
      <c r="S141" s="35">
        <f t="shared" si="62"/>
        <v>0</v>
      </c>
      <c r="T141" s="35">
        <f t="shared" si="62"/>
        <v>0</v>
      </c>
      <c r="U141" s="35">
        <f t="shared" si="62"/>
        <v>0</v>
      </c>
      <c r="V141" s="35">
        <f t="shared" si="62"/>
        <v>0</v>
      </c>
      <c r="W141" s="35">
        <f t="shared" si="62"/>
        <v>0</v>
      </c>
      <c r="X141" s="35">
        <f t="shared" si="62"/>
        <v>0</v>
      </c>
      <c r="Y141" s="35">
        <f t="shared" si="62"/>
        <v>0</v>
      </c>
      <c r="Z141" s="35">
        <f t="shared" si="62"/>
        <v>0</v>
      </c>
      <c r="AA141" s="35">
        <f t="shared" si="62"/>
        <v>0</v>
      </c>
      <c r="AB141" s="35">
        <f t="shared" si="62"/>
        <v>60</v>
      </c>
      <c r="AC141" s="35">
        <f t="shared" si="62"/>
        <v>0</v>
      </c>
      <c r="AD141" s="35">
        <f t="shared" si="62"/>
        <v>0</v>
      </c>
      <c r="AE141" s="35">
        <f t="shared" si="62"/>
        <v>0</v>
      </c>
      <c r="AF141" s="35">
        <f t="shared" si="62"/>
        <v>0</v>
      </c>
      <c r="AG141" s="35">
        <f t="shared" si="62"/>
        <v>0</v>
      </c>
      <c r="AH141" s="35">
        <f t="shared" si="62"/>
        <v>0</v>
      </c>
      <c r="AI141" s="35">
        <f t="shared" si="62"/>
        <v>0</v>
      </c>
      <c r="AJ141" s="35">
        <f t="shared" si="62"/>
        <v>0</v>
      </c>
      <c r="AK141" s="35">
        <f t="shared" si="62"/>
        <v>0</v>
      </c>
      <c r="AL141" s="35">
        <f t="shared" si="62"/>
        <v>0</v>
      </c>
      <c r="AM141" s="35">
        <f t="shared" si="62"/>
        <v>0</v>
      </c>
      <c r="AN141" s="35">
        <f t="shared" si="62"/>
        <v>0</v>
      </c>
      <c r="AO141" s="35">
        <f t="shared" si="62"/>
        <v>0</v>
      </c>
      <c r="AP141" s="35">
        <f t="shared" si="62"/>
        <v>0</v>
      </c>
      <c r="AQ141" s="35">
        <f t="shared" si="62"/>
        <v>0</v>
      </c>
      <c r="AR141" s="35">
        <f t="shared" si="62"/>
        <v>0</v>
      </c>
      <c r="AS141" s="35">
        <f t="shared" si="62"/>
        <v>0</v>
      </c>
      <c r="AT141" s="35">
        <f t="shared" si="62"/>
        <v>0</v>
      </c>
      <c r="AU141" s="35">
        <f t="shared" si="62"/>
        <v>0</v>
      </c>
      <c r="AV141" s="35">
        <f t="shared" si="62"/>
        <v>0</v>
      </c>
      <c r="AW141" s="35">
        <f t="shared" si="62"/>
        <v>0</v>
      </c>
      <c r="AX141" s="35">
        <f t="shared" si="62"/>
        <v>0</v>
      </c>
      <c r="AY141" s="35">
        <f t="shared" si="62"/>
        <v>0</v>
      </c>
      <c r="AZ141" s="35">
        <f t="shared" si="62"/>
        <v>0</v>
      </c>
      <c r="BA141" s="35">
        <f t="shared" si="62"/>
        <v>0</v>
      </c>
      <c r="BB141" s="35">
        <f t="shared" si="62"/>
        <v>0</v>
      </c>
      <c r="BC141" s="35">
        <f t="shared" si="62"/>
        <v>0</v>
      </c>
      <c r="BD141" s="35">
        <f t="shared" si="62"/>
        <v>0</v>
      </c>
      <c r="BE141" s="35">
        <f t="shared" si="62"/>
        <v>0</v>
      </c>
      <c r="BF141" s="35">
        <f t="shared" si="62"/>
        <v>0</v>
      </c>
      <c r="BG141" s="35">
        <f t="shared" si="62"/>
        <v>0</v>
      </c>
      <c r="BH141" s="35">
        <f t="shared" si="62"/>
        <v>0</v>
      </c>
      <c r="BI141" s="35">
        <f t="shared" si="62"/>
        <v>0</v>
      </c>
      <c r="BJ141" s="35">
        <f t="shared" si="62"/>
        <v>0</v>
      </c>
      <c r="BK141" s="35">
        <f t="shared" si="62"/>
        <v>0</v>
      </c>
      <c r="BL141" s="35">
        <f t="shared" si="62"/>
        <v>0</v>
      </c>
      <c r="BM141" s="35">
        <f t="shared" si="62"/>
        <v>0</v>
      </c>
      <c r="BN141" s="35">
        <f t="shared" si="62"/>
        <v>0</v>
      </c>
      <c r="BO141" s="35">
        <f t="shared" ref="BO141:BP141" si="63">SUM(BO55,BO48)</f>
        <v>0</v>
      </c>
      <c r="BP141" s="35">
        <f t="shared" si="63"/>
        <v>0</v>
      </c>
    </row>
    <row r="142" spans="1:68" x14ac:dyDescent="0.35">
      <c r="A142" t="s">
        <v>230</v>
      </c>
      <c r="B142" s="37">
        <f t="shared" si="35"/>
        <v>9964</v>
      </c>
      <c r="C142" s="35">
        <f t="shared" ref="C142:BN142" si="64">SUM(C49,C16)</f>
        <v>0</v>
      </c>
      <c r="D142" s="35">
        <f t="shared" si="64"/>
        <v>0</v>
      </c>
      <c r="E142" s="35">
        <f t="shared" si="64"/>
        <v>0</v>
      </c>
      <c r="F142" s="35">
        <f t="shared" si="64"/>
        <v>0</v>
      </c>
      <c r="G142" s="35">
        <f t="shared" si="64"/>
        <v>0</v>
      </c>
      <c r="H142" s="35">
        <f t="shared" si="64"/>
        <v>0</v>
      </c>
      <c r="I142" s="35">
        <f t="shared" si="64"/>
        <v>0</v>
      </c>
      <c r="J142" s="35">
        <f t="shared" si="64"/>
        <v>0</v>
      </c>
      <c r="K142" s="35">
        <f t="shared" si="64"/>
        <v>0</v>
      </c>
      <c r="L142" s="35">
        <f t="shared" si="64"/>
        <v>0</v>
      </c>
      <c r="M142" s="35">
        <f t="shared" si="64"/>
        <v>0</v>
      </c>
      <c r="N142" s="35">
        <f t="shared" si="64"/>
        <v>0</v>
      </c>
      <c r="O142" s="35">
        <f t="shared" si="64"/>
        <v>0</v>
      </c>
      <c r="P142" s="35">
        <f t="shared" si="64"/>
        <v>0</v>
      </c>
      <c r="Q142" s="35">
        <f t="shared" si="64"/>
        <v>0</v>
      </c>
      <c r="R142" s="35">
        <f t="shared" si="64"/>
        <v>5058</v>
      </c>
      <c r="S142" s="35">
        <f t="shared" si="64"/>
        <v>0</v>
      </c>
      <c r="T142" s="35">
        <f t="shared" si="64"/>
        <v>0</v>
      </c>
      <c r="U142" s="35">
        <f t="shared" si="64"/>
        <v>0</v>
      </c>
      <c r="V142" s="35">
        <f t="shared" si="64"/>
        <v>0</v>
      </c>
      <c r="W142" s="35">
        <f t="shared" si="64"/>
        <v>0</v>
      </c>
      <c r="X142" s="35">
        <f t="shared" si="64"/>
        <v>0</v>
      </c>
      <c r="Y142" s="35">
        <f t="shared" si="64"/>
        <v>2166</v>
      </c>
      <c r="Z142" s="35">
        <f t="shared" si="64"/>
        <v>0</v>
      </c>
      <c r="AA142" s="35">
        <f t="shared" si="64"/>
        <v>0</v>
      </c>
      <c r="AB142" s="35">
        <f t="shared" si="64"/>
        <v>2740</v>
      </c>
      <c r="AC142" s="35">
        <f t="shared" si="64"/>
        <v>0</v>
      </c>
      <c r="AD142" s="35">
        <f t="shared" si="64"/>
        <v>0</v>
      </c>
      <c r="AE142" s="35">
        <f t="shared" si="64"/>
        <v>0</v>
      </c>
      <c r="AF142" s="35">
        <f t="shared" si="64"/>
        <v>0</v>
      </c>
      <c r="AG142" s="35">
        <f t="shared" si="64"/>
        <v>0</v>
      </c>
      <c r="AH142" s="35">
        <f t="shared" si="64"/>
        <v>0</v>
      </c>
      <c r="AI142" s="35">
        <f t="shared" si="64"/>
        <v>0</v>
      </c>
      <c r="AJ142" s="35">
        <f t="shared" si="64"/>
        <v>0</v>
      </c>
      <c r="AK142" s="35">
        <f t="shared" si="64"/>
        <v>0</v>
      </c>
      <c r="AL142" s="35">
        <f t="shared" si="64"/>
        <v>0</v>
      </c>
      <c r="AM142" s="35">
        <f t="shared" si="64"/>
        <v>0</v>
      </c>
      <c r="AN142" s="35">
        <f t="shared" si="64"/>
        <v>0</v>
      </c>
      <c r="AO142" s="35">
        <f t="shared" si="64"/>
        <v>0</v>
      </c>
      <c r="AP142" s="35">
        <f t="shared" si="64"/>
        <v>0</v>
      </c>
      <c r="AQ142" s="35">
        <f t="shared" si="64"/>
        <v>0</v>
      </c>
      <c r="AR142" s="35">
        <f t="shared" si="64"/>
        <v>0</v>
      </c>
      <c r="AS142" s="35">
        <f t="shared" si="64"/>
        <v>0</v>
      </c>
      <c r="AT142" s="35">
        <f t="shared" si="64"/>
        <v>0</v>
      </c>
      <c r="AU142" s="35">
        <f t="shared" si="64"/>
        <v>0</v>
      </c>
      <c r="AV142" s="35">
        <f t="shared" si="64"/>
        <v>0</v>
      </c>
      <c r="AW142" s="35">
        <f t="shared" si="64"/>
        <v>0</v>
      </c>
      <c r="AX142" s="35">
        <f t="shared" si="64"/>
        <v>0</v>
      </c>
      <c r="AY142" s="35">
        <f t="shared" si="64"/>
        <v>0</v>
      </c>
      <c r="AZ142" s="35">
        <f t="shared" si="64"/>
        <v>0</v>
      </c>
      <c r="BA142" s="35">
        <f t="shared" si="64"/>
        <v>0</v>
      </c>
      <c r="BB142" s="35">
        <f t="shared" si="64"/>
        <v>0</v>
      </c>
      <c r="BC142" s="35">
        <f t="shared" si="64"/>
        <v>0</v>
      </c>
      <c r="BD142" s="35">
        <f t="shared" si="64"/>
        <v>0</v>
      </c>
      <c r="BE142" s="35">
        <f t="shared" si="64"/>
        <v>0</v>
      </c>
      <c r="BF142" s="35">
        <f t="shared" si="64"/>
        <v>0</v>
      </c>
      <c r="BG142" s="35">
        <f t="shared" si="64"/>
        <v>0</v>
      </c>
      <c r="BH142" s="35">
        <f t="shared" si="64"/>
        <v>0</v>
      </c>
      <c r="BI142" s="35">
        <f t="shared" si="64"/>
        <v>0</v>
      </c>
      <c r="BJ142" s="35">
        <f t="shared" si="64"/>
        <v>0</v>
      </c>
      <c r="BK142" s="35">
        <f t="shared" si="64"/>
        <v>0</v>
      </c>
      <c r="BL142" s="35">
        <f t="shared" si="64"/>
        <v>0</v>
      </c>
      <c r="BM142" s="35">
        <f t="shared" si="64"/>
        <v>0</v>
      </c>
      <c r="BN142" s="35">
        <f t="shared" si="64"/>
        <v>0</v>
      </c>
      <c r="BO142" s="35">
        <f t="shared" ref="BO142:BP142" si="65">SUM(BO49,BO16)</f>
        <v>0</v>
      </c>
      <c r="BP142" s="35">
        <f t="shared" si="65"/>
        <v>0</v>
      </c>
    </row>
    <row r="143" spans="1:68" x14ac:dyDescent="0.35">
      <c r="A143" t="s">
        <v>101</v>
      </c>
      <c r="B143" s="37">
        <f t="shared" si="35"/>
        <v>719</v>
      </c>
      <c r="C143" s="35">
        <f t="shared" ref="C143:BN143" si="66">SUM(C122,C94,C79,C17)</f>
        <v>509</v>
      </c>
      <c r="D143" s="35">
        <f t="shared" si="66"/>
        <v>0</v>
      </c>
      <c r="E143" s="35">
        <f t="shared" si="66"/>
        <v>0</v>
      </c>
      <c r="F143" s="35">
        <f t="shared" si="66"/>
        <v>0</v>
      </c>
      <c r="G143" s="35">
        <f t="shared" si="66"/>
        <v>0</v>
      </c>
      <c r="H143" s="35">
        <f t="shared" si="66"/>
        <v>0</v>
      </c>
      <c r="I143" s="35">
        <f t="shared" si="66"/>
        <v>0</v>
      </c>
      <c r="J143" s="35">
        <f t="shared" si="66"/>
        <v>0</v>
      </c>
      <c r="K143" s="35">
        <f t="shared" si="66"/>
        <v>0</v>
      </c>
      <c r="L143" s="35">
        <f t="shared" si="66"/>
        <v>0</v>
      </c>
      <c r="M143" s="35">
        <f t="shared" si="66"/>
        <v>0</v>
      </c>
      <c r="N143" s="35">
        <f t="shared" si="66"/>
        <v>0</v>
      </c>
      <c r="O143" s="35">
        <f t="shared" si="66"/>
        <v>0</v>
      </c>
      <c r="P143" s="35">
        <f t="shared" si="66"/>
        <v>0</v>
      </c>
      <c r="Q143" s="35">
        <f t="shared" si="66"/>
        <v>0</v>
      </c>
      <c r="R143" s="35">
        <f t="shared" si="66"/>
        <v>0</v>
      </c>
      <c r="S143" s="35">
        <f t="shared" si="66"/>
        <v>0</v>
      </c>
      <c r="T143" s="35">
        <f t="shared" si="66"/>
        <v>0</v>
      </c>
      <c r="U143" s="35">
        <f t="shared" si="66"/>
        <v>0</v>
      </c>
      <c r="V143" s="35">
        <f t="shared" si="66"/>
        <v>0</v>
      </c>
      <c r="W143" s="35">
        <f t="shared" si="66"/>
        <v>0</v>
      </c>
      <c r="X143" s="35">
        <f t="shared" si="66"/>
        <v>0</v>
      </c>
      <c r="Y143" s="35">
        <f t="shared" si="66"/>
        <v>0</v>
      </c>
      <c r="Z143" s="35">
        <f t="shared" si="66"/>
        <v>0</v>
      </c>
      <c r="AA143" s="35">
        <f t="shared" si="66"/>
        <v>0</v>
      </c>
      <c r="AB143" s="35">
        <f t="shared" si="66"/>
        <v>0</v>
      </c>
      <c r="AC143" s="35">
        <f t="shared" si="66"/>
        <v>0</v>
      </c>
      <c r="AD143" s="35">
        <f t="shared" si="66"/>
        <v>0</v>
      </c>
      <c r="AE143" s="35">
        <f t="shared" si="66"/>
        <v>210</v>
      </c>
      <c r="AF143" s="35">
        <f t="shared" si="66"/>
        <v>0</v>
      </c>
      <c r="AG143" s="35">
        <f t="shared" si="66"/>
        <v>0</v>
      </c>
      <c r="AH143" s="35">
        <f t="shared" si="66"/>
        <v>0</v>
      </c>
      <c r="AI143" s="35">
        <f t="shared" si="66"/>
        <v>0</v>
      </c>
      <c r="AJ143" s="35">
        <f t="shared" si="66"/>
        <v>0</v>
      </c>
      <c r="AK143" s="35">
        <f t="shared" si="66"/>
        <v>0</v>
      </c>
      <c r="AL143" s="35">
        <f t="shared" si="66"/>
        <v>0</v>
      </c>
      <c r="AM143" s="35">
        <f t="shared" si="66"/>
        <v>0</v>
      </c>
      <c r="AN143" s="35">
        <f t="shared" si="66"/>
        <v>0</v>
      </c>
      <c r="AO143" s="35">
        <f t="shared" si="66"/>
        <v>0</v>
      </c>
      <c r="AP143" s="35">
        <f t="shared" si="66"/>
        <v>0</v>
      </c>
      <c r="AQ143" s="35">
        <f t="shared" si="66"/>
        <v>0</v>
      </c>
      <c r="AR143" s="35">
        <f t="shared" si="66"/>
        <v>0</v>
      </c>
      <c r="AS143" s="35">
        <f t="shared" si="66"/>
        <v>0</v>
      </c>
      <c r="AT143" s="35">
        <f t="shared" si="66"/>
        <v>0</v>
      </c>
      <c r="AU143" s="35">
        <f t="shared" si="66"/>
        <v>0</v>
      </c>
      <c r="AV143" s="35">
        <f t="shared" si="66"/>
        <v>0</v>
      </c>
      <c r="AW143" s="35">
        <f t="shared" si="66"/>
        <v>0</v>
      </c>
      <c r="AX143" s="35">
        <f t="shared" si="66"/>
        <v>0</v>
      </c>
      <c r="AY143" s="35">
        <f t="shared" si="66"/>
        <v>0</v>
      </c>
      <c r="AZ143" s="35">
        <f t="shared" si="66"/>
        <v>0</v>
      </c>
      <c r="BA143" s="35">
        <f t="shared" si="66"/>
        <v>0</v>
      </c>
      <c r="BB143" s="35">
        <f t="shared" si="66"/>
        <v>0</v>
      </c>
      <c r="BC143" s="35">
        <f t="shared" si="66"/>
        <v>0</v>
      </c>
      <c r="BD143" s="35">
        <f t="shared" si="66"/>
        <v>0</v>
      </c>
      <c r="BE143" s="35">
        <f t="shared" si="66"/>
        <v>0</v>
      </c>
      <c r="BF143" s="35">
        <f t="shared" si="66"/>
        <v>0</v>
      </c>
      <c r="BG143" s="35">
        <f t="shared" si="66"/>
        <v>0</v>
      </c>
      <c r="BH143" s="35">
        <f t="shared" si="66"/>
        <v>0</v>
      </c>
      <c r="BI143" s="35">
        <f t="shared" si="66"/>
        <v>0</v>
      </c>
      <c r="BJ143" s="35">
        <f t="shared" si="66"/>
        <v>0</v>
      </c>
      <c r="BK143" s="35">
        <f t="shared" si="66"/>
        <v>0</v>
      </c>
      <c r="BL143" s="35">
        <f t="shared" si="66"/>
        <v>0</v>
      </c>
      <c r="BM143" s="35">
        <f t="shared" si="66"/>
        <v>0</v>
      </c>
      <c r="BN143" s="35">
        <f t="shared" si="66"/>
        <v>0</v>
      </c>
      <c r="BO143" s="35">
        <f t="shared" ref="BO143:BP143" si="67">SUM(BO122,BO94,BO79,BO17)</f>
        <v>0</v>
      </c>
      <c r="BP143" s="35">
        <f t="shared" si="67"/>
        <v>0</v>
      </c>
    </row>
    <row r="144" spans="1:68" x14ac:dyDescent="0.35">
      <c r="A144" t="s">
        <v>231</v>
      </c>
      <c r="B144" s="37">
        <f t="shared" si="35"/>
        <v>1585</v>
      </c>
      <c r="C144" s="35">
        <f t="shared" ref="C144:BN144" si="68">SUM(C95,C80,C56,C18)</f>
        <v>948</v>
      </c>
      <c r="D144" s="35">
        <f t="shared" si="68"/>
        <v>0</v>
      </c>
      <c r="E144" s="35">
        <f t="shared" si="68"/>
        <v>0</v>
      </c>
      <c r="F144" s="35">
        <f t="shared" si="68"/>
        <v>0</v>
      </c>
      <c r="G144" s="35">
        <f t="shared" si="68"/>
        <v>0</v>
      </c>
      <c r="H144" s="35">
        <f t="shared" si="68"/>
        <v>0</v>
      </c>
      <c r="I144" s="35">
        <f t="shared" si="68"/>
        <v>0</v>
      </c>
      <c r="J144" s="35">
        <f t="shared" si="68"/>
        <v>0</v>
      </c>
      <c r="K144" s="35">
        <f t="shared" si="68"/>
        <v>0</v>
      </c>
      <c r="L144" s="35">
        <f t="shared" si="68"/>
        <v>0</v>
      </c>
      <c r="M144" s="35">
        <f t="shared" si="68"/>
        <v>0</v>
      </c>
      <c r="N144" s="35">
        <f t="shared" si="68"/>
        <v>0</v>
      </c>
      <c r="O144" s="35">
        <f t="shared" si="68"/>
        <v>0</v>
      </c>
      <c r="P144" s="35">
        <f t="shared" si="68"/>
        <v>0</v>
      </c>
      <c r="Q144" s="35">
        <f t="shared" si="68"/>
        <v>0</v>
      </c>
      <c r="R144" s="35">
        <f t="shared" si="68"/>
        <v>0</v>
      </c>
      <c r="S144" s="35">
        <f t="shared" si="68"/>
        <v>360</v>
      </c>
      <c r="T144" s="35">
        <f t="shared" si="68"/>
        <v>0</v>
      </c>
      <c r="U144" s="35">
        <f t="shared" si="68"/>
        <v>0</v>
      </c>
      <c r="V144" s="35">
        <f t="shared" si="68"/>
        <v>0</v>
      </c>
      <c r="W144" s="35">
        <f t="shared" si="68"/>
        <v>0</v>
      </c>
      <c r="X144" s="35">
        <f t="shared" si="68"/>
        <v>0</v>
      </c>
      <c r="Y144" s="35">
        <f t="shared" si="68"/>
        <v>0</v>
      </c>
      <c r="Z144" s="35">
        <f t="shared" si="68"/>
        <v>0</v>
      </c>
      <c r="AA144" s="35">
        <f t="shared" si="68"/>
        <v>0</v>
      </c>
      <c r="AB144" s="35">
        <f t="shared" si="68"/>
        <v>0</v>
      </c>
      <c r="AC144" s="35">
        <f t="shared" si="68"/>
        <v>0</v>
      </c>
      <c r="AD144" s="35">
        <f t="shared" si="68"/>
        <v>0</v>
      </c>
      <c r="AE144" s="35">
        <f t="shared" si="68"/>
        <v>0</v>
      </c>
      <c r="AF144" s="35">
        <f t="shared" si="68"/>
        <v>0</v>
      </c>
      <c r="AG144" s="35">
        <f t="shared" si="68"/>
        <v>0</v>
      </c>
      <c r="AH144" s="35">
        <f t="shared" si="68"/>
        <v>0</v>
      </c>
      <c r="AI144" s="35">
        <f t="shared" si="68"/>
        <v>0</v>
      </c>
      <c r="AJ144" s="35">
        <f t="shared" si="68"/>
        <v>0</v>
      </c>
      <c r="AK144" s="35">
        <f t="shared" si="68"/>
        <v>182</v>
      </c>
      <c r="AL144" s="35">
        <f t="shared" si="68"/>
        <v>0</v>
      </c>
      <c r="AM144" s="35">
        <f t="shared" si="68"/>
        <v>95</v>
      </c>
      <c r="AN144" s="35">
        <f t="shared" si="68"/>
        <v>0</v>
      </c>
      <c r="AO144" s="35">
        <f t="shared" si="68"/>
        <v>0</v>
      </c>
      <c r="AP144" s="35">
        <f t="shared" si="68"/>
        <v>0</v>
      </c>
      <c r="AQ144" s="35">
        <f t="shared" si="68"/>
        <v>0</v>
      </c>
      <c r="AR144" s="35">
        <f t="shared" si="68"/>
        <v>0</v>
      </c>
      <c r="AS144" s="35">
        <f t="shared" si="68"/>
        <v>0</v>
      </c>
      <c r="AT144" s="35">
        <f t="shared" si="68"/>
        <v>0</v>
      </c>
      <c r="AU144" s="35">
        <f t="shared" si="68"/>
        <v>0</v>
      </c>
      <c r="AV144" s="35">
        <f t="shared" si="68"/>
        <v>0</v>
      </c>
      <c r="AW144" s="35">
        <f t="shared" si="68"/>
        <v>0</v>
      </c>
      <c r="AX144" s="35">
        <f t="shared" si="68"/>
        <v>0</v>
      </c>
      <c r="AY144" s="35">
        <f t="shared" si="68"/>
        <v>0</v>
      </c>
      <c r="AZ144" s="35">
        <f t="shared" si="68"/>
        <v>0</v>
      </c>
      <c r="BA144" s="35">
        <f t="shared" si="68"/>
        <v>0</v>
      </c>
      <c r="BB144" s="35">
        <f t="shared" si="68"/>
        <v>0</v>
      </c>
      <c r="BC144" s="35">
        <f t="shared" si="68"/>
        <v>0</v>
      </c>
      <c r="BD144" s="35">
        <f t="shared" si="68"/>
        <v>0</v>
      </c>
      <c r="BE144" s="35">
        <f t="shared" si="68"/>
        <v>0</v>
      </c>
      <c r="BF144" s="35">
        <f t="shared" si="68"/>
        <v>0</v>
      </c>
      <c r="BG144" s="35">
        <f t="shared" si="68"/>
        <v>0</v>
      </c>
      <c r="BH144" s="35">
        <f t="shared" si="68"/>
        <v>0</v>
      </c>
      <c r="BI144" s="35">
        <f t="shared" si="68"/>
        <v>0</v>
      </c>
      <c r="BJ144" s="35">
        <f t="shared" si="68"/>
        <v>0</v>
      </c>
      <c r="BK144" s="35">
        <f t="shared" si="68"/>
        <v>0</v>
      </c>
      <c r="BL144" s="35">
        <f t="shared" si="68"/>
        <v>0</v>
      </c>
      <c r="BM144" s="35">
        <f t="shared" si="68"/>
        <v>0</v>
      </c>
      <c r="BN144" s="35">
        <f t="shared" si="68"/>
        <v>0</v>
      </c>
      <c r="BO144" s="35">
        <f t="shared" ref="BO144:BP144" si="69">SUM(BO95,BO80,BO56,BO18)</f>
        <v>0</v>
      </c>
      <c r="BP144" s="35">
        <f t="shared" si="69"/>
        <v>0</v>
      </c>
    </row>
    <row r="145" spans="1:68" x14ac:dyDescent="0.35">
      <c r="A145" t="s">
        <v>232</v>
      </c>
      <c r="B145" s="37">
        <f t="shared" si="35"/>
        <v>12692</v>
      </c>
      <c r="C145" s="35">
        <f t="shared" ref="C145:BN145" si="70">SUM(C109,C96,C28)</f>
        <v>0</v>
      </c>
      <c r="D145" s="35">
        <f t="shared" si="70"/>
        <v>0</v>
      </c>
      <c r="E145" s="35">
        <f t="shared" si="70"/>
        <v>0</v>
      </c>
      <c r="F145" s="35">
        <f t="shared" si="70"/>
        <v>0</v>
      </c>
      <c r="G145" s="35">
        <f t="shared" si="70"/>
        <v>0</v>
      </c>
      <c r="H145" s="35">
        <f t="shared" si="70"/>
        <v>0</v>
      </c>
      <c r="I145" s="35">
        <f t="shared" si="70"/>
        <v>0</v>
      </c>
      <c r="J145" s="35">
        <f t="shared" si="70"/>
        <v>0</v>
      </c>
      <c r="K145" s="35">
        <f t="shared" si="70"/>
        <v>0</v>
      </c>
      <c r="L145" s="35">
        <f t="shared" si="70"/>
        <v>0</v>
      </c>
      <c r="M145" s="35">
        <f t="shared" si="70"/>
        <v>0</v>
      </c>
      <c r="N145" s="35">
        <f t="shared" si="70"/>
        <v>0</v>
      </c>
      <c r="O145" s="35">
        <f t="shared" si="70"/>
        <v>0</v>
      </c>
      <c r="P145" s="35">
        <f t="shared" si="70"/>
        <v>0</v>
      </c>
      <c r="Q145" s="35">
        <f t="shared" si="70"/>
        <v>0</v>
      </c>
      <c r="R145" s="35">
        <f t="shared" si="70"/>
        <v>0</v>
      </c>
      <c r="S145" s="35">
        <f t="shared" si="70"/>
        <v>0</v>
      </c>
      <c r="T145" s="35">
        <f t="shared" si="70"/>
        <v>0</v>
      </c>
      <c r="U145" s="35">
        <f t="shared" si="70"/>
        <v>0</v>
      </c>
      <c r="V145" s="35">
        <f t="shared" si="70"/>
        <v>0</v>
      </c>
      <c r="W145" s="35">
        <f t="shared" si="70"/>
        <v>0</v>
      </c>
      <c r="X145" s="35">
        <f t="shared" si="70"/>
        <v>0</v>
      </c>
      <c r="Y145" s="35">
        <f t="shared" si="70"/>
        <v>0</v>
      </c>
      <c r="Z145" s="35">
        <f t="shared" si="70"/>
        <v>0</v>
      </c>
      <c r="AA145" s="35">
        <f t="shared" si="70"/>
        <v>0</v>
      </c>
      <c r="AB145" s="35">
        <f t="shared" si="70"/>
        <v>0</v>
      </c>
      <c r="AC145" s="35">
        <f t="shared" si="70"/>
        <v>9283</v>
      </c>
      <c r="AD145" s="35">
        <f t="shared" si="70"/>
        <v>3409</v>
      </c>
      <c r="AE145" s="35">
        <f t="shared" si="70"/>
        <v>0</v>
      </c>
      <c r="AF145" s="35">
        <f t="shared" si="70"/>
        <v>0</v>
      </c>
      <c r="AG145" s="35">
        <f t="shared" si="70"/>
        <v>0</v>
      </c>
      <c r="AH145" s="35">
        <f t="shared" si="70"/>
        <v>0</v>
      </c>
      <c r="AI145" s="35">
        <f t="shared" si="70"/>
        <v>0</v>
      </c>
      <c r="AJ145" s="35">
        <f t="shared" si="70"/>
        <v>0</v>
      </c>
      <c r="AK145" s="35">
        <f t="shared" si="70"/>
        <v>0</v>
      </c>
      <c r="AL145" s="35">
        <f t="shared" si="70"/>
        <v>0</v>
      </c>
      <c r="AM145" s="35">
        <f t="shared" si="70"/>
        <v>0</v>
      </c>
      <c r="AN145" s="35">
        <f t="shared" si="70"/>
        <v>0</v>
      </c>
      <c r="AO145" s="35">
        <f t="shared" si="70"/>
        <v>0</v>
      </c>
      <c r="AP145" s="35">
        <f t="shared" si="70"/>
        <v>0</v>
      </c>
      <c r="AQ145" s="35">
        <f t="shared" si="70"/>
        <v>0</v>
      </c>
      <c r="AR145" s="35">
        <f t="shared" si="70"/>
        <v>0</v>
      </c>
      <c r="AS145" s="35">
        <f t="shared" si="70"/>
        <v>0</v>
      </c>
      <c r="AT145" s="35">
        <f t="shared" si="70"/>
        <v>0</v>
      </c>
      <c r="AU145" s="35">
        <f t="shared" si="70"/>
        <v>0</v>
      </c>
      <c r="AV145" s="35">
        <f t="shared" si="70"/>
        <v>0</v>
      </c>
      <c r="AW145" s="35">
        <f t="shared" si="70"/>
        <v>0</v>
      </c>
      <c r="AX145" s="35">
        <f t="shared" si="70"/>
        <v>0</v>
      </c>
      <c r="AY145" s="35">
        <f t="shared" si="70"/>
        <v>0</v>
      </c>
      <c r="AZ145" s="35">
        <f t="shared" si="70"/>
        <v>0</v>
      </c>
      <c r="BA145" s="35">
        <f t="shared" si="70"/>
        <v>0</v>
      </c>
      <c r="BB145" s="35">
        <f t="shared" si="70"/>
        <v>0</v>
      </c>
      <c r="BC145" s="35">
        <f t="shared" si="70"/>
        <v>0</v>
      </c>
      <c r="BD145" s="35">
        <f t="shared" si="70"/>
        <v>0</v>
      </c>
      <c r="BE145" s="35">
        <f t="shared" si="70"/>
        <v>0</v>
      </c>
      <c r="BF145" s="35">
        <f t="shared" si="70"/>
        <v>0</v>
      </c>
      <c r="BG145" s="35">
        <f t="shared" si="70"/>
        <v>0</v>
      </c>
      <c r="BH145" s="35">
        <f t="shared" si="70"/>
        <v>0</v>
      </c>
      <c r="BI145" s="35">
        <f t="shared" si="70"/>
        <v>0</v>
      </c>
      <c r="BJ145" s="35">
        <f t="shared" si="70"/>
        <v>0</v>
      </c>
      <c r="BK145" s="35">
        <f t="shared" si="70"/>
        <v>0</v>
      </c>
      <c r="BL145" s="35">
        <f t="shared" si="70"/>
        <v>0</v>
      </c>
      <c r="BM145" s="35">
        <f t="shared" si="70"/>
        <v>0</v>
      </c>
      <c r="BN145" s="35">
        <f t="shared" si="70"/>
        <v>0</v>
      </c>
      <c r="BO145" s="35">
        <f t="shared" ref="BO145:BP145" si="71">SUM(BO109,BO96,BO28)</f>
        <v>0</v>
      </c>
      <c r="BP145" s="35">
        <f t="shared" si="71"/>
        <v>0</v>
      </c>
    </row>
    <row r="146" spans="1:68" x14ac:dyDescent="0.35">
      <c r="A146" t="s">
        <v>103</v>
      </c>
      <c r="B146" s="37">
        <f t="shared" si="35"/>
        <v>735</v>
      </c>
      <c r="C146" s="35">
        <f t="shared" ref="C146:BN146" si="72">SUM(C123,C81,C37)</f>
        <v>628</v>
      </c>
      <c r="D146" s="35">
        <f t="shared" si="72"/>
        <v>0</v>
      </c>
      <c r="E146" s="35">
        <f t="shared" si="72"/>
        <v>0</v>
      </c>
      <c r="F146" s="35">
        <f t="shared" si="72"/>
        <v>0</v>
      </c>
      <c r="G146" s="35">
        <f t="shared" si="72"/>
        <v>0</v>
      </c>
      <c r="H146" s="35">
        <f t="shared" si="72"/>
        <v>0</v>
      </c>
      <c r="I146" s="35">
        <f t="shared" si="72"/>
        <v>0</v>
      </c>
      <c r="J146" s="35">
        <f t="shared" si="72"/>
        <v>0</v>
      </c>
      <c r="K146" s="35">
        <f t="shared" si="72"/>
        <v>0</v>
      </c>
      <c r="L146" s="35">
        <f t="shared" si="72"/>
        <v>0</v>
      </c>
      <c r="M146" s="35">
        <f t="shared" si="72"/>
        <v>0</v>
      </c>
      <c r="N146" s="35">
        <f t="shared" si="72"/>
        <v>0</v>
      </c>
      <c r="O146" s="35">
        <f t="shared" si="72"/>
        <v>0</v>
      </c>
      <c r="P146" s="35">
        <f t="shared" si="72"/>
        <v>0</v>
      </c>
      <c r="Q146" s="35">
        <f t="shared" si="72"/>
        <v>0</v>
      </c>
      <c r="R146" s="35">
        <f t="shared" si="72"/>
        <v>0</v>
      </c>
      <c r="S146" s="35">
        <f t="shared" si="72"/>
        <v>0</v>
      </c>
      <c r="T146" s="35">
        <f t="shared" si="72"/>
        <v>0</v>
      </c>
      <c r="U146" s="35">
        <f t="shared" si="72"/>
        <v>0</v>
      </c>
      <c r="V146" s="35">
        <f t="shared" si="72"/>
        <v>0</v>
      </c>
      <c r="W146" s="35">
        <f t="shared" si="72"/>
        <v>0</v>
      </c>
      <c r="X146" s="35">
        <f t="shared" si="72"/>
        <v>0</v>
      </c>
      <c r="Y146" s="35">
        <f t="shared" si="72"/>
        <v>0</v>
      </c>
      <c r="Z146" s="35">
        <f t="shared" si="72"/>
        <v>0</v>
      </c>
      <c r="AA146" s="35">
        <f t="shared" si="72"/>
        <v>0</v>
      </c>
      <c r="AB146" s="35">
        <f t="shared" si="72"/>
        <v>0</v>
      </c>
      <c r="AC146" s="35">
        <f t="shared" si="72"/>
        <v>0</v>
      </c>
      <c r="AD146" s="35">
        <f t="shared" si="72"/>
        <v>0</v>
      </c>
      <c r="AE146" s="35">
        <f t="shared" si="72"/>
        <v>0</v>
      </c>
      <c r="AF146" s="35">
        <f t="shared" si="72"/>
        <v>0</v>
      </c>
      <c r="AG146" s="35">
        <f t="shared" si="72"/>
        <v>0</v>
      </c>
      <c r="AH146" s="35">
        <f t="shared" si="72"/>
        <v>0</v>
      </c>
      <c r="AI146" s="35">
        <f t="shared" si="72"/>
        <v>0</v>
      </c>
      <c r="AJ146" s="35">
        <f t="shared" si="72"/>
        <v>0</v>
      </c>
      <c r="AK146" s="35">
        <f t="shared" si="72"/>
        <v>0</v>
      </c>
      <c r="AL146" s="35">
        <f t="shared" si="72"/>
        <v>0</v>
      </c>
      <c r="AM146" s="35">
        <f t="shared" si="72"/>
        <v>0</v>
      </c>
      <c r="AN146" s="35">
        <f t="shared" si="72"/>
        <v>0</v>
      </c>
      <c r="AO146" s="35">
        <f t="shared" si="72"/>
        <v>0</v>
      </c>
      <c r="AP146" s="35">
        <f t="shared" si="72"/>
        <v>0</v>
      </c>
      <c r="AQ146" s="35">
        <f t="shared" si="72"/>
        <v>0</v>
      </c>
      <c r="AR146" s="35">
        <f t="shared" si="72"/>
        <v>0</v>
      </c>
      <c r="AS146" s="35">
        <f t="shared" si="72"/>
        <v>0</v>
      </c>
      <c r="AT146" s="35">
        <f t="shared" si="72"/>
        <v>0</v>
      </c>
      <c r="AU146" s="35">
        <f t="shared" si="72"/>
        <v>0</v>
      </c>
      <c r="AV146" s="35">
        <f t="shared" si="72"/>
        <v>0</v>
      </c>
      <c r="AW146" s="35">
        <f t="shared" si="72"/>
        <v>0</v>
      </c>
      <c r="AX146" s="35">
        <f t="shared" si="72"/>
        <v>0</v>
      </c>
      <c r="AY146" s="35">
        <f t="shared" si="72"/>
        <v>0</v>
      </c>
      <c r="AZ146" s="35">
        <f t="shared" si="72"/>
        <v>0</v>
      </c>
      <c r="BA146" s="35">
        <f t="shared" si="72"/>
        <v>0</v>
      </c>
      <c r="BB146" s="35">
        <f t="shared" si="72"/>
        <v>0</v>
      </c>
      <c r="BC146" s="35">
        <f t="shared" si="72"/>
        <v>0</v>
      </c>
      <c r="BD146" s="35">
        <f t="shared" si="72"/>
        <v>0</v>
      </c>
      <c r="BE146" s="35">
        <f t="shared" si="72"/>
        <v>107</v>
      </c>
      <c r="BF146" s="35">
        <f t="shared" si="72"/>
        <v>0</v>
      </c>
      <c r="BG146" s="35">
        <f t="shared" si="72"/>
        <v>0</v>
      </c>
      <c r="BH146" s="35">
        <f t="shared" si="72"/>
        <v>0</v>
      </c>
      <c r="BI146" s="35">
        <f t="shared" si="72"/>
        <v>0</v>
      </c>
      <c r="BJ146" s="35">
        <f t="shared" si="72"/>
        <v>0</v>
      </c>
      <c r="BK146" s="35">
        <f t="shared" si="72"/>
        <v>0</v>
      </c>
      <c r="BL146" s="35">
        <f t="shared" si="72"/>
        <v>0</v>
      </c>
      <c r="BM146" s="35">
        <f t="shared" si="72"/>
        <v>0</v>
      </c>
      <c r="BN146" s="35">
        <f t="shared" si="72"/>
        <v>0</v>
      </c>
      <c r="BO146" s="35">
        <f t="shared" ref="BO146:BP146" si="73">SUM(BO123,BO81,BO37)</f>
        <v>0</v>
      </c>
      <c r="BP146" s="35">
        <f t="shared" si="73"/>
        <v>0</v>
      </c>
    </row>
    <row r="147" spans="1:68" x14ac:dyDescent="0.35">
      <c r="A147" t="s">
        <v>235</v>
      </c>
      <c r="B147" s="37">
        <f t="shared" si="35"/>
        <v>0</v>
      </c>
      <c r="C147" s="35">
        <f t="shared" ref="C147:BN147" si="74">SUM(C82,C63)</f>
        <v>0</v>
      </c>
      <c r="D147" s="35">
        <f t="shared" si="74"/>
        <v>0</v>
      </c>
      <c r="E147" s="35">
        <f t="shared" si="74"/>
        <v>0</v>
      </c>
      <c r="F147" s="35">
        <f t="shared" si="74"/>
        <v>0</v>
      </c>
      <c r="G147" s="35">
        <f t="shared" si="74"/>
        <v>0</v>
      </c>
      <c r="H147" s="35">
        <f t="shared" si="74"/>
        <v>0</v>
      </c>
      <c r="I147" s="35">
        <f t="shared" si="74"/>
        <v>0</v>
      </c>
      <c r="J147" s="35">
        <f t="shared" si="74"/>
        <v>0</v>
      </c>
      <c r="K147" s="35">
        <f t="shared" si="74"/>
        <v>0</v>
      </c>
      <c r="L147" s="35">
        <f t="shared" si="74"/>
        <v>0</v>
      </c>
      <c r="M147" s="35">
        <f t="shared" si="74"/>
        <v>0</v>
      </c>
      <c r="N147" s="35">
        <f t="shared" si="74"/>
        <v>0</v>
      </c>
      <c r="O147" s="35">
        <f t="shared" si="74"/>
        <v>0</v>
      </c>
      <c r="P147" s="35">
        <f t="shared" si="74"/>
        <v>0</v>
      </c>
      <c r="Q147" s="35">
        <f t="shared" si="74"/>
        <v>0</v>
      </c>
      <c r="R147" s="35">
        <f t="shared" si="74"/>
        <v>0</v>
      </c>
      <c r="S147" s="35">
        <f t="shared" si="74"/>
        <v>0</v>
      </c>
      <c r="T147" s="35">
        <f t="shared" si="74"/>
        <v>0</v>
      </c>
      <c r="U147" s="35">
        <f t="shared" si="74"/>
        <v>0</v>
      </c>
      <c r="V147" s="35">
        <f t="shared" si="74"/>
        <v>0</v>
      </c>
      <c r="W147" s="35">
        <f t="shared" si="74"/>
        <v>0</v>
      </c>
      <c r="X147" s="35">
        <f t="shared" si="74"/>
        <v>0</v>
      </c>
      <c r="Y147" s="35">
        <f t="shared" si="74"/>
        <v>0</v>
      </c>
      <c r="Z147" s="35">
        <f t="shared" si="74"/>
        <v>0</v>
      </c>
      <c r="AA147" s="35">
        <f t="shared" si="74"/>
        <v>0</v>
      </c>
      <c r="AB147" s="35">
        <f t="shared" si="74"/>
        <v>0</v>
      </c>
      <c r="AC147" s="35">
        <f t="shared" si="74"/>
        <v>0</v>
      </c>
      <c r="AD147" s="35">
        <f t="shared" si="74"/>
        <v>0</v>
      </c>
      <c r="AE147" s="35">
        <f t="shared" si="74"/>
        <v>0</v>
      </c>
      <c r="AF147" s="35">
        <f t="shared" si="74"/>
        <v>0</v>
      </c>
      <c r="AG147" s="35">
        <f t="shared" si="74"/>
        <v>0</v>
      </c>
      <c r="AH147" s="35">
        <f t="shared" si="74"/>
        <v>0</v>
      </c>
      <c r="AI147" s="35">
        <f t="shared" si="74"/>
        <v>0</v>
      </c>
      <c r="AJ147" s="35">
        <f t="shared" si="74"/>
        <v>0</v>
      </c>
      <c r="AK147" s="35">
        <f t="shared" si="74"/>
        <v>0</v>
      </c>
      <c r="AL147" s="35">
        <f t="shared" si="74"/>
        <v>0</v>
      </c>
      <c r="AM147" s="35">
        <f t="shared" si="74"/>
        <v>0</v>
      </c>
      <c r="AN147" s="35">
        <f t="shared" si="74"/>
        <v>0</v>
      </c>
      <c r="AO147" s="35">
        <f t="shared" si="74"/>
        <v>0</v>
      </c>
      <c r="AP147" s="35">
        <f t="shared" si="74"/>
        <v>0</v>
      </c>
      <c r="AQ147" s="35">
        <f t="shared" si="74"/>
        <v>0</v>
      </c>
      <c r="AR147" s="35">
        <f t="shared" si="74"/>
        <v>0</v>
      </c>
      <c r="AS147" s="35">
        <f t="shared" si="74"/>
        <v>0</v>
      </c>
      <c r="AT147" s="35">
        <f t="shared" si="74"/>
        <v>0</v>
      </c>
      <c r="AU147" s="35">
        <f t="shared" si="74"/>
        <v>0</v>
      </c>
      <c r="AV147" s="35">
        <f t="shared" si="74"/>
        <v>0</v>
      </c>
      <c r="AW147" s="35">
        <f t="shared" si="74"/>
        <v>0</v>
      </c>
      <c r="AX147" s="35">
        <f t="shared" si="74"/>
        <v>0</v>
      </c>
      <c r="AY147" s="35">
        <f t="shared" si="74"/>
        <v>0</v>
      </c>
      <c r="AZ147" s="35">
        <f t="shared" si="74"/>
        <v>0</v>
      </c>
      <c r="BA147" s="35">
        <f t="shared" si="74"/>
        <v>0</v>
      </c>
      <c r="BB147" s="35">
        <f t="shared" si="74"/>
        <v>0</v>
      </c>
      <c r="BC147" s="35">
        <f t="shared" si="74"/>
        <v>0</v>
      </c>
      <c r="BD147" s="35">
        <f t="shared" si="74"/>
        <v>0</v>
      </c>
      <c r="BE147" s="35">
        <f t="shared" si="74"/>
        <v>0</v>
      </c>
      <c r="BF147" s="35">
        <f t="shared" si="74"/>
        <v>0</v>
      </c>
      <c r="BG147" s="35">
        <f t="shared" si="74"/>
        <v>0</v>
      </c>
      <c r="BH147" s="35">
        <f t="shared" si="74"/>
        <v>0</v>
      </c>
      <c r="BI147" s="35">
        <f t="shared" si="74"/>
        <v>0</v>
      </c>
      <c r="BJ147" s="35">
        <f t="shared" si="74"/>
        <v>0</v>
      </c>
      <c r="BK147" s="35">
        <f t="shared" si="74"/>
        <v>0</v>
      </c>
      <c r="BL147" s="35">
        <f t="shared" si="74"/>
        <v>0</v>
      </c>
      <c r="BM147" s="35">
        <f t="shared" si="74"/>
        <v>0</v>
      </c>
      <c r="BN147" s="35">
        <f t="shared" si="74"/>
        <v>0</v>
      </c>
      <c r="BO147" s="35">
        <f t="shared" ref="BO147:BP147" si="75">SUM(BO82,BO63)</f>
        <v>0</v>
      </c>
      <c r="BP147" s="35">
        <f t="shared" si="75"/>
        <v>0</v>
      </c>
    </row>
    <row r="148" spans="1:68" x14ac:dyDescent="0.35">
      <c r="A148" t="s">
        <v>238</v>
      </c>
      <c r="B148" s="37">
        <f t="shared" si="35"/>
        <v>439</v>
      </c>
      <c r="C148" s="35">
        <f t="shared" ref="C148:BN149" si="76">SUM(C97)</f>
        <v>439</v>
      </c>
      <c r="D148" s="35">
        <f t="shared" si="76"/>
        <v>0</v>
      </c>
      <c r="E148" s="35">
        <f t="shared" si="76"/>
        <v>0</v>
      </c>
      <c r="F148" s="35">
        <f t="shared" si="76"/>
        <v>0</v>
      </c>
      <c r="G148" s="35">
        <f t="shared" si="76"/>
        <v>0</v>
      </c>
      <c r="H148" s="35">
        <f t="shared" si="76"/>
        <v>0</v>
      </c>
      <c r="I148" s="35">
        <f t="shared" si="76"/>
        <v>0</v>
      </c>
      <c r="J148" s="35">
        <f t="shared" si="76"/>
        <v>0</v>
      </c>
      <c r="K148" s="35">
        <f t="shared" si="76"/>
        <v>0</v>
      </c>
      <c r="L148" s="35">
        <f t="shared" si="76"/>
        <v>0</v>
      </c>
      <c r="M148" s="35">
        <f t="shared" si="76"/>
        <v>0</v>
      </c>
      <c r="N148" s="35">
        <f t="shared" si="76"/>
        <v>0</v>
      </c>
      <c r="O148" s="35">
        <f t="shared" si="76"/>
        <v>0</v>
      </c>
      <c r="P148" s="35">
        <f t="shared" si="76"/>
        <v>0</v>
      </c>
      <c r="Q148" s="35">
        <f t="shared" si="76"/>
        <v>0</v>
      </c>
      <c r="R148" s="35">
        <f t="shared" si="76"/>
        <v>0</v>
      </c>
      <c r="S148" s="35">
        <f t="shared" si="76"/>
        <v>0</v>
      </c>
      <c r="T148" s="35">
        <f t="shared" si="76"/>
        <v>0</v>
      </c>
      <c r="U148" s="35">
        <f t="shared" si="76"/>
        <v>0</v>
      </c>
      <c r="V148" s="35">
        <f t="shared" si="76"/>
        <v>0</v>
      </c>
      <c r="W148" s="35">
        <f t="shared" si="76"/>
        <v>0</v>
      </c>
      <c r="X148" s="35">
        <f t="shared" si="76"/>
        <v>0</v>
      </c>
      <c r="Y148" s="35">
        <f t="shared" si="76"/>
        <v>0</v>
      </c>
      <c r="Z148" s="35">
        <f t="shared" si="76"/>
        <v>0</v>
      </c>
      <c r="AA148" s="35">
        <f t="shared" si="76"/>
        <v>0</v>
      </c>
      <c r="AB148" s="35">
        <f t="shared" si="76"/>
        <v>0</v>
      </c>
      <c r="AC148" s="35">
        <f t="shared" si="76"/>
        <v>0</v>
      </c>
      <c r="AD148" s="35">
        <f t="shared" si="76"/>
        <v>0</v>
      </c>
      <c r="AE148" s="35">
        <f t="shared" si="76"/>
        <v>0</v>
      </c>
      <c r="AF148" s="35">
        <f t="shared" si="76"/>
        <v>0</v>
      </c>
      <c r="AG148" s="35">
        <f t="shared" si="76"/>
        <v>0</v>
      </c>
      <c r="AH148" s="35">
        <f t="shared" si="76"/>
        <v>0</v>
      </c>
      <c r="AI148" s="35">
        <f t="shared" si="76"/>
        <v>0</v>
      </c>
      <c r="AJ148" s="35">
        <f t="shared" si="76"/>
        <v>0</v>
      </c>
      <c r="AK148" s="35">
        <f t="shared" si="76"/>
        <v>0</v>
      </c>
      <c r="AL148" s="35">
        <f t="shared" si="76"/>
        <v>0</v>
      </c>
      <c r="AM148" s="35">
        <f t="shared" si="76"/>
        <v>0</v>
      </c>
      <c r="AN148" s="35">
        <f t="shared" si="76"/>
        <v>0</v>
      </c>
      <c r="AO148" s="35">
        <f t="shared" si="76"/>
        <v>0</v>
      </c>
      <c r="AP148" s="35">
        <f t="shared" si="76"/>
        <v>0</v>
      </c>
      <c r="AQ148" s="35">
        <f t="shared" si="76"/>
        <v>0</v>
      </c>
      <c r="AR148" s="35">
        <f t="shared" si="76"/>
        <v>0</v>
      </c>
      <c r="AS148" s="35">
        <f t="shared" si="76"/>
        <v>0</v>
      </c>
      <c r="AT148" s="35">
        <f t="shared" si="76"/>
        <v>0</v>
      </c>
      <c r="AU148" s="35">
        <f t="shared" si="76"/>
        <v>0</v>
      </c>
      <c r="AV148" s="35">
        <f t="shared" si="76"/>
        <v>0</v>
      </c>
      <c r="AW148" s="35">
        <f t="shared" si="76"/>
        <v>0</v>
      </c>
      <c r="AX148" s="35">
        <f t="shared" si="76"/>
        <v>0</v>
      </c>
      <c r="AY148" s="35">
        <f t="shared" si="76"/>
        <v>0</v>
      </c>
      <c r="AZ148" s="35">
        <f t="shared" si="76"/>
        <v>0</v>
      </c>
      <c r="BA148" s="35">
        <f t="shared" si="76"/>
        <v>0</v>
      </c>
      <c r="BB148" s="35">
        <f t="shared" si="76"/>
        <v>0</v>
      </c>
      <c r="BC148" s="35">
        <f t="shared" si="76"/>
        <v>0</v>
      </c>
      <c r="BD148" s="35">
        <f t="shared" si="76"/>
        <v>0</v>
      </c>
      <c r="BE148" s="35">
        <f t="shared" si="76"/>
        <v>0</v>
      </c>
      <c r="BF148" s="35">
        <f t="shared" si="76"/>
        <v>0</v>
      </c>
      <c r="BG148" s="35">
        <f t="shared" si="76"/>
        <v>0</v>
      </c>
      <c r="BH148" s="35">
        <f t="shared" si="76"/>
        <v>0</v>
      </c>
      <c r="BI148" s="35">
        <f t="shared" si="76"/>
        <v>0</v>
      </c>
      <c r="BJ148" s="35">
        <f t="shared" si="76"/>
        <v>0</v>
      </c>
      <c r="BK148" s="35">
        <f t="shared" si="76"/>
        <v>0</v>
      </c>
      <c r="BL148" s="35">
        <f t="shared" si="76"/>
        <v>0</v>
      </c>
      <c r="BM148" s="35">
        <f t="shared" si="76"/>
        <v>0</v>
      </c>
      <c r="BN148" s="35">
        <f t="shared" si="76"/>
        <v>0</v>
      </c>
      <c r="BO148" s="35">
        <f t="shared" ref="BO148:BP149" si="77">SUM(BO97)</f>
        <v>0</v>
      </c>
      <c r="BP148" s="35">
        <f t="shared" si="77"/>
        <v>0</v>
      </c>
    </row>
    <row r="149" spans="1:68" x14ac:dyDescent="0.35">
      <c r="A149" t="s">
        <v>234</v>
      </c>
      <c r="B149" s="37">
        <f t="shared" si="35"/>
        <v>5979</v>
      </c>
      <c r="C149" s="35">
        <f>SUM(C98,C57)</f>
        <v>5979</v>
      </c>
      <c r="D149" s="35">
        <f t="shared" si="76"/>
        <v>0</v>
      </c>
      <c r="E149" s="35">
        <f t="shared" si="76"/>
        <v>0</v>
      </c>
      <c r="F149" s="35">
        <f t="shared" si="76"/>
        <v>0</v>
      </c>
      <c r="G149" s="35">
        <f t="shared" si="76"/>
        <v>0</v>
      </c>
      <c r="H149" s="35">
        <f t="shared" si="76"/>
        <v>0</v>
      </c>
      <c r="I149" s="35">
        <f t="shared" si="76"/>
        <v>0</v>
      </c>
      <c r="J149" s="35">
        <f t="shared" si="76"/>
        <v>0</v>
      </c>
      <c r="K149" s="35">
        <f t="shared" si="76"/>
        <v>0</v>
      </c>
      <c r="L149" s="35">
        <f t="shared" si="76"/>
        <v>0</v>
      </c>
      <c r="M149" s="35">
        <f t="shared" si="76"/>
        <v>0</v>
      </c>
      <c r="N149" s="35">
        <f t="shared" si="76"/>
        <v>0</v>
      </c>
      <c r="O149" s="35">
        <f t="shared" si="76"/>
        <v>0</v>
      </c>
      <c r="P149" s="35">
        <f t="shared" si="76"/>
        <v>0</v>
      </c>
      <c r="Q149" s="35">
        <f t="shared" si="76"/>
        <v>0</v>
      </c>
      <c r="R149" s="35">
        <f t="shared" si="76"/>
        <v>0</v>
      </c>
      <c r="S149" s="35">
        <f t="shared" si="76"/>
        <v>0</v>
      </c>
      <c r="T149" s="35">
        <f t="shared" si="76"/>
        <v>0</v>
      </c>
      <c r="U149" s="35">
        <f t="shared" si="76"/>
        <v>0</v>
      </c>
      <c r="V149" s="35">
        <f t="shared" si="76"/>
        <v>0</v>
      </c>
      <c r="W149" s="35">
        <f t="shared" si="76"/>
        <v>0</v>
      </c>
      <c r="X149" s="35">
        <f t="shared" si="76"/>
        <v>0</v>
      </c>
      <c r="Y149" s="35">
        <f t="shared" si="76"/>
        <v>0</v>
      </c>
      <c r="Z149" s="35">
        <f t="shared" si="76"/>
        <v>0</v>
      </c>
      <c r="AA149" s="35">
        <f t="shared" si="76"/>
        <v>0</v>
      </c>
      <c r="AB149" s="35">
        <f t="shared" si="76"/>
        <v>0</v>
      </c>
      <c r="AC149" s="35">
        <f t="shared" si="76"/>
        <v>0</v>
      </c>
      <c r="AD149" s="35">
        <f t="shared" si="76"/>
        <v>0</v>
      </c>
      <c r="AE149" s="35">
        <f t="shared" si="76"/>
        <v>0</v>
      </c>
      <c r="AF149" s="35">
        <f t="shared" si="76"/>
        <v>0</v>
      </c>
      <c r="AG149" s="35">
        <f t="shared" si="76"/>
        <v>0</v>
      </c>
      <c r="AH149" s="35">
        <f t="shared" si="76"/>
        <v>0</v>
      </c>
      <c r="AI149" s="35">
        <f t="shared" si="76"/>
        <v>0</v>
      </c>
      <c r="AJ149" s="35">
        <f t="shared" si="76"/>
        <v>0</v>
      </c>
      <c r="AK149" s="35">
        <f t="shared" si="76"/>
        <v>0</v>
      </c>
      <c r="AL149" s="35">
        <f t="shared" si="76"/>
        <v>0</v>
      </c>
      <c r="AM149" s="35">
        <f t="shared" si="76"/>
        <v>0</v>
      </c>
      <c r="AN149" s="35">
        <f t="shared" si="76"/>
        <v>0</v>
      </c>
      <c r="AO149" s="35">
        <f t="shared" si="76"/>
        <v>0</v>
      </c>
      <c r="AP149" s="35">
        <f t="shared" si="76"/>
        <v>0</v>
      </c>
      <c r="AQ149" s="35">
        <f t="shared" si="76"/>
        <v>0</v>
      </c>
      <c r="AR149" s="35">
        <f t="shared" si="76"/>
        <v>0</v>
      </c>
      <c r="AS149" s="35">
        <f t="shared" si="76"/>
        <v>0</v>
      </c>
      <c r="AT149" s="35">
        <f t="shared" si="76"/>
        <v>0</v>
      </c>
      <c r="AU149" s="35">
        <f t="shared" si="76"/>
        <v>0</v>
      </c>
      <c r="AV149" s="35">
        <f t="shared" si="76"/>
        <v>0</v>
      </c>
      <c r="AW149" s="35">
        <f t="shared" si="76"/>
        <v>0</v>
      </c>
      <c r="AX149" s="35">
        <f t="shared" si="76"/>
        <v>0</v>
      </c>
      <c r="AY149" s="35">
        <f t="shared" si="76"/>
        <v>0</v>
      </c>
      <c r="AZ149" s="35">
        <f t="shared" si="76"/>
        <v>0</v>
      </c>
      <c r="BA149" s="35">
        <f t="shared" si="76"/>
        <v>0</v>
      </c>
      <c r="BB149" s="35">
        <f t="shared" si="76"/>
        <v>0</v>
      </c>
      <c r="BC149" s="35">
        <f t="shared" si="76"/>
        <v>0</v>
      </c>
      <c r="BD149" s="35">
        <f t="shared" si="76"/>
        <v>0</v>
      </c>
      <c r="BE149" s="35">
        <f t="shared" si="76"/>
        <v>0</v>
      </c>
      <c r="BF149" s="35">
        <f t="shared" si="76"/>
        <v>0</v>
      </c>
      <c r="BG149" s="35">
        <f t="shared" si="76"/>
        <v>0</v>
      </c>
      <c r="BH149" s="35">
        <f t="shared" si="76"/>
        <v>0</v>
      </c>
      <c r="BI149" s="35">
        <f t="shared" si="76"/>
        <v>0</v>
      </c>
      <c r="BJ149" s="35">
        <f t="shared" si="76"/>
        <v>0</v>
      </c>
      <c r="BK149" s="35">
        <f t="shared" si="76"/>
        <v>0</v>
      </c>
      <c r="BL149" s="35">
        <f t="shared" si="76"/>
        <v>0</v>
      </c>
      <c r="BM149" s="35">
        <f t="shared" si="76"/>
        <v>0</v>
      </c>
      <c r="BN149" s="35">
        <f t="shared" si="76"/>
        <v>0</v>
      </c>
      <c r="BO149" s="35">
        <f t="shared" si="77"/>
        <v>0</v>
      </c>
      <c r="BP149" s="35">
        <f t="shared" si="77"/>
        <v>0</v>
      </c>
    </row>
    <row r="150" spans="1:68" x14ac:dyDescent="0.35">
      <c r="A150" s="48" t="s">
        <v>147</v>
      </c>
      <c r="B150" s="36">
        <f t="shared" ref="B150:BM150" si="78">SUM(B127:B149)</f>
        <v>548554</v>
      </c>
      <c r="C150" s="36">
        <f t="shared" si="78"/>
        <v>68152</v>
      </c>
      <c r="D150" s="36">
        <f t="shared" si="78"/>
        <v>0</v>
      </c>
      <c r="E150" s="36">
        <f t="shared" si="78"/>
        <v>0</v>
      </c>
      <c r="F150" s="36">
        <f t="shared" si="78"/>
        <v>0</v>
      </c>
      <c r="G150" s="36">
        <f t="shared" si="78"/>
        <v>0</v>
      </c>
      <c r="H150" s="36">
        <f t="shared" si="78"/>
        <v>0</v>
      </c>
      <c r="I150" s="36">
        <f t="shared" si="78"/>
        <v>0</v>
      </c>
      <c r="J150" s="36">
        <f t="shared" si="78"/>
        <v>143</v>
      </c>
      <c r="K150" s="36">
        <f t="shared" si="78"/>
        <v>899</v>
      </c>
      <c r="L150" s="36">
        <f t="shared" si="78"/>
        <v>614</v>
      </c>
      <c r="M150" s="36">
        <f t="shared" si="78"/>
        <v>1181</v>
      </c>
      <c r="N150" s="36">
        <f t="shared" si="78"/>
        <v>796</v>
      </c>
      <c r="O150" s="36">
        <f t="shared" si="78"/>
        <v>27767</v>
      </c>
      <c r="P150" s="36">
        <f t="shared" si="78"/>
        <v>47907</v>
      </c>
      <c r="Q150" s="36">
        <f t="shared" si="78"/>
        <v>99606</v>
      </c>
      <c r="R150" s="36">
        <f t="shared" si="78"/>
        <v>35281</v>
      </c>
      <c r="S150" s="36">
        <f t="shared" si="78"/>
        <v>17368</v>
      </c>
      <c r="T150" s="36">
        <f t="shared" si="78"/>
        <v>30662</v>
      </c>
      <c r="U150" s="36">
        <f t="shared" si="78"/>
        <v>26328</v>
      </c>
      <c r="V150" s="36">
        <f t="shared" si="78"/>
        <v>19503</v>
      </c>
      <c r="W150" s="36">
        <f t="shared" si="78"/>
        <v>20354</v>
      </c>
      <c r="X150" s="36">
        <f t="shared" si="78"/>
        <v>5732</v>
      </c>
      <c r="Y150" s="36">
        <f t="shared" si="78"/>
        <v>8610</v>
      </c>
      <c r="Z150" s="36">
        <f t="shared" si="78"/>
        <v>15843</v>
      </c>
      <c r="AA150" s="36">
        <f t="shared" si="78"/>
        <v>24128</v>
      </c>
      <c r="AB150" s="36">
        <f t="shared" si="78"/>
        <v>31843</v>
      </c>
      <c r="AC150" s="36">
        <f t="shared" si="78"/>
        <v>27742</v>
      </c>
      <c r="AD150" s="36">
        <f t="shared" si="78"/>
        <v>35853</v>
      </c>
      <c r="AE150" s="36">
        <f t="shared" si="78"/>
        <v>416</v>
      </c>
      <c r="AF150" s="36">
        <f t="shared" si="78"/>
        <v>602</v>
      </c>
      <c r="AG150" s="36">
        <f t="shared" si="78"/>
        <v>0</v>
      </c>
      <c r="AH150" s="36">
        <f t="shared" si="78"/>
        <v>0</v>
      </c>
      <c r="AI150" s="36">
        <f t="shared" si="78"/>
        <v>72</v>
      </c>
      <c r="AJ150" s="36">
        <f t="shared" si="78"/>
        <v>298</v>
      </c>
      <c r="AK150" s="36">
        <f t="shared" si="78"/>
        <v>198</v>
      </c>
      <c r="AL150" s="36">
        <f t="shared" si="78"/>
        <v>0</v>
      </c>
      <c r="AM150" s="36">
        <f t="shared" si="78"/>
        <v>95</v>
      </c>
      <c r="AN150" s="36">
        <f t="shared" si="78"/>
        <v>0</v>
      </c>
      <c r="AO150" s="36">
        <f t="shared" si="78"/>
        <v>0</v>
      </c>
      <c r="AP150" s="36">
        <f t="shared" si="78"/>
        <v>39</v>
      </c>
      <c r="AQ150" s="36">
        <f t="shared" si="78"/>
        <v>55</v>
      </c>
      <c r="AR150" s="36">
        <f t="shared" si="78"/>
        <v>214</v>
      </c>
      <c r="AS150" s="36">
        <f t="shared" si="78"/>
        <v>45</v>
      </c>
      <c r="AT150" s="36">
        <f t="shared" si="78"/>
        <v>0</v>
      </c>
      <c r="AU150" s="36">
        <f t="shared" si="78"/>
        <v>0</v>
      </c>
      <c r="AV150" s="36">
        <f t="shared" si="78"/>
        <v>0</v>
      </c>
      <c r="AW150" s="36">
        <f t="shared" si="78"/>
        <v>0</v>
      </c>
      <c r="AX150" s="36">
        <f t="shared" si="78"/>
        <v>0</v>
      </c>
      <c r="AY150" s="36">
        <f t="shared" si="78"/>
        <v>0</v>
      </c>
      <c r="AZ150" s="36">
        <f t="shared" si="78"/>
        <v>0</v>
      </c>
      <c r="BA150" s="36">
        <f t="shared" si="78"/>
        <v>71</v>
      </c>
      <c r="BB150" s="36">
        <f t="shared" si="78"/>
        <v>0</v>
      </c>
      <c r="BC150" s="36">
        <f t="shared" si="78"/>
        <v>0</v>
      </c>
      <c r="BD150" s="36">
        <f t="shared" si="78"/>
        <v>0</v>
      </c>
      <c r="BE150" s="36">
        <f t="shared" si="78"/>
        <v>107</v>
      </c>
      <c r="BF150" s="36">
        <f t="shared" si="78"/>
        <v>0</v>
      </c>
      <c r="BG150" s="36">
        <f t="shared" si="78"/>
        <v>0</v>
      </c>
      <c r="BH150" s="36">
        <f t="shared" si="78"/>
        <v>0</v>
      </c>
      <c r="BI150" s="36">
        <f t="shared" si="78"/>
        <v>0</v>
      </c>
      <c r="BJ150" s="36">
        <f t="shared" si="78"/>
        <v>30</v>
      </c>
      <c r="BK150" s="36">
        <f t="shared" si="78"/>
        <v>0</v>
      </c>
      <c r="BL150" s="36">
        <f t="shared" si="78"/>
        <v>0</v>
      </c>
      <c r="BM150" s="36">
        <f t="shared" si="78"/>
        <v>0</v>
      </c>
      <c r="BN150" s="36">
        <f t="shared" ref="BN150:BP150" si="79">SUM(BN127:BN149)</f>
        <v>0</v>
      </c>
      <c r="BO150" s="36">
        <f t="shared" si="79"/>
        <v>0</v>
      </c>
      <c r="BP150" s="36">
        <f t="shared" si="79"/>
        <v>0</v>
      </c>
    </row>
    <row r="151" spans="1:68" x14ac:dyDescent="0.35">
      <c r="A151" s="126"/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</row>
    <row r="152" spans="1:68" x14ac:dyDescent="0.35">
      <c r="A152" s="47" t="s">
        <v>125</v>
      </c>
      <c r="B152" s="34"/>
      <c r="C152" s="122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</row>
    <row r="153" spans="1:68" x14ac:dyDescent="0.35">
      <c r="A153" s="45" t="s">
        <v>241</v>
      </c>
      <c r="B153" s="34">
        <f>SUM(B128,B130,B133,B137,B140,B143,B146)</f>
        <v>7380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</row>
    <row r="154" spans="1:68" x14ac:dyDescent="0.35">
      <c r="A154" s="45" t="s">
        <v>242</v>
      </c>
      <c r="B154" s="34">
        <f>SUM(B149,B148,B144,B141,B138,B131,B134)</f>
        <v>11726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</row>
    <row r="155" spans="1:68" x14ac:dyDescent="0.35">
      <c r="A155" s="45" t="s">
        <v>243</v>
      </c>
      <c r="B155" s="34">
        <f>B82+B63</f>
        <v>0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</row>
    <row r="156" spans="1:68" x14ac:dyDescent="0.35">
      <c r="A156" s="45" t="s">
        <v>244</v>
      </c>
      <c r="B156" s="34">
        <f>SUM(B127,B129,B132,B135,B136,B139,B142,B145)</f>
        <v>529448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</row>
    <row r="157" spans="1:68" x14ac:dyDescent="0.35">
      <c r="A157" s="48" t="s">
        <v>126</v>
      </c>
      <c r="B157" s="36">
        <f>SUM(B153:B156)</f>
        <v>548554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</row>
    <row r="158" spans="1:68" x14ac:dyDescent="0.35">
      <c r="B158" s="166">
        <f>+B157/5280</f>
        <v>103.89280303030303</v>
      </c>
      <c r="C158" t="s">
        <v>164</v>
      </c>
    </row>
  </sheetData>
  <pageMargins left="0.7" right="0.7" top="0.75" bottom="0.75" header="0.3" footer="0.3"/>
  <pageSetup paperSize="5" scale="60" fitToWidth="3" fitToHeight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8"/>
  <sheetViews>
    <sheetView view="pageBreakPreview" topLeftCell="A16" zoomScaleNormal="100" zoomScaleSheetLayoutView="100" workbookViewId="0">
      <selection activeCell="B16" sqref="B16:F17"/>
    </sheetView>
  </sheetViews>
  <sheetFormatPr defaultRowHeight="14.5" x14ac:dyDescent="0.35"/>
  <cols>
    <col min="2" max="2" width="47.7265625" customWidth="1"/>
    <col min="3" max="3" width="11.54296875" bestFit="1" customWidth="1"/>
    <col min="4" max="4" width="7.1796875" customWidth="1"/>
    <col min="5" max="5" width="14.26953125" bestFit="1" customWidth="1"/>
    <col min="9" max="11" width="13.26953125" bestFit="1" customWidth="1"/>
  </cols>
  <sheetData>
    <row r="1" spans="1:11" x14ac:dyDescent="0.35">
      <c r="A1" s="190" t="s">
        <v>47</v>
      </c>
      <c r="B1" s="124"/>
      <c r="C1" s="124"/>
      <c r="D1" s="124"/>
      <c r="E1" s="124"/>
      <c r="F1" s="191" t="s">
        <v>78</v>
      </c>
    </row>
    <row r="2" spans="1:11" x14ac:dyDescent="0.35">
      <c r="A2" s="190" t="s">
        <v>140</v>
      </c>
      <c r="B2" s="124"/>
      <c r="C2" s="124"/>
      <c r="D2" s="124"/>
      <c r="E2" s="124"/>
      <c r="F2" s="124"/>
    </row>
    <row r="3" spans="1:11" x14ac:dyDescent="0.35">
      <c r="A3" s="190"/>
      <c r="B3" s="124"/>
      <c r="C3" s="124"/>
      <c r="D3" s="124"/>
      <c r="E3" s="124"/>
      <c r="F3" s="124"/>
    </row>
    <row r="4" spans="1:11" x14ac:dyDescent="0.35">
      <c r="A4" s="124"/>
      <c r="B4" s="124"/>
      <c r="C4" s="124"/>
      <c r="D4" s="124"/>
      <c r="E4" s="124"/>
      <c r="F4" s="124"/>
    </row>
    <row r="5" spans="1:11" x14ac:dyDescent="0.35">
      <c r="A5" s="124"/>
      <c r="B5" s="124"/>
      <c r="C5" s="124"/>
      <c r="D5" s="124"/>
      <c r="E5" s="124"/>
      <c r="F5" s="124"/>
    </row>
    <row r="6" spans="1:11" x14ac:dyDescent="0.35">
      <c r="A6" s="124"/>
      <c r="B6" s="124"/>
      <c r="C6" s="124"/>
      <c r="D6" s="124"/>
      <c r="E6" s="124"/>
      <c r="F6" s="124"/>
    </row>
    <row r="7" spans="1:11" x14ac:dyDescent="0.35">
      <c r="A7" s="124"/>
      <c r="B7" s="124"/>
      <c r="C7" s="124"/>
      <c r="D7" s="124"/>
      <c r="E7" s="124"/>
      <c r="F7" s="124"/>
    </row>
    <row r="8" spans="1:11" x14ac:dyDescent="0.35">
      <c r="A8" s="124"/>
      <c r="B8" s="124"/>
      <c r="C8" s="215" t="s">
        <v>82</v>
      </c>
      <c r="D8" s="215"/>
      <c r="E8" s="215"/>
      <c r="F8" s="124"/>
      <c r="J8" s="113"/>
      <c r="K8" s="113"/>
    </row>
    <row r="9" spans="1:11" x14ac:dyDescent="0.35">
      <c r="A9" s="124"/>
      <c r="B9" s="124"/>
      <c r="C9" s="192" t="s">
        <v>81</v>
      </c>
      <c r="D9" s="193"/>
      <c r="E9" s="192" t="s">
        <v>84</v>
      </c>
      <c r="F9" s="124"/>
    </row>
    <row r="10" spans="1:11" x14ac:dyDescent="0.35">
      <c r="A10" s="124" t="s">
        <v>83</v>
      </c>
      <c r="B10" s="124"/>
      <c r="C10" s="194">
        <v>2721000</v>
      </c>
      <c r="D10" s="124"/>
      <c r="E10" s="195">
        <v>9621000</v>
      </c>
      <c r="F10" s="190" t="s">
        <v>73</v>
      </c>
      <c r="I10" s="21"/>
      <c r="J10" s="113"/>
      <c r="K10" s="113"/>
    </row>
    <row r="11" spans="1:11" x14ac:dyDescent="0.35">
      <c r="A11" s="124" t="s">
        <v>80</v>
      </c>
      <c r="B11" s="124"/>
      <c r="C11" s="196">
        <v>448000</v>
      </c>
      <c r="D11" s="124"/>
      <c r="E11" s="196">
        <v>1527000</v>
      </c>
      <c r="F11" s="190" t="s">
        <v>74</v>
      </c>
    </row>
    <row r="12" spans="1:11" x14ac:dyDescent="0.35">
      <c r="A12" s="124" t="s">
        <v>75</v>
      </c>
      <c r="B12" s="124"/>
      <c r="C12" s="196">
        <v>140000</v>
      </c>
      <c r="D12" s="124"/>
      <c r="E12" s="197">
        <v>216000</v>
      </c>
      <c r="F12" s="190" t="s">
        <v>148</v>
      </c>
      <c r="J12" s="22"/>
      <c r="K12" s="22"/>
    </row>
    <row r="13" spans="1:11" x14ac:dyDescent="0.35">
      <c r="A13" s="124" t="s">
        <v>77</v>
      </c>
      <c r="B13" s="124"/>
      <c r="C13" s="198">
        <v>800000</v>
      </c>
      <c r="D13" s="124"/>
      <c r="E13" s="199">
        <v>1100000</v>
      </c>
      <c r="F13" s="190" t="s">
        <v>76</v>
      </c>
      <c r="J13" s="22"/>
      <c r="K13" s="22"/>
    </row>
    <row r="14" spans="1:11" x14ac:dyDescent="0.35">
      <c r="A14" s="124"/>
      <c r="B14" s="124"/>
      <c r="C14" s="196">
        <f>SUM(C10:C13)</f>
        <v>4109000</v>
      </c>
      <c r="D14" s="190"/>
      <c r="E14" s="196">
        <f>SUM(E10:E13)</f>
        <v>12464000</v>
      </c>
      <c r="F14" s="124"/>
    </row>
    <row r="15" spans="1:11" x14ac:dyDescent="0.35">
      <c r="A15" s="124"/>
      <c r="B15" s="124"/>
      <c r="C15" s="124"/>
      <c r="D15" s="124"/>
      <c r="E15" s="124"/>
      <c r="F15" s="124"/>
    </row>
    <row r="16" spans="1:11" ht="15" customHeight="1" x14ac:dyDescent="0.35">
      <c r="A16" s="191" t="s">
        <v>73</v>
      </c>
      <c r="B16" s="217" t="s">
        <v>251</v>
      </c>
      <c r="C16" s="217"/>
      <c r="D16" s="217"/>
      <c r="E16" s="217"/>
      <c r="F16" s="217"/>
    </row>
    <row r="17" spans="1:6" x14ac:dyDescent="0.35">
      <c r="A17" s="191"/>
      <c r="B17" s="217"/>
      <c r="C17" s="217"/>
      <c r="D17" s="217"/>
      <c r="E17" s="217"/>
      <c r="F17" s="217"/>
    </row>
    <row r="18" spans="1:6" x14ac:dyDescent="0.35">
      <c r="A18" s="191"/>
      <c r="B18" s="124"/>
      <c r="C18" s="124"/>
      <c r="D18" s="124"/>
      <c r="E18" s="124"/>
      <c r="F18" s="124"/>
    </row>
    <row r="19" spans="1:6" ht="15" customHeight="1" x14ac:dyDescent="0.35">
      <c r="A19" s="191" t="s">
        <v>74</v>
      </c>
      <c r="B19" s="216" t="s">
        <v>168</v>
      </c>
      <c r="C19" s="216"/>
      <c r="D19" s="216"/>
      <c r="E19" s="216"/>
      <c r="F19" s="216"/>
    </row>
    <row r="20" spans="1:6" x14ac:dyDescent="0.35">
      <c r="A20" s="191"/>
      <c r="B20" s="216"/>
      <c r="C20" s="216"/>
      <c r="D20" s="216"/>
      <c r="E20" s="216"/>
      <c r="F20" s="216"/>
    </row>
    <row r="21" spans="1:6" x14ac:dyDescent="0.35">
      <c r="A21" s="191"/>
      <c r="B21" s="124"/>
      <c r="C21" s="124"/>
      <c r="D21" s="124"/>
      <c r="E21" s="124"/>
      <c r="F21" s="124"/>
    </row>
    <row r="22" spans="1:6" ht="15" customHeight="1" x14ac:dyDescent="0.35">
      <c r="A22" s="191" t="s">
        <v>148</v>
      </c>
      <c r="B22" s="217" t="s">
        <v>250</v>
      </c>
      <c r="C22" s="217"/>
      <c r="D22" s="217"/>
      <c r="E22" s="217"/>
      <c r="F22" s="217"/>
    </row>
    <row r="23" spans="1:6" ht="45" customHeight="1" x14ac:dyDescent="0.35">
      <c r="A23" s="191"/>
      <c r="B23" s="217"/>
      <c r="C23" s="217"/>
      <c r="D23" s="217"/>
      <c r="E23" s="217"/>
      <c r="F23" s="217"/>
    </row>
    <row r="24" spans="1:6" x14ac:dyDescent="0.35">
      <c r="A24" s="191"/>
      <c r="B24" s="200"/>
      <c r="C24" s="200"/>
      <c r="D24" s="200"/>
      <c r="E24" s="200"/>
      <c r="F24" s="200"/>
    </row>
    <row r="25" spans="1:6" ht="15" customHeight="1" x14ac:dyDescent="0.35">
      <c r="A25" s="191" t="s">
        <v>76</v>
      </c>
      <c r="B25" s="217" t="s">
        <v>249</v>
      </c>
      <c r="C25" s="217"/>
      <c r="D25" s="217"/>
      <c r="E25" s="217"/>
      <c r="F25" s="217"/>
    </row>
    <row r="26" spans="1:6" x14ac:dyDescent="0.35">
      <c r="A26" s="191"/>
      <c r="B26" s="217"/>
      <c r="C26" s="217"/>
      <c r="D26" s="217"/>
      <c r="E26" s="217"/>
      <c r="F26" s="217"/>
    </row>
    <row r="27" spans="1:6" x14ac:dyDescent="0.35">
      <c r="A27" s="191"/>
      <c r="B27" s="217"/>
      <c r="C27" s="217"/>
      <c r="D27" s="217"/>
      <c r="E27" s="217"/>
      <c r="F27" s="217"/>
    </row>
    <row r="28" spans="1:6" x14ac:dyDescent="0.35">
      <c r="A28" s="191"/>
      <c r="B28" s="217"/>
      <c r="C28" s="217"/>
      <c r="D28" s="217"/>
      <c r="E28" s="217"/>
      <c r="F28" s="217"/>
    </row>
  </sheetData>
  <mergeCells count="5">
    <mergeCell ref="C8:E8"/>
    <mergeCell ref="B19:F20"/>
    <mergeCell ref="B16:F17"/>
    <mergeCell ref="B22:F23"/>
    <mergeCell ref="B25:F28"/>
  </mergeCell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Sch I Summary</vt:lpstr>
      <vt:lpstr>Sch II 2023 Yr 1</vt:lpstr>
      <vt:lpstr>Sch II 2023</vt:lpstr>
      <vt:lpstr>Sch II 2024</vt:lpstr>
      <vt:lpstr>Schedule III</vt:lpstr>
      <vt:lpstr>Schedule IV 2023</vt:lpstr>
      <vt:lpstr>Schedule IV 2024</vt:lpstr>
      <vt:lpstr>Schedule VI</vt:lpstr>
      <vt:lpstr>Schedule VII</vt:lpstr>
      <vt:lpstr>Schedule VIII</vt:lpstr>
      <vt:lpstr>Schedule IX</vt:lpstr>
      <vt:lpstr>Tax Rates</vt:lpstr>
      <vt:lpstr>'Schedule III'!Print_Area</vt:lpstr>
      <vt:lpstr>'Schedule IV 2023'!Print_Area</vt:lpstr>
      <vt:lpstr>'Schedule IV 2024'!Print_Area</vt:lpstr>
      <vt:lpstr>'Schedule IX'!Print_Area</vt:lpstr>
      <vt:lpstr>'Schedule IV 2023'!Print_Titles</vt:lpstr>
      <vt:lpstr>'Schedule IV 2024'!Print_Titles</vt:lpstr>
      <vt:lpstr>'Schedule IX'!Print_Titles</vt:lpstr>
      <vt:lpstr>'Schedule VI'!Print_Titles</vt:lpstr>
    </vt:vector>
  </TitlesOfParts>
  <Company>Delta Natural Gas Company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Monica H. Braun</cp:lastModifiedBy>
  <cp:lastPrinted>2023-10-12T12:11:31Z</cp:lastPrinted>
  <dcterms:created xsi:type="dcterms:W3CDTF">2010-04-18T23:26:28Z</dcterms:created>
  <dcterms:modified xsi:type="dcterms:W3CDTF">2023-10-13T15:10:31Z</dcterms:modified>
</cp:coreProperties>
</file>