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18595\Desktop\KRWA\Ratlesnake Ridge WD\Application RR\"/>
    </mc:Choice>
  </mc:AlternateContent>
  <xr:revisionPtr revIDLastSave="0" documentId="13_ncr:1_{6BC8FD07-F610-4AF0-8A4D-B72FE366AB06}" xr6:coauthVersionLast="47" xr6:coauthVersionMax="47" xr10:uidLastSave="{00000000-0000-0000-0000-000000000000}"/>
  <bookViews>
    <workbookView xWindow="-110" yWindow="-110" windowWidth="19420" windowHeight="10300" xr2:uid="{00000000-000D-0000-FFFF-FFFF00000000}"/>
  </bookViews>
  <sheets>
    <sheet name="SAO" sheetId="6" r:id="rId1"/>
    <sheet name="References" sheetId="57" r:id="rId2"/>
    <sheet name="Misc. service revenues" sheetId="58" r:id="rId3"/>
    <sheet name="Revenue Requirements" sheetId="56" r:id="rId4"/>
    <sheet name="Water Loss" sheetId="55" r:id="rId5"/>
    <sheet name="Wages" sheetId="49" r:id="rId6"/>
    <sheet name="Rates" sheetId="2" r:id="rId7"/>
    <sheet name="Medical" sheetId="40" r:id="rId8"/>
    <sheet name="Depreciation" sheetId="52" r:id="rId9"/>
    <sheet name="Debt Service" sheetId="53" r:id="rId10"/>
    <sheet name="Capital" sheetId="54" r:id="rId11"/>
    <sheet name="Bills" sheetId="42" r:id="rId12"/>
    <sheet name="ExBA" sheetId="51" r:id="rId13"/>
    <sheet name="PrBA" sheetId="43" r:id="rId14"/>
  </sheets>
  <definedNames>
    <definedName name="AHV">#REF!</definedName>
    <definedName name="_xlnm.Print_Area" localSheetId="11">Bills!$A$1:$J$27</definedName>
    <definedName name="_xlnm.Print_Area" localSheetId="9">'Debt Service'!$A$1:$O$29</definedName>
    <definedName name="_xlnm.Print_Area" localSheetId="12">ExBA!$A$1:$N$160</definedName>
    <definedName name="_xlnm.Print_Area" localSheetId="13">PrBA!$A$1:$N$211</definedName>
    <definedName name="_xlnm.Print_Area" localSheetId="6">Rates!$A$1:$L$65</definedName>
    <definedName name="_xlnm.Print_Area" localSheetId="3">'Revenue Requirements'!$A$1:$G$30</definedName>
    <definedName name="_xlnm.Print_Area" localSheetId="0">SAO!$A$1:$H$55</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 i="53" l="1"/>
  <c r="M20" i="53"/>
  <c r="L20" i="53"/>
  <c r="J20" i="53"/>
  <c r="H20" i="53"/>
  <c r="F20" i="53"/>
  <c r="D20" i="53"/>
  <c r="J63" i="2"/>
  <c r="S9" i="42"/>
  <c r="S10" i="42" s="1"/>
  <c r="S11" i="42" s="1"/>
  <c r="S12" i="42" s="1"/>
  <c r="S13" i="42" s="1"/>
  <c r="S14" i="42" s="1"/>
  <c r="S15" i="42" s="1"/>
  <c r="S16" i="42" s="1"/>
  <c r="S17" i="42" s="1"/>
  <c r="S18" i="42" s="1"/>
  <c r="S19" i="42" s="1"/>
  <c r="S20" i="42" s="1"/>
  <c r="S21" i="42" s="1"/>
  <c r="S22" i="42" s="1"/>
  <c r="S23" i="42" s="1"/>
  <c r="S24" i="42" s="1"/>
  <c r="D27" i="55"/>
  <c r="H63" i="2" s="1"/>
  <c r="G8" i="43"/>
  <c r="I42" i="58" l="1"/>
  <c r="E6" i="6"/>
  <c r="G10" i="51" s="1"/>
  <c r="E12" i="6"/>
  <c r="G42" i="58"/>
  <c r="F42" i="58"/>
  <c r="G24" i="6"/>
  <c r="G25" i="56"/>
  <c r="G24" i="56"/>
  <c r="G8" i="56"/>
  <c r="G7" i="56"/>
  <c r="E42" i="6"/>
  <c r="E33" i="6"/>
  <c r="G8" i="51"/>
  <c r="C39" i="40"/>
  <c r="B58" i="40"/>
  <c r="D58" i="40" s="1"/>
  <c r="E58" i="40" s="1"/>
  <c r="F58" i="40" s="1"/>
  <c r="B57" i="40"/>
  <c r="D57" i="40" s="1"/>
  <c r="E57" i="40" s="1"/>
  <c r="B56" i="40"/>
  <c r="H56" i="40" s="1"/>
  <c r="B55" i="40"/>
  <c r="H55" i="40" s="1"/>
  <c r="B54" i="40"/>
  <c r="D54" i="40" s="1"/>
  <c r="E54" i="40" s="1"/>
  <c r="B53" i="40"/>
  <c r="H53" i="40" s="1"/>
  <c r="B52" i="40"/>
  <c r="D52" i="40" s="1"/>
  <c r="E52" i="40" s="1"/>
  <c r="B51" i="40"/>
  <c r="H51" i="40" s="1"/>
  <c r="B50" i="40"/>
  <c r="B49" i="40"/>
  <c r="D49" i="40" s="1"/>
  <c r="E49" i="40" s="1"/>
  <c r="B48" i="40"/>
  <c r="H48" i="40" s="1"/>
  <c r="B47" i="40"/>
  <c r="D47" i="40" s="1"/>
  <c r="E47" i="40" s="1"/>
  <c r="F47" i="40" s="1"/>
  <c r="B46" i="40"/>
  <c r="H50" i="40"/>
  <c r="D50" i="40"/>
  <c r="E50" i="40" s="1"/>
  <c r="F50" i="40" s="1"/>
  <c r="H46" i="40"/>
  <c r="C5" i="54"/>
  <c r="B4" i="54"/>
  <c r="H58" i="40" l="1"/>
  <c r="D55" i="40"/>
  <c r="E55" i="40" s="1"/>
  <c r="F55" i="40" s="1"/>
  <c r="D53" i="40"/>
  <c r="E53" i="40" s="1"/>
  <c r="F53" i="40" s="1"/>
  <c r="H47" i="40"/>
  <c r="F57" i="40"/>
  <c r="F46" i="40"/>
  <c r="D48" i="40"/>
  <c r="E48" i="40" s="1"/>
  <c r="F48" i="40" s="1"/>
  <c r="H49" i="40"/>
  <c r="F54" i="40"/>
  <c r="D56" i="40"/>
  <c r="E56" i="40" s="1"/>
  <c r="F56" i="40" s="1"/>
  <c r="H57" i="40"/>
  <c r="B60" i="40"/>
  <c r="D46" i="40"/>
  <c r="E46" i="40" s="1"/>
  <c r="F52" i="40"/>
  <c r="F49" i="40"/>
  <c r="H52" i="40"/>
  <c r="H54" i="40"/>
  <c r="D51" i="40"/>
  <c r="E51" i="40" s="1"/>
  <c r="F51" i="40" s="1"/>
  <c r="H60" i="40" l="1"/>
  <c r="F60" i="40"/>
  <c r="E43" i="6"/>
  <c r="C7" i="54"/>
  <c r="E18" i="6" s="1"/>
  <c r="C8" i="54"/>
  <c r="E156" i="43" l="1"/>
  <c r="G156" i="43" s="1"/>
  <c r="B17" i="40"/>
  <c r="B16" i="40"/>
  <c r="B15" i="40"/>
  <c r="B14" i="40"/>
  <c r="B13" i="40"/>
  <c r="B12" i="40"/>
  <c r="B11" i="40"/>
  <c r="B10" i="40"/>
  <c r="B9" i="40"/>
  <c r="B8" i="40"/>
  <c r="B7" i="40"/>
  <c r="B6" i="40"/>
  <c r="C9" i="49"/>
  <c r="H28" i="49"/>
  <c r="J25" i="49"/>
  <c r="F25" i="49"/>
  <c r="D158" i="43"/>
  <c r="C158" i="43"/>
  <c r="D144" i="43"/>
  <c r="D145" i="43" s="1"/>
  <c r="B144" i="43"/>
  <c r="C143" i="43"/>
  <c r="B143" i="43"/>
  <c r="G139" i="43"/>
  <c r="F139" i="43"/>
  <c r="E139" i="43"/>
  <c r="D139" i="43"/>
  <c r="C139" i="43"/>
  <c r="B138" i="43"/>
  <c r="F136" i="43" s="1"/>
  <c r="B137" i="43"/>
  <c r="E136" i="43" s="1"/>
  <c r="B131" i="43"/>
  <c r="B130" i="43"/>
  <c r="D126" i="43"/>
  <c r="C126" i="43"/>
  <c r="C130" i="43" s="1"/>
  <c r="B125" i="43"/>
  <c r="E124" i="43"/>
  <c r="H124" i="43" s="1"/>
  <c r="B124" i="43"/>
  <c r="E123" i="43" s="1"/>
  <c r="E125" i="43" s="1"/>
  <c r="F123" i="43"/>
  <c r="B118" i="43"/>
  <c r="B117" i="43"/>
  <c r="D113" i="43"/>
  <c r="C113" i="43"/>
  <c r="C117" i="43" s="1"/>
  <c r="B112" i="43"/>
  <c r="E111" i="43"/>
  <c r="G111" i="43" s="1"/>
  <c r="B111" i="43"/>
  <c r="E110" i="43" s="1"/>
  <c r="E112" i="43" s="1"/>
  <c r="F110" i="43"/>
  <c r="B105" i="43"/>
  <c r="C104" i="43"/>
  <c r="B104" i="43"/>
  <c r="D100" i="43"/>
  <c r="C100" i="43"/>
  <c r="B99" i="43"/>
  <c r="F97" i="43" s="1"/>
  <c r="E98" i="43"/>
  <c r="G98" i="43" s="1"/>
  <c r="B98" i="43"/>
  <c r="E97" i="43" s="1"/>
  <c r="E99" i="43" s="1"/>
  <c r="B92" i="43"/>
  <c r="B91" i="43"/>
  <c r="C90" i="43"/>
  <c r="B90" i="43"/>
  <c r="D86" i="43"/>
  <c r="C86" i="43"/>
  <c r="D7" i="43" s="1"/>
  <c r="B85" i="43"/>
  <c r="G82" i="43" s="1"/>
  <c r="B84" i="43"/>
  <c r="F82" i="43" s="1"/>
  <c r="F85" i="43" s="1"/>
  <c r="E83" i="43"/>
  <c r="H83" i="43" s="1"/>
  <c r="B83" i="43"/>
  <c r="E82" i="43"/>
  <c r="E85" i="43" s="1"/>
  <c r="B77" i="43"/>
  <c r="D76" i="43"/>
  <c r="B76" i="43"/>
  <c r="B75" i="43"/>
  <c r="B74" i="43"/>
  <c r="I70" i="43"/>
  <c r="H70" i="43"/>
  <c r="D77" i="43" s="1"/>
  <c r="G70" i="43"/>
  <c r="F70" i="43"/>
  <c r="E70" i="43"/>
  <c r="D70" i="43"/>
  <c r="C70" i="43"/>
  <c r="C74" i="43" s="1"/>
  <c r="B69" i="43"/>
  <c r="H65" i="43" s="1"/>
  <c r="B68" i="43"/>
  <c r="G65" i="43" s="1"/>
  <c r="B67" i="43"/>
  <c r="F65" i="43" s="1"/>
  <c r="B66" i="43"/>
  <c r="E65" i="43" s="1"/>
  <c r="B60" i="43"/>
  <c r="B59" i="43"/>
  <c r="B58" i="43"/>
  <c r="B57" i="43"/>
  <c r="C56" i="43"/>
  <c r="B56" i="43"/>
  <c r="D52" i="43"/>
  <c r="C52" i="43"/>
  <c r="B51" i="43"/>
  <c r="I46" i="43" s="1"/>
  <c r="B50" i="43"/>
  <c r="B49" i="43"/>
  <c r="G46" i="43" s="1"/>
  <c r="B48" i="43"/>
  <c r="F46" i="43" s="1"/>
  <c r="J47" i="43"/>
  <c r="E47" i="43"/>
  <c r="B47" i="43"/>
  <c r="E46" i="43" s="1"/>
  <c r="H46" i="43"/>
  <c r="H51" i="43" s="1"/>
  <c r="B41" i="43"/>
  <c r="B40" i="43"/>
  <c r="B39" i="43"/>
  <c r="B38" i="43"/>
  <c r="B37" i="43"/>
  <c r="C36" i="43"/>
  <c r="B36" i="43"/>
  <c r="I31" i="43"/>
  <c r="H31" i="43"/>
  <c r="G31" i="43"/>
  <c r="F31" i="43"/>
  <c r="E31" i="43"/>
  <c r="D31" i="43"/>
  <c r="C31" i="43"/>
  <c r="J30" i="43"/>
  <c r="J31" i="43" s="1"/>
  <c r="D41" i="43" s="1"/>
  <c r="B30" i="43"/>
  <c r="K29" i="43"/>
  <c r="B29" i="43"/>
  <c r="I24" i="43" s="1"/>
  <c r="K28" i="43"/>
  <c r="B28" i="43"/>
  <c r="K27" i="43"/>
  <c r="B27" i="43"/>
  <c r="G24" i="43" s="1"/>
  <c r="K26" i="43"/>
  <c r="B26" i="43"/>
  <c r="F24" i="43" s="1"/>
  <c r="K25" i="43"/>
  <c r="B25" i="43"/>
  <c r="E24" i="43" s="1"/>
  <c r="J24" i="43"/>
  <c r="H24" i="43"/>
  <c r="U20" i="51"/>
  <c r="U15" i="51"/>
  <c r="U33" i="51" s="1"/>
  <c r="U6" i="51"/>
  <c r="U5" i="51"/>
  <c r="U3" i="51"/>
  <c r="T33" i="51"/>
  <c r="S33" i="51"/>
  <c r="G157" i="51"/>
  <c r="D158" i="51"/>
  <c r="C158" i="51"/>
  <c r="E157" i="51"/>
  <c r="E156" i="51"/>
  <c r="G156" i="51" s="1"/>
  <c r="E154" i="51"/>
  <c r="G154" i="51" s="1"/>
  <c r="E153" i="51"/>
  <c r="G153" i="51" s="1"/>
  <c r="E84" i="43" l="1"/>
  <c r="G85" i="43"/>
  <c r="G86" i="43" s="1"/>
  <c r="D92" i="43" s="1"/>
  <c r="H85" i="43"/>
  <c r="F51" i="43"/>
  <c r="F50" i="43"/>
  <c r="F49" i="43"/>
  <c r="F99" i="43"/>
  <c r="F100" i="43" s="1"/>
  <c r="D105" i="43" s="1"/>
  <c r="G51" i="43"/>
  <c r="G50" i="43"/>
  <c r="F112" i="43"/>
  <c r="F113" i="43" s="1"/>
  <c r="D118" i="43" s="1"/>
  <c r="D78" i="43"/>
  <c r="H125" i="43"/>
  <c r="H126" i="43" s="1"/>
  <c r="F125" i="43"/>
  <c r="F126" i="43" s="1"/>
  <c r="D131" i="43" s="1"/>
  <c r="D42" i="43"/>
  <c r="E50" i="43"/>
  <c r="E48" i="43"/>
  <c r="E51" i="43"/>
  <c r="E49" i="43"/>
  <c r="E100" i="43"/>
  <c r="E113" i="43"/>
  <c r="E126" i="43"/>
  <c r="F84" i="43"/>
  <c r="F86" i="43" s="1"/>
  <c r="D91" i="43" s="1"/>
  <c r="E86" i="43"/>
  <c r="D90" i="43" s="1"/>
  <c r="D93" i="43" s="1"/>
  <c r="K30" i="43"/>
  <c r="K31" i="43" s="1"/>
  <c r="H14" i="40"/>
  <c r="D14" i="40"/>
  <c r="E14" i="40" s="1"/>
  <c r="F14" i="40" s="1"/>
  <c r="H13" i="40"/>
  <c r="D13" i="40"/>
  <c r="E13" i="40" s="1"/>
  <c r="F13" i="40" s="1"/>
  <c r="H12" i="40"/>
  <c r="D12" i="40"/>
  <c r="E12" i="40" s="1"/>
  <c r="F12" i="40" s="1"/>
  <c r="H11" i="40"/>
  <c r="D11" i="40"/>
  <c r="E11" i="40" s="1"/>
  <c r="F11" i="40" s="1"/>
  <c r="H10" i="40"/>
  <c r="D10" i="40"/>
  <c r="E10" i="40" s="1"/>
  <c r="F10" i="40" s="1"/>
  <c r="H84" i="43" l="1"/>
  <c r="H86" i="43" s="1"/>
  <c r="F48" i="43"/>
  <c r="F52" i="43" s="1"/>
  <c r="D57" i="43" s="1"/>
  <c r="D119" i="43"/>
  <c r="G99" i="43"/>
  <c r="G100" i="43" s="1"/>
  <c r="H50" i="43"/>
  <c r="H52" i="43" s="1"/>
  <c r="D59" i="43" s="1"/>
  <c r="D106" i="43"/>
  <c r="G49" i="43"/>
  <c r="G52" i="43" s="1"/>
  <c r="D58" i="43" s="1"/>
  <c r="G112" i="43"/>
  <c r="G113" i="43" s="1"/>
  <c r="I51" i="43"/>
  <c r="I52" i="43" s="1"/>
  <c r="D60" i="43" s="1"/>
  <c r="D132" i="43"/>
  <c r="E52" i="43"/>
  <c r="D56" i="43" s="1"/>
  <c r="H44" i="49"/>
  <c r="E48" i="6"/>
  <c r="G48" i="6" s="1"/>
  <c r="E7" i="43" l="1"/>
  <c r="J51" i="43"/>
  <c r="J50" i="43"/>
  <c r="J49" i="43"/>
  <c r="D61" i="43"/>
  <c r="J48" i="43"/>
  <c r="I26" i="49"/>
  <c r="C24" i="49"/>
  <c r="C23" i="49"/>
  <c r="F23" i="49" s="1"/>
  <c r="G23" i="49"/>
  <c r="C22" i="49"/>
  <c r="C20" i="49"/>
  <c r="G19" i="49"/>
  <c r="C19" i="49"/>
  <c r="G18" i="49"/>
  <c r="C18" i="49"/>
  <c r="C17" i="49"/>
  <c r="C16" i="49"/>
  <c r="G15" i="49"/>
  <c r="C15" i="49"/>
  <c r="F15" i="49" s="1"/>
  <c r="H15" i="49" s="1"/>
  <c r="J15" i="49" s="1"/>
  <c r="C14" i="49"/>
  <c r="G12" i="49"/>
  <c r="C12" i="49"/>
  <c r="F12" i="49" s="1"/>
  <c r="C13" i="49"/>
  <c r="F24" i="49"/>
  <c r="G24" i="49"/>
  <c r="C11" i="49"/>
  <c r="C10" i="49"/>
  <c r="C8" i="49"/>
  <c r="C7" i="49"/>
  <c r="C5" i="49"/>
  <c r="J52" i="43" l="1"/>
  <c r="H23" i="49"/>
  <c r="J23" i="49" s="1"/>
  <c r="H12" i="49"/>
  <c r="J12" i="49" s="1"/>
  <c r="H24" i="49"/>
  <c r="J24" i="49" s="1"/>
  <c r="M36" i="49"/>
  <c r="H44" i="52" l="1"/>
  <c r="K44" i="52" s="1"/>
  <c r="E49" i="6" s="1"/>
  <c r="J44" i="52"/>
  <c r="C5" i="52"/>
  <c r="M18" i="53" l="1"/>
  <c r="M19" i="53"/>
  <c r="B21" i="55" l="1"/>
  <c r="D21" i="55" s="1"/>
  <c r="E31" i="6" s="1"/>
  <c r="B20" i="55"/>
  <c r="D20" i="55" s="1"/>
  <c r="E27" i="6" s="1"/>
  <c r="G45" i="6"/>
  <c r="F19" i="49"/>
  <c r="H19" i="49" s="1"/>
  <c r="J19" i="49" s="1"/>
  <c r="F18" i="49"/>
  <c r="H18" i="49" s="1"/>
  <c r="J18" i="49" s="1"/>
  <c r="E24" i="42"/>
  <c r="O24" i="42" s="1"/>
  <c r="G22" i="49"/>
  <c r="F22" i="49"/>
  <c r="G21" i="49"/>
  <c r="F21" i="49"/>
  <c r="H21" i="49" s="1"/>
  <c r="J21" i="49" s="1"/>
  <c r="G20" i="49"/>
  <c r="F20" i="49"/>
  <c r="G17" i="49"/>
  <c r="F17" i="49"/>
  <c r="G16" i="49"/>
  <c r="F16" i="49"/>
  <c r="G14" i="49"/>
  <c r="F14" i="49"/>
  <c r="G13" i="49"/>
  <c r="F13" i="49"/>
  <c r="D26" i="49"/>
  <c r="C26" i="49"/>
  <c r="H17" i="49" l="1"/>
  <c r="J17" i="49" s="1"/>
  <c r="H14" i="49"/>
  <c r="J14" i="49" s="1"/>
  <c r="H13" i="49"/>
  <c r="J13" i="49" s="1"/>
  <c r="H20" i="49"/>
  <c r="J20" i="49" s="1"/>
  <c r="H16" i="49"/>
  <c r="J16" i="49" s="1"/>
  <c r="H22" i="49"/>
  <c r="J22" i="49" s="1"/>
  <c r="J31" i="51"/>
  <c r="D41" i="51" s="1"/>
  <c r="F97" i="51"/>
  <c r="J30" i="51"/>
  <c r="K30" i="51" s="1"/>
  <c r="E152" i="51"/>
  <c r="G152" i="51" s="1"/>
  <c r="E151" i="51"/>
  <c r="G151" i="51" s="1"/>
  <c r="E150" i="51"/>
  <c r="G150" i="51" s="1"/>
  <c r="G158" i="51" s="1"/>
  <c r="B99" i="51"/>
  <c r="F7" i="49"/>
  <c r="G7" i="49"/>
  <c r="F11" i="49"/>
  <c r="G11" i="49"/>
  <c r="D139" i="51"/>
  <c r="J33" i="52"/>
  <c r="K33" i="52" s="1"/>
  <c r="H7" i="49" l="1"/>
  <c r="J7" i="49" s="1"/>
  <c r="H11" i="49"/>
  <c r="J11" i="49" s="1"/>
  <c r="D86" i="51"/>
  <c r="C86" i="51"/>
  <c r="C139" i="51"/>
  <c r="D126" i="51"/>
  <c r="C126" i="51"/>
  <c r="B19" i="55"/>
  <c r="K25" i="51"/>
  <c r="A2" i="43"/>
  <c r="E143" i="51"/>
  <c r="F42" i="52"/>
  <c r="G12" i="6"/>
  <c r="B138" i="51"/>
  <c r="F136" i="51" s="1"/>
  <c r="B137" i="51"/>
  <c r="E136" i="51" s="1"/>
  <c r="B125" i="51"/>
  <c r="F123" i="51" s="1"/>
  <c r="B124" i="51"/>
  <c r="E123" i="51" s="1"/>
  <c r="B112" i="51"/>
  <c r="F110" i="51" s="1"/>
  <c r="B111" i="51"/>
  <c r="E110" i="51" s="1"/>
  <c r="B98" i="51"/>
  <c r="E97" i="51" s="1"/>
  <c r="B85" i="51"/>
  <c r="G82" i="51" s="1"/>
  <c r="B84" i="51"/>
  <c r="F82" i="51" s="1"/>
  <c r="B83" i="51"/>
  <c r="E82" i="51" s="1"/>
  <c r="B69" i="51"/>
  <c r="H65" i="51" s="1"/>
  <c r="B68" i="51"/>
  <c r="G65" i="51" s="1"/>
  <c r="B67" i="51"/>
  <c r="F65" i="51" s="1"/>
  <c r="B66" i="51"/>
  <c r="E65" i="51" s="1"/>
  <c r="B51" i="51"/>
  <c r="I46" i="51" s="1"/>
  <c r="B50" i="51"/>
  <c r="H46" i="51" s="1"/>
  <c r="B49" i="51"/>
  <c r="G46" i="51" s="1"/>
  <c r="B48" i="51"/>
  <c r="F46" i="51" s="1"/>
  <c r="B47" i="51"/>
  <c r="E46" i="51" s="1"/>
  <c r="B30" i="51"/>
  <c r="J24" i="51" s="1"/>
  <c r="B29" i="51"/>
  <c r="I24" i="51" s="1"/>
  <c r="B28" i="51"/>
  <c r="H24" i="51" s="1"/>
  <c r="B27" i="51"/>
  <c r="G24" i="51" s="1"/>
  <c r="B26" i="51"/>
  <c r="F24" i="51" s="1"/>
  <c r="B25" i="51"/>
  <c r="E24" i="51" s="1"/>
  <c r="B20" i="40"/>
  <c r="H18" i="40"/>
  <c r="H17" i="40"/>
  <c r="H16" i="40"/>
  <c r="H15" i="40"/>
  <c r="H9" i="40"/>
  <c r="H8" i="40"/>
  <c r="H7" i="40"/>
  <c r="H6" i="40"/>
  <c r="D18" i="40"/>
  <c r="E18" i="40" s="1"/>
  <c r="F18" i="40" s="1"/>
  <c r="D17" i="40"/>
  <c r="E17" i="40" s="1"/>
  <c r="F17" i="40" s="1"/>
  <c r="D16" i="40"/>
  <c r="E16" i="40" s="1"/>
  <c r="F16" i="40" s="1"/>
  <c r="D15" i="40"/>
  <c r="E15" i="40" s="1"/>
  <c r="F15" i="40" s="1"/>
  <c r="D9" i="40"/>
  <c r="E9" i="40" s="1"/>
  <c r="F9" i="40" s="1"/>
  <c r="D8" i="40"/>
  <c r="E8" i="40" s="1"/>
  <c r="F8" i="40" s="1"/>
  <c r="D7" i="40"/>
  <c r="E7" i="40" s="1"/>
  <c r="F7" i="40" s="1"/>
  <c r="D6" i="40"/>
  <c r="E6" i="40" s="1"/>
  <c r="F6" i="40" s="1"/>
  <c r="H38" i="49"/>
  <c r="E144" i="51"/>
  <c r="B144" i="51"/>
  <c r="B143" i="51"/>
  <c r="E131" i="51"/>
  <c r="E130" i="51"/>
  <c r="B131" i="51"/>
  <c r="B130" i="51"/>
  <c r="E118" i="51"/>
  <c r="E117" i="51"/>
  <c r="B118" i="51"/>
  <c r="B117" i="51"/>
  <c r="B105" i="51"/>
  <c r="B104" i="51"/>
  <c r="E105" i="51"/>
  <c r="E104" i="51"/>
  <c r="E92" i="51"/>
  <c r="E91" i="51"/>
  <c r="E90" i="51"/>
  <c r="B92" i="51"/>
  <c r="B91" i="51"/>
  <c r="B90" i="51"/>
  <c r="E77" i="51"/>
  <c r="E76" i="51"/>
  <c r="E75" i="51"/>
  <c r="E74" i="51"/>
  <c r="B77" i="51"/>
  <c r="B76" i="51"/>
  <c r="B75" i="51"/>
  <c r="B74" i="51"/>
  <c r="B60" i="51"/>
  <c r="B59" i="51"/>
  <c r="B58" i="51"/>
  <c r="B57" i="51"/>
  <c r="B56" i="51"/>
  <c r="B41" i="51"/>
  <c r="B40" i="51"/>
  <c r="B39" i="51"/>
  <c r="B38" i="51"/>
  <c r="B37" i="51"/>
  <c r="B36" i="51"/>
  <c r="E60" i="51"/>
  <c r="E59" i="51"/>
  <c r="E58" i="51"/>
  <c r="E57" i="51"/>
  <c r="E56" i="51"/>
  <c r="E41" i="51"/>
  <c r="E40" i="51"/>
  <c r="E39" i="51"/>
  <c r="E38" i="51"/>
  <c r="E37" i="51"/>
  <c r="E36" i="51"/>
  <c r="E23" i="42"/>
  <c r="O23" i="42" s="1"/>
  <c r="E22" i="42"/>
  <c r="O22" i="42" s="1"/>
  <c r="E21" i="42"/>
  <c r="O21" i="42" s="1"/>
  <c r="E20" i="42"/>
  <c r="O20" i="42" s="1"/>
  <c r="E19" i="42"/>
  <c r="O19" i="42" s="1"/>
  <c r="E18" i="42"/>
  <c r="O18" i="42" s="1"/>
  <c r="E17" i="42"/>
  <c r="O17" i="42" s="1"/>
  <c r="E16" i="42"/>
  <c r="O16" i="42" s="1"/>
  <c r="E15" i="42"/>
  <c r="O15" i="42" s="1"/>
  <c r="E14" i="42"/>
  <c r="O14" i="42" s="1"/>
  <c r="E13" i="42"/>
  <c r="O13" i="42" s="1"/>
  <c r="E12" i="42"/>
  <c r="O12" i="42" s="1"/>
  <c r="E11" i="42"/>
  <c r="O11" i="42" s="1"/>
  <c r="E10" i="42"/>
  <c r="O10" i="42" s="1"/>
  <c r="E9" i="42"/>
  <c r="O9" i="42" s="1"/>
  <c r="C14" i="55"/>
  <c r="D14" i="6"/>
  <c r="G11" i="6"/>
  <c r="G23" i="56" l="1"/>
  <c r="G63" i="6"/>
  <c r="G6" i="56"/>
  <c r="B22" i="55"/>
  <c r="C113" i="51"/>
  <c r="C117" i="51" s="1"/>
  <c r="G117" i="51" s="1"/>
  <c r="C90" i="51"/>
  <c r="G90" i="51" s="1"/>
  <c r="D31" i="51"/>
  <c r="C31" i="51"/>
  <c r="D52" i="51"/>
  <c r="C52" i="51"/>
  <c r="E47" i="51"/>
  <c r="J47" i="51" s="1"/>
  <c r="D70" i="51"/>
  <c r="D100" i="51"/>
  <c r="C100" i="51"/>
  <c r="C104" i="51" s="1"/>
  <c r="G104" i="51" s="1"/>
  <c r="E98" i="51"/>
  <c r="G98" i="51" s="1"/>
  <c r="E111" i="51"/>
  <c r="G111" i="51" s="1"/>
  <c r="C130" i="51"/>
  <c r="G130" i="51" s="1"/>
  <c r="E124" i="51"/>
  <c r="H124" i="51" s="1"/>
  <c r="E125" i="51"/>
  <c r="F125" i="51" s="1"/>
  <c r="F126" i="51" s="1"/>
  <c r="D131" i="51" s="1"/>
  <c r="E112" i="51"/>
  <c r="E99" i="51"/>
  <c r="E85" i="51"/>
  <c r="E84" i="51"/>
  <c r="F85" i="51"/>
  <c r="H51" i="51"/>
  <c r="E50" i="51"/>
  <c r="E48" i="51"/>
  <c r="E51" i="51"/>
  <c r="E49" i="51"/>
  <c r="F49" i="51"/>
  <c r="F51" i="51"/>
  <c r="G51" i="51"/>
  <c r="F50" i="51"/>
  <c r="G50" i="51"/>
  <c r="K26" i="51"/>
  <c r="C36" i="51" l="1"/>
  <c r="G85" i="51"/>
  <c r="G86" i="51" s="1"/>
  <c r="D92" i="51" s="1"/>
  <c r="F112" i="51"/>
  <c r="F113" i="51" s="1"/>
  <c r="D118" i="51" s="1"/>
  <c r="G118" i="51" s="1"/>
  <c r="G112" i="51"/>
  <c r="G113" i="51" s="1"/>
  <c r="F99" i="51"/>
  <c r="F100" i="51" s="1"/>
  <c r="D105" i="51" s="1"/>
  <c r="G105" i="51" s="1"/>
  <c r="I51" i="51"/>
  <c r="I52" i="51" s="1"/>
  <c r="D60" i="51" s="1"/>
  <c r="C56" i="51"/>
  <c r="G56" i="51" s="1"/>
  <c r="G36" i="51"/>
  <c r="E83" i="51"/>
  <c r="H83" i="51" s="1"/>
  <c r="D113" i="51"/>
  <c r="C70" i="51"/>
  <c r="C74" i="51" s="1"/>
  <c r="G74" i="51" s="1"/>
  <c r="G131" i="51"/>
  <c r="E126" i="51"/>
  <c r="E113" i="51"/>
  <c r="E100" i="51"/>
  <c r="G92" i="51"/>
  <c r="F84" i="51"/>
  <c r="H84" i="51" s="1"/>
  <c r="F70" i="51"/>
  <c r="G75" i="51" s="1"/>
  <c r="E52" i="51"/>
  <c r="D56" i="51" s="1"/>
  <c r="H50" i="51"/>
  <c r="G49" i="51"/>
  <c r="J49" i="51" s="1"/>
  <c r="F48" i="51"/>
  <c r="G41" i="51"/>
  <c r="F31" i="51"/>
  <c r="G37" i="51" s="1"/>
  <c r="E31" i="51"/>
  <c r="D14" i="55"/>
  <c r="D16" i="55" s="1"/>
  <c r="C9" i="55"/>
  <c r="G5" i="49"/>
  <c r="F5" i="49"/>
  <c r="G99" i="51" l="1"/>
  <c r="G100" i="51" s="1"/>
  <c r="D7" i="51"/>
  <c r="D26" i="55" s="1"/>
  <c r="H85" i="51"/>
  <c r="H86" i="51" s="1"/>
  <c r="J51" i="51"/>
  <c r="H70" i="51"/>
  <c r="D77" i="51" s="1"/>
  <c r="G77" i="51" s="1"/>
  <c r="G70" i="51"/>
  <c r="D76" i="51" s="1"/>
  <c r="G76" i="51" s="1"/>
  <c r="G78" i="51" s="1"/>
  <c r="I70" i="51"/>
  <c r="H52" i="51"/>
  <c r="D59" i="51" s="1"/>
  <c r="G59" i="51" s="1"/>
  <c r="J50" i="51"/>
  <c r="F52" i="51"/>
  <c r="D57" i="51" s="1"/>
  <c r="G57" i="51" s="1"/>
  <c r="J48" i="51"/>
  <c r="I31" i="51"/>
  <c r="G40" i="51" s="1"/>
  <c r="K29" i="51"/>
  <c r="H31" i="51"/>
  <c r="G39" i="51" s="1"/>
  <c r="K28" i="51"/>
  <c r="G31" i="51"/>
  <c r="G38" i="51" s="1"/>
  <c r="K27" i="51"/>
  <c r="G27" i="6"/>
  <c r="G31" i="6"/>
  <c r="D19" i="55"/>
  <c r="G33" i="6"/>
  <c r="G60" i="51"/>
  <c r="G61" i="51" s="1"/>
  <c r="E86" i="51"/>
  <c r="D90" i="51" s="1"/>
  <c r="F86" i="51"/>
  <c r="D91" i="51" s="1"/>
  <c r="G91" i="51" s="1"/>
  <c r="G52" i="51"/>
  <c r="D58" i="51" s="1"/>
  <c r="G58" i="51" s="1"/>
  <c r="E70" i="51"/>
  <c r="G119" i="51"/>
  <c r="G132" i="51"/>
  <c r="D132" i="51"/>
  <c r="H125" i="51"/>
  <c r="G106" i="51"/>
  <c r="D106" i="51"/>
  <c r="H5" i="49"/>
  <c r="J5" i="49" s="1"/>
  <c r="D78" i="51" l="1"/>
  <c r="J52" i="51"/>
  <c r="K31" i="51"/>
  <c r="E25" i="6"/>
  <c r="D22" i="55"/>
  <c r="D25" i="55" s="1"/>
  <c r="G93" i="51"/>
  <c r="D93" i="51"/>
  <c r="D61" i="51"/>
  <c r="D119" i="51"/>
  <c r="H126" i="51"/>
  <c r="H32" i="49"/>
  <c r="K22" i="53" l="1"/>
  <c r="I22" i="53"/>
  <c r="G22" i="53"/>
  <c r="E22" i="53"/>
  <c r="C22" i="53"/>
  <c r="M17" i="53"/>
  <c r="M16" i="53"/>
  <c r="M15" i="53"/>
  <c r="M14" i="53"/>
  <c r="L22" i="53"/>
  <c r="M13" i="53"/>
  <c r="J22" i="53"/>
  <c r="F22" i="53"/>
  <c r="M12" i="53"/>
  <c r="H42" i="52"/>
  <c r="J40" i="52"/>
  <c r="K40" i="52" s="1"/>
  <c r="J36" i="52"/>
  <c r="K36" i="52" s="1"/>
  <c r="J32" i="52"/>
  <c r="K32" i="52" s="1"/>
  <c r="J31" i="52"/>
  <c r="K31" i="52" s="1"/>
  <c r="J30" i="52"/>
  <c r="K30" i="52" s="1"/>
  <c r="J29" i="52"/>
  <c r="K29" i="52" s="1"/>
  <c r="J28" i="52"/>
  <c r="K28" i="52" s="1"/>
  <c r="J27" i="52"/>
  <c r="K27" i="52" s="1"/>
  <c r="J26" i="52"/>
  <c r="K26" i="52" s="1"/>
  <c r="J25" i="52"/>
  <c r="K25" i="52" s="1"/>
  <c r="J22" i="52"/>
  <c r="K22" i="52" s="1"/>
  <c r="J21" i="52"/>
  <c r="K21" i="52" s="1"/>
  <c r="J20" i="52"/>
  <c r="K20" i="52" s="1"/>
  <c r="J17" i="52"/>
  <c r="K17" i="52" s="1"/>
  <c r="J16" i="52"/>
  <c r="K16" i="52" s="1"/>
  <c r="J15" i="52"/>
  <c r="K15" i="52" s="1"/>
  <c r="J14" i="52"/>
  <c r="K14" i="52" s="1"/>
  <c r="J13" i="52"/>
  <c r="K13" i="52" s="1"/>
  <c r="J12" i="52"/>
  <c r="K12" i="52" s="1"/>
  <c r="M22" i="53" l="1"/>
  <c r="M25" i="53" s="1"/>
  <c r="H22" i="53"/>
  <c r="D22" i="53"/>
  <c r="K42" i="52"/>
  <c r="J42" i="52"/>
  <c r="M30" i="53" l="1"/>
  <c r="M32" i="53" s="1"/>
  <c r="G21" i="56" s="1"/>
  <c r="G60" i="6"/>
  <c r="M27" i="53"/>
  <c r="G61" i="6" s="1"/>
  <c r="P22" i="53"/>
  <c r="G3" i="56"/>
  <c r="P27" i="53"/>
  <c r="A2" i="51"/>
  <c r="C4" i="42"/>
  <c r="M4" i="42" s="1"/>
  <c r="C6" i="2"/>
  <c r="G4" i="56" l="1"/>
  <c r="F10" i="49"/>
  <c r="F9" i="49"/>
  <c r="F8" i="49"/>
  <c r="G35" i="6"/>
  <c r="G38" i="6"/>
  <c r="G28" i="6"/>
  <c r="G25" i="49" l="1"/>
  <c r="G10" i="49"/>
  <c r="G9" i="49"/>
  <c r="H9" i="49" s="1"/>
  <c r="J9" i="49" s="1"/>
  <c r="G8" i="49"/>
  <c r="H8" i="49" s="1"/>
  <c r="J8" i="49" s="1"/>
  <c r="G6" i="49"/>
  <c r="F6" i="49"/>
  <c r="F26" i="49" s="1"/>
  <c r="G26" i="49" l="1"/>
  <c r="H25" i="49"/>
  <c r="H6" i="49"/>
  <c r="J6" i="49" s="1"/>
  <c r="H10" i="49"/>
  <c r="J10" i="49" s="1"/>
  <c r="G41" i="6"/>
  <c r="G39" i="6"/>
  <c r="G37" i="6"/>
  <c r="G36" i="6"/>
  <c r="G34" i="6"/>
  <c r="G21" i="6"/>
  <c r="J26" i="49" l="1"/>
  <c r="H26" i="49"/>
  <c r="H31" i="49" l="1"/>
  <c r="J28" i="49"/>
  <c r="H35" i="49" s="1"/>
  <c r="H37" i="49"/>
  <c r="H39" i="49" s="1"/>
  <c r="H41" i="49"/>
  <c r="H43" i="49" s="1"/>
  <c r="H45" i="49" s="1"/>
  <c r="E22" i="6" s="1"/>
  <c r="E51" i="6" l="1"/>
  <c r="G51" i="6" s="1"/>
  <c r="F20" i="40"/>
  <c r="F36" i="40" s="1"/>
  <c r="H20" i="40"/>
  <c r="H36" i="40" s="1"/>
  <c r="C38" i="40" s="1"/>
  <c r="C40" i="40" s="1"/>
  <c r="E23" i="6" s="1"/>
  <c r="G40" i="6" l="1"/>
  <c r="G49" i="6" l="1"/>
  <c r="D46" i="6" l="1"/>
  <c r="D52" i="6" l="1"/>
  <c r="D54" i="6" l="1"/>
  <c r="G25" i="6" l="1"/>
  <c r="H33" i="49" l="1"/>
  <c r="E19" i="6" s="1"/>
  <c r="G20" i="6" l="1"/>
  <c r="G46" i="6" s="1"/>
  <c r="G52" i="6" s="1"/>
  <c r="G2" i="56" l="1"/>
  <c r="G18" i="56"/>
  <c r="G20" i="56" s="1"/>
  <c r="G22" i="56" s="1"/>
  <c r="G26" i="56" s="1"/>
  <c r="E46" i="6"/>
  <c r="E52" i="6" s="1"/>
  <c r="G5" i="56" l="1"/>
  <c r="G9" i="56" s="1"/>
  <c r="G59" i="6"/>
  <c r="G62" i="6" s="1"/>
  <c r="G66" i="6" l="1"/>
  <c r="G13" i="43" s="1"/>
  <c r="G42" i="51"/>
  <c r="D42" i="51"/>
  <c r="C143" i="51" l="1"/>
  <c r="F139" i="51"/>
  <c r="D144" i="51" s="1"/>
  <c r="G144" i="51" s="1"/>
  <c r="G143" i="51" l="1"/>
  <c r="G145" i="51" s="1"/>
  <c r="G7" i="51" s="1"/>
  <c r="E139" i="51"/>
  <c r="D145" i="51" s="1"/>
  <c r="E7" i="51" s="1"/>
  <c r="G9" i="51" l="1"/>
  <c r="L9" i="43" s="1"/>
  <c r="L7" i="43"/>
  <c r="G139" i="51"/>
  <c r="G11" i="56" l="1"/>
  <c r="G68" i="6" s="1"/>
  <c r="G28" i="56"/>
  <c r="G11" i="51"/>
  <c r="E7" i="6" l="1"/>
  <c r="G7" i="6" s="1"/>
  <c r="E14" i="6" l="1"/>
  <c r="E54" i="6" s="1"/>
  <c r="G10" i="56"/>
  <c r="G12" i="56" s="1"/>
  <c r="G27" i="56"/>
  <c r="G29" i="56" s="1"/>
  <c r="G30" i="56" s="1"/>
  <c r="G67" i="6"/>
  <c r="G69" i="6" s="1"/>
  <c r="G70" i="6" s="1"/>
  <c r="G14" i="6"/>
  <c r="G54" i="6" s="1"/>
  <c r="G13" i="56" l="1"/>
  <c r="H27" i="2" l="1"/>
  <c r="E77" i="43" s="1"/>
  <c r="G77" i="43" s="1"/>
  <c r="H21" i="2"/>
  <c r="H35" i="2"/>
  <c r="H31" i="2"/>
  <c r="E91" i="43" s="1"/>
  <c r="G91" i="43" s="1"/>
  <c r="H52" i="2"/>
  <c r="H57" i="2"/>
  <c r="H51" i="2"/>
  <c r="H61" i="2"/>
  <c r="H18" i="2"/>
  <c r="H24" i="2"/>
  <c r="E74" i="43" s="1"/>
  <c r="G74" i="43" s="1"/>
  <c r="H44" i="2"/>
  <c r="E131" i="43" s="1"/>
  <c r="G131" i="43" s="1"/>
  <c r="H12" i="2"/>
  <c r="H10" i="2"/>
  <c r="H19" i="2"/>
  <c r="H20" i="2"/>
  <c r="E59" i="43" s="1"/>
  <c r="G59" i="43" s="1"/>
  <c r="H36" i="2"/>
  <c r="H39" i="2"/>
  <c r="H25" i="2"/>
  <c r="H9" i="2"/>
  <c r="H32" i="2"/>
  <c r="H40" i="2"/>
  <c r="H48" i="2"/>
  <c r="H58" i="2"/>
  <c r="H30" i="2"/>
  <c r="H17" i="2"/>
  <c r="E56" i="43" s="1"/>
  <c r="G56" i="43" s="1"/>
  <c r="H14" i="2"/>
  <c r="H47" i="2"/>
  <c r="H11" i="2"/>
  <c r="E38" i="43" s="1"/>
  <c r="G38" i="43" s="1"/>
  <c r="H43" i="2"/>
  <c r="H13" i="2"/>
  <c r="H26" i="2"/>
  <c r="H53" i="2"/>
  <c r="J57" i="2" l="1"/>
  <c r="K57" i="2" s="1"/>
  <c r="E153" i="43"/>
  <c r="G153" i="43" s="1"/>
  <c r="J53" i="2"/>
  <c r="K53" i="2" s="1"/>
  <c r="E152" i="43"/>
  <c r="G152" i="43" s="1"/>
  <c r="J36" i="2"/>
  <c r="K36" i="2" s="1"/>
  <c r="E105" i="43"/>
  <c r="G105" i="43" s="1"/>
  <c r="J61" i="2"/>
  <c r="K61" i="2" s="1"/>
  <c r="E157" i="43"/>
  <c r="G157" i="43" s="1"/>
  <c r="J58" i="2"/>
  <c r="K58" i="2" s="1"/>
  <c r="E154" i="43"/>
  <c r="G154" i="43" s="1"/>
  <c r="J51" i="2"/>
  <c r="K51" i="2" s="1"/>
  <c r="E150" i="43"/>
  <c r="G150" i="43" s="1"/>
  <c r="F23" i="42"/>
  <c r="E130" i="43"/>
  <c r="G130" i="43" s="1"/>
  <c r="G132" i="43" s="1"/>
  <c r="J52" i="2"/>
  <c r="K52" i="2" s="1"/>
  <c r="E151" i="43"/>
  <c r="G151" i="43" s="1"/>
  <c r="J48" i="2"/>
  <c r="K48" i="2" s="1"/>
  <c r="E144" i="43"/>
  <c r="G144" i="43" s="1"/>
  <c r="F20" i="42"/>
  <c r="E104" i="43"/>
  <c r="G104" i="43" s="1"/>
  <c r="F24" i="42"/>
  <c r="E143" i="43"/>
  <c r="G143" i="43" s="1"/>
  <c r="J40" i="2"/>
  <c r="K40" i="2" s="1"/>
  <c r="E118" i="43"/>
  <c r="G118" i="43" s="1"/>
  <c r="J39" i="2"/>
  <c r="K39" i="2" s="1"/>
  <c r="E117" i="43"/>
  <c r="G117" i="43" s="1"/>
  <c r="J30" i="2"/>
  <c r="K30" i="2" s="1"/>
  <c r="E90" i="43"/>
  <c r="G90" i="43" s="1"/>
  <c r="J10" i="2"/>
  <c r="K10" i="2" s="1"/>
  <c r="E37" i="43"/>
  <c r="G37" i="43" s="1"/>
  <c r="J26" i="2"/>
  <c r="K26" i="2" s="1"/>
  <c r="E76" i="43"/>
  <c r="G76" i="43" s="1"/>
  <c r="J13" i="2"/>
  <c r="K13" i="2" s="1"/>
  <c r="E40" i="43"/>
  <c r="G40" i="43" s="1"/>
  <c r="J19" i="2"/>
  <c r="K19" i="2" s="1"/>
  <c r="E58" i="43"/>
  <c r="G58" i="43" s="1"/>
  <c r="J32" i="2"/>
  <c r="K32" i="2" s="1"/>
  <c r="E92" i="43"/>
  <c r="G92" i="43" s="1"/>
  <c r="J12" i="2"/>
  <c r="K12" i="2" s="1"/>
  <c r="E39" i="43"/>
  <c r="G39" i="43" s="1"/>
  <c r="F10" i="42"/>
  <c r="E36" i="43"/>
  <c r="G36" i="43" s="1"/>
  <c r="J21" i="2"/>
  <c r="K21" i="2" s="1"/>
  <c r="E60" i="43"/>
  <c r="G60" i="43" s="1"/>
  <c r="G61" i="43" s="1"/>
  <c r="J14" i="2"/>
  <c r="K14" i="2" s="1"/>
  <c r="E41" i="43"/>
  <c r="G41" i="43" s="1"/>
  <c r="F16" i="42"/>
  <c r="E75" i="43"/>
  <c r="G75" i="43" s="1"/>
  <c r="J18" i="2"/>
  <c r="K18" i="2" s="1"/>
  <c r="E57" i="43"/>
  <c r="G57" i="43" s="1"/>
  <c r="J35" i="2"/>
  <c r="K35" i="2" s="1"/>
  <c r="F18" i="42"/>
  <c r="F9" i="42"/>
  <c r="J31" i="2"/>
  <c r="K31" i="2" s="1"/>
  <c r="J27" i="2"/>
  <c r="K27" i="2" s="1"/>
  <c r="F19" i="42"/>
  <c r="F11" i="42"/>
  <c r="J44" i="2"/>
  <c r="K44" i="2" s="1"/>
  <c r="J24" i="2"/>
  <c r="K24" i="2" s="1"/>
  <c r="F22" i="42"/>
  <c r="J25" i="2"/>
  <c r="K25" i="2" s="1"/>
  <c r="F21" i="42"/>
  <c r="J20" i="2"/>
  <c r="K20" i="2" s="1"/>
  <c r="F15" i="42"/>
  <c r="J17" i="2"/>
  <c r="K17" i="2" s="1"/>
  <c r="J9" i="2"/>
  <c r="K9" i="2" s="1"/>
  <c r="F17" i="42"/>
  <c r="F12" i="42"/>
  <c r="F14" i="42"/>
  <c r="F13" i="42"/>
  <c r="J47" i="2"/>
  <c r="K47" i="2" s="1"/>
  <c r="J11" i="2"/>
  <c r="K11" i="2" s="1"/>
  <c r="J43" i="2"/>
  <c r="K43" i="2" s="1"/>
  <c r="G15" i="42" l="1"/>
  <c r="H15" i="42" s="1"/>
  <c r="P15" i="42"/>
  <c r="Q15" i="42" s="1"/>
  <c r="R15" i="42" s="1"/>
  <c r="G13" i="42"/>
  <c r="H13" i="42" s="1"/>
  <c r="P13" i="42"/>
  <c r="Q13" i="42" s="1"/>
  <c r="R13" i="42" s="1"/>
  <c r="G24" i="42"/>
  <c r="H24" i="42" s="1"/>
  <c r="P24" i="42"/>
  <c r="Q24" i="42" s="1"/>
  <c r="R24" i="42" s="1"/>
  <c r="G12" i="42"/>
  <c r="H12" i="42" s="1"/>
  <c r="P12" i="42"/>
  <c r="Q12" i="42" s="1"/>
  <c r="R12" i="42" s="1"/>
  <c r="G18" i="42"/>
  <c r="H18" i="42" s="1"/>
  <c r="P18" i="42"/>
  <c r="Q18" i="42" s="1"/>
  <c r="R18" i="42" s="1"/>
  <c r="G20" i="42"/>
  <c r="H20" i="42" s="1"/>
  <c r="P20" i="42"/>
  <c r="Q20" i="42" s="1"/>
  <c r="R20" i="42" s="1"/>
  <c r="G19" i="42"/>
  <c r="H19" i="42" s="1"/>
  <c r="P19" i="42"/>
  <c r="Q19" i="42" s="1"/>
  <c r="R19" i="42" s="1"/>
  <c r="G16" i="42"/>
  <c r="H16" i="42" s="1"/>
  <c r="P16" i="42"/>
  <c r="Q16" i="42" s="1"/>
  <c r="R16" i="42" s="1"/>
  <c r="G21" i="42"/>
  <c r="H21" i="42" s="1"/>
  <c r="P21" i="42"/>
  <c r="Q21" i="42" s="1"/>
  <c r="R21" i="42" s="1"/>
  <c r="G14" i="42"/>
  <c r="H14" i="42" s="1"/>
  <c r="P14" i="42"/>
  <c r="Q14" i="42" s="1"/>
  <c r="R14" i="42" s="1"/>
  <c r="G9" i="42"/>
  <c r="H9" i="42" s="1"/>
  <c r="P9" i="42"/>
  <c r="Q9" i="42" s="1"/>
  <c r="R9" i="42" s="1"/>
  <c r="G23" i="42"/>
  <c r="H23" i="42" s="1"/>
  <c r="P23" i="42"/>
  <c r="Q23" i="42" s="1"/>
  <c r="R23" i="42" s="1"/>
  <c r="G22" i="42"/>
  <c r="H22" i="42" s="1"/>
  <c r="P22" i="42"/>
  <c r="Q22" i="42" s="1"/>
  <c r="R22" i="42" s="1"/>
  <c r="G17" i="42"/>
  <c r="H17" i="42" s="1"/>
  <c r="P17" i="42"/>
  <c r="Q17" i="42" s="1"/>
  <c r="R17" i="42" s="1"/>
  <c r="G11" i="42"/>
  <c r="H11" i="42" s="1"/>
  <c r="P11" i="42"/>
  <c r="Q11" i="42" s="1"/>
  <c r="R11" i="42" s="1"/>
  <c r="G10" i="42"/>
  <c r="H10" i="42" s="1"/>
  <c r="P10" i="42"/>
  <c r="Q10" i="42" s="1"/>
  <c r="R10" i="42" s="1"/>
  <c r="G145" i="43"/>
  <c r="G78" i="43"/>
  <c r="G106" i="43"/>
  <c r="G158" i="43"/>
  <c r="G93" i="43"/>
  <c r="G119" i="43"/>
  <c r="G42" i="43"/>
  <c r="T16" i="42" l="1"/>
  <c r="U16" i="42" s="1"/>
  <c r="V16" i="42" s="1"/>
  <c r="T23" i="42"/>
  <c r="U23" i="42" s="1"/>
  <c r="V23" i="42" s="1"/>
  <c r="T12" i="42"/>
  <c r="U12" i="42" s="1"/>
  <c r="V12" i="42" s="1"/>
  <c r="T11" i="42"/>
  <c r="U11" i="42" s="1"/>
  <c r="V11" i="42" s="1"/>
  <c r="T14" i="42"/>
  <c r="U14" i="42" s="1"/>
  <c r="V14" i="42" s="1"/>
  <c r="T20" i="42"/>
  <c r="U20" i="42" s="1"/>
  <c r="V20" i="42" s="1"/>
  <c r="T13" i="42"/>
  <c r="U13" i="42" s="1"/>
  <c r="V13" i="42" s="1"/>
  <c r="T22" i="42"/>
  <c r="U22" i="42" s="1"/>
  <c r="V22" i="42" s="1"/>
  <c r="T21" i="42"/>
  <c r="U21" i="42" s="1"/>
  <c r="V21" i="42" s="1"/>
  <c r="T18" i="42"/>
  <c r="U18" i="42" s="1"/>
  <c r="V18" i="42" s="1"/>
  <c r="T15" i="42"/>
  <c r="U15" i="42" s="1"/>
  <c r="V15" i="42" s="1"/>
  <c r="T10" i="42"/>
  <c r="U10" i="42" s="1"/>
  <c r="V10" i="42" s="1"/>
  <c r="T9" i="42"/>
  <c r="U9" i="42" s="1"/>
  <c r="V9" i="42" s="1"/>
  <c r="T19" i="42"/>
  <c r="U19" i="42" s="1"/>
  <c r="V19" i="42" s="1"/>
  <c r="T24" i="42"/>
  <c r="U24" i="42" s="1"/>
  <c r="V24" i="42" s="1"/>
  <c r="T17" i="42"/>
  <c r="U17" i="42" s="1"/>
  <c r="V17" i="42" s="1"/>
  <c r="G7" i="43"/>
  <c r="G9" i="43" l="1"/>
  <c r="G14" i="43" s="1"/>
  <c r="G15" i="43" s="1"/>
  <c r="M7" i="43"/>
  <c r="M9" i="43" l="1"/>
</calcChain>
</file>

<file path=xl/sharedStrings.xml><?xml version="1.0" encoding="utf-8"?>
<sst xmlns="http://schemas.openxmlformats.org/spreadsheetml/2006/main" count="1453" uniqueCount="546">
  <si>
    <t>Total Operating Expenses</t>
  </si>
  <si>
    <t>Taxes Other Than Income</t>
  </si>
  <si>
    <t>Salaries and Wages - Employees</t>
  </si>
  <si>
    <t>Salaries and Wages - Officers</t>
  </si>
  <si>
    <t>Employee Pensions and Benefits</t>
  </si>
  <si>
    <t>Purchased Water</t>
  </si>
  <si>
    <t>Purchased Power</t>
  </si>
  <si>
    <t>Materials and Supplies</t>
  </si>
  <si>
    <t>Contractual Services</t>
  </si>
  <si>
    <t>Miscellaneous Expenses</t>
  </si>
  <si>
    <t>Transportation Expenses</t>
  </si>
  <si>
    <t>Proposed</t>
  </si>
  <si>
    <t>Total</t>
  </si>
  <si>
    <t>Gallons</t>
  </si>
  <si>
    <t>Operating Revenues</t>
  </si>
  <si>
    <t>Sales for Resale</t>
  </si>
  <si>
    <t>Other Water Revenues:</t>
  </si>
  <si>
    <t>Total Operating Revenues</t>
  </si>
  <si>
    <t>Operating Expenses</t>
  </si>
  <si>
    <t>Depreciation Expense</t>
  </si>
  <si>
    <t>Plus:</t>
  </si>
  <si>
    <t>Less:</t>
  </si>
  <si>
    <t>Other Operating Revenue</t>
  </si>
  <si>
    <t>Existing</t>
  </si>
  <si>
    <t>Change</t>
  </si>
  <si>
    <t>1"</t>
  </si>
  <si>
    <t>2"</t>
  </si>
  <si>
    <t>Table A</t>
  </si>
  <si>
    <t>SCHEDULE OF ADJUSTED OPERATIONS</t>
  </si>
  <si>
    <t>Test Year</t>
  </si>
  <si>
    <t>Adjustments</t>
  </si>
  <si>
    <t>Ref.</t>
  </si>
  <si>
    <t>Proforma</t>
  </si>
  <si>
    <t>Operation and Maintenance</t>
  </si>
  <si>
    <t>Insurance - Gen. Liab. &amp; Workers Comp.</t>
  </si>
  <si>
    <t>Total Utility Operating Income</t>
  </si>
  <si>
    <t>Pro Forma Operating Expenses</t>
  </si>
  <si>
    <t>Adjustment</t>
  </si>
  <si>
    <t>Forfeited Discounts</t>
  </si>
  <si>
    <t>Total Metered Retail Sales</t>
  </si>
  <si>
    <t>DEPRECIATION EXPENSE ADJUSTMENTS</t>
  </si>
  <si>
    <t>Depreciation</t>
  </si>
  <si>
    <t>Date in</t>
  </si>
  <si>
    <t>Original</t>
  </si>
  <si>
    <t>Expense</t>
  </si>
  <si>
    <t>Service</t>
  </si>
  <si>
    <t>Life</t>
  </si>
  <si>
    <t>Depr. Exp.</t>
  </si>
  <si>
    <t>SUMMARY</t>
  </si>
  <si>
    <t>USAGE</t>
  </si>
  <si>
    <t>BILLS</t>
  </si>
  <si>
    <t>GALLONS</t>
  </si>
  <si>
    <t>TOTAL</t>
  </si>
  <si>
    <t>RATE</t>
  </si>
  <si>
    <t>REVENUE</t>
  </si>
  <si>
    <t>CURRENT AND PROPOSED RATES</t>
  </si>
  <si>
    <t>Rental of Building/Real Property</t>
  </si>
  <si>
    <t>Insurance - Other</t>
  </si>
  <si>
    <t>Bad Debt</t>
  </si>
  <si>
    <t>Revenue Required From Sales of Water</t>
  </si>
  <si>
    <t>Revenue from Sales with Present Rates</t>
  </si>
  <si>
    <t>Total Revenue Requirement</t>
  </si>
  <si>
    <t>Required Revenue Increase</t>
  </si>
  <si>
    <t>Percent Increase</t>
  </si>
  <si>
    <t>various</t>
  </si>
  <si>
    <t>Meter</t>
  </si>
  <si>
    <t>Difference</t>
  </si>
  <si>
    <t>Bill</t>
  </si>
  <si>
    <t>Percentage</t>
  </si>
  <si>
    <t>Size</t>
  </si>
  <si>
    <t>EXISTING AND PROPOSED BILLS</t>
  </si>
  <si>
    <t>MONTHLY</t>
  </si>
  <si>
    <t>EMPLOYEE</t>
  </si>
  <si>
    <t xml:space="preserve">WATER DIST </t>
  </si>
  <si>
    <t>PREMIUM</t>
  </si>
  <si>
    <t>ANNUAL</t>
  </si>
  <si>
    <t>Employer</t>
  </si>
  <si>
    <t>Share</t>
  </si>
  <si>
    <t>Premium</t>
  </si>
  <si>
    <t>Medical Insurance Adjustment</t>
  </si>
  <si>
    <t>CONTRIB</t>
  </si>
  <si>
    <t>CONTRIB %</t>
  </si>
  <si>
    <t>TOTALS</t>
  </si>
  <si>
    <t>TABLE C</t>
  </si>
  <si>
    <t>per Month*</t>
  </si>
  <si>
    <t>* Highlighted usage represents the average residential bill.</t>
  </si>
  <si>
    <t>Chemicals</t>
  </si>
  <si>
    <t>Salaries &amp; Wages and Associated Adjustments</t>
  </si>
  <si>
    <t>Pro Forma</t>
  </si>
  <si>
    <t xml:space="preserve">Pro Forma </t>
  </si>
  <si>
    <t>Employee</t>
  </si>
  <si>
    <t>Reg. Hrs</t>
  </si>
  <si>
    <t>O. T. Hours</t>
  </si>
  <si>
    <t>Wage Rate</t>
  </si>
  <si>
    <t>Reg. Wages</t>
  </si>
  <si>
    <t>O. T. Wages</t>
  </si>
  <si>
    <t>Wages</t>
  </si>
  <si>
    <t>Less: Test Year Salaries &amp; Wages Exp</t>
  </si>
  <si>
    <t>Pro Forma Salaries &amp; Wages Adj'mt</t>
  </si>
  <si>
    <t xml:space="preserve"> </t>
  </si>
  <si>
    <t>Pro Forma Salaries and Wages Expense</t>
  </si>
  <si>
    <t>Times: 7.65 Percent FICA Rate</t>
  </si>
  <si>
    <t>Pro Forma Payroll Taxes</t>
  </si>
  <si>
    <t>Less: Test Year Payroll Taxes</t>
  </si>
  <si>
    <t>Payroll Tax Adjustment</t>
  </si>
  <si>
    <t>Wages applicable to CERS payments</t>
  </si>
  <si>
    <t>Times: Percent Pension Contribution</t>
  </si>
  <si>
    <t>Total Pro Forma Pension Contribution</t>
  </si>
  <si>
    <t>Less: Test Year Pension Contribution</t>
  </si>
  <si>
    <t>Pension &amp; Benefits Adjustment</t>
  </si>
  <si>
    <t>per month</t>
  </si>
  <si>
    <t>1 Inch Meter</t>
  </si>
  <si>
    <t>1 1/2 Inch Meter</t>
  </si>
  <si>
    <t>2 Inch Meter</t>
  </si>
  <si>
    <t>4 Inch Meter</t>
  </si>
  <si>
    <t>COMPONENT</t>
  </si>
  <si>
    <t>1 INCH METER</t>
  </si>
  <si>
    <t>1 1/2 INCH METER</t>
  </si>
  <si>
    <t>2 INCH METER</t>
  </si>
  <si>
    <t>4 INCH METER</t>
  </si>
  <si>
    <t>Less Adjustments</t>
  </si>
  <si>
    <t xml:space="preserve">Total  </t>
  </si>
  <si>
    <t>Medical Adjustment</t>
  </si>
  <si>
    <t>Reported</t>
  </si>
  <si>
    <t>Asset</t>
  </si>
  <si>
    <t>Cost *</t>
  </si>
  <si>
    <t>General Plant</t>
  </si>
  <si>
    <t>Structures &amp; Improvements</t>
  </si>
  <si>
    <t>varies</t>
  </si>
  <si>
    <t>Communication &amp; Computer Eqmt.</t>
  </si>
  <si>
    <t>Office Furniture &amp; Equipment</t>
  </si>
  <si>
    <t>Power Operated Equipment</t>
  </si>
  <si>
    <t>Tools, Shop, &amp; Garage Equipment</t>
  </si>
  <si>
    <t>Tank Repairs &amp; Painting</t>
  </si>
  <si>
    <t>Pumping Plant</t>
  </si>
  <si>
    <t>Telemetry</t>
  </si>
  <si>
    <t>Pumping Equipment</t>
  </si>
  <si>
    <t>Transmission &amp; Distribution Plant</t>
  </si>
  <si>
    <t>Hydrants</t>
  </si>
  <si>
    <t>Transmission &amp; Distribution Mains</t>
  </si>
  <si>
    <t>Meter Installations</t>
  </si>
  <si>
    <t>Meter Change-outs</t>
  </si>
  <si>
    <t>Pump Equipment</t>
  </si>
  <si>
    <t>Tank Fence</t>
  </si>
  <si>
    <t>Services</t>
  </si>
  <si>
    <t>Reservoirs &amp; Tanks</t>
  </si>
  <si>
    <t>Transportation Equipment</t>
  </si>
  <si>
    <t>Entire Group</t>
  </si>
  <si>
    <t>Water Treatment Plant</t>
  </si>
  <si>
    <t xml:space="preserve">              *  Includes only costs associated with assets that contributed to depreciation expense in the test year.</t>
  </si>
  <si>
    <t>Table B</t>
  </si>
  <si>
    <t>DEBT SERVICE SCHDULE</t>
  </si>
  <si>
    <t>CY 2024</t>
  </si>
  <si>
    <t>CY 2025</t>
  </si>
  <si>
    <t>CY 2026</t>
  </si>
  <si>
    <t>Interest</t>
  </si>
  <si>
    <t>Principal</t>
  </si>
  <si>
    <t>&amp; Fees</t>
  </si>
  <si>
    <t>Average Annual Principal and Interest Payments</t>
  </si>
  <si>
    <t>Additional Working Capital</t>
  </si>
  <si>
    <t>DISTRICT'S</t>
  </si>
  <si>
    <t>Allowable</t>
  </si>
  <si>
    <t>TOTAL MEDICAL AND DENTAL INSURANCE</t>
  </si>
  <si>
    <t>Total Gross Wages</t>
  </si>
  <si>
    <t>Gross Wages for Full Time Employees CERS Eligible</t>
  </si>
  <si>
    <t>Labor and Materials Adjustment for New Service Installations</t>
  </si>
  <si>
    <t>New Tapping Fees Collected</t>
  </si>
  <si>
    <t xml:space="preserve">Labor </t>
  </si>
  <si>
    <t xml:space="preserve">Materials </t>
  </si>
  <si>
    <t>Water Loss Adjustment</t>
  </si>
  <si>
    <t>Produced &amp; Purchased</t>
  </si>
  <si>
    <t>Sold</t>
  </si>
  <si>
    <t>Uses:</t>
  </si>
  <si>
    <t xml:space="preserve">  WTP</t>
  </si>
  <si>
    <t xml:space="preserve">  Flushing</t>
  </si>
  <si>
    <t xml:space="preserve">  Fire</t>
  </si>
  <si>
    <t xml:space="preserve">  Other</t>
  </si>
  <si>
    <t>Tank O.F.</t>
  </si>
  <si>
    <t>Line Brks.</t>
  </si>
  <si>
    <t>Line Leaks</t>
  </si>
  <si>
    <t xml:space="preserve">  water loss percentage</t>
  </si>
  <si>
    <t xml:space="preserve">  allowable in rates</t>
  </si>
  <si>
    <t xml:space="preserve">  adjustment percentage</t>
  </si>
  <si>
    <t>Other</t>
  </si>
  <si>
    <t>Adjustment to SAO Billed Revenues</t>
  </si>
  <si>
    <t>TABLE D</t>
  </si>
  <si>
    <t>Miscellaneous Service Revenues</t>
  </si>
  <si>
    <t>Current</t>
  </si>
  <si>
    <t>Location</t>
  </si>
  <si>
    <t>Fuel for Power Production</t>
  </si>
  <si>
    <t>Non-Utility Income</t>
  </si>
  <si>
    <t>5/8 Inch Meter</t>
  </si>
  <si>
    <t>per gallon</t>
  </si>
  <si>
    <t>gallons</t>
  </si>
  <si>
    <t>First</t>
  </si>
  <si>
    <t>Next</t>
  </si>
  <si>
    <t>Over</t>
  </si>
  <si>
    <t>3/4 Inch Meter</t>
  </si>
  <si>
    <t>3 Inch Meter</t>
  </si>
  <si>
    <t>6 Inch Meter</t>
  </si>
  <si>
    <t>5/8"</t>
  </si>
  <si>
    <t>3/4"</t>
  </si>
  <si>
    <t>3"</t>
  </si>
  <si>
    <t>4"</t>
  </si>
  <si>
    <t>5/8 INCH METER</t>
  </si>
  <si>
    <t>3/4 INCH METER</t>
  </si>
  <si>
    <t>3 INCH METER</t>
  </si>
  <si>
    <t>6 INCH METER</t>
  </si>
  <si>
    <t>MEDICAL</t>
  </si>
  <si>
    <t>DENTAL</t>
  </si>
  <si>
    <t>REVENUE BY RATE INCREMENT</t>
  </si>
  <si>
    <t>CONSUMPTION BY RATE INCREMENT</t>
  </si>
  <si>
    <t>Labor portion of tapping fees.</t>
  </si>
  <si>
    <t>Materials portion of tapping fees.</t>
  </si>
  <si>
    <t>Debt service on promissory note.</t>
  </si>
  <si>
    <t>Sheet ExBA Cell G11</t>
  </si>
  <si>
    <t>Sheet Capital Cell C5</t>
  </si>
  <si>
    <t>Sheet Wages Cell H31</t>
  </si>
  <si>
    <t>Sheet Medical Cell C35</t>
  </si>
  <si>
    <t>Sheet Capital Cell C6</t>
  </si>
  <si>
    <t>Sheet Debt Service Cell M22</t>
  </si>
  <si>
    <t>Sheet Debt Service Cell M24</t>
  </si>
  <si>
    <t>A</t>
  </si>
  <si>
    <t>B</t>
  </si>
  <si>
    <t>C</t>
  </si>
  <si>
    <t>D</t>
  </si>
  <si>
    <t>E</t>
  </si>
  <si>
    <t>F</t>
  </si>
  <si>
    <t>M</t>
  </si>
  <si>
    <t>G</t>
  </si>
  <si>
    <t>H</t>
  </si>
  <si>
    <t>I</t>
  </si>
  <si>
    <t>J</t>
  </si>
  <si>
    <t>K</t>
  </si>
  <si>
    <t>L</t>
  </si>
  <si>
    <t>Costs Subject to Water Loss Adjustment</t>
  </si>
  <si>
    <t>Computation of Water Loss Surcharge</t>
  </si>
  <si>
    <t>Total Adjustment</t>
  </si>
  <si>
    <t>/ Number of Bills</t>
  </si>
  <si>
    <t>Monthly Surcharge Amount</t>
  </si>
  <si>
    <t>REVENUE REQUIREMENTS USING DEBT SERVICE COVERAGE METHOD</t>
  </si>
  <si>
    <t>REVENUE REQUIREMENTS USING OPERATING RATIO METHOD</t>
  </si>
  <si>
    <t>Divided by:  Operating Ratio</t>
  </si>
  <si>
    <t xml:space="preserve">  Subtotal</t>
  </si>
  <si>
    <t>Interest Expense</t>
  </si>
  <si>
    <t>Interest Only</t>
  </si>
  <si>
    <t>Sheet Debt Service Cell M29</t>
  </si>
  <si>
    <t>Interest on promissory note.</t>
  </si>
  <si>
    <t>Sheet Wages Cell H27</t>
  </si>
  <si>
    <t>N</t>
  </si>
  <si>
    <t>RATTLESNAKE RIDGE WATER DISTRICT</t>
  </si>
  <si>
    <t>Wholesale Rate</t>
  </si>
  <si>
    <t>City of Grayson</t>
  </si>
  <si>
    <t>City of Vanceburg</t>
  </si>
  <si>
    <t>City of Olive Hill</t>
  </si>
  <si>
    <t>Kentucky Department of Parks</t>
  </si>
  <si>
    <t>Sandy Hook Water District</t>
  </si>
  <si>
    <t>(in Emergency Situations)</t>
  </si>
  <si>
    <t>WHOLESALE RATE</t>
  </si>
  <si>
    <t>Advertising Expense</t>
  </si>
  <si>
    <t>Contractual Services - Water Testing</t>
  </si>
  <si>
    <t>Commissioners</t>
  </si>
  <si>
    <t>Bill Gilbert</t>
  </si>
  <si>
    <t>Steve Ison</t>
  </si>
  <si>
    <t>Mike Copley</t>
  </si>
  <si>
    <t>Jason Carroll</t>
  </si>
  <si>
    <t xml:space="preserve">Carolyn Bailey </t>
  </si>
  <si>
    <t>Charles Binion</t>
  </si>
  <si>
    <t>Eugene Bledsoe</t>
  </si>
  <si>
    <t>Lester Bowling</t>
  </si>
  <si>
    <t>Rita Burton</t>
  </si>
  <si>
    <t>Mark Duncan</t>
  </si>
  <si>
    <t>David Gifford</t>
  </si>
  <si>
    <t>Roy Hardy</t>
  </si>
  <si>
    <t>Roger Homes</t>
  </si>
  <si>
    <t>Felicia Howard</t>
  </si>
  <si>
    <t>Lova Ison</t>
  </si>
  <si>
    <t>6"</t>
  </si>
  <si>
    <t>Office Worker</t>
  </si>
  <si>
    <t>CERS</t>
  </si>
  <si>
    <t>6 % of gross</t>
  </si>
  <si>
    <t>vision</t>
  </si>
  <si>
    <t>Dental</t>
  </si>
  <si>
    <t>5 % of Gross</t>
  </si>
  <si>
    <t>Deductions</t>
  </si>
  <si>
    <t>Local WH</t>
  </si>
  <si>
    <t>6% of gross</t>
  </si>
  <si>
    <t>Austin Jenkins</t>
  </si>
  <si>
    <t>Allan Kitchen</t>
  </si>
  <si>
    <t>Tony Lucas</t>
  </si>
  <si>
    <t>Phillip Sagraves</t>
  </si>
  <si>
    <t>Randy Steagall</t>
  </si>
  <si>
    <t>Rebecca Kitchen</t>
  </si>
  <si>
    <t xml:space="preserve">Reclassify expense from Miscellaneous Expense </t>
  </si>
  <si>
    <t>Decrease expense due to greater than 15 % water loss</t>
  </si>
  <si>
    <t>Sheet Water Loss Cell D20</t>
  </si>
  <si>
    <t>Sheet Water Loss Cell D21</t>
  </si>
  <si>
    <t>2022 depreciation schedule provided</t>
  </si>
  <si>
    <t>CY 2027</t>
  </si>
  <si>
    <t>91-22</t>
  </si>
  <si>
    <t>91-26</t>
  </si>
  <si>
    <t>91-36</t>
  </si>
  <si>
    <t>91-39</t>
  </si>
  <si>
    <t>91-42</t>
  </si>
  <si>
    <t>91-45</t>
  </si>
  <si>
    <t>1996 Refinancing</t>
  </si>
  <si>
    <t>5 yr Average Interest Only</t>
  </si>
  <si>
    <t>5 yr.Average Annual Principal &amp; Interest</t>
  </si>
  <si>
    <t>5 yr. Average Annual Coverage</t>
  </si>
  <si>
    <t xml:space="preserve">Reclassify expense to Purchased Power </t>
  </si>
  <si>
    <t>Water Treatment Equipment</t>
  </si>
  <si>
    <t>1/1/2022 - 12/31/22</t>
  </si>
  <si>
    <t>TOTALS for 2022 Depreciation Expense</t>
  </si>
  <si>
    <t>Sheet Depreciation Cell K44</t>
  </si>
  <si>
    <t>22 AR</t>
  </si>
  <si>
    <t>2022 Annual Report</t>
  </si>
  <si>
    <t>Fica and MC exp</t>
  </si>
  <si>
    <t>Other payroll exp</t>
  </si>
  <si>
    <t>Training exp</t>
  </si>
  <si>
    <t>Emp Benefits</t>
  </si>
  <si>
    <t>Employee Pensions and benefits 2022 AR</t>
  </si>
  <si>
    <t>Bonus</t>
  </si>
  <si>
    <t>Payroll</t>
  </si>
  <si>
    <t>Willis Gilbert</t>
  </si>
  <si>
    <t>Terry Hicks</t>
  </si>
  <si>
    <t>Roger Holmes</t>
  </si>
  <si>
    <t>Chloe Moore</t>
  </si>
  <si>
    <t>Brian Scripter</t>
  </si>
  <si>
    <t>David Wilburn</t>
  </si>
  <si>
    <t>2022</t>
  </si>
  <si>
    <t>Tank Painting &amp; Repairs</t>
  </si>
  <si>
    <t>Depreciation Expense 2022 PSC Annual Report**</t>
  </si>
  <si>
    <t xml:space="preserve">              **  The 2022 PSC Annual Report used an estimate for depreciation expense.</t>
  </si>
  <si>
    <t>Confirmed through emails with CPA</t>
  </si>
  <si>
    <t>Amortization Expense</t>
  </si>
  <si>
    <t>Rate Case expense $8,250 amortized over 3 years</t>
  </si>
  <si>
    <t>Connection Fees</t>
  </si>
  <si>
    <t>1 1/2"</t>
  </si>
  <si>
    <t xml:space="preserve">Larger </t>
  </si>
  <si>
    <t>Actual cost</t>
  </si>
  <si>
    <t>New meter taps 5/8"</t>
  </si>
  <si>
    <t>**Did not serve full year term in 2022</t>
  </si>
  <si>
    <t>Approved in case</t>
  </si>
  <si>
    <t>2018-00371</t>
  </si>
  <si>
    <t>2015-00040</t>
  </si>
  <si>
    <t>2010-00458</t>
  </si>
  <si>
    <t>Reimbursements</t>
  </si>
  <si>
    <t>2022 Emp. P &amp; B Email from Lori Dearfield</t>
  </si>
  <si>
    <t>2022 CERS Payment Summary</t>
  </si>
  <si>
    <t>Ky. Dept of Parks(golf)</t>
  </si>
  <si>
    <t>Sandy Hook WD</t>
  </si>
  <si>
    <t>Min. Bill</t>
  </si>
  <si>
    <t>DISTRICT DOES NOT PAY DENTAL, VISION OR LIFE</t>
  </si>
  <si>
    <t>Leak adjustments</t>
  </si>
  <si>
    <t>Army Core of Eng.</t>
  </si>
  <si>
    <t>Misreads</t>
  </si>
  <si>
    <t>Estimated High</t>
  </si>
  <si>
    <t>Estimated low</t>
  </si>
  <si>
    <t>Terminations</t>
  </si>
  <si>
    <t>Reconnects</t>
  </si>
  <si>
    <t>Posting Errors</t>
  </si>
  <si>
    <t>After Hrs Invest.</t>
  </si>
  <si>
    <t>Posted wrong acct.</t>
  </si>
  <si>
    <t>Late fees</t>
  </si>
  <si>
    <t>Overpay refund</t>
  </si>
  <si>
    <t>Transfer bal/credit another Acct.</t>
  </si>
  <si>
    <t>Leak on RRWD side</t>
  </si>
  <si>
    <t>Penalty reversal</t>
  </si>
  <si>
    <t>Reject fee through inv. Cloud</t>
  </si>
  <si>
    <t>Return payments through invoice</t>
  </si>
  <si>
    <t>Water Theft</t>
  </si>
  <si>
    <t>Misc</t>
  </si>
  <si>
    <t>Service Charge</t>
  </si>
  <si>
    <t>Employee water credits</t>
  </si>
  <si>
    <t>Reduced to 5/8 from 1"on bill</t>
  </si>
  <si>
    <t>After hrs reconnect fee</t>
  </si>
  <si>
    <t>Offset on debits and credits</t>
  </si>
  <si>
    <t>Taken Off</t>
  </si>
  <si>
    <t>Added</t>
  </si>
  <si>
    <t xml:space="preserve">Water </t>
  </si>
  <si>
    <t>Replaced non read meter</t>
  </si>
  <si>
    <t>Return check</t>
  </si>
  <si>
    <t>0 usage adjustments</t>
  </si>
  <si>
    <t>PROPOSED BILLING ANALYSIS WITH 2022 USAGE &amp; PROPOSED RATES</t>
  </si>
  <si>
    <t>Pro Forma Employee Salaries &amp; Wages Exp</t>
  </si>
  <si>
    <t>Five Commissioners $6,000 each. Increase due to Vacancy for part of 2022</t>
  </si>
  <si>
    <t>working capital.</t>
  </si>
  <si>
    <t>Email from Becky 8/23/23</t>
  </si>
  <si>
    <t>Adjust wages to 2023 rates.</t>
  </si>
  <si>
    <t>Commissioner salaries</t>
  </si>
  <si>
    <t>Adjust taxes to 2023 wage rates.</t>
  </si>
  <si>
    <t>per month per customer</t>
  </si>
  <si>
    <t>REFRENCES</t>
  </si>
  <si>
    <t>A.</t>
  </si>
  <si>
    <t>B.</t>
  </si>
  <si>
    <t>C.</t>
  </si>
  <si>
    <t>D.</t>
  </si>
  <si>
    <t>E.</t>
  </si>
  <si>
    <t>F.</t>
  </si>
  <si>
    <t>G.</t>
  </si>
  <si>
    <t>H.</t>
  </si>
  <si>
    <t>I.</t>
  </si>
  <si>
    <t>J.</t>
  </si>
  <si>
    <t>K.</t>
  </si>
  <si>
    <t>L.</t>
  </si>
  <si>
    <t>N.</t>
  </si>
  <si>
    <t>Adjustment to metered sales revenues due to rate increase approved in Case No 2022-00426.</t>
  </si>
  <si>
    <t>Revised 11/11/22</t>
  </si>
  <si>
    <t>Actual Cost</t>
  </si>
  <si>
    <t>WC Gilbert</t>
  </si>
  <si>
    <t>Allowable Annual Premium</t>
  </si>
  <si>
    <t>Less 2022 Annual Premium paid</t>
  </si>
  <si>
    <t>Miscellaneous service revenues</t>
  </si>
  <si>
    <t xml:space="preserve">Termination Charge </t>
  </si>
  <si>
    <t>Reconnection Charge</t>
  </si>
  <si>
    <t>Return Check Charge</t>
  </si>
  <si>
    <t>After Hours Connection Charge</t>
  </si>
  <si>
    <t>Reclassify Miscellaneous services revenues</t>
  </si>
  <si>
    <t xml:space="preserve">Reclassify chemical expense from Miscellaneous Expense </t>
  </si>
  <si>
    <t xml:space="preserve">Reclassify power expense from Miscellaneous Expense </t>
  </si>
  <si>
    <t>Source vendor report RRWD Chemicals.xls</t>
  </si>
  <si>
    <t>Source Miscellaneous Expense.xlsx</t>
  </si>
  <si>
    <t>Reclassify expense to materials &amp; supplies</t>
  </si>
  <si>
    <t>Sheet Wages Cell H33</t>
  </si>
  <si>
    <t>includes Commissioners</t>
  </si>
  <si>
    <t>The utility collected $38,400 in tapping fees in 2022. These taps were installed by the utility and were recorded as labor and material expenses.  Labor expense has been reduced by $11,520 or 30% of the tapping fees while materials and supplies expense has been reduced by $26,880 or 70% of the tapping fees.</t>
  </si>
  <si>
    <t>Since 2022, there have been increases to individual wage rates and an addition of a full time employee, resulting in an increase to wages of $48,052.</t>
  </si>
  <si>
    <t>Increase to Commissioner Salaries due to vacancy for part of 2022</t>
  </si>
  <si>
    <t>Decrease Health insurance by $65,702 to allowable employer share</t>
  </si>
  <si>
    <t xml:space="preserve">Increase to reclassify purchased power expense from Miscellaneous Expense </t>
  </si>
  <si>
    <t>The utility's test year water loss was 64.25 percent. The PSC's maximum allowable loss for rate-making purposes is 15.0 percent. Therefore, the expenses for purchased power and chemicals above the 15 percent limit is not allowed in the rate base and must be deducted. Purchased power expense was decreased by $169,480 and chemical expense was reduced by $125,880.</t>
  </si>
  <si>
    <t>O</t>
  </si>
  <si>
    <t>Reclassify contractual Services- water testing from Miscellaneous Expense</t>
  </si>
  <si>
    <t>Recovery of Rate Case Expense in the amount of $8,250 amortized over a three year period.</t>
  </si>
  <si>
    <t>Decrease due to PSC requirement adjustments to a water utility's depreciation expense when asset lives fall outside the ranges recommended by NARUC in its publication titled "Depreciation Practices for small utilities".  Therefore, adjustments are included to bring asset lives to the midpoint of the recommended ranges, depreciation expense was decreased by $221,067. See Table A.</t>
  </si>
  <si>
    <t>P</t>
  </si>
  <si>
    <t>KRWA agreement</t>
  </si>
  <si>
    <t>Sheet Debt Service Cell M25</t>
  </si>
  <si>
    <t>Sheet Debt Service Cell M27</t>
  </si>
  <si>
    <t>Interest and Dividend Income</t>
  </si>
  <si>
    <t>Q</t>
  </si>
  <si>
    <t>O.</t>
  </si>
  <si>
    <t>P.</t>
  </si>
  <si>
    <t>Q.</t>
  </si>
  <si>
    <t>2022 AR pg. 20</t>
  </si>
  <si>
    <t>M.</t>
  </si>
  <si>
    <t>Increase in payroll taxes due to increase in wages.</t>
  </si>
  <si>
    <t>Reclassify materials &amp; supplies expense from Miscellaneous Expense</t>
  </si>
  <si>
    <t>KPPA</t>
  </si>
  <si>
    <t>Decrease in pension benefits to reflect decrease in contribution rate effective July 1, 2023.</t>
  </si>
  <si>
    <t>Decrease in CERS contribution rate effective July 1, 2023.</t>
  </si>
  <si>
    <t>Decrease Due to Medical insurance premiums reduced to allowed amount and changes in personnel.</t>
  </si>
  <si>
    <t>Reclassify expense to Chemicals</t>
  </si>
  <si>
    <t>Reclassify expense to Contractual services - water testing</t>
  </si>
  <si>
    <t>Retirement Exp</t>
  </si>
  <si>
    <t>RRWD will revise contract wording, No Monthly min. bill charged</t>
  </si>
  <si>
    <t>Big Sandy Water District</t>
  </si>
  <si>
    <t>Bad regulator</t>
  </si>
  <si>
    <t>Posting errors</t>
  </si>
  <si>
    <t>***NOT USED***</t>
  </si>
  <si>
    <t>Replaced meter</t>
  </si>
  <si>
    <t>Posted to wrong account</t>
  </si>
  <si>
    <t>leak Adjustment</t>
  </si>
  <si>
    <t>Late Fee</t>
  </si>
  <si>
    <t>Deposit/overpay Refund</t>
  </si>
  <si>
    <t>Bad Regulator</t>
  </si>
  <si>
    <t>Leak on District side</t>
  </si>
  <si>
    <t>Posting Error</t>
  </si>
  <si>
    <t>Fee for reject/return Invoice cloud</t>
  </si>
  <si>
    <t>Stuck meter</t>
  </si>
  <si>
    <t>Debit</t>
  </si>
  <si>
    <t>Credit</t>
  </si>
  <si>
    <t>Adj. Empl. Water credit</t>
  </si>
  <si>
    <t>Wrote Off</t>
  </si>
  <si>
    <t>After hrs reconnect</t>
  </si>
  <si>
    <t>O usage</t>
  </si>
  <si>
    <t>Correct offsetting debets &amp; credits</t>
  </si>
  <si>
    <t xml:space="preserve">Leak A </t>
  </si>
  <si>
    <t>Army mishap</t>
  </si>
  <si>
    <t>Misread  B</t>
  </si>
  <si>
    <t>Billing C</t>
  </si>
  <si>
    <t>Estimated HI</t>
  </si>
  <si>
    <t>Past Mark E</t>
  </si>
  <si>
    <t>Estimated Low</t>
  </si>
  <si>
    <t>GP</t>
  </si>
  <si>
    <t>Posting error</t>
  </si>
  <si>
    <t>Deposit Refund</t>
  </si>
  <si>
    <t>IV</t>
  </si>
  <si>
    <t>Code</t>
  </si>
  <si>
    <t>Investigation Fee</t>
  </si>
  <si>
    <t>LA</t>
  </si>
  <si>
    <t>LF</t>
  </si>
  <si>
    <t>PE</t>
  </si>
  <si>
    <t>T</t>
  </si>
  <si>
    <t>S</t>
  </si>
  <si>
    <t>ON</t>
  </si>
  <si>
    <t>WO</t>
  </si>
  <si>
    <t>PR</t>
  </si>
  <si>
    <t>RF</t>
  </si>
  <si>
    <t>RJ</t>
  </si>
  <si>
    <t>ST</t>
  </si>
  <si>
    <t>V</t>
  </si>
  <si>
    <t>WA</t>
  </si>
  <si>
    <t>Y</t>
  </si>
  <si>
    <t>Z1</t>
  </si>
  <si>
    <t xml:space="preserve">Z </t>
  </si>
  <si>
    <t>AM</t>
  </si>
  <si>
    <t xml:space="preserve">A </t>
  </si>
  <si>
    <t>EL</t>
  </si>
  <si>
    <t>army billing true up</t>
  </si>
  <si>
    <t>RATTELSNAKE RIDGE WD ADJUSTMENT JOURNAL</t>
  </si>
  <si>
    <t>Fee for reject\return Invoice closed</t>
  </si>
  <si>
    <t>Notes</t>
  </si>
  <si>
    <t xml:space="preserve">corrected late fee payments </t>
  </si>
  <si>
    <t>Utility previous Leak adjustment code (Two codes for leak adjustments)</t>
  </si>
  <si>
    <t>Utility changed leak adjustment code to LA (Two codes for leak adjustments)</t>
  </si>
  <si>
    <t>Reject\return pymt from Invoice cloud</t>
  </si>
  <si>
    <t xml:space="preserve">2022 Adjustment Journal summary </t>
  </si>
  <si>
    <t>Total Sales</t>
  </si>
  <si>
    <t>Source Email from Becky 8/18</t>
  </si>
  <si>
    <t>Adjust sales to billing analysis provided by utility.</t>
  </si>
  <si>
    <t>Sheet Misc. Service Revenues Cell F42</t>
  </si>
  <si>
    <t>Miscellaneous service revenues and adjustments were included in metered sales</t>
  </si>
  <si>
    <t>CURRENT BILLING ANALYSIS WITH 2022 USAGE &amp; EXISTING RATES</t>
  </si>
  <si>
    <t>Proforma Revenues (2022 AR less misc. service fees)</t>
  </si>
  <si>
    <t>ExBA</t>
  </si>
  <si>
    <t>1995-00575</t>
  </si>
  <si>
    <t>* Note Billing Analysis provided by utility 7/19/23 email.</t>
  </si>
  <si>
    <t>EXISTING AND PROPOSED BILLS WITH WLRS</t>
  </si>
  <si>
    <t>WLRS</t>
  </si>
  <si>
    <t xml:space="preserve">Proposed </t>
  </si>
  <si>
    <t>Water Bill</t>
  </si>
  <si>
    <t>Bill + WLRS</t>
  </si>
  <si>
    <t>Increase</t>
  </si>
  <si>
    <t>Total Operation and Maintenance Expenses</t>
  </si>
  <si>
    <t>Misc. Service Revenues Cell  F42</t>
  </si>
  <si>
    <t>Per customer</t>
  </si>
  <si>
    <t>Water Loss Reduction Surcharge</t>
  </si>
  <si>
    <t>2022-00426</t>
  </si>
  <si>
    <t>91-47</t>
  </si>
  <si>
    <t>CY 2028</t>
  </si>
  <si>
    <t>CY 2024 - 2028</t>
  </si>
  <si>
    <t>Revenue Requirements were computed using the Debt Service Coverage method.  Annual debt service payments for the district's debt are shown in Table B. The five-year average of these payments $561,662  is added in the revenue requirement calculation.</t>
  </si>
  <si>
    <t>The amount of $112,332 is included in the revenue requirement as Additional Working Capital. The amount shown in Table B for coverage on long term debt is required by the district's loan documents.</t>
  </si>
  <si>
    <t>2008-167, 2020-86</t>
  </si>
  <si>
    <t>KRWFC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</si>
</sst>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0.0%"/>
    <numFmt numFmtId="168" formatCode="_(* #,##0.0_);_(* \(#,##0.0\);_(* &quot;-&quot;??_);_(@_)"/>
    <numFmt numFmtId="169" formatCode="mm/dd/yy;@"/>
    <numFmt numFmtId="170" formatCode="_([$$-409]* #,##0_);_([$$-409]* \(#,##0\);_([$$-409]* &quot;-&quot;??_);_(@_)"/>
    <numFmt numFmtId="171" formatCode="[$$-409]#,##0"/>
    <numFmt numFmtId="172" formatCode="_(* #,##0.0000_);_(* \(#,##0.0000\);_(* &quot;-&quot;??_);_(@_)"/>
    <numFmt numFmtId="173" formatCode="&quot;$&quot;#,##0.00000"/>
  </numFmts>
  <fonts count="28" x14ac:knownFonts="1">
    <font>
      <sz val="12"/>
      <name val="Arial"/>
    </font>
    <font>
      <sz val="12"/>
      <name val="Arial"/>
      <family val="2"/>
    </font>
    <font>
      <sz val="12"/>
      <name val="Arial"/>
      <family val="2"/>
    </font>
    <font>
      <sz val="11"/>
      <name val="Calibri"/>
      <family val="2"/>
      <scheme val="minor"/>
    </font>
    <font>
      <b/>
      <sz val="14"/>
      <name val="Calibri"/>
      <family val="2"/>
      <scheme val="minor"/>
    </font>
    <font>
      <b/>
      <u/>
      <sz val="14"/>
      <name val="Calibri"/>
      <family val="2"/>
      <scheme val="minor"/>
    </font>
    <font>
      <u/>
      <sz val="11"/>
      <name val="Calibri"/>
      <family val="2"/>
      <scheme val="minor"/>
    </font>
    <font>
      <b/>
      <sz val="11"/>
      <name val="Calibri"/>
      <family val="2"/>
      <scheme val="minor"/>
    </font>
    <font>
      <b/>
      <u/>
      <sz val="11"/>
      <name val="Calibri"/>
      <family val="2"/>
      <scheme val="minor"/>
    </font>
    <font>
      <u val="singleAccounting"/>
      <sz val="11"/>
      <name val="Calibri"/>
      <family val="2"/>
      <scheme val="minor"/>
    </font>
    <font>
      <b/>
      <u val="singleAccounting"/>
      <sz val="11"/>
      <name val="Calibri"/>
      <family val="2"/>
      <scheme val="minor"/>
    </font>
    <font>
      <b/>
      <sz val="12"/>
      <name val="Calibri"/>
      <family val="2"/>
      <scheme val="minor"/>
    </font>
    <font>
      <sz val="8"/>
      <color rgb="FFFF0000"/>
      <name val="Calibri"/>
      <family val="2"/>
      <scheme val="minor"/>
    </font>
    <font>
      <b/>
      <sz val="11"/>
      <color rgb="FFFF0000"/>
      <name val="Calibri"/>
      <family val="2"/>
      <scheme val="minor"/>
    </font>
    <font>
      <b/>
      <sz val="8"/>
      <color rgb="FF00B050"/>
      <name val="Calibri"/>
      <family val="2"/>
      <scheme val="minor"/>
    </font>
    <font>
      <sz val="11"/>
      <color theme="1"/>
      <name val="Calibri"/>
      <family val="2"/>
      <scheme val="minor"/>
    </font>
    <font>
      <b/>
      <sz val="11"/>
      <color theme="1"/>
      <name val="Calibri"/>
      <family val="2"/>
      <scheme val="minor"/>
    </font>
    <font>
      <b/>
      <sz val="11"/>
      <color rgb="FF00B050"/>
      <name val="Calibri"/>
      <family val="2"/>
      <scheme val="minor"/>
    </font>
    <font>
      <sz val="8"/>
      <name val="Calibri"/>
      <family val="2"/>
      <scheme val="minor"/>
    </font>
    <font>
      <u/>
      <sz val="11"/>
      <color theme="1"/>
      <name val="Calibri"/>
      <family val="2"/>
      <scheme val="minor"/>
    </font>
    <font>
      <b/>
      <sz val="16"/>
      <name val="Calibri"/>
      <family val="2"/>
      <scheme val="minor"/>
    </font>
    <font>
      <sz val="11"/>
      <color rgb="FFFF0000"/>
      <name val="Calibri"/>
      <family val="2"/>
      <scheme val="minor"/>
    </font>
    <font>
      <b/>
      <u/>
      <sz val="11"/>
      <color theme="1"/>
      <name val="Calibri"/>
      <family val="2"/>
      <scheme val="minor"/>
    </font>
    <font>
      <sz val="12"/>
      <name val="Calibri"/>
      <family val="2"/>
      <scheme val="minor"/>
    </font>
    <font>
      <sz val="11"/>
      <name val="Calibri"/>
      <family val="2"/>
    </font>
    <font>
      <u/>
      <sz val="12"/>
      <name val="Arial"/>
      <family val="2"/>
    </font>
    <font>
      <b/>
      <sz val="14"/>
      <name val="Arial"/>
      <family val="2"/>
    </font>
    <font>
      <sz val="14"/>
      <name val="Arial"/>
      <family val="2"/>
    </font>
  </fonts>
  <fills count="7">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B0F0"/>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1">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xf numFmtId="43" fontId="15" fillId="0" borderId="0" applyFont="0" applyFill="0" applyBorder="0" applyAlignment="0" applyProtection="0"/>
    <xf numFmtId="44" fontId="15" fillId="0" borderId="0" applyFont="0" applyFill="0" applyBorder="0" applyAlignment="0" applyProtection="0"/>
  </cellStyleXfs>
  <cellXfs count="458">
    <xf numFmtId="0" fontId="0" fillId="0" borderId="0" xfId="0"/>
    <xf numFmtId="0" fontId="3" fillId="0" borderId="0" xfId="0" applyFont="1"/>
    <xf numFmtId="0" fontId="0" fillId="0" borderId="6" xfId="0" applyBorder="1"/>
    <xf numFmtId="165" fontId="3" fillId="0" borderId="1" xfId="1" applyNumberFormat="1" applyFont="1" applyBorder="1"/>
    <xf numFmtId="165" fontId="3" fillId="0" borderId="0" xfId="1" applyNumberFormat="1" applyFont="1" applyBorder="1"/>
    <xf numFmtId="165" fontId="3" fillId="0" borderId="0" xfId="1" applyNumberFormat="1" applyFont="1"/>
    <xf numFmtId="165" fontId="3" fillId="0" borderId="3" xfId="1" applyNumberFormat="1" applyFont="1" applyBorder="1"/>
    <xf numFmtId="165" fontId="3" fillId="0" borderId="2" xfId="1" applyNumberFormat="1" applyFont="1" applyBorder="1"/>
    <xf numFmtId="165" fontId="3" fillId="0" borderId="7" xfId="1" applyNumberFormat="1" applyFont="1" applyBorder="1"/>
    <xf numFmtId="165" fontId="3" fillId="0" borderId="8" xfId="1" applyNumberFormat="1" applyFont="1" applyBorder="1"/>
    <xf numFmtId="165" fontId="3" fillId="0" borderId="5" xfId="1" applyNumberFormat="1" applyFont="1" applyBorder="1"/>
    <xf numFmtId="165" fontId="3" fillId="0" borderId="6" xfId="1" applyNumberFormat="1" applyFont="1" applyBorder="1"/>
    <xf numFmtId="43" fontId="3" fillId="0" borderId="0" xfId="1" applyFont="1"/>
    <xf numFmtId="165" fontId="9" fillId="0" borderId="0" xfId="1" applyNumberFormat="1" applyFont="1" applyBorder="1" applyAlignment="1">
      <alignment horizontal="center"/>
    </xf>
    <xf numFmtId="43" fontId="3" fillId="0" borderId="0" xfId="1" applyFont="1" applyBorder="1"/>
    <xf numFmtId="165" fontId="3" fillId="0" borderId="0" xfId="5" applyNumberFormat="1" applyFont="1"/>
    <xf numFmtId="165" fontId="3" fillId="0" borderId="7" xfId="5" applyNumberFormat="1" applyFont="1" applyBorder="1"/>
    <xf numFmtId="0" fontId="3" fillId="0" borderId="0" xfId="0" applyFont="1" applyAlignment="1">
      <alignment horizontal="center"/>
    </xf>
    <xf numFmtId="0" fontId="3" fillId="0" borderId="1" xfId="0" applyFont="1" applyBorder="1" applyAlignment="1">
      <alignment horizontal="center"/>
    </xf>
    <xf numFmtId="165" fontId="3" fillId="0" borderId="0" xfId="5" applyNumberFormat="1" applyFont="1" applyBorder="1"/>
    <xf numFmtId="164" fontId="3" fillId="0" borderId="0" xfId="0" applyNumberFormat="1" applyFont="1"/>
    <xf numFmtId="168" fontId="3" fillId="0" borderId="0" xfId="5" applyNumberFormat="1" applyFont="1" applyBorder="1"/>
    <xf numFmtId="168" fontId="8" fillId="0" borderId="0" xfId="5" applyNumberFormat="1" applyFont="1" applyBorder="1" applyAlignment="1">
      <alignment horizontal="center"/>
    </xf>
    <xf numFmtId="43" fontId="3" fillId="0" borderId="0" xfId="1" applyFont="1" applyBorder="1" applyAlignment="1"/>
    <xf numFmtId="165" fontId="9" fillId="0" borderId="0" xfId="5" applyNumberFormat="1" applyFont="1"/>
    <xf numFmtId="164" fontId="3" fillId="0" borderId="0" xfId="6" applyNumberFormat="1" applyFont="1"/>
    <xf numFmtId="165" fontId="6" fillId="0" borderId="0" xfId="1" applyNumberFormat="1" applyFont="1"/>
    <xf numFmtId="165" fontId="9" fillId="0" borderId="8" xfId="1" applyNumberFormat="1" applyFont="1" applyBorder="1" applyAlignment="1">
      <alignment horizontal="center"/>
    </xf>
    <xf numFmtId="3" fontId="4" fillId="0" borderId="0" xfId="0" applyNumberFormat="1" applyFont="1" applyAlignment="1">
      <alignment horizontal="center" vertical="center"/>
    </xf>
    <xf numFmtId="3" fontId="11" fillId="0" borderId="0" xfId="0" applyNumberFormat="1" applyFont="1" applyAlignment="1">
      <alignment horizontal="center" vertical="center"/>
    </xf>
    <xf numFmtId="3" fontId="11" fillId="0" borderId="8" xfId="0" applyNumberFormat="1" applyFont="1" applyBorder="1" applyAlignment="1">
      <alignment horizontal="center" vertical="center"/>
    </xf>
    <xf numFmtId="43" fontId="3" fillId="0" borderId="8" xfId="1" quotePrefix="1" applyFont="1" applyBorder="1" applyAlignment="1">
      <alignment horizontal="center"/>
    </xf>
    <xf numFmtId="0" fontId="3" fillId="0" borderId="8" xfId="0" applyFont="1" applyBorder="1" applyAlignment="1">
      <alignment horizontal="center"/>
    </xf>
    <xf numFmtId="167" fontId="3" fillId="0" borderId="8" xfId="3" applyNumberFormat="1" applyFont="1" applyBorder="1"/>
    <xf numFmtId="164" fontId="3" fillId="0" borderId="0" xfId="6" applyNumberFormat="1" applyFont="1" applyBorder="1"/>
    <xf numFmtId="165" fontId="13" fillId="0" borderId="0" xfId="1" applyNumberFormat="1" applyFont="1"/>
    <xf numFmtId="44" fontId="3" fillId="0" borderId="0" xfId="10" applyFont="1"/>
    <xf numFmtId="165" fontId="9" fillId="0" borderId="0" xfId="1" applyNumberFormat="1" applyFont="1" applyBorder="1"/>
    <xf numFmtId="0" fontId="16" fillId="0" borderId="0" xfId="0" applyFont="1"/>
    <xf numFmtId="0" fontId="19" fillId="0" borderId="0" xfId="0" applyFont="1" applyAlignment="1">
      <alignment horizontal="center"/>
    </xf>
    <xf numFmtId="10" fontId="3" fillId="0" borderId="0" xfId="3" applyNumberFormat="1" applyFont="1" applyAlignment="1">
      <alignment horizontal="center"/>
    </xf>
    <xf numFmtId="44" fontId="3" fillId="0" borderId="0" xfId="0" applyNumberFormat="1" applyFont="1"/>
    <xf numFmtId="165" fontId="3" fillId="0" borderId="0" xfId="5" quotePrefix="1" applyNumberFormat="1" applyFont="1"/>
    <xf numFmtId="166" fontId="3" fillId="0" borderId="0" xfId="1" applyNumberFormat="1" applyFont="1" applyBorder="1" applyAlignment="1"/>
    <xf numFmtId="0" fontId="3" fillId="0" borderId="7" xfId="0" applyFont="1" applyBorder="1"/>
    <xf numFmtId="165" fontId="3" fillId="0" borderId="0" xfId="1" applyNumberFormat="1" applyFont="1" applyAlignment="1">
      <alignment horizontal="centerContinuous" vertical="center"/>
    </xf>
    <xf numFmtId="165" fontId="3" fillId="0" borderId="0" xfId="1" applyNumberFormat="1" applyFont="1" applyAlignment="1">
      <alignment vertical="center"/>
    </xf>
    <xf numFmtId="165" fontId="11" fillId="0" borderId="0" xfId="1" applyNumberFormat="1" applyFont="1" applyAlignment="1">
      <alignment horizontal="centerContinuous" vertical="center"/>
    </xf>
    <xf numFmtId="165" fontId="8" fillId="0" borderId="0" xfId="1" applyNumberFormat="1" applyFont="1" applyAlignment="1">
      <alignment horizontal="center" vertical="center"/>
    </xf>
    <xf numFmtId="165" fontId="6" fillId="0" borderId="0" xfId="1" applyNumberFormat="1" applyFont="1" applyAlignment="1">
      <alignment vertical="center"/>
    </xf>
    <xf numFmtId="165" fontId="3" fillId="0" borderId="0" xfId="1" applyNumberFormat="1" applyFont="1" applyAlignment="1">
      <alignment horizontal="center" vertical="center"/>
    </xf>
    <xf numFmtId="165" fontId="12" fillId="0" borderId="0" xfId="1" applyNumberFormat="1" applyFont="1" applyAlignment="1">
      <alignment vertical="center"/>
    </xf>
    <xf numFmtId="165" fontId="14" fillId="0" borderId="0" xfId="1" applyNumberFormat="1" applyFont="1" applyAlignment="1">
      <alignment vertical="center"/>
    </xf>
    <xf numFmtId="165" fontId="18" fillId="0" borderId="0" xfId="1" applyNumberFormat="1" applyFont="1" applyAlignment="1">
      <alignment vertical="center"/>
    </xf>
    <xf numFmtId="165" fontId="7" fillId="0" borderId="0" xfId="1" applyNumberFormat="1" applyFont="1" applyAlignment="1">
      <alignment vertical="center"/>
    </xf>
    <xf numFmtId="165" fontId="3" fillId="0" borderId="0" xfId="1" applyNumberFormat="1" applyFont="1" applyAlignment="1">
      <alignment horizontal="center"/>
    </xf>
    <xf numFmtId="165" fontId="12" fillId="0" borderId="0" xfId="1" applyNumberFormat="1" applyFont="1" applyAlignment="1">
      <alignment horizontal="left"/>
    </xf>
    <xf numFmtId="165" fontId="12" fillId="0" borderId="0" xfId="1" applyNumberFormat="1" applyFont="1" applyAlignment="1">
      <alignment horizontal="center"/>
    </xf>
    <xf numFmtId="165" fontId="10" fillId="0" borderId="0" xfId="1" quotePrefix="1" applyNumberFormat="1" applyFont="1" applyAlignment="1">
      <alignment horizontal="center" vertical="center"/>
    </xf>
    <xf numFmtId="165" fontId="10" fillId="0" borderId="0" xfId="1" applyNumberFormat="1" applyFont="1" applyAlignment="1">
      <alignment horizontal="center" vertical="center"/>
    </xf>
    <xf numFmtId="165" fontId="3" fillId="0" borderId="0" xfId="1" applyNumberFormat="1" applyFont="1" applyAlignment="1"/>
    <xf numFmtId="10" fontId="3" fillId="0" borderId="0" xfId="3" applyNumberFormat="1" applyFont="1" applyAlignment="1">
      <alignment vertical="center"/>
    </xf>
    <xf numFmtId="165" fontId="3" fillId="0" borderId="0" xfId="5" applyNumberFormat="1" applyFont="1" applyBorder="1" applyAlignment="1">
      <alignment horizontal="center"/>
    </xf>
    <xf numFmtId="10" fontId="3" fillId="0" borderId="0" xfId="3" applyNumberFormat="1" applyFont="1" applyBorder="1" applyAlignment="1">
      <alignment vertical="center"/>
    </xf>
    <xf numFmtId="10" fontId="3" fillId="0" borderId="0" xfId="3" applyNumberFormat="1" applyFont="1" applyBorder="1"/>
    <xf numFmtId="43" fontId="3" fillId="0" borderId="0" xfId="5" applyFont="1"/>
    <xf numFmtId="165" fontId="3" fillId="0" borderId="8" xfId="5" applyNumberFormat="1" applyFont="1" applyBorder="1"/>
    <xf numFmtId="0" fontId="22" fillId="0" borderId="0" xfId="0" applyFont="1" applyAlignment="1">
      <alignment horizontal="center"/>
    </xf>
    <xf numFmtId="165" fontId="21" fillId="0" borderId="0" xfId="5" applyNumberFormat="1" applyFont="1"/>
    <xf numFmtId="170" fontId="3" fillId="0" borderId="0" xfId="0" applyNumberFormat="1" applyFont="1"/>
    <xf numFmtId="164" fontId="16" fillId="0" borderId="9" xfId="6" applyNumberFormat="1" applyFont="1" applyBorder="1"/>
    <xf numFmtId="10" fontId="3" fillId="0" borderId="1" xfId="0" applyNumberFormat="1" applyFont="1" applyBorder="1"/>
    <xf numFmtId="164" fontId="3" fillId="0" borderId="1" xfId="6" applyNumberFormat="1" applyFont="1" applyBorder="1"/>
    <xf numFmtId="43" fontId="3" fillId="0" borderId="0" xfId="1" applyFont="1" applyBorder="1" applyAlignment="1">
      <alignment horizontal="center"/>
    </xf>
    <xf numFmtId="166" fontId="3" fillId="0" borderId="0" xfId="1" applyNumberFormat="1" applyFont="1" applyBorder="1" applyAlignment="1">
      <alignment horizontal="center"/>
    </xf>
    <xf numFmtId="166" fontId="3" fillId="0" borderId="0" xfId="2" applyNumberFormat="1" applyFont="1" applyBorder="1"/>
    <xf numFmtId="0" fontId="6" fillId="0" borderId="0" xfId="0" applyFont="1"/>
    <xf numFmtId="0" fontId="3" fillId="0" borderId="3" xfId="0" applyFont="1" applyBorder="1"/>
    <xf numFmtId="166" fontId="3" fillId="0" borderId="0" xfId="0" applyNumberFormat="1" applyFont="1"/>
    <xf numFmtId="0" fontId="3" fillId="0" borderId="5" xfId="0" applyFont="1" applyBorder="1"/>
    <xf numFmtId="0" fontId="3" fillId="0" borderId="0" xfId="1" applyNumberFormat="1" applyFont="1" applyBorder="1" applyAlignment="1"/>
    <xf numFmtId="0" fontId="3" fillId="0" borderId="0" xfId="1" applyNumberFormat="1" applyFont="1" applyBorder="1" applyAlignment="1">
      <alignment horizontal="center"/>
    </xf>
    <xf numFmtId="43" fontId="3" fillId="0" borderId="0" xfId="5" applyFont="1" applyFill="1"/>
    <xf numFmtId="37" fontId="3" fillId="0" borderId="0" xfId="0" applyNumberFormat="1" applyFont="1" applyAlignment="1">
      <alignment horizontal="center"/>
    </xf>
    <xf numFmtId="37" fontId="3" fillId="0" borderId="0" xfId="0" applyNumberFormat="1" applyFont="1"/>
    <xf numFmtId="165" fontId="3" fillId="0" borderId="0" xfId="0" applyNumberFormat="1" applyFont="1"/>
    <xf numFmtId="165" fontId="9" fillId="0" borderId="0" xfId="5" applyNumberFormat="1" applyFont="1" applyBorder="1"/>
    <xf numFmtId="165" fontId="9" fillId="0" borderId="0" xfId="0" applyNumberFormat="1" applyFont="1"/>
    <xf numFmtId="0" fontId="13" fillId="0" borderId="0" xfId="0" applyFont="1" applyAlignment="1">
      <alignment horizontal="centerContinuous"/>
    </xf>
    <xf numFmtId="0" fontId="3" fillId="0" borderId="0" xfId="0" applyFont="1" applyAlignment="1">
      <alignment horizontal="centerContinuous"/>
    </xf>
    <xf numFmtId="3" fontId="3" fillId="0" borderId="0" xfId="0" applyNumberFormat="1" applyFont="1" applyAlignment="1">
      <alignment horizontal="right"/>
    </xf>
    <xf numFmtId="0" fontId="3" fillId="0" borderId="0" xfId="0" quotePrefix="1" applyFont="1"/>
    <xf numFmtId="0" fontId="3" fillId="0" borderId="0" xfId="0" applyFont="1" applyAlignment="1">
      <alignment horizontal="right"/>
    </xf>
    <xf numFmtId="0" fontId="3" fillId="0" borderId="0" xfId="0" applyFont="1" applyAlignment="1">
      <alignment horizontal="left"/>
    </xf>
    <xf numFmtId="165" fontId="3" fillId="0" borderId="0" xfId="1" applyNumberFormat="1" applyFont="1" applyBorder="1" applyAlignment="1"/>
    <xf numFmtId="165" fontId="4" fillId="0" borderId="0" xfId="1" applyNumberFormat="1" applyFont="1" applyBorder="1" applyAlignment="1">
      <alignment horizontal="center" vertical="center"/>
    </xf>
    <xf numFmtId="165" fontId="3" fillId="0" borderId="0" xfId="1" applyNumberFormat="1" applyFont="1" applyBorder="1" applyAlignment="1">
      <alignment horizontal="centerContinuous"/>
    </xf>
    <xf numFmtId="165" fontId="3" fillId="0" borderId="0" xfId="1" applyNumberFormat="1" applyFont="1" applyBorder="1" applyAlignment="1">
      <alignment horizontal="center"/>
    </xf>
    <xf numFmtId="165" fontId="0" fillId="0" borderId="0" xfId="1" applyNumberFormat="1" applyFont="1" applyBorder="1"/>
    <xf numFmtId="164" fontId="9" fillId="0" borderId="0" xfId="6" applyNumberFormat="1" applyFont="1" applyBorder="1"/>
    <xf numFmtId="44" fontId="4" fillId="0" borderId="0" xfId="0" applyNumberFormat="1" applyFont="1" applyAlignment="1">
      <alignment horizontal="center" vertical="center"/>
    </xf>
    <xf numFmtId="44" fontId="3" fillId="0" borderId="0" xfId="0" applyNumberFormat="1" applyFont="1" applyAlignment="1">
      <alignment horizontal="centerContinuous"/>
    </xf>
    <xf numFmtId="44" fontId="3" fillId="0" borderId="0" xfId="0" applyNumberFormat="1" applyFont="1" applyAlignment="1">
      <alignment horizontal="center"/>
    </xf>
    <xf numFmtId="44" fontId="3" fillId="0" borderId="0" xfId="5" applyNumberFormat="1" applyFont="1" applyBorder="1"/>
    <xf numFmtId="44" fontId="9" fillId="0" borderId="0" xfId="5" applyNumberFormat="1" applyFont="1" applyBorder="1"/>
    <xf numFmtId="44" fontId="0" fillId="0" borderId="0" xfId="0" applyNumberFormat="1"/>
    <xf numFmtId="44" fontId="3" fillId="0" borderId="2" xfId="1" applyNumberFormat="1" applyFont="1" applyBorder="1"/>
    <xf numFmtId="44" fontId="3" fillId="0" borderId="1" xfId="1" applyNumberFormat="1" applyFont="1" applyBorder="1"/>
    <xf numFmtId="44" fontId="11" fillId="0" borderId="7" xfId="0" applyNumberFormat="1" applyFont="1" applyBorder="1" applyAlignment="1">
      <alignment horizontal="center" vertical="center"/>
    </xf>
    <xf numFmtId="44" fontId="9" fillId="0" borderId="7" xfId="1" applyNumberFormat="1" applyFont="1" applyBorder="1" applyAlignment="1">
      <alignment horizontal="center"/>
    </xf>
    <xf numFmtId="44" fontId="3" fillId="0" borderId="7" xfId="1" applyNumberFormat="1" applyFont="1" applyBorder="1"/>
    <xf numFmtId="44" fontId="3" fillId="0" borderId="5" xfId="1" applyNumberFormat="1" applyFont="1" applyBorder="1"/>
    <xf numFmtId="44" fontId="3" fillId="0" borderId="0" xfId="1" applyNumberFormat="1" applyFont="1"/>
    <xf numFmtId="44" fontId="11" fillId="0" borderId="0" xfId="0" applyNumberFormat="1" applyFont="1" applyAlignment="1">
      <alignment horizontal="center" vertical="center"/>
    </xf>
    <xf numFmtId="44" fontId="9" fillId="0" borderId="0" xfId="1" applyNumberFormat="1" applyFont="1" applyBorder="1" applyAlignment="1">
      <alignment horizontal="center"/>
    </xf>
    <xf numFmtId="44" fontId="3" fillId="0" borderId="0" xfId="1" applyNumberFormat="1" applyFont="1" applyBorder="1"/>
    <xf numFmtId="44" fontId="3" fillId="0" borderId="0" xfId="2" applyFont="1" applyBorder="1"/>
    <xf numFmtId="0" fontId="7" fillId="0" borderId="0" xfId="0" applyFont="1"/>
    <xf numFmtId="165" fontId="3" fillId="0" borderId="0" xfId="9" applyNumberFormat="1" applyFont="1" applyFill="1" applyBorder="1"/>
    <xf numFmtId="165" fontId="9" fillId="0" borderId="0" xfId="9" applyNumberFormat="1" applyFont="1" applyFill="1" applyBorder="1"/>
    <xf numFmtId="0" fontId="1" fillId="0" borderId="0" xfId="4"/>
    <xf numFmtId="0" fontId="19" fillId="0" borderId="0" xfId="4" applyFont="1" applyAlignment="1">
      <alignment horizontal="center"/>
    </xf>
    <xf numFmtId="167" fontId="3" fillId="0" borderId="0" xfId="3" applyNumberFormat="1" applyFont="1" applyFill="1" applyBorder="1"/>
    <xf numFmtId="165" fontId="3" fillId="0" borderId="0" xfId="9" applyNumberFormat="1" applyFont="1" applyFill="1" applyBorder="1" applyAlignment="1">
      <alignment horizontal="center"/>
    </xf>
    <xf numFmtId="165" fontId="7" fillId="0" borderId="7" xfId="5" applyNumberFormat="1" applyFont="1" applyBorder="1" applyAlignment="1">
      <alignment horizontal="center"/>
    </xf>
    <xf numFmtId="3" fontId="3" fillId="0" borderId="0" xfId="0" applyNumberFormat="1" applyFont="1"/>
    <xf numFmtId="168" fontId="3" fillId="0" borderId="0" xfId="5" applyNumberFormat="1" applyFont="1" applyAlignment="1"/>
    <xf numFmtId="3" fontId="3" fillId="0" borderId="2" xfId="0" applyNumberFormat="1" applyFont="1" applyBorder="1"/>
    <xf numFmtId="168" fontId="3" fillId="0" borderId="2" xfId="5" applyNumberFormat="1" applyFont="1" applyBorder="1"/>
    <xf numFmtId="3" fontId="3" fillId="0" borderId="4" xfId="0" applyNumberFormat="1" applyFont="1" applyBorder="1"/>
    <xf numFmtId="3" fontId="3" fillId="0" borderId="7" xfId="0" applyNumberFormat="1" applyFont="1" applyBorder="1"/>
    <xf numFmtId="3" fontId="3" fillId="0" borderId="8" xfId="0" applyNumberFormat="1" applyFont="1" applyBorder="1"/>
    <xf numFmtId="168" fontId="3" fillId="0" borderId="0" xfId="5" applyNumberFormat="1" applyFont="1" applyBorder="1" applyAlignment="1"/>
    <xf numFmtId="3" fontId="8" fillId="0" borderId="0" xfId="0" applyNumberFormat="1" applyFont="1" applyAlignment="1">
      <alignment horizontal="center"/>
    </xf>
    <xf numFmtId="3" fontId="7" fillId="0" borderId="0" xfId="0" applyNumberFormat="1" applyFont="1" applyAlignment="1">
      <alignment horizontal="center"/>
    </xf>
    <xf numFmtId="168" fontId="8" fillId="0" borderId="0" xfId="5" applyNumberFormat="1" applyFont="1" applyBorder="1" applyAlignment="1">
      <alignment horizontal="centerContinuous"/>
    </xf>
    <xf numFmtId="3" fontId="8" fillId="0" borderId="0" xfId="0" applyNumberFormat="1" applyFont="1" applyAlignment="1">
      <alignment horizontal="centerContinuous"/>
    </xf>
    <xf numFmtId="44" fontId="10" fillId="0" borderId="0" xfId="0" applyNumberFormat="1" applyFont="1" applyAlignment="1">
      <alignment horizontal="center"/>
    </xf>
    <xf numFmtId="3" fontId="8" fillId="0" borderId="0" xfId="0" applyNumberFormat="1" applyFont="1"/>
    <xf numFmtId="169" fontId="3" fillId="0" borderId="0" xfId="0" applyNumberFormat="1" applyFont="1" applyAlignment="1">
      <alignment horizontal="center"/>
    </xf>
    <xf numFmtId="168" fontId="3" fillId="0" borderId="0" xfId="5" applyNumberFormat="1" applyFont="1" applyBorder="1" applyAlignment="1">
      <alignment horizontal="center"/>
    </xf>
    <xf numFmtId="168" fontId="3" fillId="0" borderId="0" xfId="5" quotePrefix="1" applyNumberFormat="1" applyFont="1" applyBorder="1" applyAlignment="1">
      <alignment horizontal="center"/>
    </xf>
    <xf numFmtId="168" fontId="13" fillId="0" borderId="0" xfId="5" applyNumberFormat="1" applyFont="1" applyBorder="1" applyAlignment="1"/>
    <xf numFmtId="165" fontId="3" fillId="0" borderId="0" xfId="5" applyNumberFormat="1" applyFont="1" applyBorder="1" applyAlignment="1"/>
    <xf numFmtId="3" fontId="7" fillId="0" borderId="0" xfId="0" applyNumberFormat="1" applyFont="1"/>
    <xf numFmtId="171" fontId="3" fillId="0" borderId="0" xfId="0" applyNumberFormat="1" applyFont="1"/>
    <xf numFmtId="170" fontId="7" fillId="0" borderId="0" xfId="0" applyNumberFormat="1" applyFont="1"/>
    <xf numFmtId="3" fontId="3" fillId="0" borderId="1" xfId="0" applyNumberFormat="1" applyFont="1" applyBorder="1"/>
    <xf numFmtId="168" fontId="3" fillId="0" borderId="1" xfId="5" applyNumberFormat="1" applyFont="1" applyBorder="1" applyAlignment="1"/>
    <xf numFmtId="3" fontId="3" fillId="0" borderId="6" xfId="0" applyNumberFormat="1" applyFont="1" applyBorder="1"/>
    <xf numFmtId="4" fontId="3" fillId="0" borderId="7" xfId="0" applyNumberFormat="1" applyFont="1" applyBorder="1"/>
    <xf numFmtId="165" fontId="3" fillId="0" borderId="3" xfId="5" applyNumberFormat="1" applyFont="1" applyBorder="1"/>
    <xf numFmtId="165" fontId="3" fillId="0" borderId="2" xfId="5" applyNumberFormat="1" applyFont="1" applyBorder="1"/>
    <xf numFmtId="165" fontId="3" fillId="0" borderId="4" xfId="5" applyNumberFormat="1" applyFont="1" applyBorder="1"/>
    <xf numFmtId="165" fontId="4" fillId="0" borderId="7" xfId="5" applyNumberFormat="1" applyFont="1" applyBorder="1" applyAlignment="1">
      <alignment horizontal="centerContinuous"/>
    </xf>
    <xf numFmtId="165" fontId="7" fillId="0" borderId="0" xfId="5" applyNumberFormat="1" applyFont="1" applyAlignment="1">
      <alignment horizontal="centerContinuous"/>
    </xf>
    <xf numFmtId="165" fontId="5" fillId="0" borderId="7" xfId="5" applyNumberFormat="1" applyFont="1" applyBorder="1" applyAlignment="1">
      <alignment horizontal="centerContinuous"/>
    </xf>
    <xf numFmtId="165" fontId="8" fillId="0" borderId="0" xfId="5" applyNumberFormat="1" applyFont="1" applyAlignment="1">
      <alignment horizontal="centerContinuous"/>
    </xf>
    <xf numFmtId="3" fontId="11" fillId="0" borderId="7" xfId="0" applyNumberFormat="1" applyFont="1" applyBorder="1" applyAlignment="1">
      <alignment horizontal="centerContinuous" vertical="center"/>
    </xf>
    <xf numFmtId="165" fontId="23" fillId="0" borderId="7" xfId="5" applyNumberFormat="1" applyFont="1" applyBorder="1" applyAlignment="1">
      <alignment horizontal="centerContinuous"/>
    </xf>
    <xf numFmtId="165" fontId="3" fillId="0" borderId="0" xfId="5" applyNumberFormat="1" applyFont="1" applyAlignment="1">
      <alignment horizontal="centerContinuous"/>
    </xf>
    <xf numFmtId="165" fontId="3" fillId="0" borderId="7" xfId="5" applyNumberFormat="1" applyFont="1" applyBorder="1" applyAlignment="1">
      <alignment horizontal="centerContinuous"/>
    </xf>
    <xf numFmtId="165" fontId="3" fillId="0" borderId="10" xfId="5" applyNumberFormat="1" applyFont="1" applyBorder="1" applyAlignment="1">
      <alignment horizontal="left"/>
    </xf>
    <xf numFmtId="165" fontId="3" fillId="0" borderId="3" xfId="5" applyNumberFormat="1" applyFont="1" applyBorder="1" applyAlignment="1">
      <alignment horizontal="left"/>
    </xf>
    <xf numFmtId="165" fontId="3" fillId="0" borderId="2" xfId="5" applyNumberFormat="1" applyFont="1" applyBorder="1" applyAlignment="1">
      <alignment horizontal="left"/>
    </xf>
    <xf numFmtId="165" fontId="3" fillId="0" borderId="4" xfId="5" applyNumberFormat="1" applyFont="1" applyBorder="1" applyAlignment="1">
      <alignment horizontal="left"/>
    </xf>
    <xf numFmtId="165" fontId="3" fillId="0" borderId="11" xfId="5" applyNumberFormat="1" applyFont="1" applyBorder="1"/>
    <xf numFmtId="165" fontId="10" fillId="0" borderId="0" xfId="5" applyNumberFormat="1" applyFont="1" applyAlignment="1">
      <alignment horizontal="center" vertical="center"/>
    </xf>
    <xf numFmtId="165" fontId="7" fillId="0" borderId="8" xfId="5" applyNumberFormat="1" applyFont="1" applyBorder="1" applyAlignment="1">
      <alignment horizontal="center" vertical="center"/>
    </xf>
    <xf numFmtId="165" fontId="7" fillId="0" borderId="0" xfId="5" applyNumberFormat="1" applyFont="1" applyAlignment="1">
      <alignment horizontal="center" vertical="center"/>
    </xf>
    <xf numFmtId="165" fontId="10" fillId="0" borderId="8" xfId="5" applyNumberFormat="1" applyFont="1" applyBorder="1" applyAlignment="1">
      <alignment horizontal="center" vertical="center"/>
    </xf>
    <xf numFmtId="165" fontId="10" fillId="0" borderId="0" xfId="5" applyNumberFormat="1" applyFont="1" applyBorder="1" applyAlignment="1">
      <alignment horizontal="center" vertical="center"/>
    </xf>
    <xf numFmtId="165" fontId="3" fillId="0" borderId="11" xfId="5" applyNumberFormat="1" applyFont="1" applyBorder="1" applyAlignment="1">
      <alignment horizontal="left"/>
    </xf>
    <xf numFmtId="165" fontId="3" fillId="0" borderId="7" xfId="5" applyNumberFormat="1" applyFont="1" applyBorder="1" applyAlignment="1">
      <alignment horizontal="center"/>
    </xf>
    <xf numFmtId="165" fontId="3" fillId="0" borderId="0" xfId="5" applyNumberFormat="1" applyFont="1" applyAlignment="1">
      <alignment horizontal="center"/>
    </xf>
    <xf numFmtId="165" fontId="3" fillId="0" borderId="8" xfId="5" applyNumberFormat="1" applyFont="1" applyBorder="1" applyAlignment="1">
      <alignment horizontal="center"/>
    </xf>
    <xf numFmtId="164" fontId="3" fillId="0" borderId="0" xfId="6" quotePrefix="1" applyNumberFormat="1" applyFont="1" applyBorder="1" applyAlignment="1">
      <alignment horizontal="center"/>
    </xf>
    <xf numFmtId="165" fontId="3" fillId="0" borderId="0" xfId="5" quotePrefix="1" applyNumberFormat="1" applyFont="1" applyBorder="1" applyAlignment="1">
      <alignment horizontal="center"/>
    </xf>
    <xf numFmtId="165" fontId="3" fillId="0" borderId="11" xfId="5" quotePrefix="1" applyNumberFormat="1" applyFont="1" applyBorder="1" applyAlignment="1">
      <alignment horizontal="center"/>
    </xf>
    <xf numFmtId="165" fontId="3" fillId="0" borderId="7" xfId="5" quotePrefix="1" applyNumberFormat="1" applyFont="1" applyBorder="1" applyAlignment="1">
      <alignment horizontal="left"/>
    </xf>
    <xf numFmtId="165" fontId="3" fillId="0" borderId="0" xfId="5" quotePrefix="1" applyNumberFormat="1" applyFont="1" applyAlignment="1">
      <alignment horizontal="left"/>
    </xf>
    <xf numFmtId="165" fontId="3" fillId="0" borderId="8" xfId="5" quotePrefix="1" applyNumberFormat="1" applyFont="1" applyBorder="1" applyAlignment="1">
      <alignment horizontal="left"/>
    </xf>
    <xf numFmtId="165" fontId="7" fillId="0" borderId="7" xfId="5" quotePrefix="1" applyNumberFormat="1" applyFont="1" applyBorder="1" applyAlignment="1">
      <alignment horizontal="left"/>
    </xf>
    <xf numFmtId="165" fontId="7" fillId="0" borderId="0" xfId="5" quotePrefix="1" applyNumberFormat="1" applyFont="1" applyAlignment="1">
      <alignment horizontal="left"/>
    </xf>
    <xf numFmtId="165" fontId="7" fillId="0" borderId="8" xfId="5" quotePrefix="1" applyNumberFormat="1" applyFont="1" applyBorder="1" applyAlignment="1">
      <alignment horizontal="left"/>
    </xf>
    <xf numFmtId="164" fontId="7" fillId="0" borderId="0" xfId="6" quotePrefix="1" applyNumberFormat="1" applyFont="1" applyBorder="1" applyAlignment="1">
      <alignment horizontal="left"/>
    </xf>
    <xf numFmtId="165" fontId="7" fillId="0" borderId="12" xfId="5" applyNumberFormat="1" applyFont="1" applyBorder="1" applyAlignment="1">
      <alignment horizontal="right"/>
    </xf>
    <xf numFmtId="165" fontId="7" fillId="0" borderId="5" xfId="5" applyNumberFormat="1" applyFont="1" applyBorder="1" applyAlignment="1">
      <alignment horizontal="right"/>
    </xf>
    <xf numFmtId="165" fontId="7" fillId="0" borderId="1" xfId="5" applyNumberFormat="1" applyFont="1" applyBorder="1" applyAlignment="1">
      <alignment horizontal="right"/>
    </xf>
    <xf numFmtId="165" fontId="7" fillId="0" borderId="6" xfId="5" applyNumberFormat="1" applyFont="1" applyBorder="1" applyAlignment="1">
      <alignment horizontal="right"/>
    </xf>
    <xf numFmtId="165" fontId="7" fillId="0" borderId="8" xfId="5" applyNumberFormat="1" applyFont="1" applyBorder="1" applyAlignment="1">
      <alignment horizontal="right"/>
    </xf>
    <xf numFmtId="165" fontId="3" fillId="0" borderId="6" xfId="5" applyNumberFormat="1" applyFont="1" applyBorder="1"/>
    <xf numFmtId="165" fontId="7" fillId="0" borderId="7" xfId="5" applyNumberFormat="1" applyFont="1" applyBorder="1" applyAlignment="1">
      <alignment horizontal="right"/>
    </xf>
    <xf numFmtId="165" fontId="7" fillId="0" borderId="0" xfId="5" applyNumberFormat="1" applyFont="1" applyAlignment="1">
      <alignment horizontal="right"/>
    </xf>
    <xf numFmtId="165" fontId="7" fillId="0" borderId="2" xfId="5" applyNumberFormat="1" applyFont="1" applyBorder="1" applyAlignment="1">
      <alignment horizontal="right"/>
    </xf>
    <xf numFmtId="165" fontId="7" fillId="0" borderId="7" xfId="5" applyNumberFormat="1" applyFont="1" applyBorder="1"/>
    <xf numFmtId="164" fontId="7" fillId="0" borderId="0" xfId="6" applyNumberFormat="1" applyFont="1"/>
    <xf numFmtId="165" fontId="7" fillId="0" borderId="0" xfId="5" applyNumberFormat="1" applyFont="1"/>
    <xf numFmtId="165" fontId="7" fillId="0" borderId="0" xfId="5" applyNumberFormat="1" applyFont="1" applyBorder="1"/>
    <xf numFmtId="164" fontId="7" fillId="0" borderId="0" xfId="6" applyNumberFormat="1" applyFont="1" applyBorder="1"/>
    <xf numFmtId="165" fontId="3" fillId="0" borderId="5" xfId="5" applyNumberFormat="1" applyFont="1" applyBorder="1" applyAlignment="1">
      <alignment horizontal="center"/>
    </xf>
    <xf numFmtId="165" fontId="3" fillId="0" borderId="1" xfId="5" applyNumberFormat="1" applyFont="1" applyBorder="1" applyAlignment="1">
      <alignment horizontal="center"/>
    </xf>
    <xf numFmtId="0" fontId="21" fillId="0" borderId="0" xfId="0" applyFont="1" applyAlignment="1">
      <alignment horizontal="left"/>
    </xf>
    <xf numFmtId="165" fontId="21" fillId="0" borderId="0" xfId="1" applyNumberFormat="1" applyFont="1" applyAlignment="1">
      <alignment vertical="center"/>
    </xf>
    <xf numFmtId="9" fontId="3" fillId="0" borderId="0" xfId="0" applyNumberFormat="1" applyFont="1" applyAlignment="1">
      <alignment horizontal="center"/>
    </xf>
    <xf numFmtId="9" fontId="19" fillId="0" borderId="0" xfId="0" applyNumberFormat="1" applyFont="1" applyAlignment="1">
      <alignment horizontal="center"/>
    </xf>
    <xf numFmtId="9" fontId="3" fillId="0" borderId="0" xfId="3" applyFont="1" applyAlignment="1">
      <alignment horizontal="center"/>
    </xf>
    <xf numFmtId="164" fontId="3" fillId="0" borderId="0" xfId="5" applyNumberFormat="1" applyFont="1" applyBorder="1"/>
    <xf numFmtId="164" fontId="3" fillId="0" borderId="0" xfId="2" applyNumberFormat="1" applyFont="1" applyBorder="1"/>
    <xf numFmtId="9" fontId="3" fillId="0" borderId="0" xfId="3" applyFont="1"/>
    <xf numFmtId="42" fontId="3" fillId="0" borderId="0" xfId="0" applyNumberFormat="1" applyFont="1"/>
    <xf numFmtId="165" fontId="3" fillId="0" borderId="0" xfId="1" applyNumberFormat="1" applyFont="1" applyAlignment="1">
      <alignment horizontal="right" vertical="center"/>
    </xf>
    <xf numFmtId="10" fontId="3" fillId="0" borderId="0" xfId="0" applyNumberFormat="1" applyFont="1"/>
    <xf numFmtId="165" fontId="3" fillId="0" borderId="1" xfId="5" applyNumberFormat="1" applyFont="1" applyBorder="1"/>
    <xf numFmtId="164" fontId="7" fillId="0" borderId="9" xfId="6" applyNumberFormat="1" applyFont="1" applyBorder="1"/>
    <xf numFmtId="9" fontId="3" fillId="0" borderId="0" xfId="9" applyNumberFormat="1" applyFont="1" applyFill="1" applyBorder="1" applyAlignment="1">
      <alignment horizontal="center"/>
    </xf>
    <xf numFmtId="9" fontId="9" fillId="0" borderId="0" xfId="9" applyNumberFormat="1" applyFont="1" applyFill="1" applyBorder="1" applyAlignment="1">
      <alignment horizontal="center"/>
    </xf>
    <xf numFmtId="164" fontId="3" fillId="0" borderId="0" xfId="0" applyNumberFormat="1" applyFont="1" applyAlignment="1">
      <alignment horizontal="left" indent="1"/>
    </xf>
    <xf numFmtId="10" fontId="7" fillId="0" borderId="0" xfId="0" applyNumberFormat="1" applyFont="1"/>
    <xf numFmtId="165" fontId="3" fillId="0" borderId="0" xfId="1" applyNumberFormat="1" applyFont="1" applyBorder="1" applyAlignment="1">
      <alignment vertical="center"/>
    </xf>
    <xf numFmtId="165" fontId="9" fillId="0" borderId="0" xfId="1" applyNumberFormat="1" applyFont="1" applyBorder="1" applyAlignment="1">
      <alignment vertical="center"/>
    </xf>
    <xf numFmtId="165" fontId="3" fillId="0" borderId="0" xfId="1" applyNumberFormat="1" applyFont="1" applyBorder="1" applyAlignment="1">
      <alignment horizontal="center" vertical="center"/>
    </xf>
    <xf numFmtId="165" fontId="9" fillId="0" borderId="0" xfId="1" applyNumberFormat="1" applyFont="1" applyBorder="1" applyAlignment="1">
      <alignment horizontal="center" vertical="center"/>
    </xf>
    <xf numFmtId="172" fontId="3" fillId="0" borderId="0" xfId="1" applyNumberFormat="1" applyFont="1" applyBorder="1"/>
    <xf numFmtId="172" fontId="0" fillId="0" borderId="0" xfId="1" applyNumberFormat="1" applyFont="1" applyBorder="1"/>
    <xf numFmtId="43" fontId="0" fillId="0" borderId="0" xfId="1" applyFont="1" applyBorder="1"/>
    <xf numFmtId="165" fontId="9" fillId="0" borderId="0" xfId="1" applyNumberFormat="1" applyFont="1"/>
    <xf numFmtId="10" fontId="3" fillId="0" borderId="0" xfId="3" applyNumberFormat="1" applyFont="1" applyBorder="1" applyAlignment="1"/>
    <xf numFmtId="172" fontId="3" fillId="0" borderId="0" xfId="1" applyNumberFormat="1" applyFont="1" applyBorder="1" applyAlignment="1">
      <alignment horizontal="center"/>
    </xf>
    <xf numFmtId="165" fontId="10" fillId="0" borderId="0" xfId="1" applyNumberFormat="1" applyFont="1" applyAlignment="1">
      <alignment vertical="center"/>
    </xf>
    <xf numFmtId="173" fontId="3" fillId="0" borderId="0" xfId="1" applyNumberFormat="1" applyFont="1" applyBorder="1" applyAlignment="1"/>
    <xf numFmtId="165" fontId="6" fillId="0" borderId="0" xfId="1" applyNumberFormat="1" applyFont="1" applyBorder="1"/>
    <xf numFmtId="0" fontId="3" fillId="0" borderId="0" xfId="1" applyNumberFormat="1" applyFont="1" applyBorder="1" applyAlignment="1">
      <alignment horizontal="left"/>
    </xf>
    <xf numFmtId="0" fontId="3" fillId="0" borderId="0" xfId="1" applyNumberFormat="1" applyFont="1" applyBorder="1" applyAlignment="1">
      <alignment horizontal="right"/>
    </xf>
    <xf numFmtId="166" fontId="3" fillId="0" borderId="0" xfId="1" applyNumberFormat="1" applyFont="1" applyBorder="1" applyAlignment="1">
      <alignment horizontal="right"/>
    </xf>
    <xf numFmtId="173" fontId="3" fillId="0" borderId="0" xfId="1" applyNumberFormat="1" applyFont="1" applyBorder="1" applyAlignment="1">
      <alignment horizontal="right"/>
    </xf>
    <xf numFmtId="43" fontId="3" fillId="0" borderId="13" xfId="1" applyFont="1" applyBorder="1" applyAlignment="1"/>
    <xf numFmtId="43" fontId="3" fillId="0" borderId="14" xfId="1" applyFont="1" applyBorder="1" applyAlignment="1"/>
    <xf numFmtId="165" fontId="3" fillId="0" borderId="14" xfId="1" applyNumberFormat="1" applyFont="1" applyBorder="1" applyAlignment="1"/>
    <xf numFmtId="0" fontId="3" fillId="0" borderId="14" xfId="1" applyNumberFormat="1" applyFont="1" applyBorder="1" applyAlignment="1"/>
    <xf numFmtId="10" fontId="3" fillId="0" borderId="14" xfId="3" applyNumberFormat="1" applyFont="1" applyBorder="1" applyAlignment="1"/>
    <xf numFmtId="43" fontId="3" fillId="0" borderId="15" xfId="1" applyFont="1" applyBorder="1" applyAlignment="1"/>
    <xf numFmtId="43" fontId="3" fillId="0" borderId="16" xfId="1" applyFont="1" applyBorder="1" applyAlignment="1"/>
    <xf numFmtId="43" fontId="3" fillId="0" borderId="17" xfId="1" applyFont="1" applyBorder="1" applyAlignment="1"/>
    <xf numFmtId="43" fontId="3" fillId="0" borderId="17" xfId="1" applyFont="1" applyBorder="1" applyAlignment="1">
      <alignment vertical="center"/>
    </xf>
    <xf numFmtId="0" fontId="3" fillId="0" borderId="16" xfId="0" applyFont="1" applyBorder="1"/>
    <xf numFmtId="43" fontId="3" fillId="0" borderId="18" xfId="1" applyFont="1" applyBorder="1" applyAlignment="1"/>
    <xf numFmtId="43" fontId="3" fillId="0" borderId="19" xfId="1" applyFont="1" applyBorder="1" applyAlignment="1"/>
    <xf numFmtId="165" fontId="3" fillId="0" borderId="19" xfId="1" applyNumberFormat="1" applyFont="1" applyBorder="1" applyAlignment="1"/>
    <xf numFmtId="0" fontId="3" fillId="0" borderId="19" xfId="1" applyNumberFormat="1" applyFont="1" applyBorder="1" applyAlignment="1"/>
    <xf numFmtId="10" fontId="3" fillId="0" borderId="19" xfId="3" applyNumberFormat="1" applyFont="1" applyBorder="1" applyAlignment="1"/>
    <xf numFmtId="43" fontId="3" fillId="0" borderId="20" xfId="1" applyFont="1" applyBorder="1" applyAlignment="1"/>
    <xf numFmtId="0" fontId="3" fillId="0" borderId="14" xfId="1" applyNumberFormat="1" applyFont="1" applyBorder="1" applyAlignment="1">
      <alignment horizontal="left"/>
    </xf>
    <xf numFmtId="0" fontId="6" fillId="0" borderId="0" xfId="0" applyFont="1" applyAlignment="1">
      <alignment horizontal="left"/>
    </xf>
    <xf numFmtId="0" fontId="3" fillId="0" borderId="19" xfId="1" applyNumberFormat="1" applyFont="1" applyBorder="1" applyAlignment="1">
      <alignment horizontal="left"/>
    </xf>
    <xf numFmtId="173" fontId="3" fillId="0" borderId="0" xfId="0" applyNumberFormat="1" applyFont="1"/>
    <xf numFmtId="173" fontId="3" fillId="0" borderId="0" xfId="2" applyNumberFormat="1" applyFont="1" applyBorder="1"/>
    <xf numFmtId="3" fontId="3" fillId="0" borderId="0" xfId="1" applyNumberFormat="1" applyFont="1" applyBorder="1"/>
    <xf numFmtId="37" fontId="3" fillId="0" borderId="0" xfId="2" applyNumberFormat="1" applyFont="1" applyBorder="1"/>
    <xf numFmtId="44" fontId="3" fillId="0" borderId="1" xfId="0" applyNumberFormat="1" applyFont="1" applyBorder="1"/>
    <xf numFmtId="0" fontId="16" fillId="0" borderId="1" xfId="0" applyFont="1" applyBorder="1"/>
    <xf numFmtId="44" fontId="3" fillId="0" borderId="1" xfId="10" applyFont="1" applyBorder="1"/>
    <xf numFmtId="0" fontId="7" fillId="0" borderId="0" xfId="0" applyFont="1" applyAlignment="1">
      <alignment horizontal="center"/>
    </xf>
    <xf numFmtId="165" fontId="3" fillId="0" borderId="0" xfId="0" applyNumberFormat="1" applyFont="1" applyAlignment="1">
      <alignment horizontal="right"/>
    </xf>
    <xf numFmtId="165" fontId="3" fillId="0" borderId="0" xfId="1" applyNumberFormat="1" applyFont="1" applyBorder="1" applyAlignment="1">
      <alignment horizontal="right"/>
    </xf>
    <xf numFmtId="165" fontId="9" fillId="0" borderId="0" xfId="1" quotePrefix="1" applyNumberFormat="1" applyFont="1" applyBorder="1"/>
    <xf numFmtId="165" fontId="9" fillId="0" borderId="0" xfId="1" applyNumberFormat="1" applyFont="1" applyBorder="1" applyAlignment="1">
      <alignment horizontal="right"/>
    </xf>
    <xf numFmtId="165" fontId="6" fillId="0" borderId="0" xfId="0" applyNumberFormat="1" applyFont="1"/>
    <xf numFmtId="0" fontId="7" fillId="0" borderId="13" xfId="0" applyFont="1" applyBorder="1"/>
    <xf numFmtId="165" fontId="3" fillId="0" borderId="14" xfId="1" applyNumberFormat="1" applyFont="1" applyBorder="1"/>
    <xf numFmtId="3" fontId="3" fillId="0" borderId="14" xfId="0" applyNumberFormat="1" applyFont="1" applyBorder="1" applyAlignment="1">
      <alignment horizontal="right"/>
    </xf>
    <xf numFmtId="165" fontId="3" fillId="0" borderId="14" xfId="0" applyNumberFormat="1" applyFont="1" applyBorder="1"/>
    <xf numFmtId="44" fontId="3" fillId="0" borderId="15" xfId="0" applyNumberFormat="1" applyFont="1" applyBorder="1"/>
    <xf numFmtId="0" fontId="7" fillId="0" borderId="16" xfId="0" applyFont="1" applyBorder="1"/>
    <xf numFmtId="0" fontId="3" fillId="0" borderId="17" xfId="0" applyFont="1" applyBorder="1"/>
    <xf numFmtId="0" fontId="3" fillId="0" borderId="17" xfId="0" applyFont="1" applyBorder="1" applyAlignment="1">
      <alignment horizontal="right"/>
    </xf>
    <xf numFmtId="0" fontId="3" fillId="0" borderId="16" xfId="0" applyFont="1" applyBorder="1" applyAlignment="1">
      <alignment horizontal="right"/>
    </xf>
    <xf numFmtId="165" fontId="3" fillId="0" borderId="17" xfId="1" applyNumberFormat="1" applyFont="1" applyBorder="1"/>
    <xf numFmtId="165" fontId="9" fillId="0" borderId="17" xfId="1" applyNumberFormat="1" applyFont="1" applyBorder="1"/>
    <xf numFmtId="44" fontId="3" fillId="0" borderId="17" xfId="0" applyNumberFormat="1" applyFont="1" applyBorder="1"/>
    <xf numFmtId="0" fontId="7" fillId="0" borderId="17" xfId="0" applyFont="1" applyBorder="1"/>
    <xf numFmtId="44" fontId="3" fillId="0" borderId="17" xfId="0" applyNumberFormat="1" applyFont="1" applyBorder="1" applyAlignment="1">
      <alignment horizontal="center"/>
    </xf>
    <xf numFmtId="0" fontId="3" fillId="0" borderId="16" xfId="1" applyNumberFormat="1" applyFont="1" applyBorder="1" applyAlignment="1">
      <alignment horizontal="right"/>
    </xf>
    <xf numFmtId="0" fontId="3" fillId="0" borderId="18" xfId="0" applyFont="1" applyBorder="1"/>
    <xf numFmtId="165" fontId="3" fillId="0" borderId="19" xfId="1" applyNumberFormat="1" applyFont="1" applyBorder="1"/>
    <xf numFmtId="164" fontId="3" fillId="0" borderId="19" xfId="2" applyNumberFormat="1" applyFont="1" applyBorder="1"/>
    <xf numFmtId="0" fontId="3" fillId="0" borderId="19" xfId="0" applyFont="1" applyBorder="1"/>
    <xf numFmtId="164" fontId="3" fillId="0" borderId="20" xfId="2" applyNumberFormat="1" applyFont="1" applyBorder="1"/>
    <xf numFmtId="44" fontId="3" fillId="0" borderId="14" xfId="0" applyNumberFormat="1" applyFont="1" applyBorder="1"/>
    <xf numFmtId="0" fontId="3" fillId="0" borderId="15" xfId="0" applyFont="1" applyBorder="1"/>
    <xf numFmtId="0" fontId="3" fillId="0" borderId="20" xfId="0" applyFont="1" applyBorder="1"/>
    <xf numFmtId="0" fontId="3" fillId="0" borderId="14" xfId="0" applyFont="1" applyBorder="1"/>
    <xf numFmtId="43" fontId="3" fillId="0" borderId="15" xfId="1" applyFont="1" applyBorder="1"/>
    <xf numFmtId="43" fontId="3" fillId="0" borderId="17" xfId="1" applyFont="1" applyBorder="1"/>
    <xf numFmtId="43" fontId="3" fillId="0" borderId="20" xfId="1" applyFont="1" applyBorder="1"/>
    <xf numFmtId="43" fontId="3" fillId="0" borderId="14" xfId="1" applyFont="1" applyBorder="1"/>
    <xf numFmtId="172" fontId="3" fillId="0" borderId="15" xfId="1" applyNumberFormat="1" applyFont="1" applyBorder="1" applyAlignment="1">
      <alignment horizontal="center"/>
    </xf>
    <xf numFmtId="172" fontId="3" fillId="0" borderId="17" xfId="1" applyNumberFormat="1" applyFont="1" applyBorder="1"/>
    <xf numFmtId="43" fontId="3" fillId="0" borderId="19" xfId="1" applyFont="1" applyBorder="1"/>
    <xf numFmtId="172" fontId="3" fillId="0" borderId="20" xfId="1" applyNumberFormat="1" applyFont="1" applyBorder="1"/>
    <xf numFmtId="172" fontId="3" fillId="0" borderId="14" xfId="1" applyNumberFormat="1" applyFont="1" applyBorder="1" applyAlignment="1">
      <alignment horizontal="center"/>
    </xf>
    <xf numFmtId="165" fontId="9" fillId="0" borderId="15" xfId="0" applyNumberFormat="1" applyFont="1" applyBorder="1"/>
    <xf numFmtId="172" fontId="3" fillId="0" borderId="19" xfId="1" applyNumberFormat="1" applyFont="1" applyBorder="1"/>
    <xf numFmtId="165" fontId="9" fillId="0" borderId="14" xfId="0" applyNumberFormat="1" applyFont="1" applyBorder="1"/>
    <xf numFmtId="0" fontId="3" fillId="0" borderId="15" xfId="0" quotePrefix="1" applyFont="1" applyBorder="1"/>
    <xf numFmtId="44" fontId="3" fillId="0" borderId="19" xfId="5" applyNumberFormat="1" applyFont="1" applyBorder="1"/>
    <xf numFmtId="0" fontId="3" fillId="0" borderId="14" xfId="0" quotePrefix="1" applyFont="1" applyBorder="1"/>
    <xf numFmtId="0" fontId="3" fillId="0" borderId="18" xfId="0" applyFont="1" applyBorder="1" applyAlignment="1">
      <alignment horizontal="right"/>
    </xf>
    <xf numFmtId="165" fontId="3" fillId="0" borderId="19" xfId="5" applyNumberFormat="1" applyFont="1" applyBorder="1"/>
    <xf numFmtId="0" fontId="3" fillId="0" borderId="17" xfId="0" quotePrefix="1" applyFont="1" applyBorder="1"/>
    <xf numFmtId="3" fontId="3" fillId="0" borderId="19" xfId="1" applyNumberFormat="1" applyFont="1" applyBorder="1"/>
    <xf numFmtId="165" fontId="3" fillId="0" borderId="0" xfId="1" applyNumberFormat="1" applyFont="1" applyFill="1" applyAlignment="1">
      <alignment vertical="center"/>
    </xf>
    <xf numFmtId="165" fontId="9" fillId="0" borderId="0" xfId="1" applyNumberFormat="1" applyFont="1" applyAlignment="1">
      <alignment vertical="center"/>
    </xf>
    <xf numFmtId="164" fontId="3" fillId="0" borderId="17" xfId="5" applyNumberFormat="1" applyFont="1" applyBorder="1"/>
    <xf numFmtId="164" fontId="9" fillId="0" borderId="17" xfId="5" applyNumberFormat="1" applyFont="1" applyBorder="1"/>
    <xf numFmtId="37" fontId="3" fillId="0" borderId="0" xfId="0" applyNumberFormat="1" applyFont="1" applyAlignment="1">
      <alignment horizontal="right"/>
    </xf>
    <xf numFmtId="164" fontId="9" fillId="0" borderId="0" xfId="5" applyNumberFormat="1" applyFont="1" applyBorder="1"/>
    <xf numFmtId="164" fontId="9" fillId="0" borderId="0" xfId="0" applyNumberFormat="1" applyFont="1"/>
    <xf numFmtId="164" fontId="3" fillId="0" borderId="0" xfId="3" applyNumberFormat="1" applyFont="1" applyBorder="1"/>
    <xf numFmtId="9" fontId="3" fillId="0" borderId="0" xfId="3" applyFont="1" applyBorder="1"/>
    <xf numFmtId="42" fontId="3" fillId="0" borderId="0" xfId="2" applyNumberFormat="1" applyFont="1"/>
    <xf numFmtId="164" fontId="3" fillId="0" borderId="0" xfId="2" applyNumberFormat="1" applyFont="1"/>
    <xf numFmtId="164" fontId="3" fillId="0" borderId="1" xfId="2" applyNumberFormat="1" applyFont="1" applyBorder="1"/>
    <xf numFmtId="0" fontId="3" fillId="0" borderId="1" xfId="0" applyFont="1" applyBorder="1"/>
    <xf numFmtId="42" fontId="3" fillId="0" borderId="1" xfId="2" applyNumberFormat="1" applyFont="1" applyBorder="1"/>
    <xf numFmtId="3" fontId="7" fillId="0" borderId="0" xfId="0" applyNumberFormat="1" applyFont="1" applyAlignment="1">
      <alignment vertical="center"/>
    </xf>
    <xf numFmtId="3" fontId="3" fillId="0" borderId="0" xfId="0" applyNumberFormat="1" applyFont="1" applyAlignment="1">
      <alignment vertical="center"/>
    </xf>
    <xf numFmtId="0" fontId="24" fillId="0" borderId="0" xfId="0" applyFont="1"/>
    <xf numFmtId="165" fontId="24" fillId="0" borderId="0" xfId="0" applyNumberFormat="1" applyFont="1"/>
    <xf numFmtId="165" fontId="3" fillId="0" borderId="0" xfId="1" applyNumberFormat="1" applyFont="1" applyFill="1"/>
    <xf numFmtId="0" fontId="3" fillId="0" borderId="0" xfId="0" applyFont="1" applyAlignment="1">
      <alignment horizontal="left" vertical="center"/>
    </xf>
    <xf numFmtId="0" fontId="3" fillId="0" borderId="0" xfId="1" applyNumberFormat="1" applyFont="1" applyAlignment="1">
      <alignment horizontal="left" vertical="center"/>
    </xf>
    <xf numFmtId="0" fontId="3" fillId="0" borderId="0" xfId="0" applyFont="1" applyAlignment="1">
      <alignment vertical="center"/>
    </xf>
    <xf numFmtId="0" fontId="3" fillId="0" borderId="0" xfId="1" applyNumberFormat="1" applyFont="1" applyAlignment="1">
      <alignment vertical="center"/>
    </xf>
    <xf numFmtId="165" fontId="3" fillId="0" borderId="0" xfId="5" applyNumberFormat="1" applyFont="1" applyFill="1"/>
    <xf numFmtId="43" fontId="3" fillId="0" borderId="0" xfId="1" applyFont="1" applyFill="1"/>
    <xf numFmtId="0" fontId="6" fillId="0" borderId="0" xfId="1" applyNumberFormat="1" applyFont="1" applyBorder="1" applyAlignment="1">
      <alignment horizontal="left"/>
    </xf>
    <xf numFmtId="0" fontId="6" fillId="0" borderId="1" xfId="0" applyFont="1" applyBorder="1"/>
    <xf numFmtId="165" fontId="6" fillId="0" borderId="1" xfId="0" applyNumberFormat="1" applyFont="1" applyBorder="1"/>
    <xf numFmtId="165" fontId="3" fillId="0" borderId="1" xfId="1" applyNumberFormat="1" applyFont="1" applyBorder="1" applyAlignment="1">
      <alignment horizontal="right"/>
    </xf>
    <xf numFmtId="0" fontId="6" fillId="0" borderId="0" xfId="0" applyFont="1" applyAlignment="1">
      <alignment horizontal="center"/>
    </xf>
    <xf numFmtId="165" fontId="3" fillId="3" borderId="0" xfId="1" applyNumberFormat="1" applyFont="1" applyFill="1" applyBorder="1"/>
    <xf numFmtId="43" fontId="3" fillId="3" borderId="8" xfId="1" quotePrefix="1" applyFont="1" applyFill="1" applyBorder="1" applyAlignment="1">
      <alignment horizontal="center"/>
    </xf>
    <xf numFmtId="44" fontId="3" fillId="3" borderId="7" xfId="1" applyNumberFormat="1" applyFont="1" applyFill="1" applyBorder="1"/>
    <xf numFmtId="44" fontId="3" fillId="3" borderId="0" xfId="1" applyNumberFormat="1" applyFont="1" applyFill="1" applyBorder="1"/>
    <xf numFmtId="10" fontId="3" fillId="3" borderId="0" xfId="3" applyNumberFormat="1" applyFont="1" applyFill="1" applyBorder="1"/>
    <xf numFmtId="9" fontId="3" fillId="0" borderId="0" xfId="0" applyNumberFormat="1" applyFont="1"/>
    <xf numFmtId="0" fontId="3" fillId="2" borderId="0" xfId="0" applyFont="1" applyFill="1"/>
    <xf numFmtId="165" fontId="17" fillId="0" borderId="0" xfId="1" quotePrefix="1" applyNumberFormat="1" applyFont="1" applyFill="1" applyAlignment="1">
      <alignment horizontal="center" vertical="center"/>
    </xf>
    <xf numFmtId="165" fontId="18" fillId="0" borderId="0" xfId="1" applyNumberFormat="1" applyFont="1" applyFill="1" applyAlignment="1">
      <alignment vertical="center"/>
    </xf>
    <xf numFmtId="10" fontId="3" fillId="0" borderId="0" xfId="3" applyNumberFormat="1" applyFont="1"/>
    <xf numFmtId="165" fontId="9" fillId="0" borderId="0" xfId="1" applyNumberFormat="1" applyFont="1" applyFill="1" applyBorder="1" applyAlignment="1">
      <alignment vertical="center"/>
    </xf>
    <xf numFmtId="43" fontId="3" fillId="0" borderId="0" xfId="1" applyFont="1" applyFill="1" applyBorder="1"/>
    <xf numFmtId="43" fontId="9" fillId="0" borderId="0" xfId="1" applyFont="1" applyFill="1" applyBorder="1"/>
    <xf numFmtId="43" fontId="3" fillId="0" borderId="0" xfId="5" applyFont="1" applyBorder="1"/>
    <xf numFmtId="43" fontId="3" fillId="0" borderId="0" xfId="1" applyFont="1" applyAlignment="1">
      <alignment horizontal="left"/>
    </xf>
    <xf numFmtId="2" fontId="3" fillId="0" borderId="0" xfId="0" applyNumberFormat="1" applyFont="1"/>
    <xf numFmtId="168" fontId="3" fillId="0" borderId="0" xfId="5" applyNumberFormat="1" applyFont="1" applyFill="1"/>
    <xf numFmtId="44" fontId="3" fillId="0" borderId="0" xfId="2" applyFont="1" applyAlignment="1">
      <alignment horizontal="left"/>
    </xf>
    <xf numFmtId="165" fontId="3" fillId="0" borderId="0" xfId="1" applyNumberFormat="1" applyFont="1" applyFill="1" applyAlignment="1">
      <alignment horizontal="right" vertical="center"/>
    </xf>
    <xf numFmtId="165" fontId="7" fillId="0" borderId="0" xfId="1" quotePrefix="1" applyNumberFormat="1" applyFont="1" applyAlignment="1">
      <alignment horizontal="center" vertical="center"/>
    </xf>
    <xf numFmtId="16" fontId="3" fillId="0" borderId="0" xfId="0" applyNumberFormat="1" applyFont="1"/>
    <xf numFmtId="165" fontId="21" fillId="0" borderId="0" xfId="1" applyNumberFormat="1" applyFont="1" applyFill="1" applyAlignment="1">
      <alignment vertical="center"/>
    </xf>
    <xf numFmtId="43" fontId="3" fillId="4" borderId="0" xfId="1" applyFont="1" applyFill="1" applyBorder="1" applyAlignment="1"/>
    <xf numFmtId="164" fontId="3" fillId="0" borderId="0" xfId="2" applyNumberFormat="1" applyFont="1" applyFill="1"/>
    <xf numFmtId="0" fontId="3" fillId="4" borderId="0" xfId="0" applyFont="1" applyFill="1"/>
    <xf numFmtId="0" fontId="25" fillId="0" borderId="0" xfId="0" applyFont="1"/>
    <xf numFmtId="0" fontId="1" fillId="0" borderId="0" xfId="0" applyFont="1"/>
    <xf numFmtId="0" fontId="0" fillId="0" borderId="0" xfId="0" applyAlignment="1">
      <alignment horizontal="center"/>
    </xf>
    <xf numFmtId="164" fontId="3" fillId="5" borderId="0" xfId="0" applyNumberFormat="1" applyFont="1" applyFill="1"/>
    <xf numFmtId="164" fontId="3" fillId="5" borderId="0" xfId="6" applyNumberFormat="1" applyFont="1" applyFill="1"/>
    <xf numFmtId="164" fontId="3" fillId="5" borderId="0" xfId="2" applyNumberFormat="1" applyFont="1" applyFill="1" applyBorder="1"/>
    <xf numFmtId="0" fontId="3" fillId="6" borderId="0" xfId="0" applyFont="1" applyFill="1"/>
    <xf numFmtId="44" fontId="3" fillId="6" borderId="0" xfId="2" applyFont="1" applyFill="1"/>
    <xf numFmtId="0" fontId="6" fillId="6" borderId="0" xfId="0" applyFont="1" applyFill="1"/>
    <xf numFmtId="165" fontId="9" fillId="0" borderId="1" xfId="5" applyNumberFormat="1" applyFont="1" applyBorder="1"/>
    <xf numFmtId="0" fontId="3" fillId="0" borderId="0" xfId="5" applyNumberFormat="1" applyFont="1" applyBorder="1" applyAlignment="1">
      <alignment horizontal="left"/>
    </xf>
    <xf numFmtId="0" fontId="3" fillId="0" borderId="0" xfId="5" applyNumberFormat="1" applyFont="1" applyFill="1" applyBorder="1" applyAlignment="1">
      <alignment horizontal="right"/>
    </xf>
    <xf numFmtId="0" fontId="3" fillId="0" borderId="0" xfId="5" applyNumberFormat="1" applyFont="1" applyBorder="1" applyAlignment="1">
      <alignment horizontal="right"/>
    </xf>
    <xf numFmtId="164" fontId="3" fillId="0" borderId="1" xfId="5" applyNumberFormat="1" applyFont="1" applyBorder="1"/>
    <xf numFmtId="44" fontId="3" fillId="0" borderId="19" xfId="2" applyFont="1" applyBorder="1"/>
    <xf numFmtId="0" fontId="7" fillId="2" borderId="0" xfId="0" applyFont="1" applyFill="1"/>
    <xf numFmtId="44" fontId="3" fillId="2" borderId="0" xfId="10" applyFont="1" applyFill="1"/>
    <xf numFmtId="0" fontId="8" fillId="0" borderId="0" xfId="0" applyFont="1"/>
    <xf numFmtId="43" fontId="0" fillId="0" borderId="0" xfId="1" applyFont="1"/>
    <xf numFmtId="42" fontId="9" fillId="0" borderId="0" xfId="0" applyNumberFormat="1" applyFont="1"/>
    <xf numFmtId="9" fontId="3" fillId="0" borderId="0" xfId="3" applyFont="1" applyFill="1"/>
    <xf numFmtId="44" fontId="3" fillId="0" borderId="0" xfId="2" applyFont="1" applyFill="1"/>
    <xf numFmtId="0" fontId="26" fillId="0" borderId="0" xfId="0" applyFont="1" applyAlignment="1">
      <alignment horizontal="center" wrapText="1"/>
    </xf>
    <xf numFmtId="164" fontId="0" fillId="0" borderId="0" xfId="2" applyNumberFormat="1" applyFont="1"/>
    <xf numFmtId="165" fontId="3" fillId="0" borderId="0" xfId="1" quotePrefix="1" applyNumberFormat="1" applyFont="1" applyFill="1" applyAlignment="1">
      <alignment horizontal="left" vertical="center"/>
    </xf>
    <xf numFmtId="165" fontId="1" fillId="0" borderId="0" xfId="1" applyNumberFormat="1" applyFont="1" applyFill="1" applyAlignment="1">
      <alignment horizontal="left"/>
    </xf>
    <xf numFmtId="0" fontId="1" fillId="0" borderId="0" xfId="0" applyFont="1" applyAlignment="1">
      <alignment horizontal="left"/>
    </xf>
    <xf numFmtId="0" fontId="27" fillId="0" borderId="0" xfId="0" applyFont="1" applyAlignment="1">
      <alignment horizontal="left" wrapText="1"/>
    </xf>
    <xf numFmtId="0" fontId="1" fillId="0" borderId="0" xfId="0" applyFont="1" applyAlignment="1">
      <alignment horizontal="left" wrapText="1"/>
    </xf>
    <xf numFmtId="0" fontId="0" fillId="0" borderId="0" xfId="0" applyAlignment="1">
      <alignment horizontal="left"/>
    </xf>
    <xf numFmtId="0" fontId="0" fillId="0" borderId="0" xfId="0" applyAlignment="1">
      <alignment horizontal="left" wrapText="1"/>
    </xf>
    <xf numFmtId="0" fontId="1" fillId="0" borderId="0" xfId="0" applyFont="1" applyAlignment="1">
      <alignment horizontal="left" vertical="top" wrapText="1"/>
    </xf>
    <xf numFmtId="165" fontId="3" fillId="0" borderId="0" xfId="1" applyNumberFormat="1" applyFont="1" applyFill="1" applyBorder="1"/>
    <xf numFmtId="165" fontId="9" fillId="0" borderId="1" xfId="1" applyNumberFormat="1" applyFont="1" applyFill="1" applyBorder="1" applyAlignment="1">
      <alignment vertical="center"/>
    </xf>
    <xf numFmtId="165" fontId="9" fillId="0" borderId="1" xfId="1" applyNumberFormat="1" applyFont="1" applyBorder="1" applyAlignment="1">
      <alignment vertical="center"/>
    </xf>
    <xf numFmtId="165" fontId="3" fillId="0" borderId="1" xfId="1" applyNumberFormat="1" applyFont="1" applyBorder="1" applyAlignment="1">
      <alignment horizontal="center" vertical="center"/>
    </xf>
    <xf numFmtId="0" fontId="1" fillId="0" borderId="0" xfId="0" applyFont="1" applyAlignment="1">
      <alignment wrapText="1"/>
    </xf>
    <xf numFmtId="164" fontId="3" fillId="0" borderId="0" xfId="6" applyNumberFormat="1" applyFont="1" applyFill="1" applyBorder="1"/>
    <xf numFmtId="164" fontId="3" fillId="0" borderId="1" xfId="6" applyNumberFormat="1" applyFont="1" applyFill="1" applyBorder="1"/>
    <xf numFmtId="164" fontId="7" fillId="0" borderId="0" xfId="0" applyNumberFormat="1" applyFont="1"/>
    <xf numFmtId="165" fontId="3" fillId="4" borderId="0" xfId="1" applyNumberFormat="1" applyFont="1" applyFill="1"/>
    <xf numFmtId="0" fontId="0" fillId="0" borderId="0" xfId="0" applyAlignment="1">
      <alignment horizontal="center" vertical="top"/>
    </xf>
    <xf numFmtId="0" fontId="1" fillId="0" borderId="0" xfId="0" applyFont="1" applyAlignment="1">
      <alignment horizontal="center" vertical="top"/>
    </xf>
    <xf numFmtId="0" fontId="0" fillId="0" borderId="0" xfId="0" applyAlignment="1">
      <alignment vertical="top"/>
    </xf>
    <xf numFmtId="0" fontId="0" fillId="0" borderId="0" xfId="0" applyAlignment="1">
      <alignment vertical="center"/>
    </xf>
    <xf numFmtId="0" fontId="25" fillId="0" borderId="0" xfId="0" applyFont="1" applyAlignment="1">
      <alignment horizontal="center"/>
    </xf>
    <xf numFmtId="0" fontId="1" fillId="0" borderId="0" xfId="0" applyFont="1" applyAlignment="1">
      <alignment horizontal="center"/>
    </xf>
    <xf numFmtId="43" fontId="0" fillId="0" borderId="1" xfId="1" applyFont="1" applyBorder="1"/>
    <xf numFmtId="164" fontId="3" fillId="0" borderId="0" xfId="4" applyNumberFormat="1" applyFont="1" applyAlignment="1">
      <alignment horizontal="left" indent="1"/>
    </xf>
    <xf numFmtId="164" fontId="7" fillId="0" borderId="0" xfId="4" applyNumberFormat="1" applyFont="1" applyAlignment="1">
      <alignment horizontal="left" indent="1"/>
    </xf>
    <xf numFmtId="43" fontId="0" fillId="0" borderId="0" xfId="1" applyFont="1" applyFill="1"/>
    <xf numFmtId="42" fontId="3" fillId="0" borderId="1" xfId="0" applyNumberFormat="1" applyFont="1" applyBorder="1"/>
    <xf numFmtId="43" fontId="0" fillId="0" borderId="0" xfId="0" applyNumberFormat="1"/>
    <xf numFmtId="43" fontId="3" fillId="0" borderId="0" xfId="1" quotePrefix="1" applyFont="1"/>
    <xf numFmtId="10" fontId="9" fillId="0" borderId="0" xfId="3" applyNumberFormat="1" applyFont="1"/>
    <xf numFmtId="165" fontId="3" fillId="0" borderId="0" xfId="1" applyNumberFormat="1" applyFont="1" applyBorder="1" applyAlignment="1">
      <alignment horizontal="left"/>
    </xf>
    <xf numFmtId="44" fontId="3" fillId="3" borderId="0" xfId="2" applyFont="1" applyFill="1" applyBorder="1"/>
    <xf numFmtId="167" fontId="3" fillId="0" borderId="8" xfId="3" applyNumberFormat="1" applyFont="1" applyFill="1" applyBorder="1"/>
    <xf numFmtId="166" fontId="6" fillId="0" borderId="0" xfId="1" applyNumberFormat="1" applyFont="1" applyBorder="1" applyAlignment="1">
      <alignment horizontal="center"/>
    </xf>
    <xf numFmtId="9" fontId="3" fillId="0" borderId="0" xfId="3" applyFont="1" applyBorder="1" applyAlignment="1">
      <alignment vertical="center"/>
    </xf>
    <xf numFmtId="0" fontId="3" fillId="0" borderId="21" xfId="0" applyFont="1" applyBorder="1"/>
    <xf numFmtId="0" fontId="3" fillId="0" borderId="8" xfId="1" applyNumberFormat="1" applyFont="1" applyBorder="1" applyAlignment="1">
      <alignment horizontal="right"/>
    </xf>
    <xf numFmtId="165" fontId="3" fillId="0" borderId="8" xfId="1" applyNumberFormat="1" applyFont="1" applyBorder="1" applyAlignment="1">
      <alignment horizontal="right"/>
    </xf>
    <xf numFmtId="165" fontId="9" fillId="0" borderId="8" xfId="1" applyNumberFormat="1" applyFont="1" applyBorder="1"/>
    <xf numFmtId="0" fontId="3" fillId="0" borderId="8" xfId="0" applyFont="1" applyBorder="1"/>
    <xf numFmtId="0" fontId="3" fillId="0" borderId="22" xfId="0" applyFont="1" applyBorder="1"/>
    <xf numFmtId="165" fontId="3" fillId="0" borderId="7" xfId="5" applyNumberFormat="1" applyFont="1" applyFill="1" applyBorder="1" applyAlignment="1">
      <alignment horizontal="center"/>
    </xf>
    <xf numFmtId="165" fontId="3" fillId="0" borderId="8" xfId="5" applyNumberFormat="1" applyFont="1" applyFill="1" applyBorder="1" applyAlignment="1">
      <alignment horizontal="center"/>
    </xf>
    <xf numFmtId="165" fontId="3" fillId="0" borderId="0" xfId="5" applyNumberFormat="1" applyFont="1" applyFill="1" applyAlignment="1">
      <alignment horizontal="center"/>
    </xf>
    <xf numFmtId="164" fontId="0" fillId="0" borderId="0" xfId="2" applyNumberFormat="1" applyFont="1" applyFill="1"/>
    <xf numFmtId="165" fontId="0" fillId="0" borderId="0" xfId="1" applyNumberFormat="1" applyFont="1" applyFill="1"/>
    <xf numFmtId="165" fontId="4" fillId="0" borderId="0" xfId="1" applyNumberFormat="1" applyFont="1" applyAlignment="1">
      <alignment horizontal="center" vertical="center"/>
    </xf>
    <xf numFmtId="165" fontId="9" fillId="0" borderId="0" xfId="1" applyNumberFormat="1" applyFont="1" applyAlignment="1">
      <alignment horizontal="center"/>
    </xf>
    <xf numFmtId="0" fontId="0" fillId="0" borderId="0" xfId="0" applyAlignment="1">
      <alignment horizontal="center"/>
    </xf>
    <xf numFmtId="3" fontId="5" fillId="0" borderId="0" xfId="0" applyNumberFormat="1" applyFont="1" applyAlignment="1">
      <alignment horizontal="center"/>
    </xf>
    <xf numFmtId="3" fontId="11" fillId="0" borderId="0" xfId="0" applyNumberFormat="1" applyFont="1" applyAlignment="1">
      <alignment horizontal="center" vertical="center"/>
    </xf>
    <xf numFmtId="43" fontId="4" fillId="0" borderId="0" xfId="1" applyFont="1" applyBorder="1" applyAlignment="1">
      <alignment horizontal="center"/>
    </xf>
    <xf numFmtId="166" fontId="6" fillId="0" borderId="0" xfId="1" applyNumberFormat="1" applyFont="1" applyBorder="1" applyAlignment="1">
      <alignment horizontal="center"/>
    </xf>
    <xf numFmtId="3" fontId="4" fillId="0" borderId="0" xfId="0" applyNumberFormat="1" applyFont="1" applyAlignment="1">
      <alignment horizontal="center"/>
    </xf>
    <xf numFmtId="165" fontId="10" fillId="0" borderId="7" xfId="5" applyNumberFormat="1" applyFont="1" applyBorder="1" applyAlignment="1">
      <alignment horizontal="center" vertical="center"/>
    </xf>
    <xf numFmtId="165" fontId="10" fillId="0" borderId="8" xfId="5" applyNumberFormat="1" applyFont="1" applyBorder="1" applyAlignment="1">
      <alignment horizontal="center" vertical="center"/>
    </xf>
    <xf numFmtId="0" fontId="5" fillId="0" borderId="0" xfId="0" applyFont="1" applyAlignment="1">
      <alignment horizontal="center"/>
    </xf>
    <xf numFmtId="0" fontId="5" fillId="0" borderId="8" xfId="0" applyFont="1" applyBorder="1" applyAlignment="1">
      <alignment horizontal="center"/>
    </xf>
    <xf numFmtId="3" fontId="11" fillId="0" borderId="8" xfId="0" applyNumberFormat="1" applyFont="1" applyBorder="1" applyAlignment="1">
      <alignment horizontal="center" vertical="center"/>
    </xf>
    <xf numFmtId="165" fontId="4" fillId="0" borderId="2" xfId="1" applyNumberFormat="1" applyFont="1" applyBorder="1" applyAlignment="1">
      <alignment horizontal="center"/>
    </xf>
    <xf numFmtId="165" fontId="4" fillId="0" borderId="4" xfId="1" applyNumberFormat="1" applyFont="1" applyBorder="1" applyAlignment="1">
      <alignment horizontal="center"/>
    </xf>
    <xf numFmtId="0" fontId="20" fillId="0" borderId="0" xfId="0" applyFont="1" applyAlignment="1">
      <alignment horizontal="center"/>
    </xf>
    <xf numFmtId="3" fontId="4" fillId="0" borderId="0" xfId="0" applyNumberFormat="1" applyFont="1" applyAlignment="1">
      <alignment horizontal="center" vertical="center"/>
    </xf>
    <xf numFmtId="165" fontId="11" fillId="0" borderId="0" xfId="5" applyNumberFormat="1" applyFont="1" applyBorder="1" applyAlignment="1">
      <alignment horizontal="center" vertical="center"/>
    </xf>
    <xf numFmtId="37" fontId="3" fillId="0" borderId="0" xfId="0" applyNumberFormat="1" applyFont="1" applyAlignment="1">
      <alignment horizontal="center"/>
    </xf>
    <xf numFmtId="0" fontId="7" fillId="0" borderId="0" xfId="0" applyFont="1" applyAlignment="1">
      <alignment horizontal="center"/>
    </xf>
    <xf numFmtId="0" fontId="7" fillId="0" borderId="14" xfId="0" applyFont="1" applyBorder="1" applyAlignment="1">
      <alignment horizontal="center"/>
    </xf>
  </cellXfs>
  <cellStyles count="11">
    <cellStyle name="Comma" xfId="1" builtinId="3"/>
    <cellStyle name="Comma 2" xfId="5" xr:uid="{00000000-0005-0000-0000-000001000000}"/>
    <cellStyle name="Comma 3" xfId="9" xr:uid="{00000000-0005-0000-0000-000002000000}"/>
    <cellStyle name="Currency" xfId="2" builtinId="4"/>
    <cellStyle name="Currency 2" xfId="6" xr:uid="{00000000-0005-0000-0000-000004000000}"/>
    <cellStyle name="Currency 3" xfId="10" xr:uid="{00000000-0005-0000-0000-000005000000}"/>
    <cellStyle name="Normal" xfId="0" builtinId="0"/>
    <cellStyle name="Normal 2" xfId="4" xr:uid="{00000000-0005-0000-0000-000007000000}"/>
    <cellStyle name="Normal 3" xfId="8" xr:uid="{00000000-0005-0000-0000-000008000000}"/>
    <cellStyle name="Percent" xfId="3" builtinId="5"/>
    <cellStyle name="Percent 2" xfId="7" xr:uid="{00000000-0005-0000-0000-00000A00000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70"/>
  <sheetViews>
    <sheetView showGridLines="0" tabSelected="1" workbookViewId="0">
      <selection activeCell="K7" sqref="K7"/>
    </sheetView>
  </sheetViews>
  <sheetFormatPr defaultColWidth="8.765625" defaultRowHeight="14.5" x14ac:dyDescent="0.35"/>
  <cols>
    <col min="1" max="1" width="3.69140625" style="5" customWidth="1"/>
    <col min="2" max="2" width="2.69140625" style="5" customWidth="1"/>
    <col min="3" max="3" width="29.4609375" style="5" customWidth="1"/>
    <col min="4" max="4" width="11.3046875" style="5" customWidth="1"/>
    <col min="5" max="5" width="11.53515625" style="5" customWidth="1"/>
    <col min="6" max="6" width="5.3046875" style="5" customWidth="1"/>
    <col min="7" max="7" width="11.53515625" style="5" customWidth="1"/>
    <col min="8" max="8" width="3.61328125" style="5" customWidth="1"/>
    <col min="9" max="9" width="73.765625" style="5" bestFit="1" customWidth="1"/>
    <col min="10" max="10" width="1.765625" style="5" customWidth="1"/>
    <col min="11" max="11" width="10.84375" style="5" customWidth="1"/>
    <col min="12" max="16384" width="8.765625" style="5"/>
  </cols>
  <sheetData>
    <row r="1" spans="1:11" ht="18.5" x14ac:dyDescent="0.35">
      <c r="A1" s="437" t="s">
        <v>28</v>
      </c>
      <c r="B1" s="437"/>
      <c r="C1" s="437"/>
      <c r="D1" s="437"/>
      <c r="E1" s="437"/>
      <c r="F1" s="437"/>
      <c r="G1" s="437"/>
      <c r="H1" s="46"/>
      <c r="I1" s="46"/>
      <c r="J1" s="46"/>
    </row>
    <row r="2" spans="1:11" ht="15.5" x14ac:dyDescent="0.35">
      <c r="A2" s="47" t="s">
        <v>250</v>
      </c>
      <c r="B2" s="45"/>
      <c r="C2" s="45"/>
      <c r="D2" s="45"/>
      <c r="E2" s="45"/>
      <c r="F2" s="45"/>
      <c r="G2" s="45"/>
      <c r="H2" s="46"/>
      <c r="I2" s="46"/>
      <c r="J2" s="46"/>
      <c r="K2" s="46"/>
    </row>
    <row r="3" spans="1:11" x14ac:dyDescent="0.35">
      <c r="A3" s="35"/>
      <c r="B3" s="45"/>
      <c r="C3" s="45"/>
      <c r="D3" s="360" t="s">
        <v>329</v>
      </c>
      <c r="E3" s="45"/>
      <c r="F3" s="45"/>
      <c r="G3" s="45"/>
      <c r="H3" s="46"/>
      <c r="I3" s="46"/>
      <c r="J3" s="46"/>
    </row>
    <row r="4" spans="1:11" ht="16" x14ac:dyDescent="0.35">
      <c r="A4" s="46"/>
      <c r="B4" s="46"/>
      <c r="C4" s="46"/>
      <c r="D4" s="48" t="s">
        <v>29</v>
      </c>
      <c r="E4" s="48" t="s">
        <v>30</v>
      </c>
      <c r="F4" s="48" t="s">
        <v>31</v>
      </c>
      <c r="G4" s="48" t="s">
        <v>32</v>
      </c>
      <c r="H4" s="46"/>
      <c r="I4" s="59" t="s">
        <v>37</v>
      </c>
      <c r="J4" s="46"/>
      <c r="K4" s="229" t="s">
        <v>188</v>
      </c>
    </row>
    <row r="5" spans="1:11" x14ac:dyDescent="0.35">
      <c r="A5" s="49" t="s">
        <v>14</v>
      </c>
      <c r="B5" s="46"/>
      <c r="C5" s="46"/>
      <c r="D5" s="311"/>
      <c r="F5" s="46"/>
      <c r="G5" s="46"/>
      <c r="H5" s="46"/>
      <c r="J5" s="46"/>
    </row>
    <row r="6" spans="1:11" x14ac:dyDescent="0.35">
      <c r="A6" s="46"/>
      <c r="B6" s="46" t="s">
        <v>39</v>
      </c>
      <c r="C6" s="46"/>
      <c r="D6" s="311">
        <v>3077405</v>
      </c>
      <c r="E6" s="311">
        <f>-'Misc. service revenues'!F42</f>
        <v>-47858.44000000001</v>
      </c>
      <c r="F6" s="50" t="s">
        <v>222</v>
      </c>
      <c r="G6" s="311"/>
      <c r="H6" s="51"/>
      <c r="I6" s="5" t="s">
        <v>417</v>
      </c>
      <c r="K6" s="5" t="s">
        <v>521</v>
      </c>
    </row>
    <row r="7" spans="1:11" x14ac:dyDescent="0.35">
      <c r="A7" s="46"/>
      <c r="B7" s="46"/>
      <c r="C7" s="46"/>
      <c r="D7" s="311"/>
      <c r="E7" s="311">
        <f>ExBA!G11</f>
        <v>-188327.75</v>
      </c>
      <c r="F7" s="50" t="s">
        <v>223</v>
      </c>
      <c r="G7" s="46">
        <f>D6+E6+E7</f>
        <v>2841218.81</v>
      </c>
      <c r="H7" s="52"/>
      <c r="I7" s="311" t="s">
        <v>520</v>
      </c>
      <c r="J7" s="46"/>
      <c r="K7" s="5" t="s">
        <v>215</v>
      </c>
    </row>
    <row r="8" spans="1:11" x14ac:dyDescent="0.35">
      <c r="A8" s="46"/>
      <c r="B8" s="46"/>
      <c r="C8" s="46"/>
      <c r="D8" s="311"/>
      <c r="E8" s="311"/>
      <c r="F8" s="50"/>
      <c r="G8" s="46"/>
      <c r="H8" s="51"/>
      <c r="I8" s="390"/>
      <c r="J8" s="46"/>
    </row>
    <row r="9" spans="1:11" x14ac:dyDescent="0.35">
      <c r="A9" s="46"/>
      <c r="B9" s="46"/>
      <c r="C9" s="46"/>
      <c r="D9" s="311"/>
      <c r="E9" s="46"/>
      <c r="F9" s="50"/>
      <c r="G9" s="46"/>
      <c r="H9" s="51"/>
      <c r="I9" s="348"/>
      <c r="J9" s="46"/>
    </row>
    <row r="10" spans="1:11" x14ac:dyDescent="0.35">
      <c r="A10" s="46"/>
      <c r="B10" s="46" t="s">
        <v>16</v>
      </c>
      <c r="C10" s="46"/>
      <c r="D10" s="311"/>
      <c r="E10" s="46"/>
      <c r="F10" s="50"/>
      <c r="G10" s="46"/>
      <c r="H10" s="53"/>
      <c r="I10" s="311"/>
      <c r="J10" s="46"/>
    </row>
    <row r="11" spans="1:11" x14ac:dyDescent="0.35">
      <c r="A11" s="46"/>
      <c r="B11" s="46"/>
      <c r="C11" s="46" t="s">
        <v>38</v>
      </c>
      <c r="D11" s="311"/>
      <c r="E11" s="46"/>
      <c r="F11" s="50"/>
      <c r="G11" s="46">
        <f>D11+E11</f>
        <v>0</v>
      </c>
      <c r="H11" s="51"/>
      <c r="I11" s="311"/>
      <c r="J11" s="46"/>
    </row>
    <row r="12" spans="1:11" x14ac:dyDescent="0.35">
      <c r="A12" s="46"/>
      <c r="B12" s="46"/>
      <c r="C12" s="46" t="s">
        <v>186</v>
      </c>
      <c r="D12" s="311"/>
      <c r="E12" s="311">
        <f>'Misc. service revenues'!F42</f>
        <v>47858.44000000001</v>
      </c>
      <c r="F12" s="50" t="s">
        <v>222</v>
      </c>
      <c r="G12" s="46">
        <f>D12+E12</f>
        <v>47858.44000000001</v>
      </c>
      <c r="H12" s="51"/>
      <c r="I12" s="5" t="s">
        <v>417</v>
      </c>
      <c r="J12" s="46"/>
      <c r="K12" s="5" t="s">
        <v>535</v>
      </c>
    </row>
    <row r="13" spans="1:11" ht="16" x14ac:dyDescent="0.35">
      <c r="A13" s="46"/>
      <c r="B13" s="46"/>
      <c r="C13" s="46"/>
      <c r="D13" s="399"/>
      <c r="E13" s="400"/>
      <c r="F13" s="401"/>
      <c r="G13" s="400"/>
      <c r="H13" s="51"/>
      <c r="I13" s="311"/>
      <c r="J13" s="46"/>
    </row>
    <row r="14" spans="1:11" x14ac:dyDescent="0.35">
      <c r="A14" s="54" t="s">
        <v>17</v>
      </c>
      <c r="B14" s="46"/>
      <c r="C14" s="46"/>
      <c r="D14" s="311">
        <f>SUM(D6:D13)</f>
        <v>3077405</v>
      </c>
      <c r="E14" s="46">
        <f>SUM(E6:E13)</f>
        <v>-188327.75</v>
      </c>
      <c r="F14" s="50"/>
      <c r="G14" s="311">
        <f>SUM(G6:G13)</f>
        <v>2889077.25</v>
      </c>
      <c r="H14" s="53"/>
      <c r="I14" s="329"/>
      <c r="J14" s="46"/>
    </row>
    <row r="15" spans="1:11" x14ac:dyDescent="0.35">
      <c r="A15" s="46"/>
      <c r="B15" s="46"/>
      <c r="C15" s="46"/>
      <c r="D15" s="311"/>
      <c r="E15" s="46"/>
      <c r="F15" s="50"/>
      <c r="G15" s="46"/>
      <c r="H15" s="53"/>
      <c r="I15" s="311"/>
      <c r="J15" s="46"/>
    </row>
    <row r="16" spans="1:11" x14ac:dyDescent="0.35">
      <c r="A16" s="49" t="s">
        <v>18</v>
      </c>
      <c r="B16" s="46"/>
      <c r="C16" s="46"/>
      <c r="D16" s="311"/>
      <c r="E16" s="46"/>
      <c r="F16" s="50"/>
      <c r="G16" s="46"/>
      <c r="H16" s="53"/>
      <c r="I16" s="311"/>
      <c r="J16" s="46"/>
    </row>
    <row r="17" spans="1:11" x14ac:dyDescent="0.35">
      <c r="A17" s="46"/>
      <c r="B17" s="46" t="s">
        <v>33</v>
      </c>
      <c r="C17" s="46"/>
      <c r="D17" s="311"/>
      <c r="E17" s="46"/>
      <c r="F17" s="50"/>
      <c r="G17" s="46"/>
      <c r="H17" s="53"/>
      <c r="I17" s="311"/>
      <c r="J17" s="46"/>
    </row>
    <row r="18" spans="1:11" x14ac:dyDescent="0.35">
      <c r="A18" s="46"/>
      <c r="B18" s="46"/>
      <c r="C18" s="46" t="s">
        <v>2</v>
      </c>
      <c r="D18" s="311">
        <v>667593</v>
      </c>
      <c r="E18" s="311">
        <f>-Capital!C7</f>
        <v>-11520</v>
      </c>
      <c r="F18" s="55" t="s">
        <v>224</v>
      </c>
      <c r="G18" s="46"/>
      <c r="H18" s="51"/>
      <c r="I18" s="329" t="s">
        <v>212</v>
      </c>
      <c r="J18" s="46"/>
      <c r="K18" s="5" t="s">
        <v>216</v>
      </c>
    </row>
    <row r="19" spans="1:11" x14ac:dyDescent="0.35">
      <c r="A19" s="46"/>
      <c r="B19" s="46"/>
      <c r="C19" s="46"/>
      <c r="D19" s="311"/>
      <c r="E19" s="211">
        <f>Wages!H33</f>
        <v>48052.155000000028</v>
      </c>
      <c r="F19" s="55" t="s">
        <v>225</v>
      </c>
      <c r="G19" s="46"/>
      <c r="H19" s="51"/>
      <c r="I19" s="311" t="s">
        <v>388</v>
      </c>
      <c r="J19" s="46"/>
      <c r="K19" s="5" t="s">
        <v>423</v>
      </c>
    </row>
    <row r="20" spans="1:11" x14ac:dyDescent="0.35">
      <c r="A20" s="46"/>
      <c r="B20" s="46"/>
      <c r="C20" s="46"/>
      <c r="D20" s="311"/>
      <c r="E20" s="211"/>
      <c r="F20" s="55"/>
      <c r="G20" s="46">
        <f>D18+E18+E19</f>
        <v>704125.15500000003</v>
      </c>
      <c r="H20" s="51"/>
      <c r="I20" s="311"/>
      <c r="J20" s="46"/>
    </row>
    <row r="21" spans="1:11" x14ac:dyDescent="0.35">
      <c r="A21" s="46"/>
      <c r="B21" s="46"/>
      <c r="C21" s="46" t="s">
        <v>3</v>
      </c>
      <c r="D21" s="311">
        <v>32500</v>
      </c>
      <c r="E21" s="46">
        <v>-2500</v>
      </c>
      <c r="F21" s="50" t="s">
        <v>226</v>
      </c>
      <c r="G21" s="46">
        <f>D21+E21</f>
        <v>30000</v>
      </c>
      <c r="H21" s="51"/>
      <c r="I21" s="329" t="s">
        <v>385</v>
      </c>
    </row>
    <row r="22" spans="1:11" x14ac:dyDescent="0.35">
      <c r="A22" s="46"/>
      <c r="B22" s="46"/>
      <c r="C22" s="46" t="s">
        <v>4</v>
      </c>
      <c r="D22" s="311">
        <v>238631</v>
      </c>
      <c r="E22" s="311">
        <f>Wages!H45</f>
        <v>-18272.585606000008</v>
      </c>
      <c r="F22" s="55" t="s">
        <v>227</v>
      </c>
      <c r="G22" s="46"/>
      <c r="H22" s="51"/>
      <c r="I22" s="311" t="s">
        <v>450</v>
      </c>
      <c r="J22" s="46"/>
      <c r="K22" s="5" t="s">
        <v>217</v>
      </c>
    </row>
    <row r="23" spans="1:11" x14ac:dyDescent="0.35">
      <c r="A23" s="46"/>
      <c r="B23" s="46"/>
      <c r="C23" s="46"/>
      <c r="D23" s="311"/>
      <c r="E23" s="359">
        <f>Medical!C40</f>
        <v>-65702.411999999982</v>
      </c>
      <c r="F23" s="55" t="s">
        <v>229</v>
      </c>
      <c r="G23" s="46"/>
      <c r="H23" s="51"/>
      <c r="I23" s="311" t="s">
        <v>451</v>
      </c>
      <c r="J23" s="46"/>
      <c r="K23" s="5" t="s">
        <v>218</v>
      </c>
    </row>
    <row r="24" spans="1:11" x14ac:dyDescent="0.35">
      <c r="A24" s="46"/>
      <c r="B24" s="46"/>
      <c r="C24" s="46"/>
      <c r="D24" s="311"/>
      <c r="E24" s="203"/>
      <c r="F24" s="55"/>
      <c r="G24" s="219">
        <f>D22+E22+E23</f>
        <v>154656.00239400001</v>
      </c>
      <c r="H24" s="51"/>
      <c r="I24" s="362"/>
      <c r="J24" s="46"/>
    </row>
    <row r="25" spans="1:11" x14ac:dyDescent="0.35">
      <c r="A25" s="46"/>
      <c r="B25" s="46"/>
      <c r="C25" s="46" t="s">
        <v>5</v>
      </c>
      <c r="D25" s="311"/>
      <c r="E25" s="211">
        <f>'Water Loss'!D19</f>
        <v>0</v>
      </c>
      <c r="F25" s="55"/>
      <c r="G25" s="46">
        <f>D25+E25</f>
        <v>0</v>
      </c>
      <c r="H25" s="56"/>
      <c r="I25" s="329"/>
    </row>
    <row r="26" spans="1:11" x14ac:dyDescent="0.35">
      <c r="A26" s="46"/>
      <c r="B26" s="46"/>
      <c r="C26" s="46" t="s">
        <v>6</v>
      </c>
      <c r="D26" s="311"/>
      <c r="E26" s="359">
        <v>344115.03</v>
      </c>
      <c r="F26" s="55" t="s">
        <v>230</v>
      </c>
      <c r="G26" s="46"/>
      <c r="H26" s="57"/>
      <c r="I26" s="329" t="s">
        <v>419</v>
      </c>
      <c r="J26" s="46"/>
      <c r="K26" s="5" t="s">
        <v>421</v>
      </c>
    </row>
    <row r="27" spans="1:11" x14ac:dyDescent="0.35">
      <c r="A27" s="46"/>
      <c r="B27" s="46"/>
      <c r="C27" s="46"/>
      <c r="D27" s="311"/>
      <c r="E27" s="359">
        <f>'Water Loss'!D20</f>
        <v>-169480.36621122443</v>
      </c>
      <c r="F27" s="55" t="s">
        <v>231</v>
      </c>
      <c r="G27" s="46">
        <f>E26+E27</f>
        <v>174634.66378877559</v>
      </c>
      <c r="H27" s="57"/>
      <c r="I27" s="15" t="s">
        <v>294</v>
      </c>
      <c r="J27" s="46"/>
      <c r="K27" s="5" t="s">
        <v>295</v>
      </c>
    </row>
    <row r="28" spans="1:11" x14ac:dyDescent="0.35">
      <c r="A28" s="46"/>
      <c r="B28" s="46"/>
      <c r="C28" s="46" t="s">
        <v>189</v>
      </c>
      <c r="D28" s="311"/>
      <c r="E28" s="46"/>
      <c r="F28" s="55"/>
      <c r="G28" s="46">
        <f>D28+E28</f>
        <v>0</v>
      </c>
      <c r="H28" s="57"/>
      <c r="I28" s="329"/>
      <c r="J28" s="46"/>
    </row>
    <row r="29" spans="1:11" x14ac:dyDescent="0.35">
      <c r="A29" s="46"/>
      <c r="B29" s="46"/>
      <c r="C29" s="46"/>
      <c r="D29" s="311"/>
      <c r="E29" s="46"/>
      <c r="F29" s="55"/>
      <c r="G29" s="46"/>
      <c r="H29" s="57"/>
      <c r="I29" s="334"/>
      <c r="J29" s="46"/>
    </row>
    <row r="30" spans="1:11" x14ac:dyDescent="0.35">
      <c r="A30" s="46"/>
      <c r="B30" s="46"/>
      <c r="C30" s="46" t="s">
        <v>86</v>
      </c>
      <c r="D30" s="311"/>
      <c r="E30" s="311">
        <v>255589</v>
      </c>
      <c r="F30" s="55" t="s">
        <v>232</v>
      </c>
      <c r="G30" s="46"/>
      <c r="H30" s="57"/>
      <c r="I30" s="329" t="s">
        <v>418</v>
      </c>
      <c r="J30" s="46"/>
      <c r="K30" s="5" t="s">
        <v>420</v>
      </c>
    </row>
    <row r="31" spans="1:11" x14ac:dyDescent="0.35">
      <c r="A31" s="46"/>
      <c r="B31" s="46"/>
      <c r="C31" s="46"/>
      <c r="D31" s="311"/>
      <c r="E31" s="46">
        <f>'Water Loss'!D21</f>
        <v>-125880.3409998123</v>
      </c>
      <c r="F31" s="55" t="s">
        <v>231</v>
      </c>
      <c r="G31" s="46">
        <f>E30+E31</f>
        <v>129708.6590001877</v>
      </c>
      <c r="H31" s="57"/>
      <c r="I31" s="15" t="s">
        <v>294</v>
      </c>
      <c r="J31" s="46"/>
      <c r="K31" s="5" t="s">
        <v>296</v>
      </c>
    </row>
    <row r="32" spans="1:11" x14ac:dyDescent="0.35">
      <c r="A32" s="46"/>
      <c r="B32" s="46"/>
      <c r="C32" s="46" t="s">
        <v>7</v>
      </c>
      <c r="D32" s="311"/>
      <c r="E32" s="311">
        <v>76482</v>
      </c>
      <c r="F32" s="55" t="s">
        <v>233</v>
      </c>
      <c r="G32" s="46"/>
      <c r="H32" s="51"/>
      <c r="I32" s="329" t="s">
        <v>293</v>
      </c>
      <c r="J32" s="46"/>
      <c r="K32" s="5" t="s">
        <v>421</v>
      </c>
    </row>
    <row r="33" spans="1:11" x14ac:dyDescent="0.35">
      <c r="A33" s="46"/>
      <c r="B33" s="46"/>
      <c r="C33" s="46"/>
      <c r="D33" s="311"/>
      <c r="E33" s="311">
        <f>-Capital!C8</f>
        <v>-26880</v>
      </c>
      <c r="F33" s="55" t="s">
        <v>224</v>
      </c>
      <c r="G33" s="46">
        <f>D32+E32+E33</f>
        <v>49602</v>
      </c>
      <c r="H33" s="51"/>
      <c r="I33" s="311" t="s">
        <v>213</v>
      </c>
      <c r="J33" s="46"/>
      <c r="K33" s="5" t="s">
        <v>219</v>
      </c>
    </row>
    <row r="34" spans="1:11" x14ac:dyDescent="0.35">
      <c r="A34" s="46"/>
      <c r="B34" s="46"/>
      <c r="C34" s="46" t="s">
        <v>8</v>
      </c>
      <c r="D34" s="311">
        <v>23624</v>
      </c>
      <c r="E34" s="46">
        <v>0</v>
      </c>
      <c r="F34" s="55"/>
      <c r="G34" s="46">
        <f t="shared" ref="G34:G41" si="0">D34+E34</f>
        <v>23624</v>
      </c>
      <c r="H34" s="51"/>
      <c r="I34" s="311"/>
      <c r="J34" s="46"/>
    </row>
    <row r="35" spans="1:11" x14ac:dyDescent="0.35">
      <c r="A35" s="46"/>
      <c r="B35" s="46"/>
      <c r="C35" s="46" t="s">
        <v>260</v>
      </c>
      <c r="D35" s="311"/>
      <c r="E35" s="46">
        <v>13972</v>
      </c>
      <c r="F35" s="55" t="s">
        <v>234</v>
      </c>
      <c r="G35" s="46">
        <f t="shared" si="0"/>
        <v>13972</v>
      </c>
      <c r="H35" s="51"/>
      <c r="I35" s="329" t="s">
        <v>293</v>
      </c>
      <c r="J35" s="46"/>
    </row>
    <row r="36" spans="1:11" x14ac:dyDescent="0.35">
      <c r="A36" s="46"/>
      <c r="B36" s="46"/>
      <c r="C36" s="46" t="s">
        <v>56</v>
      </c>
      <c r="D36" s="311"/>
      <c r="E36" s="46">
        <v>0</v>
      </c>
      <c r="F36" s="55"/>
      <c r="G36" s="46">
        <f t="shared" si="0"/>
        <v>0</v>
      </c>
      <c r="H36" s="51"/>
      <c r="I36" s="311"/>
      <c r="J36" s="46"/>
    </row>
    <row r="37" spans="1:11" x14ac:dyDescent="0.35">
      <c r="A37" s="46"/>
      <c r="B37" s="46"/>
      <c r="C37" s="46" t="s">
        <v>10</v>
      </c>
      <c r="D37" s="311">
        <v>53442</v>
      </c>
      <c r="E37" s="46">
        <v>0</v>
      </c>
      <c r="F37" s="55"/>
      <c r="G37" s="46">
        <f t="shared" si="0"/>
        <v>53442</v>
      </c>
      <c r="H37" s="53"/>
      <c r="I37" s="311"/>
      <c r="J37" s="46"/>
    </row>
    <row r="38" spans="1:11" x14ac:dyDescent="0.35">
      <c r="A38" s="46"/>
      <c r="B38" s="46"/>
      <c r="C38" s="46" t="s">
        <v>259</v>
      </c>
      <c r="D38" s="311">
        <v>1092</v>
      </c>
      <c r="E38" s="46">
        <v>0</v>
      </c>
      <c r="F38" s="55"/>
      <c r="G38" s="46">
        <f t="shared" si="0"/>
        <v>1092</v>
      </c>
      <c r="H38" s="53"/>
      <c r="I38" s="311"/>
      <c r="J38" s="46"/>
    </row>
    <row r="39" spans="1:11" x14ac:dyDescent="0.35">
      <c r="A39" s="46"/>
      <c r="B39" s="46"/>
      <c r="C39" s="46" t="s">
        <v>34</v>
      </c>
      <c r="D39" s="311">
        <v>234054</v>
      </c>
      <c r="E39" s="46">
        <v>0</v>
      </c>
      <c r="F39" s="55"/>
      <c r="G39" s="46">
        <f t="shared" si="0"/>
        <v>234054</v>
      </c>
      <c r="H39" s="53"/>
      <c r="I39" s="311"/>
      <c r="J39" s="46"/>
    </row>
    <row r="40" spans="1:11" x14ac:dyDescent="0.35">
      <c r="A40" s="46"/>
      <c r="B40" s="46"/>
      <c r="C40" s="46" t="s">
        <v>57</v>
      </c>
      <c r="D40" s="311"/>
      <c r="E40" s="46">
        <v>0</v>
      </c>
      <c r="F40" s="55"/>
      <c r="G40" s="46">
        <f t="shared" si="0"/>
        <v>0</v>
      </c>
      <c r="H40" s="53"/>
      <c r="I40" s="311"/>
      <c r="J40" s="46"/>
    </row>
    <row r="41" spans="1:11" x14ac:dyDescent="0.35">
      <c r="A41" s="46"/>
      <c r="B41" s="46"/>
      <c r="C41" s="46" t="s">
        <v>58</v>
      </c>
      <c r="D41" s="311"/>
      <c r="E41" s="46">
        <v>0</v>
      </c>
      <c r="F41" s="50"/>
      <c r="G41" s="46">
        <f t="shared" si="0"/>
        <v>0</v>
      </c>
      <c r="H41" s="53"/>
      <c r="I41" s="311"/>
      <c r="J41" s="46"/>
    </row>
    <row r="42" spans="1:11" x14ac:dyDescent="0.35">
      <c r="A42" s="46"/>
      <c r="B42" s="46"/>
      <c r="C42" s="46" t="s">
        <v>9</v>
      </c>
      <c r="D42" s="311">
        <v>853327</v>
      </c>
      <c r="E42" s="211">
        <f>-E32</f>
        <v>-76482</v>
      </c>
      <c r="F42" s="50" t="s">
        <v>233</v>
      </c>
      <c r="G42" s="46"/>
      <c r="H42" s="53"/>
      <c r="I42" s="5" t="s">
        <v>422</v>
      </c>
      <c r="J42" s="46"/>
    </row>
    <row r="43" spans="1:11" x14ac:dyDescent="0.35">
      <c r="A43" s="46"/>
      <c r="B43" s="46"/>
      <c r="C43" s="46"/>
      <c r="D43" s="311"/>
      <c r="E43" s="211">
        <f>-E26</f>
        <v>-344115.03</v>
      </c>
      <c r="F43" s="50" t="s">
        <v>230</v>
      </c>
      <c r="G43" s="46"/>
      <c r="H43" s="53"/>
      <c r="I43" s="329" t="s">
        <v>309</v>
      </c>
      <c r="J43" s="46"/>
    </row>
    <row r="44" spans="1:11" x14ac:dyDescent="0.35">
      <c r="A44" s="46"/>
      <c r="B44" s="46"/>
      <c r="C44" s="46"/>
      <c r="D44" s="311"/>
      <c r="E44" s="46">
        <v>-255589</v>
      </c>
      <c r="F44" s="50" t="s">
        <v>232</v>
      </c>
      <c r="G44" s="46"/>
      <c r="H44" s="53"/>
      <c r="I44" s="311" t="s">
        <v>452</v>
      </c>
      <c r="J44" s="46"/>
    </row>
    <row r="45" spans="1:11" ht="16" x14ac:dyDescent="0.35">
      <c r="A45" s="46"/>
      <c r="B45" s="46"/>
      <c r="D45" s="351">
        <v>0</v>
      </c>
      <c r="E45" s="312">
        <v>-13972</v>
      </c>
      <c r="F45" s="55" t="s">
        <v>234</v>
      </c>
      <c r="G45" s="220">
        <f>D42+E42+E44+E45</f>
        <v>507284</v>
      </c>
      <c r="H45" s="53"/>
      <c r="I45" s="311" t="s">
        <v>453</v>
      </c>
      <c r="J45" s="46"/>
    </row>
    <row r="46" spans="1:11" x14ac:dyDescent="0.35">
      <c r="A46" s="46"/>
      <c r="B46" s="46" t="s">
        <v>534</v>
      </c>
      <c r="C46" s="46"/>
      <c r="D46" s="311">
        <f>SUM(D18:D45)</f>
        <v>2104263</v>
      </c>
      <c r="E46" s="46">
        <f>SUM(E18:E45)</f>
        <v>-372183.54981703666</v>
      </c>
      <c r="F46" s="50"/>
      <c r="G46" s="46">
        <f>SUM(G18:G45)</f>
        <v>2076194.4801829634</v>
      </c>
      <c r="H46" s="53"/>
      <c r="I46" s="311"/>
      <c r="J46" s="46"/>
    </row>
    <row r="47" spans="1:11" ht="4" customHeight="1" x14ac:dyDescent="0.35">
      <c r="A47" s="46"/>
      <c r="B47" s="46"/>
      <c r="C47" s="46"/>
      <c r="D47" s="311"/>
      <c r="E47" s="46"/>
      <c r="F47" s="50"/>
      <c r="G47" s="46"/>
      <c r="H47" s="53"/>
      <c r="I47" s="311"/>
      <c r="J47" s="46"/>
    </row>
    <row r="48" spans="1:11" ht="17.5" customHeight="1" x14ac:dyDescent="0.35">
      <c r="A48" s="46"/>
      <c r="B48" s="46" t="s">
        <v>334</v>
      </c>
      <c r="C48" s="46"/>
      <c r="D48" s="311"/>
      <c r="E48" s="46">
        <f>8250/3</f>
        <v>2750</v>
      </c>
      <c r="F48" s="50" t="s">
        <v>228</v>
      </c>
      <c r="G48" s="46">
        <f>D48+E48</f>
        <v>2750</v>
      </c>
      <c r="H48" s="53"/>
      <c r="I48" s="311" t="s">
        <v>335</v>
      </c>
      <c r="J48" s="46"/>
      <c r="K48" s="5" t="s">
        <v>436</v>
      </c>
    </row>
    <row r="49" spans="1:11" x14ac:dyDescent="0.35">
      <c r="A49" s="46"/>
      <c r="B49" s="311" t="s">
        <v>19</v>
      </c>
      <c r="C49" s="46"/>
      <c r="D49" s="311">
        <v>840000</v>
      </c>
      <c r="E49" s="311">
        <f>Depreciation!K44</f>
        <v>-221067.07580952381</v>
      </c>
      <c r="F49" s="50" t="s">
        <v>249</v>
      </c>
      <c r="G49" s="311">
        <f>D49+E49</f>
        <v>618932.92419047619</v>
      </c>
      <c r="H49" s="349"/>
      <c r="I49" s="311" t="s">
        <v>297</v>
      </c>
      <c r="J49" s="46"/>
      <c r="K49" s="5" t="s">
        <v>313</v>
      </c>
    </row>
    <row r="50" spans="1:11" x14ac:dyDescent="0.35">
      <c r="A50" s="46"/>
      <c r="B50" s="311"/>
      <c r="C50" s="46"/>
      <c r="D50" s="311"/>
      <c r="E50" s="311"/>
      <c r="F50" s="50"/>
      <c r="G50" s="311"/>
      <c r="H50" s="349"/>
      <c r="I50" s="311"/>
      <c r="J50" s="46"/>
    </row>
    <row r="51" spans="1:11" ht="16" x14ac:dyDescent="0.35">
      <c r="A51" s="46"/>
      <c r="B51" s="46" t="s">
        <v>1</v>
      </c>
      <c r="C51" s="46"/>
      <c r="D51" s="351">
        <v>53557</v>
      </c>
      <c r="E51" s="220">
        <f>Wages!H39</f>
        <v>3484.8543575000003</v>
      </c>
      <c r="F51" s="221" t="s">
        <v>431</v>
      </c>
      <c r="G51" s="220">
        <f>D51+E51</f>
        <v>57041.8543575</v>
      </c>
      <c r="H51" s="53"/>
      <c r="I51" s="311" t="s">
        <v>390</v>
      </c>
      <c r="J51" s="46"/>
      <c r="K51" s="5" t="s">
        <v>248</v>
      </c>
    </row>
    <row r="52" spans="1:11" ht="16" x14ac:dyDescent="0.35">
      <c r="A52" s="54" t="s">
        <v>0</v>
      </c>
      <c r="B52" s="46"/>
      <c r="C52" s="46"/>
      <c r="D52" s="220">
        <f>SUM(D46:D51)</f>
        <v>2997820</v>
      </c>
      <c r="E52" s="220">
        <f>SUM(E46:E51)</f>
        <v>-587015.77126906055</v>
      </c>
      <c r="F52" s="222"/>
      <c r="G52" s="220">
        <f>SUM(G46:G51)</f>
        <v>2754919.2587309396</v>
      </c>
      <c r="H52" s="53"/>
      <c r="I52" s="46"/>
      <c r="J52" s="46"/>
    </row>
    <row r="53" spans="1:11" ht="4.1500000000000004" customHeight="1" x14ac:dyDescent="0.35">
      <c r="A53" s="54"/>
      <c r="B53" s="46"/>
      <c r="C53" s="46"/>
      <c r="D53" s="46"/>
      <c r="E53" s="46"/>
      <c r="F53" s="50"/>
      <c r="G53" s="46"/>
      <c r="H53" s="46"/>
      <c r="I53" s="46"/>
      <c r="J53" s="46"/>
    </row>
    <row r="54" spans="1:11" x14ac:dyDescent="0.35">
      <c r="A54" s="54" t="s">
        <v>35</v>
      </c>
      <c r="B54" s="46"/>
      <c r="C54" s="46"/>
      <c r="D54" s="46">
        <f>D14-D52</f>
        <v>79585</v>
      </c>
      <c r="E54" s="46">
        <f>E14-E52</f>
        <v>398688.02126906055</v>
      </c>
      <c r="F54" s="50"/>
      <c r="G54" s="46">
        <f>G14-G52</f>
        <v>134157.99126906041</v>
      </c>
      <c r="H54" s="46"/>
      <c r="I54" s="46"/>
    </row>
    <row r="55" spans="1:11" x14ac:dyDescent="0.35">
      <c r="A55" s="46"/>
      <c r="B55" s="46"/>
      <c r="C55" s="46"/>
      <c r="D55" s="46"/>
      <c r="E55" s="46"/>
      <c r="F55" s="50"/>
      <c r="G55" s="46"/>
      <c r="H55" s="46"/>
      <c r="I55" s="46"/>
      <c r="J55" s="46"/>
    </row>
    <row r="58" spans="1:11" ht="18.5" x14ac:dyDescent="0.35">
      <c r="A58" s="437" t="s">
        <v>240</v>
      </c>
      <c r="B58" s="437"/>
      <c r="C58" s="437"/>
      <c r="D58" s="437"/>
      <c r="E58" s="437"/>
      <c r="F58" s="437"/>
      <c r="G58" s="437"/>
    </row>
    <row r="59" spans="1:11" x14ac:dyDescent="0.35">
      <c r="A59" s="54" t="s">
        <v>36</v>
      </c>
      <c r="B59" s="46"/>
      <c r="C59" s="46"/>
      <c r="D59" s="60"/>
      <c r="E59" s="46"/>
      <c r="F59" s="55"/>
      <c r="G59" s="321">
        <f>'Revenue Requirements'!G2</f>
        <v>2754919.2587309396</v>
      </c>
    </row>
    <row r="60" spans="1:11" x14ac:dyDescent="0.35">
      <c r="A60" s="46" t="s">
        <v>20</v>
      </c>
      <c r="B60" s="46"/>
      <c r="C60" s="46" t="s">
        <v>158</v>
      </c>
      <c r="D60" s="60"/>
      <c r="E60" s="46"/>
      <c r="F60" s="55" t="s">
        <v>435</v>
      </c>
      <c r="G60" s="5">
        <f>'Debt Service'!M25</f>
        <v>561661.89399999997</v>
      </c>
      <c r="K60" s="5" t="s">
        <v>437</v>
      </c>
    </row>
    <row r="61" spans="1:11" ht="16" x14ac:dyDescent="0.5">
      <c r="A61" s="46"/>
      <c r="B61" s="60"/>
      <c r="C61" s="60" t="s">
        <v>159</v>
      </c>
      <c r="D61" s="60"/>
      <c r="E61" s="46"/>
      <c r="F61" s="55" t="s">
        <v>440</v>
      </c>
      <c r="G61" s="226">
        <f>'Debt Service'!M27</f>
        <v>112332.37880000001</v>
      </c>
      <c r="K61" s="5" t="s">
        <v>438</v>
      </c>
    </row>
    <row r="62" spans="1:11" x14ac:dyDescent="0.35">
      <c r="A62" s="54" t="s">
        <v>61</v>
      </c>
      <c r="B62" s="46"/>
      <c r="C62" s="46"/>
      <c r="D62" s="60"/>
      <c r="E62" s="46"/>
      <c r="F62" s="55"/>
      <c r="G62" s="5">
        <f>SUM(G59:G61)</f>
        <v>3428913.5315309395</v>
      </c>
    </row>
    <row r="63" spans="1:11" x14ac:dyDescent="0.35">
      <c r="A63" s="46" t="s">
        <v>21</v>
      </c>
      <c r="B63" s="46"/>
      <c r="C63" s="46" t="s">
        <v>22</v>
      </c>
      <c r="D63" s="60"/>
      <c r="E63" s="46"/>
      <c r="F63" s="55"/>
      <c r="G63" s="5">
        <f>G12</f>
        <v>47858.44000000001</v>
      </c>
    </row>
    <row r="64" spans="1:11" x14ac:dyDescent="0.35">
      <c r="A64" s="46"/>
      <c r="B64" s="46"/>
      <c r="C64" s="46" t="s">
        <v>439</v>
      </c>
      <c r="D64" s="60"/>
      <c r="E64" s="46"/>
      <c r="F64" s="55"/>
      <c r="G64" s="5">
        <v>2673</v>
      </c>
      <c r="I64" s="5" t="s">
        <v>444</v>
      </c>
      <c r="K64" s="5" t="s">
        <v>314</v>
      </c>
    </row>
    <row r="65" spans="1:11" ht="16" x14ac:dyDescent="0.5">
      <c r="A65" s="46"/>
      <c r="B65" s="46"/>
      <c r="C65" s="46" t="s">
        <v>190</v>
      </c>
      <c r="D65" s="60"/>
      <c r="E65" s="46"/>
      <c r="F65" s="55"/>
      <c r="G65" s="226">
        <v>1980</v>
      </c>
      <c r="I65" s="5" t="s">
        <v>444</v>
      </c>
      <c r="K65" s="5" t="s">
        <v>314</v>
      </c>
    </row>
    <row r="66" spans="1:11" x14ac:dyDescent="0.35">
      <c r="A66" s="54" t="s">
        <v>59</v>
      </c>
      <c r="B66" s="46"/>
      <c r="C66" s="46"/>
      <c r="D66" s="60"/>
      <c r="E66" s="46"/>
      <c r="F66" s="55"/>
      <c r="G66" s="5">
        <f>G62-G63-G64-G65</f>
        <v>3376402.0915309396</v>
      </c>
    </row>
    <row r="67" spans="1:11" x14ac:dyDescent="0.35">
      <c r="A67" s="46" t="s">
        <v>21</v>
      </c>
      <c r="B67" s="46"/>
      <c r="C67" s="46" t="s">
        <v>60</v>
      </c>
      <c r="D67" s="60"/>
      <c r="E67" s="46"/>
      <c r="F67" s="55"/>
      <c r="G67" s="5">
        <f>-G7</f>
        <v>-2841218.81</v>
      </c>
    </row>
    <row r="68" spans="1:11" ht="16" x14ac:dyDescent="0.5">
      <c r="A68" s="46"/>
      <c r="B68" s="46"/>
      <c r="C68" s="46" t="s">
        <v>15</v>
      </c>
      <c r="D68" s="60"/>
      <c r="E68" s="46"/>
      <c r="F68" s="55"/>
      <c r="G68" s="226">
        <f>'Revenue Requirements'!G11</f>
        <v>0</v>
      </c>
    </row>
    <row r="69" spans="1:11" x14ac:dyDescent="0.35">
      <c r="A69" s="54" t="s">
        <v>62</v>
      </c>
      <c r="B69" s="46"/>
      <c r="C69" s="46"/>
      <c r="D69" s="60"/>
      <c r="E69" s="46"/>
      <c r="F69" s="55"/>
      <c r="G69" s="5">
        <f>G66+G67</f>
        <v>535183.28153093951</v>
      </c>
    </row>
    <row r="70" spans="1:11" x14ac:dyDescent="0.35">
      <c r="A70" s="54" t="s">
        <v>63</v>
      </c>
      <c r="B70" s="46"/>
      <c r="C70" s="46"/>
      <c r="D70" s="60"/>
      <c r="E70" s="46"/>
      <c r="F70" s="55"/>
      <c r="G70" s="350">
        <f>G69/G7</f>
        <v>0.18836397944688374</v>
      </c>
    </row>
  </sheetData>
  <mergeCells count="2">
    <mergeCell ref="A1:G1"/>
    <mergeCell ref="A58:G58"/>
  </mergeCells>
  <printOptions horizontalCentered="1"/>
  <pageMargins left="0.45" right="0.25" top="0.5" bottom="0.5" header="0.3" footer="0.3"/>
  <pageSetup orientation="portrait" horizontalDpi="4294967293" r:id="rId1"/>
  <rowBreaks count="2" manualBreakCount="2">
    <brk id="54" max="16383" man="1"/>
    <brk id="55" max="16383" man="1"/>
  </rowBreaks>
  <ignoredErrors>
    <ignoredError sqref="D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58E55-8DC2-4CD5-8872-149491EA390B}">
  <sheetPr>
    <tabColor rgb="FF92D050"/>
    <pageSetUpPr fitToPage="1"/>
  </sheetPr>
  <dimension ref="B1:X38"/>
  <sheetViews>
    <sheetView showGridLines="0" topLeftCell="A8" workbookViewId="0">
      <selection activeCell="B19" sqref="B19"/>
    </sheetView>
  </sheetViews>
  <sheetFormatPr defaultRowHeight="15.5" x14ac:dyDescent="0.35"/>
  <cols>
    <col min="1" max="1" width="1.765625" customWidth="1"/>
    <col min="2" max="2" width="17.765625" customWidth="1"/>
    <col min="3" max="12" width="7.765625" customWidth="1"/>
    <col min="13" max="13" width="10.69140625" customWidth="1"/>
    <col min="14" max="14" width="0.765625" customWidth="1"/>
    <col min="15" max="15" width="2.3046875" customWidth="1"/>
    <col min="16" max="16" width="9.69140625" customWidth="1"/>
    <col min="19" max="19" width="15.765625" bestFit="1" customWidth="1"/>
  </cols>
  <sheetData>
    <row r="1" spans="2:24" x14ac:dyDescent="0.35">
      <c r="B1" s="15"/>
      <c r="C1" s="15"/>
      <c r="D1" s="15"/>
      <c r="E1" s="15"/>
      <c r="F1" s="15"/>
      <c r="G1" s="15"/>
      <c r="H1" s="15"/>
      <c r="I1" s="15"/>
      <c r="J1" s="15"/>
      <c r="K1" s="15"/>
      <c r="L1" s="15"/>
      <c r="M1" s="15"/>
      <c r="N1" s="15"/>
      <c r="O1" s="15"/>
      <c r="P1" s="15"/>
    </row>
    <row r="2" spans="2:24" x14ac:dyDescent="0.35">
      <c r="B2" s="151"/>
      <c r="C2" s="152"/>
      <c r="D2" s="152"/>
      <c r="E2" s="152"/>
      <c r="F2" s="152"/>
      <c r="G2" s="152"/>
      <c r="H2" s="152"/>
      <c r="I2" s="152"/>
      <c r="J2" s="152"/>
      <c r="K2" s="152"/>
      <c r="L2" s="152"/>
      <c r="M2" s="152"/>
      <c r="N2" s="153"/>
      <c r="O2" s="15"/>
      <c r="P2" s="15"/>
    </row>
    <row r="3" spans="2:24" ht="18.5" x14ac:dyDescent="0.45">
      <c r="B3" s="154" t="s">
        <v>150</v>
      </c>
      <c r="C3" s="155"/>
      <c r="D3" s="155"/>
      <c r="E3" s="155"/>
      <c r="F3" s="155"/>
      <c r="G3" s="155"/>
      <c r="H3" s="155"/>
      <c r="I3" s="155"/>
      <c r="J3" s="155"/>
      <c r="K3" s="155"/>
      <c r="L3" s="155"/>
      <c r="M3" s="155"/>
      <c r="N3" s="66"/>
      <c r="O3" s="15"/>
      <c r="P3" s="15"/>
    </row>
    <row r="4" spans="2:24" ht="18.5" x14ac:dyDescent="0.45">
      <c r="B4" s="156" t="s">
        <v>151</v>
      </c>
      <c r="C4" s="157"/>
      <c r="D4" s="157"/>
      <c r="E4" s="157"/>
      <c r="F4" s="157"/>
      <c r="G4" s="157"/>
      <c r="H4" s="157"/>
      <c r="I4" s="157"/>
      <c r="J4" s="157"/>
      <c r="K4" s="157"/>
      <c r="L4" s="157"/>
      <c r="M4" s="157"/>
      <c r="N4" s="66"/>
      <c r="O4" s="15"/>
      <c r="P4" s="15"/>
    </row>
    <row r="5" spans="2:24" x14ac:dyDescent="0.35">
      <c r="B5" s="158"/>
      <c r="C5" s="155"/>
      <c r="D5" s="155"/>
      <c r="E5" s="155"/>
      <c r="F5" s="155"/>
      <c r="G5" s="155"/>
      <c r="H5" s="155"/>
      <c r="I5" s="155"/>
      <c r="J5" s="155"/>
      <c r="K5" s="155"/>
      <c r="L5" s="155"/>
      <c r="M5" s="155"/>
      <c r="N5" s="66"/>
      <c r="O5" s="15"/>
      <c r="P5" s="15"/>
    </row>
    <row r="6" spans="2:24" x14ac:dyDescent="0.35">
      <c r="B6" s="159" t="s">
        <v>541</v>
      </c>
      <c r="C6" s="160"/>
      <c r="D6" s="160"/>
      <c r="E6" s="160"/>
      <c r="F6" s="160"/>
      <c r="G6" s="160"/>
      <c r="H6" s="160"/>
      <c r="I6" s="160"/>
      <c r="J6" s="160"/>
      <c r="K6" s="160"/>
      <c r="L6" s="160"/>
      <c r="M6" s="160"/>
      <c r="N6" s="66"/>
      <c r="O6" s="15"/>
      <c r="P6" s="15"/>
    </row>
    <row r="7" spans="2:24" x14ac:dyDescent="0.35">
      <c r="B7" s="161"/>
      <c r="C7" s="160"/>
      <c r="D7" s="160"/>
      <c r="E7" s="160"/>
      <c r="F7" s="160"/>
      <c r="G7" s="160"/>
      <c r="H7" s="160"/>
      <c r="I7" s="160"/>
      <c r="J7" s="160"/>
      <c r="K7" s="160"/>
      <c r="L7" s="160"/>
      <c r="M7" s="160"/>
      <c r="N7" s="66"/>
      <c r="O7" s="15"/>
      <c r="P7" s="15"/>
    </row>
    <row r="8" spans="2:24" x14ac:dyDescent="0.35">
      <c r="B8" s="162"/>
      <c r="C8" s="163"/>
      <c r="D8" s="164"/>
      <c r="E8" s="163"/>
      <c r="F8" s="165"/>
      <c r="G8" s="163"/>
      <c r="H8" s="165"/>
      <c r="I8" s="163"/>
      <c r="J8" s="165"/>
      <c r="K8" s="163"/>
      <c r="L8" s="165"/>
      <c r="M8" s="164"/>
      <c r="N8" s="153"/>
      <c r="O8" s="15"/>
      <c r="P8" s="15"/>
    </row>
    <row r="9" spans="2:24" ht="16" x14ac:dyDescent="0.35">
      <c r="B9" s="166"/>
      <c r="C9" s="445" t="s">
        <v>152</v>
      </c>
      <c r="D9" s="446"/>
      <c r="E9" s="445" t="s">
        <v>153</v>
      </c>
      <c r="F9" s="446"/>
      <c r="G9" s="445" t="s">
        <v>154</v>
      </c>
      <c r="H9" s="446"/>
      <c r="I9" s="445" t="s">
        <v>298</v>
      </c>
      <c r="J9" s="446"/>
      <c r="K9" s="445" t="s">
        <v>540</v>
      </c>
      <c r="L9" s="446"/>
      <c r="M9" s="15"/>
      <c r="N9" s="66"/>
      <c r="O9" s="15"/>
      <c r="P9" s="15"/>
    </row>
    <row r="10" spans="2:24" ht="16" x14ac:dyDescent="0.35">
      <c r="B10" s="166"/>
      <c r="C10" s="167"/>
      <c r="D10" s="168" t="s">
        <v>155</v>
      </c>
      <c r="E10" s="169"/>
      <c r="F10" s="168" t="s">
        <v>155</v>
      </c>
      <c r="G10" s="169"/>
      <c r="H10" s="168" t="s">
        <v>155</v>
      </c>
      <c r="I10" s="169"/>
      <c r="J10" s="168" t="s">
        <v>155</v>
      </c>
      <c r="K10" s="169"/>
      <c r="L10" s="168" t="s">
        <v>155</v>
      </c>
      <c r="M10" s="15"/>
      <c r="N10" s="66"/>
      <c r="O10" s="15"/>
      <c r="P10" s="15"/>
    </row>
    <row r="11" spans="2:24" ht="16" x14ac:dyDescent="0.35">
      <c r="B11" s="166"/>
      <c r="C11" s="167" t="s">
        <v>156</v>
      </c>
      <c r="D11" s="170" t="s">
        <v>157</v>
      </c>
      <c r="E11" s="167" t="s">
        <v>156</v>
      </c>
      <c r="F11" s="170" t="s">
        <v>157</v>
      </c>
      <c r="G11" s="167" t="s">
        <v>156</v>
      </c>
      <c r="H11" s="170" t="s">
        <v>157</v>
      </c>
      <c r="I11" s="167" t="s">
        <v>156</v>
      </c>
      <c r="J11" s="170" t="s">
        <v>157</v>
      </c>
      <c r="K11" s="167" t="s">
        <v>156</v>
      </c>
      <c r="L11" s="170" t="s">
        <v>157</v>
      </c>
      <c r="M11" s="171" t="s">
        <v>82</v>
      </c>
      <c r="N11" s="66"/>
      <c r="O11" s="15"/>
      <c r="P11" s="15"/>
      <c r="Q11" s="366" t="s">
        <v>342</v>
      </c>
    </row>
    <row r="12" spans="2:24" x14ac:dyDescent="0.35">
      <c r="B12" s="172" t="s">
        <v>299</v>
      </c>
      <c r="C12" s="432">
        <v>23500</v>
      </c>
      <c r="D12" s="433">
        <v>17802</v>
      </c>
      <c r="E12" s="432">
        <v>24000</v>
      </c>
      <c r="F12" s="433">
        <v>17030</v>
      </c>
      <c r="G12" s="432">
        <v>25000</v>
      </c>
      <c r="H12" s="433">
        <v>16234</v>
      </c>
      <c r="I12" s="432">
        <v>25500</v>
      </c>
      <c r="J12" s="433">
        <v>15413</v>
      </c>
      <c r="K12" s="432">
        <v>26500</v>
      </c>
      <c r="L12" s="433">
        <f>7499.38+7068.75</f>
        <v>14568.130000000001</v>
      </c>
      <c r="M12" s="176">
        <f t="shared" ref="M12:M20" si="0">SUM(C12:L12)</f>
        <v>205547.13</v>
      </c>
      <c r="N12" s="66"/>
      <c r="O12" s="15"/>
      <c r="P12" s="15"/>
      <c r="Q12">
        <v>10499</v>
      </c>
      <c r="R12" s="15"/>
      <c r="S12" s="435"/>
      <c r="T12" s="15"/>
      <c r="V12" s="15"/>
      <c r="X12" s="15"/>
    </row>
    <row r="13" spans="2:24" x14ac:dyDescent="0.35">
      <c r="B13" s="172" t="s">
        <v>300</v>
      </c>
      <c r="C13" s="432">
        <v>1500</v>
      </c>
      <c r="D13" s="433">
        <v>1775</v>
      </c>
      <c r="E13" s="432">
        <v>1600</v>
      </c>
      <c r="F13" s="433">
        <v>1706</v>
      </c>
      <c r="G13" s="432">
        <v>1600</v>
      </c>
      <c r="H13" s="433">
        <v>1634</v>
      </c>
      <c r="I13" s="432">
        <v>1800</v>
      </c>
      <c r="J13" s="433">
        <v>1557</v>
      </c>
      <c r="K13" s="432">
        <v>1800</v>
      </c>
      <c r="L13" s="433">
        <v>1476</v>
      </c>
      <c r="M13" s="177">
        <f t="shared" si="0"/>
        <v>16448</v>
      </c>
      <c r="N13" s="66"/>
      <c r="O13" s="15"/>
      <c r="P13" s="15"/>
      <c r="Q13">
        <v>9071</v>
      </c>
      <c r="R13" s="15"/>
      <c r="S13" s="436"/>
      <c r="T13" s="15"/>
      <c r="V13" s="15"/>
      <c r="X13" s="15"/>
    </row>
    <row r="14" spans="2:24" x14ac:dyDescent="0.35">
      <c r="B14" s="172" t="s">
        <v>301</v>
      </c>
      <c r="C14" s="432">
        <v>27000</v>
      </c>
      <c r="D14" s="433">
        <v>21740</v>
      </c>
      <c r="E14" s="432">
        <v>28000</v>
      </c>
      <c r="F14" s="433">
        <v>21190</v>
      </c>
      <c r="G14" s="432">
        <v>28500</v>
      </c>
      <c r="H14" s="433">
        <v>20625</v>
      </c>
      <c r="I14" s="432">
        <v>29500</v>
      </c>
      <c r="J14" s="433">
        <v>20045</v>
      </c>
      <c r="K14" s="432">
        <v>30000</v>
      </c>
      <c r="L14" s="433">
        <v>19450</v>
      </c>
      <c r="M14" s="177">
        <f t="shared" si="0"/>
        <v>246050</v>
      </c>
      <c r="N14" s="66"/>
      <c r="O14" s="15"/>
      <c r="P14" s="15"/>
      <c r="Q14" s="367" t="s">
        <v>345</v>
      </c>
      <c r="R14" s="15"/>
      <c r="S14" s="436"/>
      <c r="T14" s="15"/>
      <c r="V14" s="15"/>
      <c r="X14" s="15"/>
    </row>
    <row r="15" spans="2:24" x14ac:dyDescent="0.35">
      <c r="B15" s="172" t="s">
        <v>302</v>
      </c>
      <c r="C15" s="432">
        <v>24000</v>
      </c>
      <c r="D15" s="433">
        <v>18390</v>
      </c>
      <c r="E15" s="432">
        <v>25000</v>
      </c>
      <c r="F15" s="433">
        <v>17900</v>
      </c>
      <c r="G15" s="432">
        <v>25500</v>
      </c>
      <c r="H15" s="433">
        <v>17395</v>
      </c>
      <c r="I15" s="432">
        <v>26000</v>
      </c>
      <c r="J15" s="433">
        <v>16880</v>
      </c>
      <c r="K15" s="432">
        <v>26500</v>
      </c>
      <c r="L15" s="433">
        <v>16355</v>
      </c>
      <c r="M15" s="177">
        <f t="shared" si="0"/>
        <v>213920</v>
      </c>
      <c r="N15" s="66"/>
      <c r="O15" s="15"/>
      <c r="P15" s="15"/>
      <c r="Q15" s="367" t="s">
        <v>345</v>
      </c>
      <c r="R15" s="15"/>
      <c r="S15" s="436"/>
      <c r="T15" s="15"/>
      <c r="V15" s="15"/>
      <c r="X15" s="15"/>
    </row>
    <row r="16" spans="2:24" x14ac:dyDescent="0.35">
      <c r="B16" s="172" t="s">
        <v>303</v>
      </c>
      <c r="C16" s="432">
        <v>3500</v>
      </c>
      <c r="D16" s="434">
        <v>2700</v>
      </c>
      <c r="E16" s="432">
        <v>3500</v>
      </c>
      <c r="F16" s="434">
        <v>2648</v>
      </c>
      <c r="G16" s="432">
        <v>3500</v>
      </c>
      <c r="H16" s="434">
        <v>2595</v>
      </c>
      <c r="I16" s="432">
        <v>3500</v>
      </c>
      <c r="J16" s="433">
        <v>2543</v>
      </c>
      <c r="K16" s="432">
        <v>3500</v>
      </c>
      <c r="L16" s="433">
        <v>2490</v>
      </c>
      <c r="M16" s="177">
        <f t="shared" si="0"/>
        <v>30476</v>
      </c>
      <c r="N16" s="66"/>
      <c r="O16" s="15"/>
      <c r="P16" s="15"/>
      <c r="Q16" s="367" t="s">
        <v>344</v>
      </c>
      <c r="R16" s="15"/>
      <c r="S16" s="436"/>
      <c r="T16" s="15"/>
      <c r="V16" s="15"/>
      <c r="X16" s="15"/>
    </row>
    <row r="17" spans="2:24" x14ac:dyDescent="0.35">
      <c r="B17" s="172" t="s">
        <v>304</v>
      </c>
      <c r="C17" s="432">
        <v>39000</v>
      </c>
      <c r="D17" s="434">
        <v>55207</v>
      </c>
      <c r="E17" s="432">
        <v>40000</v>
      </c>
      <c r="F17" s="434">
        <v>54269</v>
      </c>
      <c r="G17" s="432">
        <v>41000</v>
      </c>
      <c r="H17" s="434">
        <v>53307</v>
      </c>
      <c r="I17" s="432">
        <v>42500</v>
      </c>
      <c r="J17" s="433">
        <v>52315</v>
      </c>
      <c r="K17" s="432">
        <v>43500</v>
      </c>
      <c r="L17" s="433">
        <v>51294</v>
      </c>
      <c r="M17" s="177">
        <f t="shared" si="0"/>
        <v>472392</v>
      </c>
      <c r="N17" s="66"/>
      <c r="O17" s="15"/>
      <c r="P17" s="15"/>
      <c r="Q17" t="s">
        <v>343</v>
      </c>
      <c r="R17" s="15"/>
      <c r="S17" s="436"/>
      <c r="T17" s="15"/>
      <c r="V17" s="15"/>
      <c r="X17" s="15"/>
    </row>
    <row r="18" spans="2:24" x14ac:dyDescent="0.35">
      <c r="B18" s="172" t="s">
        <v>305</v>
      </c>
      <c r="C18" s="432">
        <v>50000</v>
      </c>
      <c r="D18" s="434">
        <v>3931</v>
      </c>
      <c r="E18" s="432">
        <v>60000</v>
      </c>
      <c r="F18" s="434">
        <v>1387</v>
      </c>
      <c r="G18" s="432"/>
      <c r="H18" s="434"/>
      <c r="I18" s="432"/>
      <c r="J18" s="433"/>
      <c r="K18" s="432"/>
      <c r="L18" s="433"/>
      <c r="M18" s="177">
        <f t="shared" si="0"/>
        <v>115318</v>
      </c>
      <c r="N18" s="66"/>
      <c r="O18" s="15"/>
      <c r="P18" s="15"/>
      <c r="Q18" s="367" t="s">
        <v>526</v>
      </c>
      <c r="R18" s="15"/>
      <c r="S18" s="436"/>
      <c r="T18" s="15"/>
      <c r="V18" s="15"/>
      <c r="X18" s="15"/>
    </row>
    <row r="19" spans="2:24" x14ac:dyDescent="0.35">
      <c r="B19" s="172" t="s">
        <v>545</v>
      </c>
      <c r="C19" s="432">
        <v>155000</v>
      </c>
      <c r="D19" s="434">
        <v>84388</v>
      </c>
      <c r="E19" s="432">
        <v>160000</v>
      </c>
      <c r="F19" s="434">
        <v>77694</v>
      </c>
      <c r="G19" s="432">
        <v>170000</v>
      </c>
      <c r="H19" s="434">
        <v>70681</v>
      </c>
      <c r="I19" s="432">
        <v>175000</v>
      </c>
      <c r="J19" s="433">
        <v>63350</v>
      </c>
      <c r="K19" s="432">
        <v>185000</v>
      </c>
      <c r="L19" s="433">
        <v>55700</v>
      </c>
      <c r="M19" s="177">
        <f t="shared" si="0"/>
        <v>1196813</v>
      </c>
      <c r="N19" s="66"/>
      <c r="O19" s="15"/>
      <c r="P19" s="15"/>
      <c r="Q19" t="s">
        <v>544</v>
      </c>
      <c r="R19" s="15"/>
      <c r="S19" s="436"/>
      <c r="T19" s="15"/>
      <c r="V19" s="15"/>
      <c r="X19" s="15"/>
    </row>
    <row r="20" spans="2:24" x14ac:dyDescent="0.35">
      <c r="B20" s="172" t="s">
        <v>539</v>
      </c>
      <c r="C20" s="173">
        <v>36062</v>
      </c>
      <c r="D20" s="174">
        <f>13103.75*2</f>
        <v>26207.5</v>
      </c>
      <c r="E20" s="173">
        <v>36557</v>
      </c>
      <c r="F20" s="174">
        <f>12855.82*2</f>
        <v>25711.64</v>
      </c>
      <c r="G20" s="173">
        <v>37060</v>
      </c>
      <c r="H20" s="174">
        <f>12604.49*2</f>
        <v>25208.98</v>
      </c>
      <c r="I20" s="173">
        <v>37570</v>
      </c>
      <c r="J20" s="174">
        <f>12349.7*2</f>
        <v>24699.4</v>
      </c>
      <c r="K20" s="173">
        <v>38086</v>
      </c>
      <c r="L20" s="175">
        <f>12091.41*2</f>
        <v>24182.82</v>
      </c>
      <c r="M20" s="177">
        <f t="shared" si="0"/>
        <v>311345.34000000003</v>
      </c>
      <c r="N20" s="66"/>
      <c r="O20" s="15"/>
      <c r="P20" s="15"/>
      <c r="Q20" t="s">
        <v>538</v>
      </c>
      <c r="R20" s="15"/>
      <c r="S20" s="436"/>
      <c r="T20" s="15"/>
      <c r="V20" s="15"/>
      <c r="X20" s="15"/>
    </row>
    <row r="21" spans="2:24" x14ac:dyDescent="0.35">
      <c r="B21" s="178"/>
      <c r="C21" s="179"/>
      <c r="D21" s="180"/>
      <c r="E21" s="179"/>
      <c r="F21" s="180"/>
      <c r="G21" s="179"/>
      <c r="H21" s="180"/>
      <c r="I21" s="179"/>
      <c r="J21" s="180"/>
      <c r="K21" s="179"/>
      <c r="L21" s="181"/>
      <c r="M21" s="177"/>
      <c r="N21" s="66"/>
      <c r="O21" s="15"/>
      <c r="P21" s="15"/>
    </row>
    <row r="22" spans="2:24" x14ac:dyDescent="0.35">
      <c r="B22" s="124" t="s">
        <v>82</v>
      </c>
      <c r="C22" s="182">
        <f t="shared" ref="C22:M22" si="1">SUM(C12:C21)</f>
        <v>359562</v>
      </c>
      <c r="D22" s="183">
        <f t="shared" si="1"/>
        <v>232140.5</v>
      </c>
      <c r="E22" s="182">
        <f t="shared" si="1"/>
        <v>378657</v>
      </c>
      <c r="F22" s="184">
        <f t="shared" si="1"/>
        <v>219535.64</v>
      </c>
      <c r="G22" s="182">
        <f t="shared" si="1"/>
        <v>332160</v>
      </c>
      <c r="H22" s="184">
        <f t="shared" si="1"/>
        <v>207679.98</v>
      </c>
      <c r="I22" s="182">
        <f t="shared" si="1"/>
        <v>341370</v>
      </c>
      <c r="J22" s="184">
        <f t="shared" si="1"/>
        <v>196802.4</v>
      </c>
      <c r="K22" s="182">
        <f t="shared" si="1"/>
        <v>354886</v>
      </c>
      <c r="L22" s="184">
        <f t="shared" si="1"/>
        <v>185515.95</v>
      </c>
      <c r="M22" s="185">
        <f t="shared" si="1"/>
        <v>2808309.4699999997</v>
      </c>
      <c r="N22" s="66"/>
      <c r="O22" s="15"/>
      <c r="P22" s="15">
        <f>SUM(C22:L22)</f>
        <v>2808309.47</v>
      </c>
    </row>
    <row r="23" spans="2:24" x14ac:dyDescent="0.35">
      <c r="B23" s="186"/>
      <c r="C23" s="187"/>
      <c r="D23" s="188"/>
      <c r="E23" s="187"/>
      <c r="F23" s="189"/>
      <c r="G23" s="187"/>
      <c r="H23" s="189"/>
      <c r="I23" s="187"/>
      <c r="J23" s="190"/>
      <c r="K23" s="187"/>
      <c r="L23" s="189"/>
      <c r="M23" s="188"/>
      <c r="N23" s="191"/>
      <c r="O23" s="15"/>
      <c r="P23" s="15"/>
    </row>
    <row r="24" spans="2:24" x14ac:dyDescent="0.35">
      <c r="B24" s="192"/>
      <c r="C24" s="193"/>
      <c r="D24" s="193"/>
      <c r="E24" s="193"/>
      <c r="F24" s="193"/>
      <c r="G24" s="193"/>
      <c r="H24" s="193"/>
      <c r="I24" s="193"/>
      <c r="J24" s="194"/>
      <c r="K24" s="194"/>
      <c r="L24" s="194"/>
      <c r="M24" s="193"/>
      <c r="N24" s="66"/>
      <c r="O24" s="15"/>
      <c r="P24" s="15"/>
    </row>
    <row r="25" spans="2:24" x14ac:dyDescent="0.35">
      <c r="B25" s="195"/>
      <c r="C25" s="196"/>
      <c r="D25" s="197"/>
      <c r="E25" s="196"/>
      <c r="F25" s="196"/>
      <c r="G25" s="196"/>
      <c r="H25" s="196"/>
      <c r="I25" s="197" t="s">
        <v>307</v>
      </c>
      <c r="J25" s="15"/>
      <c r="K25" s="198"/>
      <c r="L25" s="199"/>
      <c r="M25" s="196">
        <f>M22/5</f>
        <v>561661.89399999997</v>
      </c>
      <c r="N25" s="66"/>
      <c r="O25" s="15"/>
      <c r="P25" s="15"/>
    </row>
    <row r="26" spans="2:24" x14ac:dyDescent="0.35">
      <c r="B26" s="16"/>
      <c r="C26" s="197"/>
      <c r="D26" s="15"/>
      <c r="E26" s="197"/>
      <c r="F26" s="197"/>
      <c r="G26" s="197"/>
      <c r="H26" s="197"/>
      <c r="I26" s="197"/>
      <c r="J26" s="15"/>
      <c r="K26" s="19"/>
      <c r="L26" s="198"/>
      <c r="M26" s="25"/>
      <c r="N26" s="66"/>
      <c r="O26" s="15"/>
      <c r="P26" s="15"/>
    </row>
    <row r="27" spans="2:24" x14ac:dyDescent="0.35">
      <c r="B27" s="195"/>
      <c r="C27" s="197"/>
      <c r="D27" s="197"/>
      <c r="E27" s="197"/>
      <c r="F27" s="197"/>
      <c r="G27" s="197"/>
      <c r="H27" s="197"/>
      <c r="I27" s="197" t="s">
        <v>308</v>
      </c>
      <c r="J27" s="15"/>
      <c r="K27" s="198"/>
      <c r="L27" s="197"/>
      <c r="M27" s="196">
        <f>M25*0.2</f>
        <v>112332.37880000001</v>
      </c>
      <c r="N27" s="66"/>
      <c r="O27" s="15"/>
      <c r="P27" s="15">
        <f>M27+M25</f>
        <v>673994.27279999992</v>
      </c>
    </row>
    <row r="28" spans="2:24" x14ac:dyDescent="0.35">
      <c r="B28" s="200"/>
      <c r="C28" s="201"/>
      <c r="D28" s="201"/>
      <c r="E28" s="201"/>
      <c r="F28" s="201"/>
      <c r="G28" s="201"/>
      <c r="H28" s="201"/>
      <c r="I28" s="201"/>
      <c r="J28" s="201"/>
      <c r="K28" s="201"/>
      <c r="L28" s="201"/>
      <c r="M28" s="201"/>
      <c r="N28" s="191"/>
      <c r="O28" s="15"/>
      <c r="P28" s="15"/>
    </row>
    <row r="29" spans="2:24" x14ac:dyDescent="0.35">
      <c r="B29" s="327"/>
      <c r="C29" s="327"/>
      <c r="D29" s="327"/>
      <c r="E29" s="327"/>
      <c r="F29" s="327"/>
      <c r="G29" s="327"/>
      <c r="H29" s="327"/>
      <c r="I29" s="327"/>
      <c r="J29" s="327"/>
      <c r="K29" s="327"/>
      <c r="L29" s="327"/>
      <c r="M29" s="327"/>
      <c r="N29" s="327"/>
      <c r="O29" s="327"/>
      <c r="P29" s="327"/>
    </row>
    <row r="30" spans="2:24" x14ac:dyDescent="0.35">
      <c r="B30" s="327"/>
      <c r="C30" s="327"/>
      <c r="D30" s="327"/>
      <c r="E30" s="327"/>
      <c r="F30" s="327"/>
      <c r="G30" s="327"/>
      <c r="H30" s="327"/>
      <c r="I30" s="327" t="s">
        <v>245</v>
      </c>
      <c r="J30" s="327"/>
      <c r="K30" s="327"/>
      <c r="L30" s="327"/>
      <c r="M30" s="328">
        <f>D22+F22+H22+J22+L22</f>
        <v>1041674.47</v>
      </c>
      <c r="N30" s="327"/>
      <c r="O30" s="327"/>
      <c r="P30" s="327"/>
    </row>
    <row r="31" spans="2:24" x14ac:dyDescent="0.35">
      <c r="B31" s="327"/>
      <c r="C31" s="327"/>
      <c r="D31" s="327"/>
      <c r="E31" s="327"/>
      <c r="F31" s="327"/>
      <c r="G31" s="327"/>
      <c r="H31" s="327"/>
      <c r="I31" s="327"/>
      <c r="J31" s="327"/>
      <c r="K31" s="327"/>
      <c r="L31" s="327"/>
      <c r="M31" s="327"/>
      <c r="N31" s="327"/>
      <c r="O31" s="327"/>
      <c r="P31" s="327"/>
    </row>
    <row r="32" spans="2:24" x14ac:dyDescent="0.35">
      <c r="B32" s="327"/>
      <c r="C32" s="327"/>
      <c r="D32" s="327"/>
      <c r="E32" s="327"/>
      <c r="F32" s="327"/>
      <c r="G32" s="327"/>
      <c r="H32" s="327"/>
      <c r="I32" s="327" t="s">
        <v>306</v>
      </c>
      <c r="J32" s="327"/>
      <c r="K32" s="327"/>
      <c r="L32" s="327"/>
      <c r="M32" s="328">
        <f>M30/5</f>
        <v>208334.894</v>
      </c>
      <c r="N32" s="327"/>
      <c r="O32" s="327"/>
      <c r="P32" s="327"/>
    </row>
    <row r="33" spans="2:16" x14ac:dyDescent="0.35">
      <c r="B33" s="327"/>
      <c r="C33" s="327"/>
      <c r="D33" s="327"/>
      <c r="E33" s="327"/>
      <c r="F33" s="327"/>
      <c r="G33" s="327"/>
      <c r="H33" s="327"/>
      <c r="I33" s="327"/>
      <c r="J33" s="327"/>
      <c r="K33" s="327"/>
      <c r="L33" s="327"/>
      <c r="M33" s="327"/>
      <c r="N33" s="327"/>
      <c r="O33" s="327"/>
      <c r="P33" s="327"/>
    </row>
    <row r="34" spans="2:16" x14ac:dyDescent="0.35">
      <c r="B34" s="327"/>
      <c r="C34" s="327"/>
      <c r="D34" s="327"/>
      <c r="E34" s="327"/>
      <c r="F34" s="327"/>
      <c r="G34" s="327"/>
      <c r="H34" s="327"/>
      <c r="I34" s="327"/>
      <c r="J34" s="327"/>
      <c r="K34" s="327"/>
      <c r="L34" s="327"/>
      <c r="M34" s="327"/>
      <c r="N34" s="327"/>
      <c r="O34" s="327"/>
      <c r="P34" s="327"/>
    </row>
    <row r="35" spans="2:16" x14ac:dyDescent="0.35">
      <c r="B35" s="327"/>
      <c r="C35" s="327"/>
      <c r="D35" s="327"/>
      <c r="E35" s="327"/>
      <c r="F35" s="327"/>
      <c r="G35" s="327"/>
      <c r="H35" s="327"/>
      <c r="I35" s="327"/>
      <c r="J35" s="327"/>
      <c r="K35" s="327"/>
      <c r="L35" s="327"/>
      <c r="M35" s="327"/>
      <c r="N35" s="327"/>
      <c r="O35" s="327"/>
      <c r="P35" s="327"/>
    </row>
    <row r="36" spans="2:16" x14ac:dyDescent="0.35">
      <c r="B36" s="327"/>
      <c r="C36" s="327"/>
      <c r="D36" s="327"/>
      <c r="E36" s="327"/>
      <c r="F36" s="327"/>
      <c r="G36" s="327"/>
      <c r="H36" s="327"/>
      <c r="I36" s="327"/>
      <c r="J36" s="327"/>
      <c r="K36" s="327"/>
      <c r="L36" s="327"/>
      <c r="M36" s="327"/>
      <c r="N36" s="327"/>
      <c r="O36" s="327"/>
      <c r="P36" s="327"/>
    </row>
    <row r="37" spans="2:16" x14ac:dyDescent="0.35">
      <c r="B37" s="327"/>
      <c r="C37" s="327"/>
      <c r="D37" s="327"/>
      <c r="E37" s="327"/>
      <c r="F37" s="327"/>
      <c r="G37" s="327"/>
      <c r="H37" s="327"/>
      <c r="I37" s="327"/>
      <c r="J37" s="327"/>
      <c r="K37" s="327"/>
      <c r="L37" s="327"/>
      <c r="M37" s="327"/>
      <c r="N37" s="327"/>
      <c r="O37" s="327"/>
      <c r="P37" s="327"/>
    </row>
    <row r="38" spans="2:16" x14ac:dyDescent="0.35">
      <c r="B38" s="327"/>
      <c r="C38" s="327"/>
      <c r="D38" s="327"/>
      <c r="E38" s="327"/>
      <c r="F38" s="327"/>
      <c r="G38" s="327"/>
      <c r="H38" s="327"/>
      <c r="I38" s="327"/>
      <c r="J38" s="327"/>
      <c r="K38" s="327"/>
      <c r="L38" s="327"/>
      <c r="M38" s="327"/>
      <c r="N38" s="327"/>
      <c r="O38" s="327"/>
      <c r="P38" s="327"/>
    </row>
  </sheetData>
  <mergeCells count="5">
    <mergeCell ref="C9:D9"/>
    <mergeCell ref="E9:F9"/>
    <mergeCell ref="G9:H9"/>
    <mergeCell ref="I9:J9"/>
    <mergeCell ref="K9:L9"/>
  </mergeCells>
  <pageMargins left="0.7" right="0.7" top="0.75" bottom="0.75" header="0.3" footer="0.3"/>
  <pageSetup scale="92" orientation="landscape"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003B9-59C5-4DF9-BA7B-F1E3EC2BAAEC}">
  <sheetPr>
    <tabColor rgb="FF92D050"/>
  </sheetPr>
  <dimension ref="A1:H10"/>
  <sheetViews>
    <sheetView workbookViewId="0">
      <selection activeCell="D14" sqref="D14"/>
    </sheetView>
  </sheetViews>
  <sheetFormatPr defaultColWidth="8.84375" defaultRowHeight="14.5" x14ac:dyDescent="0.35"/>
  <cols>
    <col min="1" max="1" width="25.61328125" style="1" customWidth="1"/>
    <col min="2" max="2" width="8.84375" style="209" customWidth="1"/>
    <col min="3" max="3" width="14.53515625" style="210" customWidth="1"/>
    <col min="4" max="4" width="18.921875" style="17" bestFit="1" customWidth="1"/>
    <col min="5" max="7" width="8.84375" style="1"/>
    <col min="8" max="8" width="13" style="1" bestFit="1" customWidth="1"/>
    <col min="9" max="16384" width="8.84375" style="1"/>
  </cols>
  <sheetData>
    <row r="1" spans="1:8" x14ac:dyDescent="0.35">
      <c r="A1" s="1" t="s">
        <v>165</v>
      </c>
      <c r="D1" s="1" t="s">
        <v>387</v>
      </c>
    </row>
    <row r="2" spans="1:8" ht="15.5" x14ac:dyDescent="0.35">
      <c r="A2" s="92" t="s">
        <v>340</v>
      </c>
      <c r="B2">
        <v>48</v>
      </c>
      <c r="C2" s="210">
        <v>700</v>
      </c>
    </row>
    <row r="3" spans="1:8" ht="15.5" x14ac:dyDescent="0.35">
      <c r="A3" s="92" t="s">
        <v>340</v>
      </c>
      <c r="B3" s="366">
        <v>4</v>
      </c>
      <c r="C3" s="210">
        <v>1200</v>
      </c>
      <c r="F3" s="76" t="s">
        <v>336</v>
      </c>
      <c r="H3" s="347" t="s">
        <v>407</v>
      </c>
    </row>
    <row r="4" spans="1:8" ht="16" x14ac:dyDescent="0.5">
      <c r="A4" s="92"/>
      <c r="B4" s="329">
        <f>SUM(B2:B3)</f>
        <v>52</v>
      </c>
      <c r="C4" s="385"/>
      <c r="D4" s="1"/>
      <c r="F4" s="361" t="s">
        <v>200</v>
      </c>
      <c r="G4" s="321">
        <v>700</v>
      </c>
      <c r="H4" s="321">
        <v>1200</v>
      </c>
    </row>
    <row r="5" spans="1:8" x14ac:dyDescent="0.35">
      <c r="A5" s="1" t="s">
        <v>166</v>
      </c>
      <c r="B5" s="386"/>
      <c r="C5" s="387">
        <f>(B2*C2)+(B3*C3)</f>
        <v>38400</v>
      </c>
      <c r="F5" s="1" t="s">
        <v>201</v>
      </c>
      <c r="G5" s="12">
        <v>800</v>
      </c>
      <c r="H5" s="92" t="s">
        <v>408</v>
      </c>
    </row>
    <row r="6" spans="1:8" x14ac:dyDescent="0.35">
      <c r="B6" s="386"/>
      <c r="F6" s="1" t="s">
        <v>25</v>
      </c>
      <c r="G6" s="12">
        <v>1100</v>
      </c>
      <c r="H6" s="92" t="s">
        <v>408</v>
      </c>
    </row>
    <row r="7" spans="1:8" x14ac:dyDescent="0.35">
      <c r="A7" s="1" t="s">
        <v>167</v>
      </c>
      <c r="B7" s="209">
        <v>0.3</v>
      </c>
      <c r="C7" s="210">
        <f>B7*C5</f>
        <v>11520</v>
      </c>
      <c r="F7" s="361" t="s">
        <v>337</v>
      </c>
      <c r="G7" s="12">
        <v>1250</v>
      </c>
      <c r="H7" s="92" t="s">
        <v>408</v>
      </c>
    </row>
    <row r="8" spans="1:8" x14ac:dyDescent="0.35">
      <c r="A8" s="1" t="s">
        <v>168</v>
      </c>
      <c r="B8" s="209">
        <v>0.7</v>
      </c>
      <c r="C8" s="210">
        <f>B8*C5</f>
        <v>26880</v>
      </c>
      <c r="F8" s="1" t="s">
        <v>26</v>
      </c>
      <c r="G8" s="12">
        <v>1500</v>
      </c>
      <c r="H8" s="92" t="s">
        <v>408</v>
      </c>
    </row>
    <row r="9" spans="1:8" x14ac:dyDescent="0.35">
      <c r="F9" s="1" t="s">
        <v>202</v>
      </c>
      <c r="G9" s="12">
        <v>2100</v>
      </c>
      <c r="H9" s="92" t="s">
        <v>408</v>
      </c>
    </row>
    <row r="10" spans="1:8" x14ac:dyDescent="0.35">
      <c r="F10" s="1" t="s">
        <v>338</v>
      </c>
      <c r="G10" s="1" t="s">
        <v>339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X27"/>
  <sheetViews>
    <sheetView showGridLines="0" topLeftCell="A3" workbookViewId="0">
      <selection activeCell="O34" sqref="O34"/>
    </sheetView>
  </sheetViews>
  <sheetFormatPr defaultColWidth="8.84375" defaultRowHeight="14.5" x14ac:dyDescent="0.35"/>
  <cols>
    <col min="1" max="1" width="3.61328125" style="5" customWidth="1"/>
    <col min="2" max="2" width="1.765625" style="5" customWidth="1"/>
    <col min="3" max="4" width="9.765625" style="5" customWidth="1"/>
    <col min="5" max="7" width="9.765625" style="112" customWidth="1"/>
    <col min="8" max="8" width="9.765625" style="5" customWidth="1"/>
    <col min="9" max="9" width="1.765625" style="5" customWidth="1"/>
    <col min="10" max="10" width="3.61328125" style="5" customWidth="1"/>
    <col min="11" max="11" width="2.921875" style="5" customWidth="1"/>
    <col min="12" max="12" width="2.3046875" style="5" customWidth="1"/>
    <col min="13" max="13" width="7.4609375" style="5" customWidth="1"/>
    <col min="14" max="14" width="6.69140625" style="5" customWidth="1"/>
    <col min="15" max="17" width="8.84375" style="5"/>
    <col min="18" max="18" width="8.07421875" style="5" customWidth="1"/>
    <col min="19" max="22" width="8.84375" style="5"/>
    <col min="23" max="23" width="3.23046875" style="5" customWidth="1"/>
    <col min="24" max="24" width="2.61328125" style="5" customWidth="1"/>
    <col min="25" max="16384" width="8.84375" style="5"/>
  </cols>
  <sheetData>
    <row r="1" spans="1:24" x14ac:dyDescent="0.35">
      <c r="A1" s="4"/>
      <c r="B1" s="7"/>
      <c r="C1" s="7"/>
      <c r="D1" s="7"/>
      <c r="E1" s="106"/>
      <c r="F1" s="106"/>
      <c r="G1" s="106"/>
      <c r="H1" s="7"/>
      <c r="I1" s="7"/>
      <c r="J1" s="4"/>
      <c r="K1" s="4"/>
      <c r="L1" s="7"/>
      <c r="M1" s="7"/>
      <c r="N1" s="7"/>
      <c r="O1" s="106"/>
      <c r="P1" s="106"/>
      <c r="Q1" s="106"/>
      <c r="R1" s="106"/>
      <c r="S1" s="106"/>
      <c r="T1" s="106"/>
      <c r="U1" s="106"/>
      <c r="V1" s="7"/>
      <c r="W1" s="7"/>
      <c r="X1" s="4"/>
    </row>
    <row r="2" spans="1:24" ht="19" customHeight="1" x14ac:dyDescent="0.45">
      <c r="B2" s="6"/>
      <c r="C2" s="450" t="s">
        <v>185</v>
      </c>
      <c r="D2" s="450"/>
      <c r="E2" s="450"/>
      <c r="F2" s="450"/>
      <c r="G2" s="450"/>
      <c r="H2" s="450"/>
      <c r="I2" s="451"/>
      <c r="L2" s="6"/>
      <c r="M2" s="450" t="s">
        <v>185</v>
      </c>
      <c r="N2" s="450"/>
      <c r="O2" s="450"/>
      <c r="P2" s="450"/>
      <c r="Q2" s="450"/>
      <c r="R2" s="450"/>
      <c r="S2" s="450"/>
      <c r="T2" s="450"/>
      <c r="U2" s="450"/>
      <c r="V2" s="450"/>
      <c r="W2" s="451"/>
    </row>
    <row r="3" spans="1:24" ht="18.5" x14ac:dyDescent="0.45">
      <c r="B3" s="8"/>
      <c r="C3" s="447" t="s">
        <v>70</v>
      </c>
      <c r="D3" s="447"/>
      <c r="E3" s="447"/>
      <c r="F3" s="447"/>
      <c r="G3" s="447"/>
      <c r="H3" s="447"/>
      <c r="I3" s="448"/>
      <c r="L3" s="8"/>
      <c r="M3" s="447" t="s">
        <v>528</v>
      </c>
      <c r="N3" s="447"/>
      <c r="O3" s="447"/>
      <c r="P3" s="447"/>
      <c r="Q3" s="447"/>
      <c r="R3" s="447"/>
      <c r="S3" s="447"/>
      <c r="T3" s="447"/>
      <c r="U3" s="447"/>
      <c r="V3" s="447"/>
      <c r="W3" s="448"/>
    </row>
    <row r="4" spans="1:24" ht="15.5" x14ac:dyDescent="0.35">
      <c r="B4" s="8"/>
      <c r="C4" s="441" t="str">
        <f>SAO!A2</f>
        <v>RATTLESNAKE RIDGE WATER DISTRICT</v>
      </c>
      <c r="D4" s="441"/>
      <c r="E4" s="441"/>
      <c r="F4" s="441"/>
      <c r="G4" s="441"/>
      <c r="H4" s="441"/>
      <c r="I4" s="449"/>
      <c r="L4" s="8"/>
      <c r="M4" s="441" t="str">
        <f>C4</f>
        <v>RATTLESNAKE RIDGE WATER DISTRICT</v>
      </c>
      <c r="N4" s="441"/>
      <c r="O4" s="441"/>
      <c r="P4" s="441"/>
      <c r="Q4" s="441"/>
      <c r="R4" s="441"/>
      <c r="S4" s="441"/>
      <c r="T4" s="441"/>
      <c r="U4" s="441"/>
      <c r="V4" s="441"/>
      <c r="W4" s="449"/>
    </row>
    <row r="5" spans="1:24" x14ac:dyDescent="0.35">
      <c r="B5" s="10"/>
      <c r="C5" s="3"/>
      <c r="D5" s="3"/>
      <c r="E5" s="107"/>
      <c r="F5" s="107"/>
      <c r="G5" s="107"/>
      <c r="H5" s="3"/>
      <c r="I5" s="11"/>
      <c r="L5" s="10"/>
      <c r="M5" s="3"/>
      <c r="N5" s="3"/>
      <c r="O5" s="107"/>
      <c r="P5" s="107"/>
      <c r="Q5" s="107"/>
      <c r="R5" s="107"/>
      <c r="S5" s="107"/>
      <c r="T5" s="107"/>
      <c r="U5" s="107"/>
      <c r="V5" s="3"/>
      <c r="W5" s="11"/>
    </row>
    <row r="6" spans="1:24" ht="11.5" customHeight="1" x14ac:dyDescent="0.35">
      <c r="B6" s="8"/>
      <c r="C6" s="4"/>
      <c r="D6" s="9"/>
      <c r="E6" s="108"/>
      <c r="F6" s="113"/>
      <c r="G6" s="113"/>
      <c r="H6" s="29"/>
      <c r="I6" s="30"/>
      <c r="J6" s="28"/>
      <c r="K6" s="28"/>
      <c r="L6" s="8"/>
      <c r="M6" s="4"/>
      <c r="N6" s="9"/>
      <c r="O6" s="108"/>
      <c r="P6" s="113"/>
      <c r="Q6" s="113"/>
      <c r="R6" s="113"/>
      <c r="S6" s="113"/>
      <c r="T6" s="113"/>
      <c r="U6" s="113"/>
      <c r="V6" s="29"/>
      <c r="W6" s="30"/>
    </row>
    <row r="7" spans="1:24" ht="16" x14ac:dyDescent="0.5">
      <c r="B7" s="8"/>
      <c r="C7" s="13" t="s">
        <v>13</v>
      </c>
      <c r="D7" s="27" t="s">
        <v>65</v>
      </c>
      <c r="E7" s="109" t="s">
        <v>23</v>
      </c>
      <c r="F7" s="114" t="s">
        <v>11</v>
      </c>
      <c r="G7" s="114"/>
      <c r="H7" s="13"/>
      <c r="I7" s="27"/>
      <c r="L7" s="8"/>
      <c r="M7" s="13" t="s">
        <v>13</v>
      </c>
      <c r="N7" s="27" t="s">
        <v>65</v>
      </c>
      <c r="O7" s="109" t="s">
        <v>23</v>
      </c>
      <c r="P7" s="226" t="s">
        <v>530</v>
      </c>
      <c r="Q7" s="226"/>
      <c r="R7" s="13" t="s">
        <v>68</v>
      </c>
      <c r="S7" s="114" t="s">
        <v>11</v>
      </c>
      <c r="T7" s="114" t="s">
        <v>11</v>
      </c>
      <c r="U7" s="114"/>
      <c r="V7" s="13" t="s">
        <v>68</v>
      </c>
      <c r="W7" s="27"/>
    </row>
    <row r="8" spans="1:24" ht="16" x14ac:dyDescent="0.5">
      <c r="B8" s="8"/>
      <c r="C8" s="13" t="s">
        <v>84</v>
      </c>
      <c r="D8" s="27" t="s">
        <v>69</v>
      </c>
      <c r="E8" s="109" t="s">
        <v>67</v>
      </c>
      <c r="F8" s="114" t="s">
        <v>67</v>
      </c>
      <c r="G8" s="114" t="s">
        <v>24</v>
      </c>
      <c r="H8" s="13" t="s">
        <v>68</v>
      </c>
      <c r="I8" s="27"/>
      <c r="L8" s="8"/>
      <c r="M8" s="13" t="s">
        <v>84</v>
      </c>
      <c r="N8" s="27" t="s">
        <v>69</v>
      </c>
      <c r="O8" s="109" t="s">
        <v>67</v>
      </c>
      <c r="P8" s="5" t="s">
        <v>531</v>
      </c>
      <c r="Q8" s="114" t="s">
        <v>24</v>
      </c>
      <c r="R8" s="13" t="s">
        <v>533</v>
      </c>
      <c r="S8" s="114" t="s">
        <v>529</v>
      </c>
      <c r="T8" s="114" t="s">
        <v>532</v>
      </c>
      <c r="U8" s="114" t="s">
        <v>24</v>
      </c>
      <c r="V8" s="13" t="s">
        <v>533</v>
      </c>
      <c r="W8" s="27"/>
    </row>
    <row r="9" spans="1:24" x14ac:dyDescent="0.35">
      <c r="B9" s="8"/>
      <c r="C9" s="14">
        <v>0</v>
      </c>
      <c r="D9" s="31" t="s">
        <v>200</v>
      </c>
      <c r="E9" s="110">
        <f>Rates!F9</f>
        <v>20.48</v>
      </c>
      <c r="F9" s="110">
        <f>Rates!H9</f>
        <v>24.34</v>
      </c>
      <c r="G9" s="116">
        <f>F9-E9</f>
        <v>3.8599999999999994</v>
      </c>
      <c r="H9" s="64">
        <f>G9/E9</f>
        <v>0.18847656249999997</v>
      </c>
      <c r="I9" s="33"/>
      <c r="L9" s="8"/>
      <c r="M9" s="14">
        <v>0</v>
      </c>
      <c r="N9" s="31" t="s">
        <v>200</v>
      </c>
      <c r="O9" s="110">
        <f>E9</f>
        <v>20.48</v>
      </c>
      <c r="P9" s="110">
        <f>F9</f>
        <v>24.34</v>
      </c>
      <c r="Q9" s="116">
        <f>P9-O9</f>
        <v>3.8599999999999994</v>
      </c>
      <c r="R9" s="64">
        <f>Q9/O9</f>
        <v>0.18847656249999997</v>
      </c>
      <c r="S9" s="115">
        <f>Rates!H63</f>
        <v>5.84</v>
      </c>
      <c r="T9" s="115">
        <f>P9+S9</f>
        <v>30.18</v>
      </c>
      <c r="U9" s="116">
        <f>T9-O9</f>
        <v>9.6999999999999993</v>
      </c>
      <c r="V9" s="64">
        <f t="shared" ref="V9:V24" si="0">U9/O9</f>
        <v>0.47363281249999994</v>
      </c>
      <c r="W9" s="33"/>
    </row>
    <row r="10" spans="1:24" x14ac:dyDescent="0.35">
      <c r="B10" s="8"/>
      <c r="C10" s="4">
        <v>2000</v>
      </c>
      <c r="D10" s="31" t="s">
        <v>200</v>
      </c>
      <c r="E10" s="110">
        <f>Rates!F9</f>
        <v>20.48</v>
      </c>
      <c r="F10" s="110">
        <f>Rates!H9</f>
        <v>24.34</v>
      </c>
      <c r="G10" s="115">
        <f t="shared" ref="G10:G17" si="1">F10-E10</f>
        <v>3.8599999999999994</v>
      </c>
      <c r="H10" s="64">
        <f t="shared" ref="H10:H17" si="2">G10/E10</f>
        <v>0.18847656249999997</v>
      </c>
      <c r="I10" s="33"/>
      <c r="L10" s="8"/>
      <c r="M10" s="4">
        <v>2000</v>
      </c>
      <c r="N10" s="31" t="s">
        <v>200</v>
      </c>
      <c r="O10" s="110">
        <f t="shared" ref="O10:O24" si="3">E10</f>
        <v>20.48</v>
      </c>
      <c r="P10" s="110">
        <f t="shared" ref="P10:P24" si="4">F10</f>
        <v>24.34</v>
      </c>
      <c r="Q10" s="115">
        <f t="shared" ref="Q10:Q24" si="5">P10-O10</f>
        <v>3.8599999999999994</v>
      </c>
      <c r="R10" s="64">
        <f t="shared" ref="R10:R19" si="6">Q10/O10</f>
        <v>0.18847656249999997</v>
      </c>
      <c r="S10" s="115">
        <f>S9</f>
        <v>5.84</v>
      </c>
      <c r="T10" s="115">
        <f t="shared" ref="T10:T24" si="7">P10+S10</f>
        <v>30.18</v>
      </c>
      <c r="U10" s="116">
        <f t="shared" ref="U10:U24" si="8">T10-O10</f>
        <v>9.6999999999999993</v>
      </c>
      <c r="V10" s="64">
        <f t="shared" si="0"/>
        <v>0.47363281249999994</v>
      </c>
      <c r="W10" s="33"/>
    </row>
    <row r="11" spans="1:24" x14ac:dyDescent="0.35">
      <c r="B11" s="8"/>
      <c r="C11" s="341">
        <v>4000</v>
      </c>
      <c r="D11" s="342" t="s">
        <v>200</v>
      </c>
      <c r="E11" s="343">
        <f>Rates!F9+2000*Rates!F10</f>
        <v>51</v>
      </c>
      <c r="F11" s="343">
        <f>Rates!H9+2000*Rates!H10</f>
        <v>60.599999999999994</v>
      </c>
      <c r="G11" s="344">
        <f t="shared" ref="G11:G16" si="9">F11-E11</f>
        <v>9.5999999999999943</v>
      </c>
      <c r="H11" s="345">
        <f t="shared" ref="H11:H16" si="10">G11/E11</f>
        <v>0.18823529411764695</v>
      </c>
      <c r="I11" s="423"/>
      <c r="L11" s="8"/>
      <c r="M11" s="341">
        <v>4000</v>
      </c>
      <c r="N11" s="342" t="s">
        <v>200</v>
      </c>
      <c r="O11" s="343">
        <f t="shared" si="3"/>
        <v>51</v>
      </c>
      <c r="P11" s="343">
        <f t="shared" si="4"/>
        <v>60.599999999999994</v>
      </c>
      <c r="Q11" s="344">
        <f t="shared" si="5"/>
        <v>9.5999999999999943</v>
      </c>
      <c r="R11" s="345">
        <f t="shared" si="6"/>
        <v>0.18823529411764695</v>
      </c>
      <c r="S11" s="344">
        <f t="shared" ref="S11:S24" si="11">S10</f>
        <v>5.84</v>
      </c>
      <c r="T11" s="344">
        <f t="shared" si="7"/>
        <v>66.44</v>
      </c>
      <c r="U11" s="422">
        <f t="shared" si="8"/>
        <v>15.439999999999998</v>
      </c>
      <c r="V11" s="345">
        <f t="shared" si="0"/>
        <v>0.30274509803921562</v>
      </c>
      <c r="W11" s="423"/>
    </row>
    <row r="12" spans="1:24" x14ac:dyDescent="0.35">
      <c r="B12" s="8"/>
      <c r="C12" s="4">
        <v>6000</v>
      </c>
      <c r="D12" s="31" t="s">
        <v>201</v>
      </c>
      <c r="E12" s="110">
        <f>Rates!F17+1000*Rates!F18</f>
        <v>94.68</v>
      </c>
      <c r="F12" s="110">
        <f>Rates!H17+1000*Rates!H18</f>
        <v>112.52000000000001</v>
      </c>
      <c r="G12" s="115">
        <f t="shared" si="9"/>
        <v>17.840000000000003</v>
      </c>
      <c r="H12" s="64">
        <f t="shared" si="10"/>
        <v>0.18842416561047742</v>
      </c>
      <c r="I12" s="33"/>
      <c r="L12" s="8"/>
      <c r="M12" s="4">
        <v>6000</v>
      </c>
      <c r="N12" s="31" t="s">
        <v>201</v>
      </c>
      <c r="O12" s="110">
        <f t="shared" si="3"/>
        <v>94.68</v>
      </c>
      <c r="P12" s="110">
        <f t="shared" si="4"/>
        <v>112.52000000000001</v>
      </c>
      <c r="Q12" s="115">
        <f t="shared" si="5"/>
        <v>17.840000000000003</v>
      </c>
      <c r="R12" s="64">
        <f t="shared" si="6"/>
        <v>0.18842416561047742</v>
      </c>
      <c r="S12" s="115">
        <f t="shared" si="11"/>
        <v>5.84</v>
      </c>
      <c r="T12" s="115">
        <f t="shared" si="7"/>
        <v>118.36000000000001</v>
      </c>
      <c r="U12" s="116">
        <f t="shared" si="8"/>
        <v>23.680000000000007</v>
      </c>
      <c r="V12" s="64">
        <f t="shared" si="0"/>
        <v>0.25010561892691174</v>
      </c>
      <c r="W12" s="33"/>
    </row>
    <row r="13" spans="1:24" x14ac:dyDescent="0.35">
      <c r="B13" s="8"/>
      <c r="C13" s="4">
        <v>8000</v>
      </c>
      <c r="D13" s="31" t="s">
        <v>201</v>
      </c>
      <c r="E13" s="110">
        <f>Rates!F17+3000*Rates!F18</f>
        <v>120.96000000000001</v>
      </c>
      <c r="F13" s="110">
        <f>Rates!H17+3000*Rates!H18</f>
        <v>143.76</v>
      </c>
      <c r="G13" s="115">
        <f t="shared" si="9"/>
        <v>22.799999999999983</v>
      </c>
      <c r="H13" s="64">
        <f t="shared" si="10"/>
        <v>0.18849206349206335</v>
      </c>
      <c r="I13" s="33"/>
      <c r="L13" s="8"/>
      <c r="M13" s="4">
        <v>8000</v>
      </c>
      <c r="N13" s="31" t="s">
        <v>201</v>
      </c>
      <c r="O13" s="110">
        <f t="shared" si="3"/>
        <v>120.96000000000001</v>
      </c>
      <c r="P13" s="110">
        <f t="shared" si="4"/>
        <v>143.76</v>
      </c>
      <c r="Q13" s="115">
        <f t="shared" si="5"/>
        <v>22.799999999999983</v>
      </c>
      <c r="R13" s="64">
        <f t="shared" si="6"/>
        <v>0.18849206349206335</v>
      </c>
      <c r="S13" s="115">
        <f t="shared" si="11"/>
        <v>5.84</v>
      </c>
      <c r="T13" s="115">
        <f t="shared" si="7"/>
        <v>149.6</v>
      </c>
      <c r="U13" s="116">
        <f t="shared" si="8"/>
        <v>28.639999999999986</v>
      </c>
      <c r="V13" s="64">
        <f t="shared" si="0"/>
        <v>0.23677248677248663</v>
      </c>
      <c r="W13" s="33"/>
    </row>
    <row r="14" spans="1:24" x14ac:dyDescent="0.35">
      <c r="B14" s="8"/>
      <c r="C14" s="4">
        <v>10000</v>
      </c>
      <c r="D14" s="31" t="s">
        <v>201</v>
      </c>
      <c r="E14" s="110">
        <f>Rates!F17+5000*Rates!F18</f>
        <v>147.24</v>
      </c>
      <c r="F14" s="110">
        <f>Rates!H17+5000*Rates!H18</f>
        <v>175</v>
      </c>
      <c r="G14" s="115">
        <f t="shared" si="9"/>
        <v>27.759999999999991</v>
      </c>
      <c r="H14" s="64">
        <f t="shared" si="10"/>
        <v>0.18853572398804666</v>
      </c>
      <c r="I14" s="33"/>
      <c r="L14" s="8"/>
      <c r="M14" s="4">
        <v>10000</v>
      </c>
      <c r="N14" s="31" t="s">
        <v>201</v>
      </c>
      <c r="O14" s="110">
        <f t="shared" si="3"/>
        <v>147.24</v>
      </c>
      <c r="P14" s="110">
        <f t="shared" si="4"/>
        <v>175</v>
      </c>
      <c r="Q14" s="115">
        <f t="shared" si="5"/>
        <v>27.759999999999991</v>
      </c>
      <c r="R14" s="64">
        <f t="shared" si="6"/>
        <v>0.18853572398804666</v>
      </c>
      <c r="S14" s="115">
        <f t="shared" si="11"/>
        <v>5.84</v>
      </c>
      <c r="T14" s="115">
        <f t="shared" si="7"/>
        <v>180.84</v>
      </c>
      <c r="U14" s="116">
        <f t="shared" si="8"/>
        <v>33.599999999999994</v>
      </c>
      <c r="V14" s="64">
        <f t="shared" si="0"/>
        <v>0.22819885900570491</v>
      </c>
      <c r="W14" s="33"/>
    </row>
    <row r="15" spans="1:24" x14ac:dyDescent="0.35">
      <c r="B15" s="8"/>
      <c r="C15" s="4">
        <v>15000</v>
      </c>
      <c r="D15" s="31" t="s">
        <v>25</v>
      </c>
      <c r="E15" s="110">
        <f>Rates!F24+5000*Rates!F25</f>
        <v>206.10999999999999</v>
      </c>
      <c r="F15" s="110">
        <f>Rates!H24+5000*Rates!H25</f>
        <v>244.95</v>
      </c>
      <c r="G15" s="115">
        <f t="shared" si="9"/>
        <v>38.840000000000003</v>
      </c>
      <c r="H15" s="64">
        <f t="shared" si="10"/>
        <v>0.18844306438309644</v>
      </c>
      <c r="I15" s="33"/>
      <c r="L15" s="8"/>
      <c r="M15" s="4">
        <v>15000</v>
      </c>
      <c r="N15" s="31" t="s">
        <v>25</v>
      </c>
      <c r="O15" s="110">
        <f t="shared" si="3"/>
        <v>206.10999999999999</v>
      </c>
      <c r="P15" s="110">
        <f t="shared" si="4"/>
        <v>244.95</v>
      </c>
      <c r="Q15" s="115">
        <f t="shared" si="5"/>
        <v>38.840000000000003</v>
      </c>
      <c r="R15" s="64">
        <f t="shared" si="6"/>
        <v>0.18844306438309644</v>
      </c>
      <c r="S15" s="115">
        <f t="shared" si="11"/>
        <v>5.84</v>
      </c>
      <c r="T15" s="115">
        <f t="shared" si="7"/>
        <v>250.79</v>
      </c>
      <c r="U15" s="116">
        <f t="shared" si="8"/>
        <v>44.680000000000007</v>
      </c>
      <c r="V15" s="64">
        <f t="shared" si="0"/>
        <v>0.21677744893503473</v>
      </c>
      <c r="W15" s="33"/>
    </row>
    <row r="16" spans="1:24" x14ac:dyDescent="0.35">
      <c r="B16" s="8"/>
      <c r="C16" s="4">
        <v>20000</v>
      </c>
      <c r="D16" s="31" t="s">
        <v>25</v>
      </c>
      <c r="E16" s="110">
        <f>Rates!F24+10000*Rates!F25</f>
        <v>264.95999999999998</v>
      </c>
      <c r="F16" s="110">
        <f>Rates!H24+10000*Rates!H25</f>
        <v>314.89999999999998</v>
      </c>
      <c r="G16" s="115">
        <f t="shared" si="9"/>
        <v>49.94</v>
      </c>
      <c r="H16" s="64">
        <f t="shared" si="10"/>
        <v>0.18848128019323673</v>
      </c>
      <c r="I16" s="33"/>
      <c r="L16" s="8"/>
      <c r="M16" s="4">
        <v>20000</v>
      </c>
      <c r="N16" s="31" t="s">
        <v>25</v>
      </c>
      <c r="O16" s="110">
        <f t="shared" si="3"/>
        <v>264.95999999999998</v>
      </c>
      <c r="P16" s="110">
        <f t="shared" si="4"/>
        <v>314.89999999999998</v>
      </c>
      <c r="Q16" s="115">
        <f t="shared" si="5"/>
        <v>49.94</v>
      </c>
      <c r="R16" s="64">
        <f t="shared" si="6"/>
        <v>0.18848128019323673</v>
      </c>
      <c r="S16" s="115">
        <f t="shared" si="11"/>
        <v>5.84</v>
      </c>
      <c r="T16" s="115">
        <f t="shared" si="7"/>
        <v>320.73999999999995</v>
      </c>
      <c r="U16" s="116">
        <f t="shared" si="8"/>
        <v>55.779999999999973</v>
      </c>
      <c r="V16" s="64">
        <f t="shared" si="0"/>
        <v>0.210522342995169</v>
      </c>
      <c r="W16" s="33"/>
    </row>
    <row r="17" spans="2:23" x14ac:dyDescent="0.35">
      <c r="B17" s="8"/>
      <c r="C17" s="4">
        <v>25000</v>
      </c>
      <c r="D17" s="32" t="s">
        <v>25</v>
      </c>
      <c r="E17" s="110">
        <f>Rates!F24+15000*Rates!F25</f>
        <v>323.80999999999995</v>
      </c>
      <c r="F17" s="110">
        <f>Rates!H24+15000*Rates!H25</f>
        <v>384.85</v>
      </c>
      <c r="G17" s="115">
        <f t="shared" si="1"/>
        <v>61.040000000000077</v>
      </c>
      <c r="H17" s="64">
        <f t="shared" si="2"/>
        <v>0.18850560513881623</v>
      </c>
      <c r="I17" s="33"/>
      <c r="L17" s="8"/>
      <c r="M17" s="4">
        <v>25000</v>
      </c>
      <c r="N17" s="32" t="s">
        <v>25</v>
      </c>
      <c r="O17" s="110">
        <f t="shared" si="3"/>
        <v>323.80999999999995</v>
      </c>
      <c r="P17" s="110">
        <f t="shared" si="4"/>
        <v>384.85</v>
      </c>
      <c r="Q17" s="115">
        <f t="shared" si="5"/>
        <v>61.040000000000077</v>
      </c>
      <c r="R17" s="64">
        <f t="shared" si="6"/>
        <v>0.18850560513881623</v>
      </c>
      <c r="S17" s="115">
        <f t="shared" si="11"/>
        <v>5.84</v>
      </c>
      <c r="T17" s="115">
        <f t="shared" si="7"/>
        <v>390.69</v>
      </c>
      <c r="U17" s="116">
        <f t="shared" si="8"/>
        <v>66.880000000000052</v>
      </c>
      <c r="V17" s="64">
        <f t="shared" si="0"/>
        <v>0.20654087273401089</v>
      </c>
      <c r="W17" s="33"/>
    </row>
    <row r="18" spans="2:23" x14ac:dyDescent="0.35">
      <c r="B18" s="8"/>
      <c r="C18" s="4">
        <v>30000</v>
      </c>
      <c r="D18" s="32" t="s">
        <v>26</v>
      </c>
      <c r="E18" s="110">
        <f>Rates!F35</f>
        <v>499.18</v>
      </c>
      <c r="F18" s="110">
        <f>Rates!H35</f>
        <v>593.23</v>
      </c>
      <c r="G18" s="115">
        <f t="shared" ref="G18:G21" si="12">F18-E18</f>
        <v>94.050000000000011</v>
      </c>
      <c r="H18" s="64">
        <f t="shared" ref="H18:H21" si="13">G18/E18</f>
        <v>0.18840899074482154</v>
      </c>
      <c r="I18" s="33"/>
      <c r="L18" s="8"/>
      <c r="M18" s="4">
        <v>30000</v>
      </c>
      <c r="N18" s="32" t="s">
        <v>26</v>
      </c>
      <c r="O18" s="110">
        <f t="shared" si="3"/>
        <v>499.18</v>
      </c>
      <c r="P18" s="110">
        <f t="shared" si="4"/>
        <v>593.23</v>
      </c>
      <c r="Q18" s="115">
        <f t="shared" si="5"/>
        <v>94.050000000000011</v>
      </c>
      <c r="R18" s="64">
        <f t="shared" si="6"/>
        <v>0.18840899074482154</v>
      </c>
      <c r="S18" s="115">
        <f t="shared" si="11"/>
        <v>5.84</v>
      </c>
      <c r="T18" s="115">
        <f t="shared" si="7"/>
        <v>599.07000000000005</v>
      </c>
      <c r="U18" s="116">
        <f t="shared" si="8"/>
        <v>99.890000000000043</v>
      </c>
      <c r="V18" s="64">
        <f t="shared" si="0"/>
        <v>0.20010817741095405</v>
      </c>
      <c r="W18" s="33"/>
    </row>
    <row r="19" spans="2:23" x14ac:dyDescent="0.35">
      <c r="B19" s="8"/>
      <c r="C19" s="4">
        <v>40000</v>
      </c>
      <c r="D19" s="32" t="s">
        <v>26</v>
      </c>
      <c r="E19" s="110">
        <f>Rates!F35</f>
        <v>499.18</v>
      </c>
      <c r="F19" s="110">
        <f>Rates!H35</f>
        <v>593.23</v>
      </c>
      <c r="G19" s="115">
        <f t="shared" si="12"/>
        <v>94.050000000000011</v>
      </c>
      <c r="H19" s="64">
        <f t="shared" si="13"/>
        <v>0.18840899074482154</v>
      </c>
      <c r="I19" s="33"/>
      <c r="L19" s="8"/>
      <c r="M19" s="4">
        <v>40000</v>
      </c>
      <c r="N19" s="32" t="s">
        <v>26</v>
      </c>
      <c r="O19" s="110">
        <f t="shared" si="3"/>
        <v>499.18</v>
      </c>
      <c r="P19" s="110">
        <f t="shared" si="4"/>
        <v>593.23</v>
      </c>
      <c r="Q19" s="115">
        <f t="shared" si="5"/>
        <v>94.050000000000011</v>
      </c>
      <c r="R19" s="64">
        <f t="shared" si="6"/>
        <v>0.18840899074482154</v>
      </c>
      <c r="S19" s="115">
        <f t="shared" si="11"/>
        <v>5.84</v>
      </c>
      <c r="T19" s="115">
        <f t="shared" si="7"/>
        <v>599.07000000000005</v>
      </c>
      <c r="U19" s="116">
        <f t="shared" si="8"/>
        <v>99.890000000000043</v>
      </c>
      <c r="V19" s="64">
        <f t="shared" si="0"/>
        <v>0.20010817741095405</v>
      </c>
      <c r="W19" s="33"/>
    </row>
    <row r="20" spans="2:23" x14ac:dyDescent="0.35">
      <c r="B20" s="8"/>
      <c r="C20" s="4">
        <v>50000</v>
      </c>
      <c r="D20" s="32" t="s">
        <v>26</v>
      </c>
      <c r="E20" s="110">
        <f>Rates!F35</f>
        <v>499.18</v>
      </c>
      <c r="F20" s="110">
        <f>Rates!H35</f>
        <v>593.23</v>
      </c>
      <c r="G20" s="115">
        <f t="shared" si="12"/>
        <v>94.050000000000011</v>
      </c>
      <c r="H20" s="64">
        <f>G20/E20</f>
        <v>0.18840899074482154</v>
      </c>
      <c r="I20" s="33"/>
      <c r="L20" s="8"/>
      <c r="M20" s="4">
        <v>50000</v>
      </c>
      <c r="N20" s="32" t="s">
        <v>26</v>
      </c>
      <c r="O20" s="110">
        <f t="shared" si="3"/>
        <v>499.18</v>
      </c>
      <c r="P20" s="110">
        <f t="shared" si="4"/>
        <v>593.23</v>
      </c>
      <c r="Q20" s="115">
        <f t="shared" si="5"/>
        <v>94.050000000000011</v>
      </c>
      <c r="R20" s="64">
        <f>Q20/O20</f>
        <v>0.18840899074482154</v>
      </c>
      <c r="S20" s="115">
        <f t="shared" si="11"/>
        <v>5.84</v>
      </c>
      <c r="T20" s="115">
        <f t="shared" si="7"/>
        <v>599.07000000000005</v>
      </c>
      <c r="U20" s="116">
        <f t="shared" si="8"/>
        <v>99.890000000000043</v>
      </c>
      <c r="V20" s="64">
        <f t="shared" si="0"/>
        <v>0.20010817741095405</v>
      </c>
      <c r="W20" s="33"/>
    </row>
    <row r="21" spans="2:23" x14ac:dyDescent="0.35">
      <c r="B21" s="8"/>
      <c r="C21" s="4">
        <v>75000</v>
      </c>
      <c r="D21" s="32" t="s">
        <v>202</v>
      </c>
      <c r="E21" s="110">
        <f>Rates!F39</f>
        <v>833.08</v>
      </c>
      <c r="F21" s="110">
        <f>Rates!H39</f>
        <v>990.03</v>
      </c>
      <c r="G21" s="115">
        <f t="shared" si="12"/>
        <v>156.94999999999993</v>
      </c>
      <c r="H21" s="64">
        <f t="shared" si="13"/>
        <v>0.18839727277092227</v>
      </c>
      <c r="I21" s="33"/>
      <c r="L21" s="8"/>
      <c r="M21" s="4">
        <v>75000</v>
      </c>
      <c r="N21" s="32" t="s">
        <v>202</v>
      </c>
      <c r="O21" s="110">
        <f t="shared" si="3"/>
        <v>833.08</v>
      </c>
      <c r="P21" s="110">
        <f t="shared" si="4"/>
        <v>990.03</v>
      </c>
      <c r="Q21" s="115">
        <f t="shared" si="5"/>
        <v>156.94999999999993</v>
      </c>
      <c r="R21" s="64">
        <f t="shared" ref="R21:R24" si="14">Q21/O21</f>
        <v>0.18839727277092227</v>
      </c>
      <c r="S21" s="115">
        <f t="shared" si="11"/>
        <v>5.84</v>
      </c>
      <c r="T21" s="115">
        <f t="shared" si="7"/>
        <v>995.87</v>
      </c>
      <c r="U21" s="116">
        <f t="shared" si="8"/>
        <v>162.78999999999996</v>
      </c>
      <c r="V21" s="64">
        <f t="shared" si="0"/>
        <v>0.19540740385077057</v>
      </c>
      <c r="W21" s="33"/>
    </row>
    <row r="22" spans="2:23" x14ac:dyDescent="0.35">
      <c r="B22" s="8"/>
      <c r="C22" s="4">
        <v>100000</v>
      </c>
      <c r="D22" s="32" t="s">
        <v>202</v>
      </c>
      <c r="E22" s="110">
        <f>Rates!F39</f>
        <v>833.08</v>
      </c>
      <c r="F22" s="110">
        <f>Rates!H39</f>
        <v>990.03</v>
      </c>
      <c r="G22" s="115">
        <f t="shared" ref="G22:G24" si="15">F22-E22</f>
        <v>156.94999999999993</v>
      </c>
      <c r="H22" s="64">
        <f t="shared" ref="H22:H24" si="16">G22/E22</f>
        <v>0.18839727277092227</v>
      </c>
      <c r="I22" s="33"/>
      <c r="L22" s="8"/>
      <c r="M22" s="4">
        <v>100000</v>
      </c>
      <c r="N22" s="32" t="s">
        <v>202</v>
      </c>
      <c r="O22" s="110">
        <f t="shared" si="3"/>
        <v>833.08</v>
      </c>
      <c r="P22" s="110">
        <f t="shared" si="4"/>
        <v>990.03</v>
      </c>
      <c r="Q22" s="115">
        <f t="shared" si="5"/>
        <v>156.94999999999993</v>
      </c>
      <c r="R22" s="64">
        <f t="shared" si="14"/>
        <v>0.18839727277092227</v>
      </c>
      <c r="S22" s="115">
        <f t="shared" si="11"/>
        <v>5.84</v>
      </c>
      <c r="T22" s="115">
        <f t="shared" si="7"/>
        <v>995.87</v>
      </c>
      <c r="U22" s="116">
        <f t="shared" si="8"/>
        <v>162.78999999999996</v>
      </c>
      <c r="V22" s="64">
        <f t="shared" si="0"/>
        <v>0.19540740385077057</v>
      </c>
      <c r="W22" s="33"/>
    </row>
    <row r="23" spans="2:23" x14ac:dyDescent="0.35">
      <c r="B23" s="8"/>
      <c r="C23" s="4">
        <v>200000</v>
      </c>
      <c r="D23" s="32" t="s">
        <v>203</v>
      </c>
      <c r="E23" s="110">
        <f>Rates!F43</f>
        <v>1500.88</v>
      </c>
      <c r="F23" s="110">
        <f>Rates!H43</f>
        <v>1783.65</v>
      </c>
      <c r="G23" s="115">
        <f t="shared" si="15"/>
        <v>282.77</v>
      </c>
      <c r="H23" s="64">
        <f t="shared" si="16"/>
        <v>0.18840280368850271</v>
      </c>
      <c r="I23" s="33"/>
      <c r="L23" s="8"/>
      <c r="M23" s="4">
        <v>200000</v>
      </c>
      <c r="N23" s="32" t="s">
        <v>203</v>
      </c>
      <c r="O23" s="110">
        <f t="shared" si="3"/>
        <v>1500.88</v>
      </c>
      <c r="P23" s="110">
        <f t="shared" si="4"/>
        <v>1783.65</v>
      </c>
      <c r="Q23" s="115">
        <f t="shared" si="5"/>
        <v>282.77</v>
      </c>
      <c r="R23" s="64">
        <f t="shared" si="14"/>
        <v>0.18840280368850271</v>
      </c>
      <c r="S23" s="115">
        <f t="shared" si="11"/>
        <v>5.84</v>
      </c>
      <c r="T23" s="115">
        <f t="shared" si="7"/>
        <v>1789.49</v>
      </c>
      <c r="U23" s="116">
        <f t="shared" si="8"/>
        <v>288.6099999999999</v>
      </c>
      <c r="V23" s="64">
        <f t="shared" si="0"/>
        <v>0.19229385427216025</v>
      </c>
      <c r="W23" s="33"/>
    </row>
    <row r="24" spans="2:23" x14ac:dyDescent="0.35">
      <c r="B24" s="8"/>
      <c r="C24" s="4">
        <v>500000</v>
      </c>
      <c r="D24" s="32" t="s">
        <v>277</v>
      </c>
      <c r="E24" s="110">
        <f>Rates!F47</f>
        <v>3504.28</v>
      </c>
      <c r="F24" s="110">
        <f>Rates!H47</f>
        <v>4164.49</v>
      </c>
      <c r="G24" s="115">
        <f t="shared" si="15"/>
        <v>660.20999999999958</v>
      </c>
      <c r="H24" s="64">
        <f t="shared" si="16"/>
        <v>0.18840104101270433</v>
      </c>
      <c r="I24" s="33"/>
      <c r="L24" s="8"/>
      <c r="M24" s="4">
        <v>500000</v>
      </c>
      <c r="N24" s="32" t="s">
        <v>277</v>
      </c>
      <c r="O24" s="110">
        <f t="shared" si="3"/>
        <v>3504.28</v>
      </c>
      <c r="P24" s="110">
        <f t="shared" si="4"/>
        <v>4164.49</v>
      </c>
      <c r="Q24" s="115">
        <f t="shared" si="5"/>
        <v>660.20999999999958</v>
      </c>
      <c r="R24" s="64">
        <f t="shared" si="14"/>
        <v>0.18840104101270433</v>
      </c>
      <c r="S24" s="115">
        <f t="shared" si="11"/>
        <v>5.84</v>
      </c>
      <c r="T24" s="115">
        <f t="shared" si="7"/>
        <v>4170.33</v>
      </c>
      <c r="U24" s="116">
        <f t="shared" si="8"/>
        <v>666.04999999999973</v>
      </c>
      <c r="V24" s="64">
        <f t="shared" si="0"/>
        <v>0.1900675745088862</v>
      </c>
      <c r="W24" s="33"/>
    </row>
    <row r="25" spans="2:23" ht="6" customHeight="1" x14ac:dyDescent="0.35">
      <c r="B25" s="10"/>
      <c r="C25" s="3"/>
      <c r="D25" s="2"/>
      <c r="E25" s="111"/>
      <c r="F25" s="107"/>
      <c r="G25" s="107"/>
      <c r="H25" s="3"/>
      <c r="I25" s="11"/>
      <c r="L25" s="10"/>
      <c r="M25" s="3"/>
      <c r="N25" s="2"/>
      <c r="O25" s="111"/>
      <c r="P25" s="107"/>
      <c r="Q25" s="107"/>
      <c r="R25" s="107"/>
      <c r="S25" s="107"/>
      <c r="T25" s="107"/>
      <c r="U25" s="107"/>
      <c r="V25" s="3"/>
      <c r="W25" s="11"/>
    </row>
    <row r="26" spans="2:23" x14ac:dyDescent="0.35">
      <c r="O26" s="112"/>
      <c r="P26" s="112"/>
      <c r="Q26" s="112"/>
      <c r="R26" s="112"/>
      <c r="S26" s="112"/>
      <c r="T26" s="112"/>
      <c r="U26" s="112"/>
    </row>
    <row r="27" spans="2:23" x14ac:dyDescent="0.35">
      <c r="D27" s="42" t="s">
        <v>85</v>
      </c>
      <c r="N27" s="42" t="s">
        <v>85</v>
      </c>
      <c r="O27" s="112"/>
      <c r="P27" s="112"/>
      <c r="Q27" s="112"/>
      <c r="R27" s="112"/>
      <c r="S27" s="112"/>
      <c r="T27" s="112"/>
      <c r="U27" s="112"/>
    </row>
  </sheetData>
  <mergeCells count="6">
    <mergeCell ref="C3:I3"/>
    <mergeCell ref="C4:I4"/>
    <mergeCell ref="C2:I2"/>
    <mergeCell ref="M2:W2"/>
    <mergeCell ref="M3:W3"/>
    <mergeCell ref="M4:W4"/>
  </mergeCells>
  <printOptions horizontalCentered="1"/>
  <pageMargins left="0.7" right="0.7" top="1.1000000000000001"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9B43C-08DA-4F35-AF2D-4D6BA18A1447}">
  <sheetPr>
    <tabColor rgb="FF92D050"/>
    <pageSetUpPr fitToPage="1"/>
  </sheetPr>
  <dimension ref="A1:U440"/>
  <sheetViews>
    <sheetView showGridLines="0" topLeftCell="E12" zoomScaleNormal="100" workbookViewId="0">
      <selection activeCell="P30" sqref="P30"/>
    </sheetView>
  </sheetViews>
  <sheetFormatPr defaultColWidth="8.84375" defaultRowHeight="15.5" x14ac:dyDescent="0.35"/>
  <cols>
    <col min="1" max="1" width="7.765625" customWidth="1"/>
    <col min="2" max="2" width="8" style="98" customWidth="1"/>
    <col min="3" max="4" width="10.53515625" customWidth="1"/>
    <col min="5" max="6" width="12.61328125" customWidth="1"/>
    <col min="7" max="7" width="12.61328125" style="105" customWidth="1"/>
    <col min="8" max="8" width="12.61328125" customWidth="1"/>
    <col min="9" max="9" width="12.61328125" style="225" customWidth="1"/>
    <col min="10" max="10" width="12.61328125" style="224" customWidth="1"/>
    <col min="11" max="13" width="12.61328125" customWidth="1"/>
    <col min="14" max="14" width="11.23046875"/>
    <col min="15" max="16" width="8.765625" customWidth="1"/>
    <col min="17" max="17" width="9.3046875" customWidth="1"/>
    <col min="18" max="18" width="9.07421875" bestFit="1" customWidth="1"/>
    <col min="19" max="19" width="9.921875" bestFit="1" customWidth="1"/>
    <col min="20" max="20" width="8.921875" bestFit="1" customWidth="1"/>
    <col min="21" max="21" width="11.15234375" bestFit="1" customWidth="1"/>
  </cols>
  <sheetData>
    <row r="1" spans="1:21" ht="21" x14ac:dyDescent="0.5">
      <c r="A1" s="452" t="s">
        <v>523</v>
      </c>
      <c r="B1" s="452"/>
      <c r="C1" s="452"/>
      <c r="D1" s="452"/>
      <c r="E1" s="452"/>
      <c r="F1" s="452"/>
      <c r="G1" s="452"/>
      <c r="H1" s="452"/>
      <c r="I1" s="14"/>
      <c r="J1" s="223"/>
      <c r="K1" s="1"/>
      <c r="L1" s="1"/>
      <c r="M1" s="1"/>
      <c r="N1" s="1"/>
      <c r="O1" s="1"/>
      <c r="P1" s="1" t="s">
        <v>519</v>
      </c>
      <c r="Q1" s="1"/>
      <c r="R1" s="1"/>
      <c r="U1" s="368" t="s">
        <v>379</v>
      </c>
    </row>
    <row r="2" spans="1:21" ht="18.5" x14ac:dyDescent="0.35">
      <c r="A2" s="453" t="str">
        <f>SAO!A2</f>
        <v>RATTLESNAKE RIDGE WATER DISTRICT</v>
      </c>
      <c r="B2" s="453"/>
      <c r="C2" s="453"/>
      <c r="D2" s="453"/>
      <c r="E2" s="453"/>
      <c r="F2" s="453"/>
      <c r="G2" s="453"/>
      <c r="H2" s="453"/>
      <c r="I2" s="14"/>
      <c r="J2" s="223"/>
      <c r="K2" s="1"/>
      <c r="L2" s="1"/>
      <c r="M2" s="1"/>
      <c r="N2" s="1"/>
      <c r="O2" s="1"/>
      <c r="P2" s="383" t="s">
        <v>30</v>
      </c>
      <c r="Q2" s="1"/>
      <c r="R2" s="1"/>
      <c r="S2" t="s">
        <v>377</v>
      </c>
      <c r="T2" t="s">
        <v>378</v>
      </c>
      <c r="U2" s="368" t="s">
        <v>30</v>
      </c>
    </row>
    <row r="3" spans="1:21" ht="18.5" x14ac:dyDescent="0.35">
      <c r="A3" s="28"/>
      <c r="B3" s="95"/>
      <c r="C3" s="28"/>
      <c r="D3" s="28"/>
      <c r="E3" s="28"/>
      <c r="F3" s="28"/>
      <c r="G3" s="100"/>
      <c r="H3" s="28"/>
      <c r="I3" s="14"/>
      <c r="J3" s="223"/>
      <c r="K3" s="1"/>
      <c r="L3" s="1"/>
      <c r="M3" s="1"/>
      <c r="N3" s="1"/>
      <c r="O3" s="1"/>
      <c r="P3" s="1" t="s">
        <v>353</v>
      </c>
      <c r="Q3" s="1"/>
      <c r="R3" s="12">
        <v>-24881.26</v>
      </c>
      <c r="S3" s="12">
        <v>-24881.26</v>
      </c>
      <c r="T3" s="12"/>
      <c r="U3" s="384">
        <f>R3</f>
        <v>-24881.26</v>
      </c>
    </row>
    <row r="4" spans="1:21" x14ac:dyDescent="0.35">
      <c r="A4" s="88"/>
      <c r="B4" s="96"/>
      <c r="C4" s="89"/>
      <c r="D4" s="89"/>
      <c r="E4" s="89"/>
      <c r="F4" s="89"/>
      <c r="G4" s="101"/>
      <c r="H4" s="89"/>
      <c r="I4" s="14"/>
      <c r="J4" s="223"/>
      <c r="K4" s="1"/>
      <c r="L4" s="1"/>
      <c r="M4" s="1"/>
      <c r="N4" s="1"/>
      <c r="O4" s="1"/>
      <c r="P4" s="1" t="s">
        <v>354</v>
      </c>
      <c r="Q4" s="1"/>
      <c r="R4" s="12">
        <v>3434.16</v>
      </c>
      <c r="S4" s="12"/>
      <c r="T4" s="12">
        <v>3434.16</v>
      </c>
      <c r="U4" s="384"/>
    </row>
    <row r="5" spans="1:21" x14ac:dyDescent="0.35">
      <c r="A5" s="1"/>
      <c r="B5" s="454" t="s">
        <v>48</v>
      </c>
      <c r="C5" s="454"/>
      <c r="D5" s="454"/>
      <c r="E5" s="454"/>
      <c r="F5" s="454"/>
      <c r="G5" s="454"/>
      <c r="H5" s="1"/>
      <c r="I5" s="14"/>
      <c r="J5" s="223"/>
      <c r="K5" s="1"/>
      <c r="L5" s="1"/>
      <c r="M5" s="1"/>
      <c r="N5" s="1"/>
      <c r="O5" s="1"/>
      <c r="P5" s="1" t="s">
        <v>355</v>
      </c>
      <c r="Q5" s="1"/>
      <c r="R5" s="12">
        <v>-91810.28</v>
      </c>
      <c r="S5" s="12">
        <v>-91810.28</v>
      </c>
      <c r="T5" s="12"/>
      <c r="U5" s="384">
        <f>R5</f>
        <v>-91810.28</v>
      </c>
    </row>
    <row r="6" spans="1:21" s="1" customFormat="1" ht="14.5" x14ac:dyDescent="0.35">
      <c r="B6" s="4" t="s">
        <v>115</v>
      </c>
      <c r="C6" s="93"/>
      <c r="D6" s="315" t="s">
        <v>50</v>
      </c>
      <c r="E6" s="315" t="s">
        <v>51</v>
      </c>
      <c r="F6" s="83"/>
      <c r="G6" s="102" t="s">
        <v>54</v>
      </c>
      <c r="I6" s="14"/>
      <c r="J6" s="223"/>
      <c r="P6" s="1" t="s">
        <v>356</v>
      </c>
      <c r="R6" s="12">
        <v>-5677.1409999999996</v>
      </c>
      <c r="S6" s="12">
        <v>-5677.1409999999996</v>
      </c>
      <c r="T6" s="12"/>
      <c r="U6" s="12">
        <f>R6</f>
        <v>-5677.1409999999996</v>
      </c>
    </row>
    <row r="7" spans="1:21" s="1" customFormat="1" ht="14.5" x14ac:dyDescent="0.35">
      <c r="B7" s="4" t="s">
        <v>518</v>
      </c>
      <c r="D7" s="125">
        <f>C31+C52+C70+C86+C100+C113+C126+C139+C158</f>
        <v>50557</v>
      </c>
      <c r="E7" s="125">
        <f>D42+D78+D106+D119+D132+D145+D158</f>
        <v>258716140</v>
      </c>
      <c r="F7" s="85"/>
      <c r="G7" s="20">
        <f>G42+G61+G78+G93+G106+G119+G132+G145+G158</f>
        <v>2981723.02</v>
      </c>
      <c r="I7" s="14"/>
      <c r="J7" s="223"/>
      <c r="K7" s="4"/>
      <c r="P7" s="1" t="s">
        <v>357</v>
      </c>
      <c r="R7" s="12">
        <v>-1599.72</v>
      </c>
      <c r="S7" s="12">
        <v>-1599.72</v>
      </c>
      <c r="T7" s="12"/>
      <c r="U7" s="12">
        <v>1599.72</v>
      </c>
    </row>
    <row r="8" spans="1:21" s="1" customFormat="1" ht="16" x14ac:dyDescent="0.5">
      <c r="B8" s="4" t="s">
        <v>120</v>
      </c>
      <c r="C8" s="90"/>
      <c r="D8" s="99"/>
      <c r="E8" s="37"/>
      <c r="F8" s="37"/>
      <c r="G8" s="417">
        <f>-193786.04+53281.83</f>
        <v>-140504.21000000002</v>
      </c>
      <c r="H8" s="223" t="s">
        <v>517</v>
      </c>
      <c r="K8" s="87"/>
      <c r="L8" s="91"/>
      <c r="P8" s="1" t="s">
        <v>358</v>
      </c>
      <c r="R8" s="12">
        <v>26280</v>
      </c>
      <c r="S8" s="12"/>
      <c r="T8" s="12">
        <v>26280</v>
      </c>
      <c r="U8" s="12"/>
    </row>
    <row r="9" spans="1:21" s="1" customFormat="1" ht="16" x14ac:dyDescent="0.5">
      <c r="B9" s="4" t="s">
        <v>121</v>
      </c>
      <c r="C9" s="90"/>
      <c r="D9" s="34"/>
      <c r="E9" s="85"/>
      <c r="F9" s="85"/>
      <c r="G9" s="20">
        <f>SUM(G7:G8)</f>
        <v>2841218.81</v>
      </c>
      <c r="I9" s="352"/>
      <c r="J9" s="223"/>
      <c r="K9" s="87"/>
      <c r="L9" s="91"/>
      <c r="P9" s="1" t="s">
        <v>359</v>
      </c>
      <c r="R9" s="12">
        <v>1755</v>
      </c>
      <c r="S9" s="12"/>
      <c r="T9" s="12">
        <v>1755</v>
      </c>
      <c r="U9" s="12"/>
    </row>
    <row r="10" spans="1:21" s="1" customFormat="1" ht="16" x14ac:dyDescent="0.5">
      <c r="B10" s="4" t="s">
        <v>524</v>
      </c>
      <c r="C10" s="90"/>
      <c r="D10" s="34"/>
      <c r="E10" s="87"/>
      <c r="F10" s="87"/>
      <c r="G10" s="317">
        <f>SAO!D6+SAO!E6</f>
        <v>3029546.56</v>
      </c>
      <c r="I10" s="14"/>
      <c r="J10" s="223"/>
      <c r="K10" s="87"/>
      <c r="L10" s="91"/>
      <c r="P10" s="1" t="s">
        <v>360</v>
      </c>
      <c r="R10" s="12">
        <v>690.91</v>
      </c>
      <c r="S10" s="12"/>
      <c r="T10" s="12">
        <v>690.91</v>
      </c>
      <c r="U10" s="12"/>
    </row>
    <row r="11" spans="1:21" s="1" customFormat="1" ht="16" x14ac:dyDescent="0.5">
      <c r="B11" s="4" t="s">
        <v>66</v>
      </c>
      <c r="C11" s="90"/>
      <c r="D11" s="34"/>
      <c r="E11" s="85"/>
      <c r="F11" s="85"/>
      <c r="G11" s="20">
        <f>G9-G10</f>
        <v>-188327.75</v>
      </c>
      <c r="H11" s="1" t="s">
        <v>184</v>
      </c>
      <c r="I11" s="14"/>
      <c r="J11" s="228"/>
      <c r="K11" s="87"/>
      <c r="L11" s="91"/>
      <c r="P11" s="1" t="s">
        <v>381</v>
      </c>
      <c r="R11" s="12">
        <v>958.62</v>
      </c>
      <c r="S11" s="12"/>
      <c r="T11" s="12">
        <v>958.62</v>
      </c>
      <c r="U11" s="12"/>
    </row>
    <row r="12" spans="1:21" s="1" customFormat="1" ht="16" x14ac:dyDescent="0.5">
      <c r="B12" s="4"/>
      <c r="C12" s="90"/>
      <c r="D12" s="34"/>
      <c r="E12" s="85"/>
      <c r="F12" s="85"/>
      <c r="G12" s="64"/>
      <c r="I12" s="14"/>
      <c r="J12" s="228"/>
      <c r="K12" s="87"/>
      <c r="L12" s="91"/>
      <c r="P12" s="1" t="s">
        <v>361</v>
      </c>
      <c r="R12" s="12">
        <v>55</v>
      </c>
      <c r="S12" s="12"/>
      <c r="T12" s="12">
        <v>55</v>
      </c>
      <c r="U12" s="12"/>
    </row>
    <row r="13" spans="1:21" s="1" customFormat="1" ht="16" x14ac:dyDescent="0.5">
      <c r="B13" s="4"/>
      <c r="C13" s="90"/>
      <c r="D13" s="315"/>
      <c r="E13" s="315"/>
      <c r="F13" s="85"/>
      <c r="G13" s="64"/>
      <c r="I13" s="14"/>
      <c r="J13" s="228"/>
      <c r="K13" s="87"/>
      <c r="L13" s="91"/>
      <c r="P13" s="1" t="s">
        <v>380</v>
      </c>
      <c r="R13" s="12">
        <v>5820.11</v>
      </c>
      <c r="S13" s="12"/>
      <c r="T13" s="12">
        <v>5820.11</v>
      </c>
      <c r="U13" s="12"/>
    </row>
    <row r="14" spans="1:21" s="1" customFormat="1" ht="16" x14ac:dyDescent="0.5">
      <c r="B14" s="4"/>
      <c r="D14" s="125"/>
      <c r="E14" s="125"/>
      <c r="F14" s="85"/>
      <c r="G14" s="20"/>
      <c r="I14" s="14"/>
      <c r="J14" s="228"/>
      <c r="K14" s="87"/>
      <c r="L14" s="91"/>
      <c r="P14" s="1" t="s">
        <v>362</v>
      </c>
      <c r="R14" s="12">
        <v>-603.51</v>
      </c>
      <c r="S14" s="12">
        <v>-603.51</v>
      </c>
      <c r="T14" s="12"/>
      <c r="U14" s="12"/>
    </row>
    <row r="15" spans="1:21" s="1" customFormat="1" ht="16" x14ac:dyDescent="0.5">
      <c r="B15" s="4"/>
      <c r="C15" s="90"/>
      <c r="D15" s="34"/>
      <c r="E15" s="87"/>
      <c r="F15" s="87"/>
      <c r="G15" s="317"/>
      <c r="I15" s="14"/>
      <c r="J15" s="228"/>
      <c r="K15" s="87"/>
      <c r="L15" s="91"/>
      <c r="P15" s="1" t="s">
        <v>353</v>
      </c>
      <c r="R15" s="12">
        <v>-20638.38</v>
      </c>
      <c r="S15" s="12">
        <v>-20638.38</v>
      </c>
      <c r="T15" s="12"/>
      <c r="U15" s="12">
        <f>R15</f>
        <v>-20638.38</v>
      </c>
    </row>
    <row r="16" spans="1:21" s="1" customFormat="1" ht="16" x14ac:dyDescent="0.5">
      <c r="B16" s="4"/>
      <c r="C16" s="90"/>
      <c r="D16" s="34"/>
      <c r="E16" s="85"/>
      <c r="F16" s="85"/>
      <c r="G16" s="20"/>
      <c r="I16" s="14"/>
      <c r="J16" s="228"/>
      <c r="K16" s="87"/>
      <c r="L16" s="91"/>
      <c r="P16" s="1" t="s">
        <v>363</v>
      </c>
      <c r="R16" s="12">
        <v>-11669.13</v>
      </c>
      <c r="S16" s="12">
        <v>-11669.13</v>
      </c>
      <c r="T16" s="12"/>
      <c r="U16" s="12"/>
    </row>
    <row r="17" spans="1:21" s="1" customFormat="1" ht="16" x14ac:dyDescent="0.5">
      <c r="B17" s="4"/>
      <c r="C17" s="90"/>
      <c r="D17" s="4"/>
      <c r="E17" s="85"/>
      <c r="F17" s="85"/>
      <c r="G17" s="64"/>
      <c r="I17" s="14"/>
      <c r="J17" s="228"/>
      <c r="K17" s="87"/>
      <c r="L17" s="91"/>
      <c r="P17" s="1" t="s">
        <v>364</v>
      </c>
      <c r="R17" s="12">
        <v>-753.25</v>
      </c>
      <c r="S17" s="12">
        <v>-753.25</v>
      </c>
      <c r="T17" s="12"/>
      <c r="U17" s="12"/>
    </row>
    <row r="18" spans="1:21" s="1" customFormat="1" ht="16" x14ac:dyDescent="0.5">
      <c r="B18" s="4"/>
      <c r="C18" s="90"/>
      <c r="D18" s="4"/>
      <c r="E18" s="85"/>
      <c r="F18" s="85"/>
      <c r="G18" s="64"/>
      <c r="I18" s="14"/>
      <c r="J18" s="228"/>
      <c r="K18" s="87"/>
      <c r="L18" s="91"/>
      <c r="P18" s="1" t="s">
        <v>365</v>
      </c>
      <c r="R18" s="12">
        <v>2655.7</v>
      </c>
      <c r="S18" s="12"/>
      <c r="T18" s="12">
        <v>2655.7</v>
      </c>
      <c r="U18" s="12"/>
    </row>
    <row r="19" spans="1:21" s="1" customFormat="1" ht="16" x14ac:dyDescent="0.5">
      <c r="B19" s="4"/>
      <c r="C19" s="90"/>
      <c r="D19" s="4"/>
      <c r="E19" s="4"/>
      <c r="F19" s="85"/>
      <c r="G19" s="318"/>
      <c r="I19" s="14"/>
      <c r="J19" s="228"/>
      <c r="K19" s="87"/>
      <c r="L19" s="91"/>
      <c r="P19" s="1" t="s">
        <v>457</v>
      </c>
      <c r="R19" s="12">
        <v>-1886.56</v>
      </c>
      <c r="S19" s="12">
        <v>-1886.56</v>
      </c>
      <c r="T19" s="12"/>
      <c r="U19" s="12"/>
    </row>
    <row r="20" spans="1:21" s="1" customFormat="1" ht="16" x14ac:dyDescent="0.5">
      <c r="B20" s="4"/>
      <c r="C20" s="90"/>
      <c r="D20" s="34"/>
      <c r="E20" s="85"/>
      <c r="F20" s="85"/>
      <c r="G20" s="64"/>
      <c r="I20" s="14"/>
      <c r="J20" s="228"/>
      <c r="K20" s="87"/>
      <c r="L20" s="91"/>
      <c r="P20" s="1" t="s">
        <v>366</v>
      </c>
      <c r="R20" s="12">
        <v>-1415.48</v>
      </c>
      <c r="S20" s="12">
        <v>-1415.48</v>
      </c>
      <c r="T20" s="12"/>
      <c r="U20" s="12">
        <f>R20</f>
        <v>-1415.48</v>
      </c>
    </row>
    <row r="21" spans="1:21" s="1" customFormat="1" ht="16.5" thickBot="1" x14ac:dyDescent="0.55000000000000004">
      <c r="B21" s="4"/>
      <c r="C21" s="90"/>
      <c r="D21" s="34"/>
      <c r="E21" s="85"/>
      <c r="F21" s="85"/>
      <c r="G21" s="41"/>
      <c r="I21" s="14"/>
      <c r="J21" s="228"/>
      <c r="K21" s="87"/>
      <c r="L21" s="91"/>
      <c r="P21" s="1" t="s">
        <v>458</v>
      </c>
      <c r="R21" s="12">
        <v>-362.09</v>
      </c>
      <c r="S21" s="12">
        <v>-362.09</v>
      </c>
      <c r="T21" s="12"/>
      <c r="U21" s="12"/>
    </row>
    <row r="22" spans="1:21" s="1" customFormat="1" ht="16" x14ac:dyDescent="0.5">
      <c r="A22" s="268" t="s">
        <v>211</v>
      </c>
      <c r="B22" s="269"/>
      <c r="C22" s="270"/>
      <c r="D22" s="457" t="s">
        <v>204</v>
      </c>
      <c r="E22" s="457"/>
      <c r="F22" s="271"/>
      <c r="G22" s="288"/>
      <c r="H22" s="291"/>
      <c r="I22" s="295"/>
      <c r="J22" s="300"/>
      <c r="K22" s="303"/>
      <c r="L22" s="306"/>
      <c r="M22" s="291"/>
      <c r="N22" s="289"/>
      <c r="P22" s="1" t="s">
        <v>367</v>
      </c>
      <c r="R22" s="12">
        <v>-3942.22</v>
      </c>
      <c r="S22" s="12">
        <v>-3942.22</v>
      </c>
      <c r="T22" s="12"/>
      <c r="U22" s="12"/>
    </row>
    <row r="23" spans="1:21" s="1" customFormat="1" ht="14.5" x14ac:dyDescent="0.35">
      <c r="A23" s="273"/>
      <c r="B23" s="4"/>
      <c r="C23" s="90"/>
      <c r="D23" s="262"/>
      <c r="E23" s="92" t="s">
        <v>194</v>
      </c>
      <c r="F23" s="92" t="s">
        <v>195</v>
      </c>
      <c r="G23" s="92" t="s">
        <v>195</v>
      </c>
      <c r="H23" s="92" t="s">
        <v>195</v>
      </c>
      <c r="I23" s="92" t="s">
        <v>195</v>
      </c>
      <c r="J23" s="92" t="s">
        <v>196</v>
      </c>
      <c r="K23" s="92"/>
      <c r="L23" s="92"/>
      <c r="M23" s="233"/>
      <c r="N23" s="274"/>
      <c r="P23" s="1" t="s">
        <v>368</v>
      </c>
      <c r="R23" s="12">
        <v>1558.78</v>
      </c>
      <c r="S23" s="12"/>
      <c r="T23" s="12">
        <v>1558.78</v>
      </c>
      <c r="U23" s="12"/>
    </row>
    <row r="24" spans="1:21" s="1" customFormat="1" ht="14.5" x14ac:dyDescent="0.35">
      <c r="A24" s="245"/>
      <c r="B24" s="97" t="s">
        <v>49</v>
      </c>
      <c r="C24" s="83" t="s">
        <v>50</v>
      </c>
      <c r="D24" s="83" t="s">
        <v>51</v>
      </c>
      <c r="E24" s="263">
        <f>B25</f>
        <v>1000</v>
      </c>
      <c r="F24" s="263">
        <f>B26</f>
        <v>4000</v>
      </c>
      <c r="G24" s="263">
        <f>B27</f>
        <v>5000</v>
      </c>
      <c r="H24" s="263">
        <f>B28</f>
        <v>10000</v>
      </c>
      <c r="I24" s="263">
        <f>B29</f>
        <v>20000</v>
      </c>
      <c r="J24" s="263">
        <f>B30</f>
        <v>40000</v>
      </c>
      <c r="K24" s="263" t="s">
        <v>12</v>
      </c>
      <c r="L24" s="263"/>
      <c r="M24" s="264"/>
      <c r="N24" s="275"/>
      <c r="P24" s="1" t="s">
        <v>369</v>
      </c>
      <c r="R24" s="12">
        <v>7100.84</v>
      </c>
      <c r="S24" s="12"/>
      <c r="T24" s="12">
        <v>7100.84</v>
      </c>
      <c r="U24" s="12"/>
    </row>
    <row r="25" spans="1:21" s="1" customFormat="1" ht="14.4" customHeight="1" x14ac:dyDescent="0.35">
      <c r="A25" s="276" t="s">
        <v>194</v>
      </c>
      <c r="B25" s="4">
        <f>Rates!D9</f>
        <v>1000</v>
      </c>
      <c r="C25" s="19">
        <v>49278</v>
      </c>
      <c r="D25" s="4"/>
      <c r="E25" s="264"/>
      <c r="F25" s="264"/>
      <c r="G25" s="264"/>
      <c r="H25" s="264"/>
      <c r="I25" s="264"/>
      <c r="J25" s="264"/>
      <c r="K25" s="264">
        <f>SUM(E25:J25)</f>
        <v>0</v>
      </c>
      <c r="L25" s="264"/>
      <c r="M25" s="264"/>
      <c r="N25" s="277"/>
      <c r="P25" s="1" t="s">
        <v>370</v>
      </c>
      <c r="R25" s="12">
        <v>3341.43</v>
      </c>
      <c r="S25" s="12"/>
      <c r="T25" s="12">
        <v>3341.43</v>
      </c>
      <c r="U25" s="12"/>
    </row>
    <row r="26" spans="1:21" s="1" customFormat="1" ht="14.4" customHeight="1" x14ac:dyDescent="0.35">
      <c r="A26" s="276" t="s">
        <v>195</v>
      </c>
      <c r="B26" s="4">
        <f>Rates!D10</f>
        <v>4000</v>
      </c>
      <c r="C26" s="19">
        <v>717</v>
      </c>
      <c r="D26" s="4"/>
      <c r="E26" s="264"/>
      <c r="F26" s="264"/>
      <c r="G26" s="264"/>
      <c r="H26" s="264"/>
      <c r="I26" s="264"/>
      <c r="J26" s="264"/>
      <c r="K26" s="264">
        <f t="shared" ref="K26:K30" si="0">SUM(E26:J26)</f>
        <v>0</v>
      </c>
      <c r="L26" s="264"/>
      <c r="M26" s="264"/>
      <c r="N26" s="277"/>
      <c r="P26" s="1" t="s">
        <v>371</v>
      </c>
      <c r="R26" s="12">
        <v>5366.59</v>
      </c>
      <c r="S26" s="12"/>
      <c r="T26" s="12">
        <v>5366.59</v>
      </c>
      <c r="U26" s="12"/>
    </row>
    <row r="27" spans="1:21" s="1" customFormat="1" ht="14.4" customHeight="1" x14ac:dyDescent="0.35">
      <c r="A27" s="276" t="s">
        <v>195</v>
      </c>
      <c r="B27" s="4">
        <f>Rates!D11</f>
        <v>5000</v>
      </c>
      <c r="C27" s="19">
        <v>63</v>
      </c>
      <c r="D27" s="4"/>
      <c r="E27" s="264"/>
      <c r="F27" s="264"/>
      <c r="G27" s="264"/>
      <c r="H27" s="264"/>
      <c r="I27" s="264"/>
      <c r="J27" s="264"/>
      <c r="K27" s="264">
        <f t="shared" si="0"/>
        <v>0</v>
      </c>
      <c r="L27" s="264"/>
      <c r="M27" s="264"/>
      <c r="N27" s="277"/>
      <c r="P27" s="1" t="s">
        <v>372</v>
      </c>
      <c r="R27" s="12">
        <v>675</v>
      </c>
      <c r="S27" s="12"/>
      <c r="T27" s="12">
        <v>675</v>
      </c>
      <c r="U27" s="12"/>
    </row>
    <row r="28" spans="1:21" s="1" customFormat="1" ht="14.4" customHeight="1" x14ac:dyDescent="0.35">
      <c r="A28" s="276" t="s">
        <v>195</v>
      </c>
      <c r="B28" s="4">
        <f>Rates!D12</f>
        <v>10000</v>
      </c>
      <c r="C28" s="19">
        <v>4</v>
      </c>
      <c r="D28" s="4"/>
      <c r="E28" s="264"/>
      <c r="F28" s="264"/>
      <c r="G28" s="264"/>
      <c r="H28" s="264"/>
      <c r="I28" s="264"/>
      <c r="J28" s="264"/>
      <c r="K28" s="264">
        <f t="shared" si="0"/>
        <v>0</v>
      </c>
      <c r="L28" s="264"/>
      <c r="M28" s="264"/>
      <c r="N28" s="277"/>
      <c r="P28" s="1" t="s">
        <v>373</v>
      </c>
      <c r="R28" s="12">
        <v>3855.87</v>
      </c>
      <c r="S28" s="12"/>
      <c r="T28" s="12">
        <v>3855.87</v>
      </c>
      <c r="U28" s="12"/>
    </row>
    <row r="29" spans="1:21" s="1" customFormat="1" ht="14.4" customHeight="1" x14ac:dyDescent="0.35">
      <c r="A29" s="276" t="s">
        <v>195</v>
      </c>
      <c r="B29" s="4">
        <f>Rates!D13</f>
        <v>20000</v>
      </c>
      <c r="C29" s="19">
        <v>297</v>
      </c>
      <c r="D29" s="4"/>
      <c r="E29" s="264"/>
      <c r="F29" s="264"/>
      <c r="G29" s="264"/>
      <c r="H29" s="264"/>
      <c r="I29" s="264"/>
      <c r="J29" s="264"/>
      <c r="K29" s="264">
        <f t="shared" si="0"/>
        <v>0</v>
      </c>
      <c r="L29" s="264"/>
      <c r="M29" s="264"/>
      <c r="N29" s="277"/>
      <c r="P29" s="1" t="s">
        <v>374</v>
      </c>
      <c r="R29" s="12">
        <v>123.19</v>
      </c>
      <c r="S29" s="12"/>
      <c r="T29" s="12">
        <v>123.19</v>
      </c>
      <c r="U29" s="12"/>
    </row>
    <row r="30" spans="1:21" s="1" customFormat="1" ht="14.4" customHeight="1" x14ac:dyDescent="0.5">
      <c r="A30" s="282" t="s">
        <v>196</v>
      </c>
      <c r="B30" s="4">
        <f>Rates!D14</f>
        <v>40000</v>
      </c>
      <c r="C30" s="86"/>
      <c r="D30" s="37"/>
      <c r="E30" s="37"/>
      <c r="F30" s="37"/>
      <c r="G30" s="37"/>
      <c r="H30" s="37"/>
      <c r="I30" s="37"/>
      <c r="J30" s="13">
        <f>D30-E30-F30-G30-H30-I30</f>
        <v>0</v>
      </c>
      <c r="K30" s="339">
        <f t="shared" si="0"/>
        <v>0</v>
      </c>
      <c r="L30" s="265"/>
      <c r="M30" s="37"/>
      <c r="N30" s="278"/>
      <c r="P30" s="1" t="s">
        <v>375</v>
      </c>
      <c r="R30" s="12">
        <v>55</v>
      </c>
      <c r="S30" s="12"/>
      <c r="T30" s="12">
        <v>55</v>
      </c>
      <c r="U30" s="12"/>
    </row>
    <row r="31" spans="1:21" s="1" customFormat="1" ht="14.4" customHeight="1" x14ac:dyDescent="0.35">
      <c r="A31" s="276"/>
      <c r="B31" s="4"/>
      <c r="C31" s="19">
        <f t="shared" ref="C31:K31" si="1">SUM(C25:C30)</f>
        <v>50359</v>
      </c>
      <c r="D31" s="4">
        <f t="shared" si="1"/>
        <v>0</v>
      </c>
      <c r="E31" s="4">
        <f t="shared" si="1"/>
        <v>0</v>
      </c>
      <c r="F31" s="4">
        <f t="shared" si="1"/>
        <v>0</v>
      </c>
      <c r="G31" s="4">
        <f t="shared" si="1"/>
        <v>0</v>
      </c>
      <c r="H31" s="4">
        <f t="shared" si="1"/>
        <v>0</v>
      </c>
      <c r="I31" s="4">
        <f t="shared" si="1"/>
        <v>0</v>
      </c>
      <c r="J31" s="4">
        <f t="shared" si="1"/>
        <v>0</v>
      </c>
      <c r="K31" s="4">
        <f t="shared" si="1"/>
        <v>0</v>
      </c>
      <c r="L31" s="4"/>
      <c r="M31" s="4"/>
      <c r="N31" s="277"/>
      <c r="P31" s="1" t="s">
        <v>382</v>
      </c>
      <c r="R31" s="12">
        <v>659.66</v>
      </c>
      <c r="S31" s="12"/>
      <c r="T31" s="12">
        <v>659.66</v>
      </c>
      <c r="U31" s="12"/>
    </row>
    <row r="32" spans="1:21" s="1" customFormat="1" ht="14.4" customHeight="1" x14ac:dyDescent="0.5">
      <c r="A32" s="245"/>
      <c r="B32" s="4"/>
      <c r="C32" s="90"/>
      <c r="D32" s="34"/>
      <c r="E32" s="85"/>
      <c r="F32" s="85"/>
      <c r="G32" s="41"/>
      <c r="I32" s="14"/>
      <c r="J32" s="228"/>
      <c r="K32" s="87"/>
      <c r="L32" s="91"/>
      <c r="N32" s="274"/>
      <c r="P32" s="1" t="s">
        <v>376</v>
      </c>
      <c r="R32" s="12">
        <v>-4821.5600000000004</v>
      </c>
      <c r="S32" s="12">
        <v>-4821.5600000000004</v>
      </c>
      <c r="T32" s="12"/>
      <c r="U32" s="12"/>
    </row>
    <row r="33" spans="1:21" s="1" customFormat="1" ht="14.4" customHeight="1" x14ac:dyDescent="0.35">
      <c r="A33" s="273" t="s">
        <v>210</v>
      </c>
      <c r="D33" s="456" t="s">
        <v>204</v>
      </c>
      <c r="E33" s="456"/>
      <c r="F33" s="117"/>
      <c r="G33" s="117"/>
      <c r="I33" s="14"/>
      <c r="J33" s="223"/>
      <c r="K33" s="4"/>
      <c r="M33" s="4"/>
      <c r="N33" s="309"/>
      <c r="R33" s="12"/>
      <c r="S33" s="12">
        <f>SUM(S3:S32)</f>
        <v>-170060.58100000001</v>
      </c>
      <c r="T33" s="12">
        <f>SUM(T3:T32)</f>
        <v>64385.860000000008</v>
      </c>
      <c r="U33" s="12">
        <f>SUM(U3:U32)</f>
        <v>-142822.821</v>
      </c>
    </row>
    <row r="34" spans="1:21" s="1" customFormat="1" ht="14.4" customHeight="1" x14ac:dyDescent="0.35">
      <c r="A34" s="273"/>
      <c r="D34" s="262"/>
      <c r="E34" s="262"/>
      <c r="F34" s="117"/>
      <c r="G34" s="117"/>
      <c r="I34" s="14"/>
      <c r="J34" s="223"/>
      <c r="K34" s="4"/>
      <c r="M34" s="4"/>
      <c r="N34" s="309"/>
    </row>
    <row r="35" spans="1:21" s="1" customFormat="1" ht="14.4" customHeight="1" x14ac:dyDescent="0.35">
      <c r="A35" s="245"/>
      <c r="B35" s="97" t="s">
        <v>49</v>
      </c>
      <c r="C35" s="83" t="s">
        <v>50</v>
      </c>
      <c r="D35" s="83" t="s">
        <v>51</v>
      </c>
      <c r="E35" s="455" t="s">
        <v>53</v>
      </c>
      <c r="F35" s="455"/>
      <c r="G35" s="102" t="s">
        <v>54</v>
      </c>
      <c r="H35" s="17"/>
      <c r="I35" s="14"/>
      <c r="J35" s="223"/>
      <c r="N35" s="274"/>
    </row>
    <row r="36" spans="1:21" s="1" customFormat="1" ht="14.4" customHeight="1" x14ac:dyDescent="0.35">
      <c r="A36" s="276" t="s">
        <v>194</v>
      </c>
      <c r="B36" s="4">
        <f>Rates!D9</f>
        <v>1000</v>
      </c>
      <c r="C36" s="19">
        <f>C31</f>
        <v>50359</v>
      </c>
      <c r="D36" s="19">
        <v>4055680</v>
      </c>
      <c r="E36" s="234">
        <f>Rates!F9</f>
        <v>20.48</v>
      </c>
      <c r="F36" s="43" t="s">
        <v>110</v>
      </c>
      <c r="G36" s="103">
        <f>ROUND(C36*E36,0)</f>
        <v>1031352</v>
      </c>
      <c r="H36" s="19"/>
      <c r="I36" s="14"/>
      <c r="J36" s="223"/>
      <c r="N36" s="274"/>
    </row>
    <row r="37" spans="1:21" s="1" customFormat="1" ht="14.4" customHeight="1" x14ac:dyDescent="0.35">
      <c r="A37" s="276" t="s">
        <v>195</v>
      </c>
      <c r="B37" s="4">
        <f>Rates!D10</f>
        <v>4000</v>
      </c>
      <c r="C37" s="19"/>
      <c r="D37" s="19">
        <v>70502770</v>
      </c>
      <c r="E37" s="235">
        <f>Rates!F10</f>
        <v>1.5259999999999999E-2</v>
      </c>
      <c r="F37" s="43" t="s">
        <v>192</v>
      </c>
      <c r="G37" s="103">
        <f>ROUND(D37*E37,0)</f>
        <v>1075872</v>
      </c>
      <c r="H37" s="19"/>
      <c r="I37" s="14"/>
      <c r="J37" s="223"/>
      <c r="N37" s="274"/>
    </row>
    <row r="38" spans="1:21" s="1" customFormat="1" ht="14.4" customHeight="1" x14ac:dyDescent="0.35">
      <c r="A38" s="276" t="s">
        <v>195</v>
      </c>
      <c r="B38" s="4">
        <f>Rates!D11</f>
        <v>5000</v>
      </c>
      <c r="C38" s="19"/>
      <c r="D38" s="19">
        <v>31546310</v>
      </c>
      <c r="E38" s="235">
        <f>Rates!F11</f>
        <v>1.3140000000000001E-2</v>
      </c>
      <c r="F38" s="43" t="s">
        <v>192</v>
      </c>
      <c r="G38" s="103">
        <f t="shared" ref="G38:G41" si="2">ROUND(D38*E38,0)</f>
        <v>414519</v>
      </c>
      <c r="H38" s="19"/>
      <c r="I38" s="14"/>
      <c r="J38" s="223"/>
      <c r="N38" s="274"/>
    </row>
    <row r="39" spans="1:21" s="1" customFormat="1" ht="14.4" customHeight="1" x14ac:dyDescent="0.35">
      <c r="A39" s="276" t="s">
        <v>195</v>
      </c>
      <c r="B39" s="4">
        <f>Rates!D12</f>
        <v>10000</v>
      </c>
      <c r="C39" s="19"/>
      <c r="D39" s="19">
        <v>13189270</v>
      </c>
      <c r="E39" s="235">
        <f>Rates!F12</f>
        <v>1.1769999999999999E-2</v>
      </c>
      <c r="F39" s="43" t="s">
        <v>192</v>
      </c>
      <c r="G39" s="103">
        <f t="shared" si="2"/>
        <v>155238</v>
      </c>
      <c r="H39" s="19"/>
      <c r="I39" s="14"/>
      <c r="J39" s="223"/>
      <c r="N39" s="274"/>
    </row>
    <row r="40" spans="1:21" s="1" customFormat="1" ht="14.4" customHeight="1" x14ac:dyDescent="0.35">
      <c r="A40" s="276" t="s">
        <v>195</v>
      </c>
      <c r="B40" s="4">
        <f>Rates!D13</f>
        <v>20000</v>
      </c>
      <c r="C40" s="19"/>
      <c r="D40" s="19">
        <v>16169290</v>
      </c>
      <c r="E40" s="235">
        <f>Rates!F13</f>
        <v>8.3700000000000007E-3</v>
      </c>
      <c r="F40" s="43" t="s">
        <v>192</v>
      </c>
      <c r="G40" s="103">
        <f t="shared" si="2"/>
        <v>135337</v>
      </c>
      <c r="H40" s="19"/>
      <c r="I40" s="14"/>
      <c r="J40" s="223"/>
      <c r="N40" s="274"/>
    </row>
    <row r="41" spans="1:21" s="1" customFormat="1" ht="14.4" customHeight="1" x14ac:dyDescent="0.5">
      <c r="A41" s="282" t="s">
        <v>196</v>
      </c>
      <c r="B41" s="4">
        <f>Rates!D14</f>
        <v>40000</v>
      </c>
      <c r="C41" s="86"/>
      <c r="D41" s="86">
        <f>J31</f>
        <v>0</v>
      </c>
      <c r="E41" s="235">
        <f>Rates!F14</f>
        <v>6.6800000000000002E-3</v>
      </c>
      <c r="F41" s="43" t="s">
        <v>192</v>
      </c>
      <c r="G41" s="104">
        <f t="shared" si="2"/>
        <v>0</v>
      </c>
      <c r="H41" s="86"/>
      <c r="I41" s="14"/>
      <c r="J41" s="223"/>
      <c r="N41" s="274"/>
    </row>
    <row r="42" spans="1:21" s="1" customFormat="1" ht="14.4" customHeight="1" thickBot="1" x14ac:dyDescent="0.4">
      <c r="A42" s="307"/>
      <c r="B42" s="284"/>
      <c r="C42" s="308"/>
      <c r="D42" s="310">
        <f>SUM(D36:D41)</f>
        <v>135463320</v>
      </c>
      <c r="E42" s="308"/>
      <c r="F42" s="308"/>
      <c r="G42" s="305">
        <f>SUM(G36:G41)</f>
        <v>2812318</v>
      </c>
      <c r="H42" s="308"/>
      <c r="I42" s="298"/>
      <c r="J42" s="302"/>
      <c r="K42" s="286"/>
      <c r="L42" s="286"/>
      <c r="M42" s="286"/>
      <c r="N42" s="290"/>
    </row>
    <row r="43" spans="1:21" s="1" customFormat="1" ht="15" thickBot="1" x14ac:dyDescent="0.4">
      <c r="A43" s="92"/>
      <c r="B43" s="4"/>
      <c r="C43" s="19"/>
      <c r="D43" s="257"/>
      <c r="E43" s="19"/>
      <c r="F43" s="19"/>
      <c r="G43" s="103"/>
      <c r="H43" s="19"/>
      <c r="I43" s="14"/>
      <c r="J43" s="223"/>
    </row>
    <row r="44" spans="1:21" s="1" customFormat="1" ht="14.4" customHeight="1" x14ac:dyDescent="0.5">
      <c r="A44" s="268" t="s">
        <v>211</v>
      </c>
      <c r="B44" s="269"/>
      <c r="C44" s="270"/>
      <c r="D44" s="457" t="s">
        <v>205</v>
      </c>
      <c r="E44" s="457"/>
      <c r="F44" s="271"/>
      <c r="G44" s="288"/>
      <c r="H44" s="291"/>
      <c r="I44" s="295"/>
      <c r="J44" s="300"/>
      <c r="K44" s="303"/>
      <c r="L44" s="306"/>
      <c r="M44" s="289"/>
    </row>
    <row r="45" spans="1:21" s="1" customFormat="1" ht="14.4" customHeight="1" x14ac:dyDescent="0.35">
      <c r="A45" s="273"/>
      <c r="B45" s="4"/>
      <c r="C45" s="90"/>
      <c r="D45" s="262"/>
      <c r="E45" s="92" t="s">
        <v>194</v>
      </c>
      <c r="F45" s="92" t="s">
        <v>195</v>
      </c>
      <c r="G45" s="92" t="s">
        <v>195</v>
      </c>
      <c r="H45" s="92" t="s">
        <v>195</v>
      </c>
      <c r="I45" s="92" t="s">
        <v>196</v>
      </c>
      <c r="J45" s="92"/>
      <c r="K45" s="92"/>
      <c r="L45" s="92"/>
      <c r="M45" s="274"/>
    </row>
    <row r="46" spans="1:21" s="1" customFormat="1" ht="14.4" customHeight="1" x14ac:dyDescent="0.35">
      <c r="A46" s="245"/>
      <c r="B46" s="97" t="s">
        <v>49</v>
      </c>
      <c r="C46" s="83" t="s">
        <v>50</v>
      </c>
      <c r="D46" s="83" t="s">
        <v>51</v>
      </c>
      <c r="E46" s="263">
        <f>B47</f>
        <v>5000</v>
      </c>
      <c r="F46" s="263">
        <f>B48</f>
        <v>5000</v>
      </c>
      <c r="G46" s="263">
        <f>B49</f>
        <v>10000</v>
      </c>
      <c r="H46" s="263">
        <f>B50</f>
        <v>20000</v>
      </c>
      <c r="I46" s="263">
        <f>B51</f>
        <v>40000</v>
      </c>
      <c r="J46" s="263" t="s">
        <v>12</v>
      </c>
      <c r="K46" s="263"/>
      <c r="L46" s="263"/>
      <c r="M46" s="275"/>
    </row>
    <row r="47" spans="1:21" s="1" customFormat="1" ht="14.4" customHeight="1" x14ac:dyDescent="0.35">
      <c r="A47" s="276" t="s">
        <v>194</v>
      </c>
      <c r="B47" s="4">
        <f>Rates!D17</f>
        <v>5000</v>
      </c>
      <c r="C47" s="19"/>
      <c r="D47" s="4"/>
      <c r="E47" s="264">
        <f>D47</f>
        <v>0</v>
      </c>
      <c r="F47" s="264"/>
      <c r="G47" s="264"/>
      <c r="H47" s="264"/>
      <c r="I47" s="264"/>
      <c r="J47" s="264">
        <f>SUM(E47:I47)</f>
        <v>0</v>
      </c>
      <c r="K47" s="264"/>
      <c r="L47" s="264"/>
      <c r="M47" s="277"/>
    </row>
    <row r="48" spans="1:21" s="1" customFormat="1" ht="14.4" customHeight="1" x14ac:dyDescent="0.35">
      <c r="A48" s="276" t="s">
        <v>195</v>
      </c>
      <c r="B48" s="4">
        <f>Rates!D18</f>
        <v>5000</v>
      </c>
      <c r="C48" s="19"/>
      <c r="D48" s="4"/>
      <c r="E48" s="264">
        <f>C48*E46</f>
        <v>0</v>
      </c>
      <c r="F48" s="264">
        <f>D48-E48</f>
        <v>0</v>
      </c>
      <c r="G48" s="264"/>
      <c r="H48" s="264"/>
      <c r="I48" s="264"/>
      <c r="J48" s="264">
        <f t="shared" ref="J48:J51" si="3">SUM(E48:I48)</f>
        <v>0</v>
      </c>
      <c r="K48" s="264"/>
      <c r="L48" s="264"/>
      <c r="M48" s="277"/>
    </row>
    <row r="49" spans="1:13" s="1" customFormat="1" ht="14.4" customHeight="1" x14ac:dyDescent="0.35">
      <c r="A49" s="276" t="s">
        <v>195</v>
      </c>
      <c r="B49" s="4">
        <f>Rates!D19</f>
        <v>10000</v>
      </c>
      <c r="C49" s="19"/>
      <c r="D49" s="4"/>
      <c r="E49" s="264">
        <f>C49*E46</f>
        <v>0</v>
      </c>
      <c r="F49" s="264">
        <f>C49*F46</f>
        <v>0</v>
      </c>
      <c r="G49" s="264">
        <f>D49-E49-F49</f>
        <v>0</v>
      </c>
      <c r="H49" s="264"/>
      <c r="I49" s="264"/>
      <c r="J49" s="264">
        <f t="shared" si="3"/>
        <v>0</v>
      </c>
      <c r="K49" s="264"/>
      <c r="L49" s="264"/>
      <c r="M49" s="277"/>
    </row>
    <row r="50" spans="1:13" s="1" customFormat="1" ht="14.4" customHeight="1" x14ac:dyDescent="0.35">
      <c r="A50" s="276" t="s">
        <v>195</v>
      </c>
      <c r="B50" s="4">
        <f>Rates!D20</f>
        <v>20000</v>
      </c>
      <c r="C50" s="19"/>
      <c r="D50" s="4"/>
      <c r="E50" s="264">
        <f>C50*E46</f>
        <v>0</v>
      </c>
      <c r="F50" s="264">
        <f>C50*F46</f>
        <v>0</v>
      </c>
      <c r="G50" s="264">
        <f>C50*G46</f>
        <v>0</v>
      </c>
      <c r="H50" s="264">
        <f>D50-E50-F50-G50</f>
        <v>0</v>
      </c>
      <c r="I50" s="264"/>
      <c r="J50" s="264">
        <f t="shared" si="3"/>
        <v>0</v>
      </c>
      <c r="K50" s="264"/>
      <c r="L50" s="264"/>
      <c r="M50" s="277"/>
    </row>
    <row r="51" spans="1:13" s="1" customFormat="1" ht="14.4" customHeight="1" x14ac:dyDescent="0.5">
      <c r="A51" s="276" t="s">
        <v>196</v>
      </c>
      <c r="B51" s="4">
        <f>Rates!D21</f>
        <v>40000</v>
      </c>
      <c r="C51" s="86"/>
      <c r="D51" s="37"/>
      <c r="E51" s="37">
        <f>C51*E46</f>
        <v>0</v>
      </c>
      <c r="F51" s="37">
        <f>C51*F46</f>
        <v>0</v>
      </c>
      <c r="G51" s="37">
        <f>C51*G46</f>
        <v>0</v>
      </c>
      <c r="H51" s="37">
        <f>C51*H46</f>
        <v>0</v>
      </c>
      <c r="I51" s="37">
        <f>D51-E51-F51-G51-H51</f>
        <v>0</v>
      </c>
      <c r="J51" s="339">
        <f t="shared" si="3"/>
        <v>0</v>
      </c>
      <c r="K51" s="37"/>
      <c r="L51" s="265"/>
      <c r="M51" s="278"/>
    </row>
    <row r="52" spans="1:13" s="1" customFormat="1" ht="14.4" customHeight="1" x14ac:dyDescent="0.35">
      <c r="A52" s="276"/>
      <c r="B52" s="4"/>
      <c r="C52" s="19">
        <f t="shared" ref="C52:J52" si="4">SUM(C47:C51)</f>
        <v>0</v>
      </c>
      <c r="D52" s="4">
        <f t="shared" si="4"/>
        <v>0</v>
      </c>
      <c r="E52" s="4">
        <f t="shared" si="4"/>
        <v>0</v>
      </c>
      <c r="F52" s="4">
        <f t="shared" si="4"/>
        <v>0</v>
      </c>
      <c r="G52" s="4">
        <f t="shared" si="4"/>
        <v>0</v>
      </c>
      <c r="H52" s="4">
        <f t="shared" si="4"/>
        <v>0</v>
      </c>
      <c r="I52" s="4">
        <f t="shared" si="4"/>
        <v>0</v>
      </c>
      <c r="J52" s="4">
        <f t="shared" si="4"/>
        <v>0</v>
      </c>
      <c r="K52" s="4"/>
      <c r="L52" s="4"/>
      <c r="M52" s="277"/>
    </row>
    <row r="53" spans="1:13" s="1" customFormat="1" ht="14.4" customHeight="1" x14ac:dyDescent="0.35">
      <c r="A53" s="276"/>
      <c r="B53" s="4"/>
      <c r="C53" s="19"/>
      <c r="D53" s="19"/>
      <c r="E53" s="19"/>
      <c r="F53" s="19"/>
      <c r="G53" s="103"/>
      <c r="H53" s="19"/>
      <c r="I53" s="14"/>
      <c r="J53" s="223"/>
      <c r="M53" s="274"/>
    </row>
    <row r="54" spans="1:13" s="1" customFormat="1" ht="14.4" customHeight="1" x14ac:dyDescent="0.35">
      <c r="A54" s="273" t="s">
        <v>210</v>
      </c>
      <c r="C54" s="117"/>
      <c r="D54" s="456" t="s">
        <v>205</v>
      </c>
      <c r="E54" s="456"/>
      <c r="F54" s="117"/>
      <c r="G54" s="117"/>
      <c r="H54" s="84"/>
      <c r="I54" s="14"/>
      <c r="J54" s="223"/>
      <c r="M54" s="274"/>
    </row>
    <row r="55" spans="1:13" s="1" customFormat="1" ht="14.4" customHeight="1" x14ac:dyDescent="0.35">
      <c r="A55" s="245"/>
      <c r="B55" s="97" t="s">
        <v>49</v>
      </c>
      <c r="C55" s="83" t="s">
        <v>50</v>
      </c>
      <c r="D55" s="83" t="s">
        <v>51</v>
      </c>
      <c r="E55" s="455" t="s">
        <v>53</v>
      </c>
      <c r="F55" s="455"/>
      <c r="G55" s="102" t="s">
        <v>54</v>
      </c>
      <c r="H55" s="84"/>
      <c r="I55" s="14"/>
      <c r="J55" s="223"/>
      <c r="M55" s="274"/>
    </row>
    <row r="56" spans="1:13" s="1" customFormat="1" ht="14.4" customHeight="1" x14ac:dyDescent="0.35">
      <c r="A56" s="276" t="s">
        <v>194</v>
      </c>
      <c r="B56" s="4">
        <f>Rates!D17</f>
        <v>5000</v>
      </c>
      <c r="C56" s="19">
        <f>C52</f>
        <v>0</v>
      </c>
      <c r="D56" s="19">
        <f>E52</f>
        <v>0</v>
      </c>
      <c r="E56" s="234">
        <f>Rates!F17</f>
        <v>81.540000000000006</v>
      </c>
      <c r="F56" s="43" t="s">
        <v>110</v>
      </c>
      <c r="G56" s="103">
        <f>ROUND(C56*E56,0)</f>
        <v>0</v>
      </c>
      <c r="I56" s="14"/>
      <c r="J56" s="223"/>
      <c r="M56" s="274"/>
    </row>
    <row r="57" spans="1:13" s="1" customFormat="1" ht="14.4" customHeight="1" x14ac:dyDescent="0.35">
      <c r="A57" s="276" t="s">
        <v>195</v>
      </c>
      <c r="B57" s="4">
        <f>Rates!D18</f>
        <v>5000</v>
      </c>
      <c r="C57" s="19"/>
      <c r="D57" s="19">
        <f>F52</f>
        <v>0</v>
      </c>
      <c r="E57" s="235">
        <f>Rates!F18</f>
        <v>1.3140000000000001E-2</v>
      </c>
      <c r="F57" s="43" t="s">
        <v>192</v>
      </c>
      <c r="G57" s="103">
        <f t="shared" ref="G57:G60" si="5">ROUND(D57*E57,0)</f>
        <v>0</v>
      </c>
      <c r="I57" s="14"/>
      <c r="J57" s="223"/>
      <c r="M57" s="274"/>
    </row>
    <row r="58" spans="1:13" s="1" customFormat="1" ht="14.4" customHeight="1" x14ac:dyDescent="0.35">
      <c r="A58" s="276" t="s">
        <v>195</v>
      </c>
      <c r="B58" s="4">
        <f>Rates!D19</f>
        <v>10000</v>
      </c>
      <c r="C58" s="19"/>
      <c r="D58" s="19">
        <f>G52</f>
        <v>0</v>
      </c>
      <c r="E58" s="235">
        <f>Rates!F19</f>
        <v>1.1769999999999999E-2</v>
      </c>
      <c r="F58" s="43" t="s">
        <v>192</v>
      </c>
      <c r="G58" s="103">
        <f t="shared" si="5"/>
        <v>0</v>
      </c>
      <c r="I58" s="14"/>
      <c r="J58" s="223"/>
      <c r="M58" s="274"/>
    </row>
    <row r="59" spans="1:13" s="1" customFormat="1" ht="14.4" customHeight="1" x14ac:dyDescent="0.35">
      <c r="A59" s="276" t="s">
        <v>195</v>
      </c>
      <c r="B59" s="4">
        <f>Rates!D20</f>
        <v>20000</v>
      </c>
      <c r="C59" s="19"/>
      <c r="D59" s="19">
        <f>H52</f>
        <v>0</v>
      </c>
      <c r="E59" s="235">
        <f>Rates!F20</f>
        <v>8.3700000000000007E-3</v>
      </c>
      <c r="F59" s="43" t="s">
        <v>192</v>
      </c>
      <c r="G59" s="103">
        <f t="shared" si="5"/>
        <v>0</v>
      </c>
      <c r="I59" s="14"/>
      <c r="J59" s="223"/>
      <c r="M59" s="274"/>
    </row>
    <row r="60" spans="1:13" s="1" customFormat="1" ht="14.4" customHeight="1" x14ac:dyDescent="0.5">
      <c r="A60" s="282" t="s">
        <v>196</v>
      </c>
      <c r="B60" s="4">
        <f>Rates!D21</f>
        <v>40000</v>
      </c>
      <c r="C60" s="86"/>
      <c r="D60" s="86">
        <f>I52</f>
        <v>0</v>
      </c>
      <c r="E60" s="235">
        <f>Rates!F21</f>
        <v>6.6800000000000002E-3</v>
      </c>
      <c r="F60" s="43" t="s">
        <v>192</v>
      </c>
      <c r="G60" s="104">
        <f t="shared" si="5"/>
        <v>0</v>
      </c>
      <c r="I60" s="14"/>
      <c r="J60" s="223"/>
      <c r="M60" s="274"/>
    </row>
    <row r="61" spans="1:13" s="1" customFormat="1" ht="14.4" customHeight="1" thickBot="1" x14ac:dyDescent="0.4">
      <c r="A61" s="307"/>
      <c r="B61" s="284"/>
      <c r="C61" s="308"/>
      <c r="D61" s="284">
        <f>SUM(D56:D60)</f>
        <v>0</v>
      </c>
      <c r="E61" s="308"/>
      <c r="F61" s="308"/>
      <c r="G61" s="305">
        <f>G56+G60</f>
        <v>0</v>
      </c>
      <c r="H61" s="286"/>
      <c r="I61" s="298"/>
      <c r="J61" s="302"/>
      <c r="K61" s="286"/>
      <c r="L61" s="286"/>
      <c r="M61" s="290"/>
    </row>
    <row r="62" spans="1:13" s="1" customFormat="1" ht="14.4" customHeight="1" thickBot="1" x14ac:dyDescent="0.4">
      <c r="A62" s="92"/>
      <c r="B62" s="4"/>
      <c r="C62" s="19"/>
      <c r="D62" s="4"/>
      <c r="E62" s="19"/>
      <c r="F62" s="19"/>
      <c r="G62" s="103"/>
      <c r="I62" s="14"/>
      <c r="J62" s="223"/>
    </row>
    <row r="63" spans="1:13" s="1" customFormat="1" ht="14.4" customHeight="1" x14ac:dyDescent="0.5">
      <c r="A63" s="268" t="s">
        <v>211</v>
      </c>
      <c r="B63" s="269"/>
      <c r="C63" s="270"/>
      <c r="D63" s="457" t="s">
        <v>116</v>
      </c>
      <c r="E63" s="457"/>
      <c r="F63" s="271"/>
      <c r="G63" s="288"/>
      <c r="H63" s="291"/>
      <c r="I63" s="295"/>
      <c r="J63" s="300"/>
      <c r="K63" s="303"/>
      <c r="L63" s="304"/>
    </row>
    <row r="64" spans="1:13" s="1" customFormat="1" ht="14.4" customHeight="1" x14ac:dyDescent="0.35">
      <c r="A64" s="273"/>
      <c r="B64" s="4"/>
      <c r="C64" s="90"/>
      <c r="D64" s="262"/>
      <c r="E64" s="92" t="s">
        <v>194</v>
      </c>
      <c r="F64" s="92" t="s">
        <v>195</v>
      </c>
      <c r="G64" s="92" t="s">
        <v>195</v>
      </c>
      <c r="H64" s="92" t="s">
        <v>196</v>
      </c>
      <c r="I64" s="92"/>
      <c r="J64" s="92"/>
      <c r="K64" s="92"/>
      <c r="L64" s="274"/>
    </row>
    <row r="65" spans="1:13" s="1" customFormat="1" ht="14.4" customHeight="1" x14ac:dyDescent="0.35">
      <c r="A65" s="245"/>
      <c r="B65" s="97" t="s">
        <v>49</v>
      </c>
      <c r="C65" s="83" t="s">
        <v>50</v>
      </c>
      <c r="D65" s="83" t="s">
        <v>51</v>
      </c>
      <c r="E65" s="263">
        <f>B66</f>
        <v>10000</v>
      </c>
      <c r="F65" s="263">
        <f>B67</f>
        <v>10000</v>
      </c>
      <c r="G65" s="263">
        <f>B68</f>
        <v>20000</v>
      </c>
      <c r="H65" s="263">
        <f>B69</f>
        <v>40000</v>
      </c>
      <c r="I65" s="263" t="s">
        <v>12</v>
      </c>
      <c r="J65" s="263"/>
      <c r="K65" s="263"/>
      <c r="L65" s="275"/>
    </row>
    <row r="66" spans="1:13" s="1" customFormat="1" ht="14.4" customHeight="1" x14ac:dyDescent="0.35">
      <c r="A66" s="276" t="s">
        <v>194</v>
      </c>
      <c r="B66" s="4">
        <f>Rates!D24</f>
        <v>10000</v>
      </c>
      <c r="C66" s="19">
        <v>87</v>
      </c>
      <c r="D66" s="4"/>
      <c r="E66" s="264"/>
      <c r="F66" s="264"/>
      <c r="G66" s="264"/>
      <c r="H66" s="264"/>
      <c r="I66" s="264"/>
      <c r="J66" s="264"/>
      <c r="K66" s="264"/>
      <c r="L66" s="277"/>
    </row>
    <row r="67" spans="1:13" s="1" customFormat="1" ht="14.4" customHeight="1" x14ac:dyDescent="0.35">
      <c r="A67" s="276" t="s">
        <v>195</v>
      </c>
      <c r="B67" s="4">
        <f>Rates!D25</f>
        <v>10000</v>
      </c>
      <c r="C67" s="19">
        <v>12</v>
      </c>
      <c r="D67" s="4"/>
      <c r="E67" s="264"/>
      <c r="F67" s="264"/>
      <c r="G67" s="264"/>
      <c r="H67" s="264"/>
      <c r="I67" s="264"/>
      <c r="J67" s="264"/>
      <c r="K67" s="264"/>
      <c r="L67" s="277"/>
    </row>
    <row r="68" spans="1:13" s="1" customFormat="1" ht="14.4" customHeight="1" x14ac:dyDescent="0.35">
      <c r="A68" s="276" t="s">
        <v>195</v>
      </c>
      <c r="B68" s="4">
        <f>Rates!D26</f>
        <v>20000</v>
      </c>
      <c r="C68" s="19"/>
      <c r="D68" s="4"/>
      <c r="E68" s="264"/>
      <c r="F68" s="264"/>
      <c r="G68" s="264"/>
      <c r="H68" s="264"/>
      <c r="I68" s="264"/>
      <c r="J68" s="264"/>
      <c r="K68" s="264"/>
      <c r="L68" s="277"/>
    </row>
    <row r="69" spans="1:13" s="1" customFormat="1" ht="14.4" customHeight="1" x14ac:dyDescent="0.5">
      <c r="A69" s="276" t="s">
        <v>196</v>
      </c>
      <c r="B69" s="4">
        <f>Rates!D27</f>
        <v>40000</v>
      </c>
      <c r="C69" s="86"/>
      <c r="D69" s="37"/>
      <c r="E69" s="266"/>
      <c r="F69" s="266"/>
      <c r="G69" s="266"/>
      <c r="H69" s="266"/>
      <c r="I69" s="266"/>
      <c r="J69" s="266"/>
      <c r="K69" s="266"/>
      <c r="L69" s="278"/>
    </row>
    <row r="70" spans="1:13" s="1" customFormat="1" ht="14.4" customHeight="1" x14ac:dyDescent="0.35">
      <c r="A70" s="276"/>
      <c r="B70" s="4"/>
      <c r="C70" s="19">
        <f>SUM(C66:C69)</f>
        <v>99</v>
      </c>
      <c r="D70" s="4">
        <f>SUM(D66:D69)</f>
        <v>0</v>
      </c>
      <c r="E70" s="4">
        <f>SUM(E66:E69)</f>
        <v>0</v>
      </c>
      <c r="F70" s="4">
        <f>SUM(F66:F69)</f>
        <v>0</v>
      </c>
      <c r="G70" s="4">
        <f>SUM(G66:G69)</f>
        <v>0</v>
      </c>
      <c r="H70" s="4">
        <f t="shared" ref="H70:I70" si="6">SUM(H66:H69)</f>
        <v>0</v>
      </c>
      <c r="I70" s="4">
        <f t="shared" si="6"/>
        <v>0</v>
      </c>
      <c r="J70" s="4"/>
      <c r="K70" s="4"/>
      <c r="L70" s="277"/>
    </row>
    <row r="71" spans="1:13" s="1" customFormat="1" ht="14.4" customHeight="1" x14ac:dyDescent="0.35">
      <c r="A71" s="276"/>
      <c r="B71" s="4"/>
      <c r="C71" s="19"/>
      <c r="D71" s="4"/>
      <c r="E71" s="4"/>
      <c r="F71" s="4"/>
      <c r="G71" s="4"/>
      <c r="H71" s="4"/>
      <c r="I71" s="4"/>
      <c r="J71" s="4"/>
      <c r="K71" s="4"/>
      <c r="L71" s="277"/>
      <c r="M71" s="4"/>
    </row>
    <row r="72" spans="1:13" s="1" customFormat="1" ht="14.4" customHeight="1" x14ac:dyDescent="0.35">
      <c r="A72" s="273" t="s">
        <v>210</v>
      </c>
      <c r="C72" s="117"/>
      <c r="D72" s="456" t="s">
        <v>116</v>
      </c>
      <c r="E72" s="456"/>
      <c r="F72" s="117"/>
      <c r="G72" s="117"/>
      <c r="I72" s="14"/>
      <c r="J72" s="223"/>
      <c r="L72" s="274"/>
    </row>
    <row r="73" spans="1:13" s="1" customFormat="1" ht="14.4" customHeight="1" x14ac:dyDescent="0.35">
      <c r="A73" s="245"/>
      <c r="B73" s="97" t="s">
        <v>49</v>
      </c>
      <c r="C73" s="83" t="s">
        <v>50</v>
      </c>
      <c r="D73" s="83" t="s">
        <v>51</v>
      </c>
      <c r="E73" s="455" t="s">
        <v>53</v>
      </c>
      <c r="F73" s="455"/>
      <c r="G73" s="102" t="s">
        <v>54</v>
      </c>
      <c r="I73" s="14"/>
      <c r="J73" s="223"/>
      <c r="L73" s="274"/>
    </row>
    <row r="74" spans="1:13" s="1" customFormat="1" ht="14.4" customHeight="1" x14ac:dyDescent="0.35">
      <c r="A74" s="276" t="s">
        <v>194</v>
      </c>
      <c r="B74" s="4">
        <f>Rates!D24</f>
        <v>10000</v>
      </c>
      <c r="C74" s="85">
        <f>C70</f>
        <v>99</v>
      </c>
      <c r="D74" s="85">
        <v>73900</v>
      </c>
      <c r="E74" s="234">
        <f>Rates!F24</f>
        <v>147.26</v>
      </c>
      <c r="F74" s="43" t="s">
        <v>110</v>
      </c>
      <c r="G74" s="103">
        <f>ROUND(C74*E74,0)</f>
        <v>14579</v>
      </c>
      <c r="I74" s="14"/>
      <c r="J74" s="223"/>
      <c r="L74" s="274"/>
    </row>
    <row r="75" spans="1:13" s="1" customFormat="1" ht="14.4" customHeight="1" x14ac:dyDescent="0.35">
      <c r="A75" s="276" t="s">
        <v>195</v>
      </c>
      <c r="B75" s="4">
        <f>Rates!D25</f>
        <v>10000</v>
      </c>
      <c r="D75" s="85">
        <v>36130</v>
      </c>
      <c r="E75" s="235">
        <f>Rates!F25</f>
        <v>1.1769999999999999E-2</v>
      </c>
      <c r="F75" s="43" t="s">
        <v>192</v>
      </c>
      <c r="G75" s="103">
        <f t="shared" ref="G75:G77" si="7">ROUND(D75*E75,0)</f>
        <v>425</v>
      </c>
      <c r="I75" s="14"/>
      <c r="J75" s="223"/>
      <c r="L75" s="274"/>
    </row>
    <row r="76" spans="1:13" s="1" customFormat="1" ht="14.4" customHeight="1" x14ac:dyDescent="0.35">
      <c r="A76" s="276" t="s">
        <v>195</v>
      </c>
      <c r="B76" s="4">
        <f>Rates!D26</f>
        <v>20000</v>
      </c>
      <c r="D76" s="85">
        <f>G70</f>
        <v>0</v>
      </c>
      <c r="E76" s="235">
        <f>Rates!F26</f>
        <v>8.3700000000000007E-3</v>
      </c>
      <c r="F76" s="43" t="s">
        <v>192</v>
      </c>
      <c r="G76" s="103">
        <f t="shared" si="7"/>
        <v>0</v>
      </c>
      <c r="I76" s="14"/>
      <c r="J76" s="223"/>
      <c r="L76" s="274"/>
    </row>
    <row r="77" spans="1:13" s="1" customFormat="1" ht="14.4" customHeight="1" x14ac:dyDescent="0.5">
      <c r="A77" s="282" t="s">
        <v>196</v>
      </c>
      <c r="B77" s="4">
        <f>Rates!D27</f>
        <v>40000</v>
      </c>
      <c r="C77" s="76"/>
      <c r="D77" s="267">
        <f>H70</f>
        <v>0</v>
      </c>
      <c r="E77" s="235">
        <f>Rates!F27</f>
        <v>6.6800000000000002E-3</v>
      </c>
      <c r="F77" s="43" t="s">
        <v>192</v>
      </c>
      <c r="G77" s="104">
        <f t="shared" si="7"/>
        <v>0</v>
      </c>
      <c r="I77" s="14"/>
      <c r="J77" s="223"/>
      <c r="L77" s="274"/>
    </row>
    <row r="78" spans="1:13" s="1" customFormat="1" ht="14.4" customHeight="1" thickBot="1" x14ac:dyDescent="0.4">
      <c r="A78" s="283"/>
      <c r="B78" s="284"/>
      <c r="C78" s="298"/>
      <c r="D78" s="284">
        <f>SUM(D74:D77)</f>
        <v>110030</v>
      </c>
      <c r="E78" s="286"/>
      <c r="F78" s="286"/>
      <c r="G78" s="305">
        <f>SUM(G74:G77)</f>
        <v>15004</v>
      </c>
      <c r="H78" s="286"/>
      <c r="I78" s="298"/>
      <c r="J78" s="302"/>
      <c r="K78" s="286"/>
      <c r="L78" s="290"/>
    </row>
    <row r="79" spans="1:13" s="1" customFormat="1" ht="14.4" customHeight="1" thickBot="1" x14ac:dyDescent="0.4">
      <c r="B79" s="4"/>
      <c r="C79" s="14"/>
      <c r="D79" s="4"/>
      <c r="G79" s="103"/>
      <c r="I79" s="14"/>
      <c r="J79" s="223"/>
    </row>
    <row r="80" spans="1:13" s="1" customFormat="1" ht="14.4" customHeight="1" x14ac:dyDescent="0.5">
      <c r="A80" s="268" t="s">
        <v>211</v>
      </c>
      <c r="B80" s="269"/>
      <c r="C80" s="270"/>
      <c r="D80" s="457" t="s">
        <v>117</v>
      </c>
      <c r="E80" s="457"/>
      <c r="F80" s="271"/>
      <c r="G80" s="288"/>
      <c r="H80" s="291"/>
      <c r="I80" s="295"/>
      <c r="J80" s="300"/>
      <c r="K80" s="301"/>
      <c r="L80" s="91"/>
    </row>
    <row r="81" spans="1:11" s="1" customFormat="1" ht="14.4" customHeight="1" x14ac:dyDescent="0.35">
      <c r="A81" s="273"/>
      <c r="B81" s="4"/>
      <c r="C81" s="90"/>
      <c r="D81" s="262"/>
      <c r="E81" s="92" t="s">
        <v>194</v>
      </c>
      <c r="F81" s="92" t="s">
        <v>195</v>
      </c>
      <c r="G81" s="92" t="s">
        <v>196</v>
      </c>
      <c r="H81" s="92"/>
      <c r="I81" s="92"/>
      <c r="J81" s="92"/>
      <c r="K81" s="274"/>
    </row>
    <row r="82" spans="1:11" s="1" customFormat="1" ht="14.4" customHeight="1" x14ac:dyDescent="0.35">
      <c r="A82" s="245"/>
      <c r="B82" s="97" t="s">
        <v>49</v>
      </c>
      <c r="C82" s="83" t="s">
        <v>50</v>
      </c>
      <c r="D82" s="83" t="s">
        <v>51</v>
      </c>
      <c r="E82" s="263">
        <f>B83</f>
        <v>30000</v>
      </c>
      <c r="F82" s="263">
        <f>B84</f>
        <v>10000</v>
      </c>
      <c r="G82" s="263">
        <f>B85</f>
        <v>40000</v>
      </c>
      <c r="H82" s="263" t="s">
        <v>12</v>
      </c>
      <c r="I82" s="263"/>
      <c r="J82" s="263"/>
      <c r="K82" s="275"/>
    </row>
    <row r="83" spans="1:11" s="1" customFormat="1" ht="14.4" customHeight="1" x14ac:dyDescent="0.35">
      <c r="A83" s="276" t="s">
        <v>194</v>
      </c>
      <c r="B83" s="4">
        <f>Rates!D30</f>
        <v>30000</v>
      </c>
      <c r="C83" s="19">
        <v>1</v>
      </c>
      <c r="D83" s="4"/>
      <c r="E83" s="264">
        <f>D83</f>
        <v>0</v>
      </c>
      <c r="F83" s="264"/>
      <c r="G83" s="264"/>
      <c r="H83" s="264">
        <f>SUM(E83:G83)</f>
        <v>0</v>
      </c>
      <c r="I83" s="264"/>
      <c r="J83" s="264"/>
      <c r="K83" s="277"/>
    </row>
    <row r="84" spans="1:11" s="1" customFormat="1" ht="14.4" customHeight="1" x14ac:dyDescent="0.35">
      <c r="A84" s="276" t="s">
        <v>195</v>
      </c>
      <c r="B84" s="4">
        <f>Rates!D31</f>
        <v>10000</v>
      </c>
      <c r="C84" s="19"/>
      <c r="D84" s="4"/>
      <c r="E84" s="264">
        <f>C84*E82</f>
        <v>0</v>
      </c>
      <c r="F84" s="264">
        <f>D84-E84</f>
        <v>0</v>
      </c>
      <c r="G84" s="264"/>
      <c r="H84" s="264">
        <f t="shared" ref="H84:H85" si="8">SUM(E84:G84)</f>
        <v>0</v>
      </c>
      <c r="I84" s="264"/>
      <c r="J84" s="264"/>
      <c r="K84" s="277"/>
    </row>
    <row r="85" spans="1:11" s="1" customFormat="1" ht="14.4" customHeight="1" x14ac:dyDescent="0.5">
      <c r="A85" s="276" t="s">
        <v>196</v>
      </c>
      <c r="B85" s="4">
        <f>Rates!D32</f>
        <v>40000</v>
      </c>
      <c r="C85" s="375"/>
      <c r="D85" s="37"/>
      <c r="E85" s="266">
        <f>C85*E82</f>
        <v>0</v>
      </c>
      <c r="F85" s="266">
        <f>C85*F82</f>
        <v>0</v>
      </c>
      <c r="G85" s="266">
        <f>D85-E85-F85</f>
        <v>0</v>
      </c>
      <c r="H85" s="266">
        <f t="shared" si="8"/>
        <v>0</v>
      </c>
      <c r="I85" s="266"/>
      <c r="J85" s="266"/>
      <c r="K85" s="278"/>
    </row>
    <row r="86" spans="1:11" s="1" customFormat="1" ht="14.4" customHeight="1" x14ac:dyDescent="0.35">
      <c r="A86" s="276"/>
      <c r="B86" s="4"/>
      <c r="C86" s="19">
        <f>SUM(C83:C85)</f>
        <v>1</v>
      </c>
      <c r="D86" s="19">
        <f>SUM(D83:D85)</f>
        <v>0</v>
      </c>
      <c r="E86" s="4">
        <f>SUM(E83:E85)</f>
        <v>0</v>
      </c>
      <c r="F86" s="4">
        <f>SUM(F83:F85)</f>
        <v>0</v>
      </c>
      <c r="G86" s="4">
        <f t="shared" ref="G86:H86" si="9">SUM(G83:G85)</f>
        <v>0</v>
      </c>
      <c r="H86" s="4">
        <f t="shared" si="9"/>
        <v>0</v>
      </c>
      <c r="I86" s="4"/>
      <c r="J86" s="4"/>
      <c r="K86" s="277"/>
    </row>
    <row r="87" spans="1:11" s="1" customFormat="1" ht="14.4" customHeight="1" x14ac:dyDescent="0.35">
      <c r="A87" s="245"/>
      <c r="B87" s="4"/>
      <c r="G87" s="41"/>
      <c r="I87" s="14"/>
      <c r="J87" s="223"/>
      <c r="K87" s="274"/>
    </row>
    <row r="88" spans="1:11" s="1" customFormat="1" ht="14.4" customHeight="1" x14ac:dyDescent="0.35">
      <c r="A88" s="273" t="s">
        <v>210</v>
      </c>
      <c r="B88" s="4"/>
      <c r="C88" s="90"/>
      <c r="D88" s="456" t="s">
        <v>117</v>
      </c>
      <c r="E88" s="456"/>
      <c r="F88" s="117"/>
      <c r="G88" s="117"/>
      <c r="I88" s="14"/>
      <c r="J88" s="223"/>
      <c r="K88" s="274"/>
    </row>
    <row r="89" spans="1:11" s="1" customFormat="1" ht="14.4" customHeight="1" x14ac:dyDescent="0.35">
      <c r="A89" s="245"/>
      <c r="B89" s="97" t="s">
        <v>49</v>
      </c>
      <c r="C89" s="83" t="s">
        <v>50</v>
      </c>
      <c r="D89" s="83" t="s">
        <v>51</v>
      </c>
      <c r="E89" s="455" t="s">
        <v>53</v>
      </c>
      <c r="F89" s="455"/>
      <c r="G89" s="102" t="s">
        <v>54</v>
      </c>
      <c r="I89" s="14"/>
      <c r="J89" s="223"/>
      <c r="K89" s="274"/>
    </row>
    <row r="90" spans="1:11" s="1" customFormat="1" ht="14.4" customHeight="1" x14ac:dyDescent="0.35">
      <c r="A90" s="276" t="s">
        <v>194</v>
      </c>
      <c r="B90" s="4">
        <f>Rates!D30</f>
        <v>30000</v>
      </c>
      <c r="C90" s="85">
        <f>C86</f>
        <v>1</v>
      </c>
      <c r="D90" s="85">
        <f>E86</f>
        <v>0</v>
      </c>
      <c r="E90" s="75">
        <f>Rates!F30</f>
        <v>348.66</v>
      </c>
      <c r="F90" s="43" t="s">
        <v>110</v>
      </c>
      <c r="G90" s="103">
        <f>(C90*E90)</f>
        <v>348.66</v>
      </c>
      <c r="I90" s="14"/>
      <c r="J90" s="223"/>
      <c r="K90" s="274"/>
    </row>
    <row r="91" spans="1:11" s="1" customFormat="1" ht="14.4" customHeight="1" x14ac:dyDescent="0.35">
      <c r="A91" s="276" t="s">
        <v>195</v>
      </c>
      <c r="B91" s="4">
        <f>Rates!D31</f>
        <v>10000</v>
      </c>
      <c r="D91" s="85">
        <f>F86</f>
        <v>0</v>
      </c>
      <c r="E91" s="255">
        <f>Rates!F31</f>
        <v>8.3700000000000007E-3</v>
      </c>
      <c r="F91" s="43" t="s">
        <v>192</v>
      </c>
      <c r="G91" s="103">
        <f t="shared" ref="G91:G92" si="10">ROUND(D91*E91,0)</f>
        <v>0</v>
      </c>
      <c r="I91" s="14"/>
      <c r="J91" s="223"/>
      <c r="K91" s="274"/>
    </row>
    <row r="92" spans="1:11" s="1" customFormat="1" ht="14.4" customHeight="1" x14ac:dyDescent="0.5">
      <c r="A92" s="282" t="s">
        <v>196</v>
      </c>
      <c r="B92" s="4">
        <f>Rates!D32</f>
        <v>40000</v>
      </c>
      <c r="C92" s="76"/>
      <c r="D92" s="267">
        <f>G86</f>
        <v>0</v>
      </c>
      <c r="E92" s="255">
        <f>Rates!F32</f>
        <v>6.6800000000000002E-3</v>
      </c>
      <c r="F92" s="43" t="s">
        <v>192</v>
      </c>
      <c r="G92" s="104">
        <f t="shared" si="10"/>
        <v>0</v>
      </c>
      <c r="I92" s="14"/>
      <c r="J92" s="223"/>
      <c r="K92" s="274"/>
    </row>
    <row r="93" spans="1:11" s="1" customFormat="1" ht="14.4" customHeight="1" thickBot="1" x14ac:dyDescent="0.4">
      <c r="A93" s="283"/>
      <c r="B93" s="284"/>
      <c r="C93" s="285"/>
      <c r="D93" s="284">
        <f>SUM(D90:D92)</f>
        <v>0</v>
      </c>
      <c r="E93" s="286"/>
      <c r="F93" s="286"/>
      <c r="G93" s="380">
        <f>SUM(G90:G92)</f>
        <v>348.66</v>
      </c>
      <c r="H93" s="286"/>
      <c r="I93" s="298"/>
      <c r="J93" s="302"/>
      <c r="K93" s="290"/>
    </row>
    <row r="94" spans="1:11" s="1" customFormat="1" ht="14.4" customHeight="1" thickBot="1" x14ac:dyDescent="0.4">
      <c r="B94" s="4"/>
      <c r="C94" s="208"/>
      <c r="D94" s="4"/>
      <c r="G94" s="208"/>
      <c r="I94" s="14"/>
      <c r="J94" s="223"/>
    </row>
    <row r="95" spans="1:11" s="1" customFormat="1" ht="14.4" customHeight="1" x14ac:dyDescent="0.5">
      <c r="A95" s="268" t="s">
        <v>211</v>
      </c>
      <c r="B95" s="269"/>
      <c r="C95" s="270"/>
      <c r="D95" s="457" t="s">
        <v>118</v>
      </c>
      <c r="E95" s="457"/>
      <c r="F95" s="271"/>
      <c r="G95" s="288"/>
      <c r="H95" s="291"/>
      <c r="I95" s="295"/>
      <c r="J95" s="296"/>
      <c r="K95" s="87"/>
    </row>
    <row r="96" spans="1:11" s="1" customFormat="1" ht="14.4" customHeight="1" x14ac:dyDescent="0.35">
      <c r="A96" s="273"/>
      <c r="B96" s="4"/>
      <c r="C96" s="90"/>
      <c r="D96" s="262"/>
      <c r="E96" s="92" t="s">
        <v>194</v>
      </c>
      <c r="F96" s="92" t="s">
        <v>196</v>
      </c>
      <c r="G96" s="92"/>
      <c r="H96" s="92"/>
      <c r="I96" s="92"/>
      <c r="J96" s="274"/>
    </row>
    <row r="97" spans="1:10" s="1" customFormat="1" ht="14.4" customHeight="1" x14ac:dyDescent="0.35">
      <c r="A97" s="245"/>
      <c r="B97" s="97" t="s">
        <v>49</v>
      </c>
      <c r="C97" s="83" t="s">
        <v>50</v>
      </c>
      <c r="D97" s="83" t="s">
        <v>51</v>
      </c>
      <c r="E97" s="263">
        <f>B98</f>
        <v>50000</v>
      </c>
      <c r="F97" s="263">
        <f>B99</f>
        <v>50000</v>
      </c>
      <c r="G97" s="263" t="s">
        <v>12</v>
      </c>
      <c r="H97" s="263"/>
      <c r="I97" s="263"/>
      <c r="J97" s="275"/>
    </row>
    <row r="98" spans="1:10" s="1" customFormat="1" ht="14.4" customHeight="1" x14ac:dyDescent="0.35">
      <c r="A98" s="276" t="s">
        <v>194</v>
      </c>
      <c r="B98" s="4">
        <f>Rates!D35</f>
        <v>50000</v>
      </c>
      <c r="C98" s="19">
        <v>24</v>
      </c>
      <c r="D98" s="4"/>
      <c r="E98" s="264">
        <f>D98</f>
        <v>0</v>
      </c>
      <c r="F98" s="264"/>
      <c r="G98" s="264">
        <f>SUM(E98:F98)</f>
        <v>0</v>
      </c>
      <c r="H98" s="264"/>
      <c r="I98" s="264"/>
      <c r="J98" s="277"/>
    </row>
    <row r="99" spans="1:10" s="1" customFormat="1" ht="14.4" customHeight="1" x14ac:dyDescent="0.5">
      <c r="A99" s="276" t="s">
        <v>196</v>
      </c>
      <c r="B99" s="4">
        <f>Rates!D36</f>
        <v>50000</v>
      </c>
      <c r="C99" s="86"/>
      <c r="D99" s="37"/>
      <c r="E99" s="266">
        <f>C99*E97</f>
        <v>0</v>
      </c>
      <c r="F99" s="266">
        <f>D99-E99</f>
        <v>0</v>
      </c>
      <c r="G99" s="266">
        <f>SUM(E99:F99)</f>
        <v>0</v>
      </c>
      <c r="H99" s="266"/>
      <c r="I99" s="266"/>
      <c r="J99" s="278"/>
    </row>
    <row r="100" spans="1:10" s="1" customFormat="1" ht="14.4" customHeight="1" x14ac:dyDescent="0.35">
      <c r="A100" s="276"/>
      <c r="B100" s="4"/>
      <c r="C100" s="19">
        <f>SUM(C98:C99)</f>
        <v>24</v>
      </c>
      <c r="D100" s="4">
        <f>SUM(D98:D99)</f>
        <v>0</v>
      </c>
      <c r="E100" s="4">
        <f>SUM(E98:E99)</f>
        <v>0</v>
      </c>
      <c r="F100" s="4">
        <f t="shared" ref="F100:G100" si="11">SUM(F98:F99)</f>
        <v>0</v>
      </c>
      <c r="G100" s="4">
        <f t="shared" si="11"/>
        <v>0</v>
      </c>
      <c r="H100" s="4"/>
      <c r="I100" s="4"/>
      <c r="J100" s="277"/>
    </row>
    <row r="101" spans="1:10" s="1" customFormat="1" ht="14.4" customHeight="1" x14ac:dyDescent="0.35">
      <c r="A101" s="245"/>
      <c r="B101" s="4"/>
      <c r="G101" s="41"/>
      <c r="I101" s="14"/>
      <c r="J101" s="297"/>
    </row>
    <row r="102" spans="1:10" s="1" customFormat="1" ht="14.4" customHeight="1" x14ac:dyDescent="0.35">
      <c r="A102" s="273" t="s">
        <v>210</v>
      </c>
      <c r="B102" s="117"/>
      <c r="C102" s="117"/>
      <c r="D102" s="456" t="s">
        <v>118</v>
      </c>
      <c r="E102" s="456"/>
      <c r="F102" s="117"/>
      <c r="G102" s="117"/>
      <c r="I102" s="14"/>
      <c r="J102" s="297"/>
    </row>
    <row r="103" spans="1:10" s="1" customFormat="1" ht="14.4" customHeight="1" x14ac:dyDescent="0.35">
      <c r="A103" s="245"/>
      <c r="B103" s="97" t="s">
        <v>49</v>
      </c>
      <c r="C103" s="83" t="s">
        <v>50</v>
      </c>
      <c r="D103" s="83" t="s">
        <v>51</v>
      </c>
      <c r="E103" s="455" t="s">
        <v>53</v>
      </c>
      <c r="F103" s="455"/>
      <c r="G103" s="102" t="s">
        <v>54</v>
      </c>
      <c r="I103" s="14"/>
      <c r="J103" s="297"/>
    </row>
    <row r="104" spans="1:10" s="1" customFormat="1" ht="14.4" customHeight="1" x14ac:dyDescent="0.35">
      <c r="A104" s="276" t="s">
        <v>194</v>
      </c>
      <c r="B104" s="4">
        <f>Rates!D35</f>
        <v>50000</v>
      </c>
      <c r="C104" s="85">
        <f>C100</f>
        <v>24</v>
      </c>
      <c r="D104" s="85">
        <v>2894800</v>
      </c>
      <c r="E104" s="75">
        <f>Rates!F35</f>
        <v>499.18</v>
      </c>
      <c r="F104" s="43" t="s">
        <v>110</v>
      </c>
      <c r="G104" s="103">
        <f>ROUND(C104*E104,0)</f>
        <v>11980</v>
      </c>
      <c r="I104" s="14"/>
      <c r="J104" s="297"/>
    </row>
    <row r="105" spans="1:10" s="1" customFormat="1" ht="14.4" customHeight="1" x14ac:dyDescent="0.5">
      <c r="A105" s="282" t="s">
        <v>196</v>
      </c>
      <c r="B105" s="4">
        <f>Rates!D36</f>
        <v>50000</v>
      </c>
      <c r="C105" s="76"/>
      <c r="D105" s="267">
        <f>F100</f>
        <v>0</v>
      </c>
      <c r="E105" s="255">
        <f>Rates!F36</f>
        <v>6.6800000000000002E-3</v>
      </c>
      <c r="F105" s="43" t="s">
        <v>192</v>
      </c>
      <c r="G105" s="104">
        <f t="shared" ref="G105" si="12">ROUND(D105*E105,0)</f>
        <v>0</v>
      </c>
      <c r="I105" s="14"/>
      <c r="J105" s="297"/>
    </row>
    <row r="106" spans="1:10" s="1" customFormat="1" ht="14.4" customHeight="1" thickBot="1" x14ac:dyDescent="0.4">
      <c r="A106" s="283"/>
      <c r="B106" s="284"/>
      <c r="C106" s="285"/>
      <c r="D106" s="284">
        <f>SUM(D104:D105)</f>
        <v>2894800</v>
      </c>
      <c r="E106" s="286"/>
      <c r="F106" s="286"/>
      <c r="G106" s="285">
        <f>SUM(G104:G105)</f>
        <v>11980</v>
      </c>
      <c r="H106" s="286"/>
      <c r="I106" s="298"/>
      <c r="J106" s="299"/>
    </row>
    <row r="107" spans="1:10" s="1" customFormat="1" ht="14.4" customHeight="1" thickBot="1" x14ac:dyDescent="0.4">
      <c r="B107" s="4"/>
      <c r="C107" s="208"/>
      <c r="D107" s="4"/>
      <c r="G107" s="208"/>
      <c r="I107" s="14"/>
      <c r="J107" s="223"/>
    </row>
    <row r="108" spans="1:10" s="1" customFormat="1" ht="14.4" customHeight="1" x14ac:dyDescent="0.35">
      <c r="A108" s="268" t="s">
        <v>211</v>
      </c>
      <c r="B108" s="269"/>
      <c r="C108" s="270"/>
      <c r="D108" s="457" t="s">
        <v>206</v>
      </c>
      <c r="E108" s="457"/>
      <c r="F108" s="271"/>
      <c r="G108" s="288"/>
      <c r="H108" s="291"/>
      <c r="I108" s="292"/>
      <c r="J108" s="228"/>
    </row>
    <row r="109" spans="1:10" s="1" customFormat="1" ht="14.4" customHeight="1" x14ac:dyDescent="0.35">
      <c r="A109" s="273"/>
      <c r="B109" s="4"/>
      <c r="C109" s="90"/>
      <c r="D109" s="262"/>
      <c r="E109" s="92" t="s">
        <v>194</v>
      </c>
      <c r="F109" s="92" t="s">
        <v>196</v>
      </c>
      <c r="G109" s="92"/>
      <c r="H109" s="92"/>
      <c r="I109" s="274"/>
    </row>
    <row r="110" spans="1:10" s="1" customFormat="1" ht="14.4" customHeight="1" x14ac:dyDescent="0.35">
      <c r="A110" s="245"/>
      <c r="B110" s="97" t="s">
        <v>49</v>
      </c>
      <c r="C110" s="83" t="s">
        <v>50</v>
      </c>
      <c r="D110" s="83" t="s">
        <v>51</v>
      </c>
      <c r="E110" s="263">
        <f>B111</f>
        <v>100000</v>
      </c>
      <c r="F110" s="263">
        <f>B112</f>
        <v>100000</v>
      </c>
      <c r="G110" s="263" t="s">
        <v>12</v>
      </c>
      <c r="H110" s="263"/>
      <c r="I110" s="275"/>
    </row>
    <row r="111" spans="1:10" s="1" customFormat="1" ht="14.4" customHeight="1" x14ac:dyDescent="0.35">
      <c r="A111" s="276" t="s">
        <v>194</v>
      </c>
      <c r="B111" s="4">
        <f>Rates!D39</f>
        <v>100000</v>
      </c>
      <c r="C111" s="19">
        <v>24</v>
      </c>
      <c r="D111" s="4">
        <v>0</v>
      </c>
      <c r="E111" s="264">
        <f>D111</f>
        <v>0</v>
      </c>
      <c r="F111" s="264"/>
      <c r="G111" s="264">
        <f>SUM(E111:F111)</f>
        <v>0</v>
      </c>
      <c r="H111" s="264"/>
      <c r="I111" s="277"/>
    </row>
    <row r="112" spans="1:10" s="1" customFormat="1" ht="14.4" customHeight="1" x14ac:dyDescent="0.5">
      <c r="A112" s="276" t="s">
        <v>195</v>
      </c>
      <c r="B112" s="4">
        <f>Rates!D40</f>
        <v>100000</v>
      </c>
      <c r="C112" s="86"/>
      <c r="D112" s="37">
        <v>0</v>
      </c>
      <c r="E112" s="266">
        <f>C112*E110</f>
        <v>0</v>
      </c>
      <c r="F112" s="266">
        <f>D112-E112</f>
        <v>0</v>
      </c>
      <c r="G112" s="266">
        <f>SUM(E112:F112)</f>
        <v>0</v>
      </c>
      <c r="H112" s="266"/>
      <c r="I112" s="278"/>
    </row>
    <row r="113" spans="1:10" s="1" customFormat="1" ht="14.4" customHeight="1" x14ac:dyDescent="0.35">
      <c r="A113" s="276"/>
      <c r="B113" s="4"/>
      <c r="C113" s="19">
        <f>SUM(C111:C112)</f>
        <v>24</v>
      </c>
      <c r="D113" s="4">
        <f>SUM(D111:D112)</f>
        <v>0</v>
      </c>
      <c r="E113" s="4">
        <f>SUM(E111:E112)</f>
        <v>0</v>
      </c>
      <c r="F113" s="4">
        <f t="shared" ref="F113:G113" si="13">SUM(F111:F112)</f>
        <v>0</v>
      </c>
      <c r="G113" s="4">
        <f t="shared" si="13"/>
        <v>0</v>
      </c>
      <c r="H113" s="4"/>
      <c r="I113" s="277"/>
    </row>
    <row r="114" spans="1:10" s="1" customFormat="1" ht="14.4" customHeight="1" x14ac:dyDescent="0.35">
      <c r="A114" s="245"/>
      <c r="B114" s="4"/>
      <c r="G114" s="41"/>
      <c r="I114" s="293"/>
      <c r="J114" s="223"/>
    </row>
    <row r="115" spans="1:10" s="1" customFormat="1" ht="14.4" customHeight="1" x14ac:dyDescent="0.35">
      <c r="A115" s="273" t="s">
        <v>210</v>
      </c>
      <c r="C115" s="117"/>
      <c r="D115" s="456" t="s">
        <v>206</v>
      </c>
      <c r="E115" s="456"/>
      <c r="F115" s="117"/>
      <c r="G115" s="117"/>
      <c r="I115" s="293"/>
      <c r="J115" s="223"/>
    </row>
    <row r="116" spans="1:10" s="1" customFormat="1" ht="14.4" customHeight="1" x14ac:dyDescent="0.35">
      <c r="A116" s="245"/>
      <c r="B116" s="97" t="s">
        <v>49</v>
      </c>
      <c r="C116" s="83" t="s">
        <v>50</v>
      </c>
      <c r="D116" s="83" t="s">
        <v>51</v>
      </c>
      <c r="E116" s="455" t="s">
        <v>53</v>
      </c>
      <c r="F116" s="455"/>
      <c r="G116" s="102" t="s">
        <v>54</v>
      </c>
      <c r="I116" s="293"/>
      <c r="J116" s="223"/>
    </row>
    <row r="117" spans="1:10" s="1" customFormat="1" ht="14.4" customHeight="1" x14ac:dyDescent="0.35">
      <c r="A117" s="276" t="s">
        <v>194</v>
      </c>
      <c r="B117" s="4">
        <f>Rates!D39</f>
        <v>100000</v>
      </c>
      <c r="C117" s="85">
        <f>C113</f>
        <v>24</v>
      </c>
      <c r="D117" s="85">
        <v>9541080</v>
      </c>
      <c r="E117" s="75">
        <f>Rates!F39</f>
        <v>833.08</v>
      </c>
      <c r="F117" s="43" t="s">
        <v>110</v>
      </c>
      <c r="G117" s="103">
        <f>ROUND(C117*E117,0)</f>
        <v>19994</v>
      </c>
      <c r="I117" s="293"/>
      <c r="J117" s="223"/>
    </row>
    <row r="118" spans="1:10" s="1" customFormat="1" ht="14.4" customHeight="1" x14ac:dyDescent="0.5">
      <c r="A118" s="282" t="s">
        <v>196</v>
      </c>
      <c r="B118" s="4">
        <f>Rates!D40</f>
        <v>100000</v>
      </c>
      <c r="C118" s="76"/>
      <c r="D118" s="267">
        <f>F113</f>
        <v>0</v>
      </c>
      <c r="E118" s="256">
        <f>Rates!F40</f>
        <v>6.6800000000000002E-3</v>
      </c>
      <c r="F118" s="43" t="s">
        <v>192</v>
      </c>
      <c r="G118" s="104">
        <f t="shared" ref="G118" si="14">ROUND(D118*E118,0)</f>
        <v>0</v>
      </c>
      <c r="I118" s="293"/>
      <c r="J118" s="223"/>
    </row>
    <row r="119" spans="1:10" s="1" customFormat="1" ht="14.4" customHeight="1" thickBot="1" x14ac:dyDescent="0.4">
      <c r="A119" s="283"/>
      <c r="B119" s="284"/>
      <c r="C119" s="285"/>
      <c r="D119" s="284">
        <f>SUM(D117:D118)</f>
        <v>9541080</v>
      </c>
      <c r="E119" s="286"/>
      <c r="F119" s="286"/>
      <c r="G119" s="285">
        <f>SUM(G117:G118)</f>
        <v>19994</v>
      </c>
      <c r="H119" s="286"/>
      <c r="I119" s="294"/>
      <c r="J119" s="223"/>
    </row>
    <row r="120" spans="1:10" s="1" customFormat="1" ht="14.4" customHeight="1" thickBot="1" x14ac:dyDescent="0.4">
      <c r="B120" s="4"/>
      <c r="C120" s="208"/>
      <c r="D120" s="258"/>
      <c r="G120" s="208"/>
      <c r="I120" s="14"/>
      <c r="J120" s="223"/>
    </row>
    <row r="121" spans="1:10" s="1" customFormat="1" ht="14.4" customHeight="1" x14ac:dyDescent="0.35">
      <c r="A121" s="268" t="s">
        <v>211</v>
      </c>
      <c r="B121" s="269"/>
      <c r="C121" s="270"/>
      <c r="D121" s="457" t="s">
        <v>119</v>
      </c>
      <c r="E121" s="457"/>
      <c r="F121" s="271"/>
      <c r="G121" s="288"/>
      <c r="H121" s="289"/>
      <c r="I121" s="14"/>
      <c r="J121" s="223"/>
    </row>
    <row r="122" spans="1:10" s="1" customFormat="1" ht="14.4" customHeight="1" x14ac:dyDescent="0.35">
      <c r="A122" s="273"/>
      <c r="B122" s="4"/>
      <c r="C122" s="90"/>
      <c r="D122" s="262"/>
      <c r="E122" s="92" t="s">
        <v>194</v>
      </c>
      <c r="F122" s="92" t="s">
        <v>196</v>
      </c>
      <c r="G122" s="92"/>
      <c r="H122" s="274"/>
      <c r="I122" s="223"/>
    </row>
    <row r="123" spans="1:10" s="1" customFormat="1" ht="14.4" customHeight="1" x14ac:dyDescent="0.35">
      <c r="A123" s="245"/>
      <c r="B123" s="97" t="s">
        <v>49</v>
      </c>
      <c r="C123" s="83" t="s">
        <v>50</v>
      </c>
      <c r="D123" s="83" t="s">
        <v>51</v>
      </c>
      <c r="E123" s="263">
        <f>B124</f>
        <v>200000</v>
      </c>
      <c r="F123" s="263">
        <f>B125</f>
        <v>200000</v>
      </c>
      <c r="G123" s="263"/>
      <c r="H123" s="275" t="s">
        <v>12</v>
      </c>
      <c r="I123" s="223"/>
    </row>
    <row r="124" spans="1:10" s="1" customFormat="1" ht="14.4" customHeight="1" x14ac:dyDescent="0.35">
      <c r="A124" s="276" t="s">
        <v>194</v>
      </c>
      <c r="B124" s="4">
        <f>Rates!D43</f>
        <v>200000</v>
      </c>
      <c r="C124" s="19">
        <v>12</v>
      </c>
      <c r="D124" s="4"/>
      <c r="E124" s="264">
        <f>D124</f>
        <v>0</v>
      </c>
      <c r="F124" s="264"/>
      <c r="G124" s="264"/>
      <c r="H124" s="277">
        <f>SUM(E124:G124)</f>
        <v>0</v>
      </c>
      <c r="I124" s="223"/>
    </row>
    <row r="125" spans="1:10" s="1" customFormat="1" ht="14.4" customHeight="1" x14ac:dyDescent="0.5">
      <c r="A125" s="276" t="s">
        <v>195</v>
      </c>
      <c r="B125" s="4">
        <f>Rates!D44</f>
        <v>200000</v>
      </c>
      <c r="C125" s="86"/>
      <c r="D125" s="37"/>
      <c r="E125" s="266">
        <f>C125*E123</f>
        <v>0</v>
      </c>
      <c r="F125" s="266">
        <f>D125-E125</f>
        <v>0</v>
      </c>
      <c r="G125" s="266"/>
      <c r="H125" s="278">
        <f>SUM(E125:G125)</f>
        <v>0</v>
      </c>
      <c r="I125" s="223"/>
    </row>
    <row r="126" spans="1:10" s="1" customFormat="1" ht="14.4" customHeight="1" x14ac:dyDescent="0.35">
      <c r="A126" s="276"/>
      <c r="B126" s="4"/>
      <c r="C126" s="19">
        <f>SUM(C124:C125)</f>
        <v>12</v>
      </c>
      <c r="D126" s="19">
        <f>SUM(D124:D125)</f>
        <v>0</v>
      </c>
      <c r="E126" s="4">
        <f>SUM(E124:E125)</f>
        <v>0</v>
      </c>
      <c r="F126" s="4">
        <f>SUM(F124:F125)</f>
        <v>0</v>
      </c>
      <c r="G126" s="4"/>
      <c r="H126" s="277">
        <f>SUM(H124:H125)</f>
        <v>0</v>
      </c>
      <c r="I126" s="223"/>
    </row>
    <row r="127" spans="1:10" s="1" customFormat="1" ht="14.4" customHeight="1" x14ac:dyDescent="0.35">
      <c r="A127" s="245"/>
      <c r="B127" s="4"/>
      <c r="G127" s="41"/>
      <c r="H127" s="274"/>
      <c r="I127" s="14"/>
      <c r="J127" s="223"/>
    </row>
    <row r="128" spans="1:10" s="1" customFormat="1" ht="14.4" customHeight="1" x14ac:dyDescent="0.35">
      <c r="A128" s="273" t="s">
        <v>210</v>
      </c>
      <c r="B128" s="117"/>
      <c r="C128" s="117"/>
      <c r="D128" s="456" t="s">
        <v>119</v>
      </c>
      <c r="E128" s="456"/>
      <c r="F128" s="117"/>
      <c r="G128" s="117"/>
      <c r="H128" s="274"/>
      <c r="I128" s="14"/>
      <c r="J128" s="223"/>
    </row>
    <row r="129" spans="1:10" s="1" customFormat="1" ht="14.4" customHeight="1" x14ac:dyDescent="0.35">
      <c r="A129" s="245"/>
      <c r="B129" s="97" t="s">
        <v>49</v>
      </c>
      <c r="C129" s="83" t="s">
        <v>50</v>
      </c>
      <c r="D129" s="83" t="s">
        <v>51</v>
      </c>
      <c r="E129" s="455" t="s">
        <v>53</v>
      </c>
      <c r="F129" s="455"/>
      <c r="G129" s="102" t="s">
        <v>54</v>
      </c>
      <c r="H129" s="274"/>
      <c r="I129" s="14"/>
      <c r="J129" s="223"/>
    </row>
    <row r="130" spans="1:10" s="1" customFormat="1" ht="14.4" customHeight="1" x14ac:dyDescent="0.35">
      <c r="A130" s="276" t="s">
        <v>194</v>
      </c>
      <c r="B130" s="4">
        <f>Rates!D43</f>
        <v>200000</v>
      </c>
      <c r="C130" s="85">
        <f>C126</f>
        <v>12</v>
      </c>
      <c r="D130" s="85">
        <v>302100</v>
      </c>
      <c r="E130" s="75">
        <f>Rates!F43</f>
        <v>1500.88</v>
      </c>
      <c r="F130" s="43" t="s">
        <v>110</v>
      </c>
      <c r="G130" s="207">
        <f>ROUND(C130*E130,0)</f>
        <v>18011</v>
      </c>
      <c r="H130" s="274"/>
      <c r="I130" s="14"/>
      <c r="J130" s="223"/>
    </row>
    <row r="131" spans="1:10" s="1" customFormat="1" ht="14.4" customHeight="1" x14ac:dyDescent="0.5">
      <c r="A131" s="282" t="s">
        <v>196</v>
      </c>
      <c r="B131" s="4">
        <f>Rates!D44</f>
        <v>200000</v>
      </c>
      <c r="C131" s="76"/>
      <c r="D131" s="267">
        <f>F126</f>
        <v>0</v>
      </c>
      <c r="E131" s="256">
        <f>Rates!F44</f>
        <v>6.6800000000000002E-3</v>
      </c>
      <c r="F131" s="43" t="s">
        <v>192</v>
      </c>
      <c r="G131" s="316">
        <f t="shared" ref="G131" si="15">ROUND(D131*E131,0)</f>
        <v>0</v>
      </c>
      <c r="H131" s="274"/>
      <c r="I131" s="14"/>
      <c r="J131" s="223"/>
    </row>
    <row r="132" spans="1:10" s="1" customFormat="1" ht="14.4" customHeight="1" thickBot="1" x14ac:dyDescent="0.4">
      <c r="A132" s="283"/>
      <c r="B132" s="284"/>
      <c r="C132" s="285"/>
      <c r="D132" s="284">
        <f>SUM(D130:D131)</f>
        <v>302100</v>
      </c>
      <c r="E132" s="286"/>
      <c r="F132" s="286"/>
      <c r="G132" s="285">
        <f>SUM(G130:G131)</f>
        <v>18011</v>
      </c>
      <c r="H132" s="290"/>
      <c r="I132" s="14"/>
      <c r="J132" s="223"/>
    </row>
    <row r="133" spans="1:10" s="1" customFormat="1" ht="14.4" customHeight="1" thickBot="1" x14ac:dyDescent="0.4">
      <c r="B133" s="4"/>
      <c r="C133" s="208"/>
      <c r="D133" s="4"/>
      <c r="G133" s="208"/>
      <c r="I133" s="14"/>
      <c r="J133" s="223"/>
    </row>
    <row r="134" spans="1:10" s="1" customFormat="1" ht="14.4" customHeight="1" x14ac:dyDescent="0.35">
      <c r="A134" s="268" t="s">
        <v>211</v>
      </c>
      <c r="B134" s="269"/>
      <c r="C134" s="270"/>
      <c r="D134" s="457" t="s">
        <v>207</v>
      </c>
      <c r="E134" s="457"/>
      <c r="F134" s="271"/>
      <c r="G134" s="272"/>
      <c r="I134" s="14"/>
      <c r="J134" s="223"/>
    </row>
    <row r="135" spans="1:10" s="1" customFormat="1" ht="14.4" customHeight="1" x14ac:dyDescent="0.35">
      <c r="A135" s="273"/>
      <c r="B135" s="4"/>
      <c r="C135" s="90"/>
      <c r="D135" s="262"/>
      <c r="E135" s="92" t="s">
        <v>194</v>
      </c>
      <c r="F135" s="92" t="s">
        <v>196</v>
      </c>
      <c r="G135" s="274"/>
      <c r="H135" s="14"/>
      <c r="I135" s="223"/>
    </row>
    <row r="136" spans="1:10" s="1" customFormat="1" ht="14.4" customHeight="1" x14ac:dyDescent="0.35">
      <c r="A136" s="245"/>
      <c r="B136" s="97" t="s">
        <v>49</v>
      </c>
      <c r="C136" s="83" t="s">
        <v>50</v>
      </c>
      <c r="D136" s="83" t="s">
        <v>51</v>
      </c>
      <c r="E136" s="263">
        <f>B137</f>
        <v>500000</v>
      </c>
      <c r="F136" s="263">
        <f>B138</f>
        <v>500000</v>
      </c>
      <c r="G136" s="275" t="s">
        <v>12</v>
      </c>
      <c r="H136" s="14"/>
      <c r="I136" s="223"/>
    </row>
    <row r="137" spans="1:10" s="1" customFormat="1" ht="14.4" customHeight="1" x14ac:dyDescent="0.35">
      <c r="A137" s="276" t="s">
        <v>194</v>
      </c>
      <c r="B137" s="4">
        <f>Rates!D47</f>
        <v>500000</v>
      </c>
      <c r="C137" s="19">
        <v>12</v>
      </c>
      <c r="D137" s="4">
        <v>97057460</v>
      </c>
      <c r="E137" s="264"/>
      <c r="F137" s="264"/>
      <c r="G137" s="277"/>
      <c r="H137" s="14"/>
      <c r="I137" s="223"/>
    </row>
    <row r="138" spans="1:10" s="1" customFormat="1" ht="14.4" customHeight="1" x14ac:dyDescent="0.5">
      <c r="A138" s="276" t="s">
        <v>196</v>
      </c>
      <c r="B138" s="4">
        <f>Rates!D48</f>
        <v>500000</v>
      </c>
      <c r="C138" s="86"/>
      <c r="D138" s="37"/>
      <c r="E138" s="266"/>
      <c r="F138" s="266"/>
      <c r="G138" s="278"/>
      <c r="H138" s="14"/>
      <c r="I138" s="223"/>
    </row>
    <row r="139" spans="1:10" s="1" customFormat="1" ht="14.4" customHeight="1" x14ac:dyDescent="0.35">
      <c r="A139" s="276"/>
      <c r="B139" s="4"/>
      <c r="C139" s="19">
        <f>SUM(C137:C138)</f>
        <v>12</v>
      </c>
      <c r="D139" s="19">
        <f>SUM(D137:D138)</f>
        <v>97057460</v>
      </c>
      <c r="E139" s="4">
        <f>SUM(E137:E138)</f>
        <v>0</v>
      </c>
      <c r="F139" s="4">
        <f>SUM(F137:F138)</f>
        <v>0</v>
      </c>
      <c r="G139" s="277">
        <f>SUM(G137:G138)</f>
        <v>0</v>
      </c>
      <c r="H139" s="14"/>
      <c r="I139" s="223"/>
    </row>
    <row r="140" spans="1:10" s="1" customFormat="1" ht="14.4" customHeight="1" x14ac:dyDescent="0.35">
      <c r="A140" s="245"/>
      <c r="B140" s="4"/>
      <c r="G140" s="279"/>
      <c r="I140" s="14"/>
      <c r="J140" s="223"/>
    </row>
    <row r="141" spans="1:10" s="1" customFormat="1" ht="14.4" customHeight="1" x14ac:dyDescent="0.35">
      <c r="A141" s="273" t="s">
        <v>210</v>
      </c>
      <c r="B141" s="117"/>
      <c r="C141" s="117"/>
      <c r="D141" s="456" t="s">
        <v>207</v>
      </c>
      <c r="E141" s="456"/>
      <c r="F141" s="117"/>
      <c r="G141" s="280"/>
      <c r="I141" s="14"/>
      <c r="J141" s="223"/>
    </row>
    <row r="142" spans="1:10" s="1" customFormat="1" ht="14.4" customHeight="1" x14ac:dyDescent="0.35">
      <c r="A142" s="245"/>
      <c r="B142" s="97" t="s">
        <v>49</v>
      </c>
      <c r="C142" s="83" t="s">
        <v>50</v>
      </c>
      <c r="D142" s="83" t="s">
        <v>51</v>
      </c>
      <c r="E142" s="455" t="s">
        <v>53</v>
      </c>
      <c r="F142" s="455"/>
      <c r="G142" s="281" t="s">
        <v>54</v>
      </c>
      <c r="I142" s="14"/>
      <c r="J142" s="223"/>
    </row>
    <row r="143" spans="1:10" s="1" customFormat="1" ht="14.4" customHeight="1" x14ac:dyDescent="0.35">
      <c r="A143" s="276" t="s">
        <v>194</v>
      </c>
      <c r="B143" s="4">
        <f>Rates!D47</f>
        <v>500000</v>
      </c>
      <c r="C143" s="85">
        <f>C139</f>
        <v>12</v>
      </c>
      <c r="D143" s="85">
        <v>97057460</v>
      </c>
      <c r="E143" s="75">
        <f>Rates!F47</f>
        <v>3504.28</v>
      </c>
      <c r="F143" s="43" t="s">
        <v>110</v>
      </c>
      <c r="G143" s="313">
        <f>C143*E143</f>
        <v>42051.360000000001</v>
      </c>
      <c r="I143" s="14"/>
      <c r="J143" s="223"/>
    </row>
    <row r="144" spans="1:10" s="1" customFormat="1" ht="14.4" customHeight="1" x14ac:dyDescent="0.5">
      <c r="A144" s="282" t="s">
        <v>196</v>
      </c>
      <c r="B144" s="4">
        <f>Rates!D48</f>
        <v>500000</v>
      </c>
      <c r="C144" s="76"/>
      <c r="D144" s="267">
        <f>F139</f>
        <v>0</v>
      </c>
      <c r="E144" s="256">
        <f>Rates!F48</f>
        <v>6.6800000000000002E-3</v>
      </c>
      <c r="F144" s="43" t="s">
        <v>192</v>
      </c>
      <c r="G144" s="314">
        <f t="shared" ref="G144" si="16">ROUND(D144*E144,0)</f>
        <v>0</v>
      </c>
      <c r="I144" s="14"/>
      <c r="J144" s="223"/>
    </row>
    <row r="145" spans="1:10" s="1" customFormat="1" ht="14.4" customHeight="1" thickBot="1" x14ac:dyDescent="0.4">
      <c r="A145" s="283"/>
      <c r="B145" s="284"/>
      <c r="C145" s="285"/>
      <c r="D145" s="284">
        <f>SUM(D143:D144)</f>
        <v>97057460</v>
      </c>
      <c r="E145" s="286"/>
      <c r="F145" s="286"/>
      <c r="G145" s="287">
        <f>SUM(G143:G144)</f>
        <v>42051.360000000001</v>
      </c>
      <c r="I145" s="14"/>
      <c r="J145" s="223"/>
    </row>
    <row r="146" spans="1:10" s="1" customFormat="1" ht="14.4" customHeight="1" thickBot="1" x14ac:dyDescent="0.4">
      <c r="B146" s="4"/>
      <c r="G146" s="41"/>
      <c r="I146" s="14"/>
      <c r="J146" s="223"/>
    </row>
    <row r="147" spans="1:10" s="1" customFormat="1" ht="14.4" customHeight="1" x14ac:dyDescent="0.35">
      <c r="A147" s="268"/>
      <c r="B147" s="269"/>
      <c r="C147" s="270"/>
      <c r="D147" s="457" t="s">
        <v>258</v>
      </c>
      <c r="E147" s="457"/>
      <c r="F147" s="271"/>
      <c r="G147" s="288"/>
      <c r="H147" s="289"/>
      <c r="I147" s="14"/>
      <c r="J147" s="223"/>
    </row>
    <row r="148" spans="1:10" s="1" customFormat="1" ht="14.4" customHeight="1" x14ac:dyDescent="0.35">
      <c r="A148" s="245"/>
      <c r="B148" s="97"/>
      <c r="C148" s="83"/>
      <c r="D148" s="83"/>
      <c r="E148" s="263"/>
      <c r="F148" s="263"/>
      <c r="G148" s="263"/>
      <c r="H148" s="275"/>
      <c r="I148" s="223"/>
      <c r="J148" s="223"/>
    </row>
    <row r="149" spans="1:10" s="1" customFormat="1" ht="14.4" customHeight="1" x14ac:dyDescent="0.35">
      <c r="A149" s="245"/>
      <c r="B149" s="97"/>
      <c r="C149" s="83" t="s">
        <v>50</v>
      </c>
      <c r="D149" s="83" t="s">
        <v>51</v>
      </c>
      <c r="E149" s="455" t="s">
        <v>53</v>
      </c>
      <c r="F149" s="455"/>
      <c r="G149" s="102" t="s">
        <v>54</v>
      </c>
      <c r="H149" s="274"/>
      <c r="I149" s="14"/>
      <c r="J149" s="223"/>
    </row>
    <row r="150" spans="1:10" s="1" customFormat="1" ht="14.4" customHeight="1" x14ac:dyDescent="0.35">
      <c r="A150" s="232" t="s">
        <v>456</v>
      </c>
      <c r="B150" s="4"/>
      <c r="C150" s="85">
        <v>12</v>
      </c>
      <c r="D150" s="85">
        <v>7594650</v>
      </c>
      <c r="E150" s="256">
        <f>Rates!F51</f>
        <v>4.5599999999999998E-3</v>
      </c>
      <c r="F150" s="43" t="s">
        <v>192</v>
      </c>
      <c r="G150" s="207">
        <f>ROUND(D150*E150,0)</f>
        <v>34632</v>
      </c>
      <c r="H150" s="274"/>
      <c r="I150" s="14"/>
      <c r="J150" s="223"/>
    </row>
    <row r="151" spans="1:10" s="1" customFormat="1" ht="14.4" customHeight="1" x14ac:dyDescent="0.35">
      <c r="A151" s="232" t="s">
        <v>252</v>
      </c>
      <c r="B151" s="4"/>
      <c r="C151" s="1">
        <v>12</v>
      </c>
      <c r="D151" s="85">
        <v>2462670</v>
      </c>
      <c r="E151" s="256">
        <f>Rates!F52</f>
        <v>4.5599999999999998E-3</v>
      </c>
      <c r="F151" s="43" t="s">
        <v>192</v>
      </c>
      <c r="G151" s="207">
        <f>ROUND(D151*E151,0)</f>
        <v>11230</v>
      </c>
      <c r="H151" s="274"/>
      <c r="I151" s="14"/>
      <c r="J151" s="223"/>
    </row>
    <row r="152" spans="1:10" s="1" customFormat="1" ht="14.4" customHeight="1" x14ac:dyDescent="0.35">
      <c r="A152" s="232" t="s">
        <v>253</v>
      </c>
      <c r="B152" s="4"/>
      <c r="D152" s="267"/>
      <c r="E152" s="256">
        <f>Rates!F53</f>
        <v>4.0499999999999998E-3</v>
      </c>
      <c r="F152" s="43" t="s">
        <v>192</v>
      </c>
      <c r="G152" s="207">
        <f>ROUND(D152*E152,0)</f>
        <v>0</v>
      </c>
      <c r="H152" s="274"/>
      <c r="I152" s="14"/>
      <c r="J152" s="223"/>
    </row>
    <row r="153" spans="1:10" s="1" customFormat="1" ht="14.4" customHeight="1" x14ac:dyDescent="0.35">
      <c r="A153" s="376" t="s">
        <v>254</v>
      </c>
      <c r="B153" s="19"/>
      <c r="C153" s="76"/>
      <c r="D153" s="267"/>
      <c r="E153" s="256">
        <f>Rates!F57</f>
        <v>4.5599999999999998E-3</v>
      </c>
      <c r="F153" s="43" t="s">
        <v>192</v>
      </c>
      <c r="G153" s="207">
        <f t="shared" ref="G153:G154" si="17">ROUND(D153*E153,0)</f>
        <v>0</v>
      </c>
      <c r="H153" s="274"/>
      <c r="I153" s="14"/>
      <c r="J153" s="223"/>
    </row>
    <row r="154" spans="1:10" s="1" customFormat="1" ht="14.4" customHeight="1" x14ac:dyDescent="0.35">
      <c r="A154" s="376" t="s">
        <v>349</v>
      </c>
      <c r="B154" s="19"/>
      <c r="C154" s="1">
        <v>2</v>
      </c>
      <c r="D154" s="85">
        <v>3290030</v>
      </c>
      <c r="E154" s="256">
        <f>Rates!F58</f>
        <v>4.9100000000000003E-3</v>
      </c>
      <c r="F154" s="43" t="s">
        <v>192</v>
      </c>
      <c r="G154" s="207">
        <f t="shared" si="17"/>
        <v>16154</v>
      </c>
      <c r="H154" s="274"/>
      <c r="I154" s="14"/>
      <c r="J154" s="223"/>
    </row>
    <row r="155" spans="1:10" s="1" customFormat="1" ht="14.4" customHeight="1" x14ac:dyDescent="0.35">
      <c r="A155" s="376" t="s">
        <v>350</v>
      </c>
      <c r="B155" s="19"/>
      <c r="C155" s="76"/>
      <c r="D155" s="85"/>
      <c r="E155" s="256"/>
      <c r="F155" s="43"/>
      <c r="G155" s="207"/>
      <c r="H155" s="274"/>
      <c r="I155" s="14"/>
      <c r="J155" s="223"/>
    </row>
    <row r="156" spans="1:10" s="1" customFormat="1" ht="14.4" customHeight="1" x14ac:dyDescent="0.35">
      <c r="A156" s="377" t="s">
        <v>194</v>
      </c>
      <c r="B156" s="19">
        <v>50000</v>
      </c>
      <c r="C156" s="76"/>
      <c r="D156" s="85"/>
      <c r="E156" s="75">
        <f>Rates!F60</f>
        <v>153.83000000000001</v>
      </c>
      <c r="F156" s="43" t="s">
        <v>351</v>
      </c>
      <c r="G156" s="207">
        <f t="shared" ref="G156:G157" si="18">ROUND(D156*E156,0)</f>
        <v>0</v>
      </c>
      <c r="H156" s="274"/>
      <c r="I156" s="14"/>
      <c r="J156" s="223"/>
    </row>
    <row r="157" spans="1:10" s="1" customFormat="1" ht="14.4" customHeight="1" x14ac:dyDescent="0.35">
      <c r="A157" s="378" t="s">
        <v>196</v>
      </c>
      <c r="B157" s="19">
        <v>50000</v>
      </c>
      <c r="C157" s="337"/>
      <c r="D157" s="338"/>
      <c r="E157" s="256">
        <f>Rates!F61</f>
        <v>3.0699999999999998E-3</v>
      </c>
      <c r="F157" s="43" t="s">
        <v>192</v>
      </c>
      <c r="G157" s="379">
        <f t="shared" si="18"/>
        <v>0</v>
      </c>
      <c r="H157" s="274"/>
      <c r="I157" s="14"/>
      <c r="J157" s="223"/>
    </row>
    <row r="158" spans="1:10" s="1" customFormat="1" ht="14.4" customHeight="1" x14ac:dyDescent="0.35">
      <c r="A158" s="232"/>
      <c r="B158" s="4" t="s">
        <v>82</v>
      </c>
      <c r="C158" s="85">
        <f>SUM(C150:C157)</f>
        <v>26</v>
      </c>
      <c r="D158" s="85">
        <f>SUM(D150:D157)</f>
        <v>13347350</v>
      </c>
      <c r="E158" s="256"/>
      <c r="F158" s="43"/>
      <c r="G158" s="85">
        <f>SUM(G150:G157)</f>
        <v>62016</v>
      </c>
      <c r="H158" s="274"/>
      <c r="I158" s="14"/>
      <c r="J158" s="223"/>
    </row>
    <row r="159" spans="1:10" s="1" customFormat="1" ht="14.4" customHeight="1" thickBot="1" x14ac:dyDescent="0.4">
      <c r="A159" s="283"/>
      <c r="B159" s="284"/>
      <c r="C159" s="284"/>
      <c r="D159" s="284"/>
      <c r="E159" s="286"/>
      <c r="F159" s="286"/>
      <c r="G159" s="285"/>
      <c r="H159" s="290"/>
      <c r="I159" s="14"/>
      <c r="J159" s="223"/>
    </row>
    <row r="160" spans="1:10" s="1" customFormat="1" ht="14.4" customHeight="1" x14ac:dyDescent="0.35">
      <c r="B160" s="4"/>
      <c r="C160" s="208"/>
      <c r="D160" s="4"/>
      <c r="G160" s="208"/>
      <c r="I160" s="14"/>
      <c r="J160" s="223"/>
    </row>
    <row r="161" spans="1:10" s="1" customFormat="1" ht="14.4" customHeight="1" x14ac:dyDescent="0.35">
      <c r="B161" s="4"/>
      <c r="D161" s="85"/>
      <c r="G161" s="41"/>
      <c r="I161" s="14"/>
      <c r="J161" s="223"/>
    </row>
    <row r="162" spans="1:10" s="1" customFormat="1" ht="14.4" customHeight="1" x14ac:dyDescent="0.35">
      <c r="A162" s="1" t="s">
        <v>527</v>
      </c>
      <c r="B162" s="4"/>
      <c r="G162" s="41"/>
      <c r="I162" s="14"/>
      <c r="J162" s="223"/>
    </row>
    <row r="163" spans="1:10" s="1" customFormat="1" ht="14.4" customHeight="1" x14ac:dyDescent="0.35">
      <c r="B163" s="4"/>
      <c r="G163" s="41"/>
      <c r="I163" s="14"/>
      <c r="J163" s="223"/>
    </row>
    <row r="164" spans="1:10" s="1" customFormat="1" ht="14.4" customHeight="1" x14ac:dyDescent="0.35">
      <c r="B164" s="4"/>
      <c r="G164" s="41"/>
      <c r="I164" s="14"/>
      <c r="J164" s="223"/>
    </row>
    <row r="165" spans="1:10" s="1" customFormat="1" ht="14.4" customHeight="1" x14ac:dyDescent="0.35">
      <c r="B165" s="4"/>
      <c r="G165" s="41"/>
      <c r="I165" s="14"/>
      <c r="J165" s="223"/>
    </row>
    <row r="166" spans="1:10" s="1" customFormat="1" ht="14.4" customHeight="1" x14ac:dyDescent="0.35">
      <c r="B166" s="4"/>
      <c r="G166" s="41"/>
      <c r="I166" s="14"/>
      <c r="J166" s="223"/>
    </row>
    <row r="167" spans="1:10" s="1" customFormat="1" ht="14.4" customHeight="1" x14ac:dyDescent="0.35">
      <c r="B167" s="4"/>
      <c r="G167" s="41"/>
      <c r="I167" s="14"/>
      <c r="J167" s="223"/>
    </row>
    <row r="168" spans="1:10" s="1" customFormat="1" ht="14.4" customHeight="1" x14ac:dyDescent="0.35">
      <c r="B168" s="4"/>
      <c r="G168" s="41"/>
      <c r="I168" s="14"/>
      <c r="J168" s="223"/>
    </row>
    <row r="169" spans="1:10" s="1" customFormat="1" ht="14.4" customHeight="1" x14ac:dyDescent="0.35">
      <c r="B169" s="4"/>
      <c r="G169" s="41"/>
      <c r="I169" s="14"/>
      <c r="J169" s="223"/>
    </row>
    <row r="170" spans="1:10" s="1" customFormat="1" ht="14.4" customHeight="1" x14ac:dyDescent="0.35">
      <c r="B170" s="4"/>
      <c r="G170" s="41"/>
      <c r="I170" s="14"/>
      <c r="J170" s="223"/>
    </row>
    <row r="171" spans="1:10" s="1" customFormat="1" ht="14.4" customHeight="1" x14ac:dyDescent="0.35">
      <c r="B171" s="4"/>
      <c r="G171" s="41"/>
      <c r="I171" s="14"/>
      <c r="J171" s="223"/>
    </row>
    <row r="172" spans="1:10" s="1" customFormat="1" ht="14.4" customHeight="1" x14ac:dyDescent="0.35">
      <c r="B172" s="4"/>
      <c r="G172" s="41"/>
      <c r="I172" s="14"/>
      <c r="J172" s="223"/>
    </row>
    <row r="173" spans="1:10" s="1" customFormat="1" ht="14.4" customHeight="1" x14ac:dyDescent="0.35">
      <c r="B173" s="4"/>
      <c r="G173" s="41"/>
      <c r="I173" s="14"/>
      <c r="J173" s="223"/>
    </row>
    <row r="174" spans="1:10" s="1" customFormat="1" ht="14.4" customHeight="1" x14ac:dyDescent="0.35">
      <c r="B174" s="4"/>
      <c r="G174" s="41"/>
      <c r="I174" s="14"/>
      <c r="J174" s="223"/>
    </row>
    <row r="175" spans="1:10" s="1" customFormat="1" ht="14.4" customHeight="1" x14ac:dyDescent="0.35">
      <c r="B175" s="4"/>
      <c r="G175" s="41"/>
      <c r="I175" s="14"/>
      <c r="J175" s="223"/>
    </row>
    <row r="176" spans="1:10" s="1" customFormat="1" ht="14.4" customHeight="1" x14ac:dyDescent="0.35">
      <c r="B176" s="4"/>
      <c r="G176" s="41"/>
      <c r="I176" s="14"/>
      <c r="J176" s="223"/>
    </row>
    <row r="177" spans="2:10" s="1" customFormat="1" ht="14.4" customHeight="1" x14ac:dyDescent="0.35">
      <c r="B177" s="4"/>
      <c r="G177" s="41"/>
      <c r="I177" s="14"/>
      <c r="J177" s="223"/>
    </row>
    <row r="178" spans="2:10" s="1" customFormat="1" ht="14.4" customHeight="1" x14ac:dyDescent="0.35">
      <c r="B178" s="4"/>
      <c r="G178" s="41"/>
      <c r="I178" s="14"/>
      <c r="J178" s="223"/>
    </row>
    <row r="179" spans="2:10" s="1" customFormat="1" ht="14.4" customHeight="1" x14ac:dyDescent="0.35">
      <c r="B179" s="4"/>
      <c r="G179" s="41"/>
      <c r="I179" s="14"/>
      <c r="J179" s="223"/>
    </row>
    <row r="180" spans="2:10" s="1" customFormat="1" ht="14.4" customHeight="1" x14ac:dyDescent="0.35">
      <c r="B180" s="4"/>
      <c r="G180" s="41"/>
      <c r="I180" s="14"/>
      <c r="J180" s="223"/>
    </row>
    <row r="181" spans="2:10" s="1" customFormat="1" ht="14.4" customHeight="1" x14ac:dyDescent="0.35">
      <c r="B181" s="4"/>
      <c r="G181" s="41"/>
      <c r="I181" s="14"/>
      <c r="J181" s="223"/>
    </row>
    <row r="182" spans="2:10" s="1" customFormat="1" ht="14.4" customHeight="1" x14ac:dyDescent="0.35">
      <c r="B182" s="4"/>
      <c r="G182" s="41"/>
      <c r="I182" s="14"/>
      <c r="J182" s="223"/>
    </row>
    <row r="183" spans="2:10" s="1" customFormat="1" ht="14.4" customHeight="1" x14ac:dyDescent="0.35">
      <c r="B183" s="4"/>
      <c r="G183" s="41"/>
      <c r="I183" s="14"/>
      <c r="J183" s="223"/>
    </row>
    <row r="184" spans="2:10" s="1" customFormat="1" ht="14.4" customHeight="1" x14ac:dyDescent="0.35">
      <c r="B184" s="4"/>
      <c r="G184" s="41"/>
      <c r="I184" s="14"/>
      <c r="J184" s="223"/>
    </row>
    <row r="185" spans="2:10" s="1" customFormat="1" ht="14.4" customHeight="1" x14ac:dyDescent="0.35">
      <c r="B185" s="4"/>
      <c r="G185" s="41"/>
      <c r="I185" s="14"/>
      <c r="J185" s="223"/>
    </row>
    <row r="186" spans="2:10" s="1" customFormat="1" ht="14.4" customHeight="1" x14ac:dyDescent="0.35">
      <c r="B186" s="4"/>
      <c r="G186" s="41"/>
      <c r="I186" s="14"/>
      <c r="J186" s="223"/>
    </row>
    <row r="187" spans="2:10" s="1" customFormat="1" ht="14.4" customHeight="1" x14ac:dyDescent="0.35">
      <c r="B187" s="4"/>
      <c r="G187" s="41"/>
      <c r="I187" s="14"/>
      <c r="J187" s="223"/>
    </row>
    <row r="188" spans="2:10" s="1" customFormat="1" ht="14.4" customHeight="1" x14ac:dyDescent="0.35">
      <c r="B188" s="4"/>
      <c r="G188" s="41"/>
      <c r="I188" s="14"/>
      <c r="J188" s="223"/>
    </row>
    <row r="189" spans="2:10" s="1" customFormat="1" ht="14.4" customHeight="1" x14ac:dyDescent="0.35">
      <c r="B189" s="4"/>
      <c r="G189" s="41"/>
      <c r="I189" s="14"/>
      <c r="J189" s="223"/>
    </row>
    <row r="190" spans="2:10" s="1" customFormat="1" ht="14.4" customHeight="1" x14ac:dyDescent="0.35">
      <c r="B190" s="4"/>
      <c r="G190" s="41"/>
      <c r="I190" s="14"/>
      <c r="J190" s="223"/>
    </row>
    <row r="191" spans="2:10" s="1" customFormat="1" ht="14.4" customHeight="1" x14ac:dyDescent="0.35">
      <c r="B191" s="4"/>
      <c r="G191" s="41"/>
      <c r="I191" s="14"/>
      <c r="J191" s="223"/>
    </row>
    <row r="192" spans="2:10" s="1" customFormat="1" ht="14.4" customHeight="1" x14ac:dyDescent="0.35">
      <c r="B192" s="4"/>
      <c r="G192" s="41"/>
      <c r="I192" s="14"/>
      <c r="J192" s="223"/>
    </row>
    <row r="193" spans="2:10" s="1" customFormat="1" ht="14.4" customHeight="1" x14ac:dyDescent="0.35">
      <c r="B193" s="4"/>
      <c r="G193" s="41"/>
      <c r="I193" s="14"/>
      <c r="J193" s="223"/>
    </row>
    <row r="194" spans="2:10" s="1" customFormat="1" ht="14.4" customHeight="1" x14ac:dyDescent="0.35">
      <c r="B194" s="4"/>
      <c r="G194" s="41"/>
      <c r="I194" s="14"/>
      <c r="J194" s="223"/>
    </row>
    <row r="195" spans="2:10" s="1" customFormat="1" ht="14.4" customHeight="1" x14ac:dyDescent="0.35">
      <c r="B195" s="4"/>
      <c r="G195" s="41"/>
      <c r="I195" s="14"/>
      <c r="J195" s="223"/>
    </row>
    <row r="196" spans="2:10" s="1" customFormat="1" ht="14.4" customHeight="1" x14ac:dyDescent="0.35">
      <c r="B196" s="4"/>
      <c r="G196" s="41"/>
      <c r="I196" s="14"/>
      <c r="J196" s="223"/>
    </row>
    <row r="197" spans="2:10" s="1" customFormat="1" ht="14.4" customHeight="1" x14ac:dyDescent="0.35">
      <c r="B197" s="4"/>
      <c r="G197" s="41"/>
      <c r="I197" s="14"/>
      <c r="J197" s="223"/>
    </row>
    <row r="198" spans="2:10" s="1" customFormat="1" ht="14.4" customHeight="1" x14ac:dyDescent="0.35">
      <c r="B198" s="4"/>
      <c r="G198" s="41"/>
      <c r="I198" s="14"/>
      <c r="J198" s="223"/>
    </row>
    <row r="199" spans="2:10" s="1" customFormat="1" ht="14.4" customHeight="1" x14ac:dyDescent="0.35">
      <c r="B199" s="4"/>
      <c r="G199" s="41"/>
      <c r="I199" s="14"/>
      <c r="J199" s="223"/>
    </row>
    <row r="200" spans="2:10" s="1" customFormat="1" ht="14.4" customHeight="1" x14ac:dyDescent="0.35">
      <c r="B200" s="4"/>
      <c r="G200" s="41"/>
      <c r="I200" s="14"/>
      <c r="J200" s="223"/>
    </row>
    <row r="201" spans="2:10" s="1" customFormat="1" ht="14.4" customHeight="1" x14ac:dyDescent="0.35">
      <c r="B201" s="4"/>
      <c r="G201" s="41"/>
      <c r="I201" s="14"/>
      <c r="J201" s="223"/>
    </row>
    <row r="202" spans="2:10" s="1" customFormat="1" ht="14.4" customHeight="1" x14ac:dyDescent="0.35">
      <c r="B202" s="4"/>
      <c r="G202" s="41"/>
      <c r="I202" s="14"/>
      <c r="J202" s="223"/>
    </row>
    <row r="203" spans="2:10" s="1" customFormat="1" ht="14.4" customHeight="1" x14ac:dyDescent="0.35">
      <c r="B203" s="4"/>
      <c r="G203" s="41"/>
      <c r="I203" s="14"/>
      <c r="J203" s="223"/>
    </row>
    <row r="204" spans="2:10" s="1" customFormat="1" ht="14.4" customHeight="1" x14ac:dyDescent="0.35">
      <c r="B204" s="4"/>
      <c r="G204" s="41"/>
      <c r="I204" s="14"/>
      <c r="J204" s="223"/>
    </row>
    <row r="205" spans="2:10" s="1" customFormat="1" ht="14.4" customHeight="1" x14ac:dyDescent="0.35">
      <c r="B205" s="4"/>
      <c r="G205" s="41"/>
      <c r="I205" s="14"/>
      <c r="J205" s="223"/>
    </row>
    <row r="206" spans="2:10" s="1" customFormat="1" ht="14.4" customHeight="1" x14ac:dyDescent="0.35">
      <c r="B206" s="4"/>
      <c r="G206" s="41"/>
      <c r="I206" s="14"/>
      <c r="J206" s="223"/>
    </row>
    <row r="207" spans="2:10" s="1" customFormat="1" ht="14.4" customHeight="1" x14ac:dyDescent="0.35">
      <c r="B207" s="4"/>
      <c r="G207" s="41"/>
      <c r="I207" s="14"/>
      <c r="J207" s="223"/>
    </row>
    <row r="208" spans="2:10" s="1" customFormat="1" ht="14.4" customHeight="1" x14ac:dyDescent="0.35">
      <c r="B208" s="4"/>
      <c r="G208" s="41"/>
      <c r="I208" s="14"/>
      <c r="J208" s="223"/>
    </row>
    <row r="209" spans="2:10" s="1" customFormat="1" ht="14.4" customHeight="1" x14ac:dyDescent="0.35">
      <c r="B209" s="4"/>
      <c r="G209" s="41"/>
      <c r="I209" s="14"/>
      <c r="J209" s="223"/>
    </row>
    <row r="210" spans="2:10" s="1" customFormat="1" ht="14.4" customHeight="1" x14ac:dyDescent="0.35">
      <c r="B210" s="4"/>
      <c r="G210" s="41"/>
      <c r="I210" s="14"/>
      <c r="J210" s="223"/>
    </row>
    <row r="211" spans="2:10" s="1" customFormat="1" ht="14.4" customHeight="1" x14ac:dyDescent="0.35">
      <c r="B211" s="4"/>
      <c r="G211" s="41"/>
      <c r="I211" s="14"/>
      <c r="J211" s="223"/>
    </row>
    <row r="212" spans="2:10" s="1" customFormat="1" ht="14.4" customHeight="1" x14ac:dyDescent="0.35">
      <c r="B212" s="4"/>
      <c r="G212" s="41"/>
      <c r="I212" s="14"/>
      <c r="J212" s="223"/>
    </row>
    <row r="213" spans="2:10" s="1" customFormat="1" ht="14.4" customHeight="1" x14ac:dyDescent="0.35">
      <c r="B213" s="4"/>
      <c r="G213" s="41"/>
      <c r="I213" s="14"/>
      <c r="J213" s="223"/>
    </row>
    <row r="214" spans="2:10" s="1" customFormat="1" ht="14.4" customHeight="1" x14ac:dyDescent="0.35">
      <c r="B214" s="4"/>
      <c r="G214" s="41"/>
      <c r="I214" s="14"/>
      <c r="J214" s="223"/>
    </row>
    <row r="215" spans="2:10" s="1" customFormat="1" ht="14.4" customHeight="1" x14ac:dyDescent="0.35">
      <c r="B215" s="4"/>
      <c r="G215" s="41"/>
      <c r="I215" s="14"/>
      <c r="J215" s="223"/>
    </row>
    <row r="216" spans="2:10" s="1" customFormat="1" ht="14.4" customHeight="1" x14ac:dyDescent="0.35">
      <c r="B216" s="4"/>
      <c r="G216" s="41"/>
      <c r="I216" s="14"/>
      <c r="J216" s="223"/>
    </row>
    <row r="217" spans="2:10" s="1" customFormat="1" ht="14.4" customHeight="1" x14ac:dyDescent="0.35">
      <c r="B217" s="4"/>
      <c r="G217" s="41"/>
      <c r="I217" s="14"/>
      <c r="J217" s="223"/>
    </row>
    <row r="218" spans="2:10" s="1" customFormat="1" ht="14.4" customHeight="1" x14ac:dyDescent="0.35">
      <c r="B218" s="4"/>
      <c r="G218" s="41"/>
      <c r="I218" s="14"/>
      <c r="J218" s="223"/>
    </row>
    <row r="219" spans="2:10" s="1" customFormat="1" ht="14.4" customHeight="1" x14ac:dyDescent="0.35">
      <c r="B219" s="4"/>
      <c r="G219" s="41"/>
      <c r="I219" s="14"/>
      <c r="J219" s="223"/>
    </row>
    <row r="220" spans="2:10" s="1" customFormat="1" ht="14.4" customHeight="1" x14ac:dyDescent="0.35">
      <c r="B220" s="4"/>
      <c r="G220" s="41"/>
      <c r="I220" s="14"/>
      <c r="J220" s="223"/>
    </row>
    <row r="221" spans="2:10" s="1" customFormat="1" ht="14.4" customHeight="1" x14ac:dyDescent="0.35">
      <c r="B221" s="4"/>
      <c r="G221" s="41"/>
      <c r="I221" s="14"/>
      <c r="J221" s="223"/>
    </row>
    <row r="222" spans="2:10" s="1" customFormat="1" ht="14.4" customHeight="1" x14ac:dyDescent="0.35">
      <c r="B222" s="4"/>
      <c r="G222" s="41"/>
      <c r="I222" s="14"/>
      <c r="J222" s="223"/>
    </row>
    <row r="223" spans="2:10" s="1" customFormat="1" ht="14.4" customHeight="1" x14ac:dyDescent="0.35">
      <c r="B223" s="4"/>
      <c r="G223" s="41"/>
      <c r="I223" s="14"/>
      <c r="J223" s="223"/>
    </row>
    <row r="224" spans="2:10" s="1" customFormat="1" ht="14.4" customHeight="1" x14ac:dyDescent="0.35">
      <c r="B224" s="4"/>
      <c r="G224" s="41"/>
      <c r="I224" s="14"/>
      <c r="J224" s="223"/>
    </row>
    <row r="225" spans="2:10" s="1" customFormat="1" ht="14.4" customHeight="1" x14ac:dyDescent="0.35">
      <c r="B225" s="4"/>
      <c r="G225" s="41"/>
      <c r="I225" s="14"/>
      <c r="J225" s="223"/>
    </row>
    <row r="226" spans="2:10" s="1" customFormat="1" ht="14.4" customHeight="1" x14ac:dyDescent="0.35">
      <c r="B226" s="4"/>
      <c r="G226" s="41"/>
      <c r="I226" s="14"/>
      <c r="J226" s="223"/>
    </row>
    <row r="227" spans="2:10" s="1" customFormat="1" ht="14.4" customHeight="1" x14ac:dyDescent="0.35">
      <c r="B227" s="4"/>
      <c r="G227" s="41"/>
      <c r="I227" s="14"/>
      <c r="J227" s="223"/>
    </row>
    <row r="228" spans="2:10" s="1" customFormat="1" ht="14.4" customHeight="1" x14ac:dyDescent="0.35">
      <c r="B228" s="4"/>
      <c r="G228" s="41"/>
      <c r="I228" s="14"/>
      <c r="J228" s="223"/>
    </row>
    <row r="229" spans="2:10" s="1" customFormat="1" ht="14.4" customHeight="1" x14ac:dyDescent="0.35">
      <c r="B229" s="4"/>
      <c r="G229" s="41"/>
      <c r="I229" s="14"/>
      <c r="J229" s="223"/>
    </row>
    <row r="230" spans="2:10" s="1" customFormat="1" ht="14.4" customHeight="1" x14ac:dyDescent="0.35">
      <c r="B230" s="4"/>
      <c r="G230" s="41"/>
      <c r="I230" s="14"/>
      <c r="J230" s="223"/>
    </row>
    <row r="231" spans="2:10" s="1" customFormat="1" ht="14.4" customHeight="1" x14ac:dyDescent="0.35">
      <c r="B231" s="4"/>
      <c r="G231" s="41"/>
      <c r="I231" s="14"/>
      <c r="J231" s="223"/>
    </row>
    <row r="232" spans="2:10" s="1" customFormat="1" ht="14.4" customHeight="1" x14ac:dyDescent="0.35">
      <c r="B232" s="4"/>
      <c r="G232" s="41"/>
      <c r="I232" s="14"/>
      <c r="J232" s="223"/>
    </row>
    <row r="233" spans="2:10" s="1" customFormat="1" ht="14.4" customHeight="1" x14ac:dyDescent="0.35">
      <c r="B233" s="4"/>
      <c r="G233" s="41"/>
      <c r="I233" s="14"/>
      <c r="J233" s="223"/>
    </row>
    <row r="234" spans="2:10" s="1" customFormat="1" ht="14.4" customHeight="1" x14ac:dyDescent="0.35">
      <c r="B234" s="4"/>
      <c r="G234" s="41"/>
      <c r="I234" s="14"/>
      <c r="J234" s="223"/>
    </row>
    <row r="235" spans="2:10" s="1" customFormat="1" ht="14.4" customHeight="1" x14ac:dyDescent="0.35">
      <c r="B235" s="4"/>
      <c r="G235" s="41"/>
      <c r="I235" s="14"/>
      <c r="J235" s="223"/>
    </row>
    <row r="236" spans="2:10" s="1" customFormat="1" ht="14.4" customHeight="1" x14ac:dyDescent="0.35">
      <c r="B236" s="4"/>
      <c r="G236" s="41"/>
      <c r="I236" s="14"/>
      <c r="J236" s="223"/>
    </row>
    <row r="237" spans="2:10" s="1" customFormat="1" ht="14.4" customHeight="1" x14ac:dyDescent="0.35">
      <c r="B237" s="4"/>
      <c r="G237" s="41"/>
      <c r="I237" s="14"/>
      <c r="J237" s="223"/>
    </row>
    <row r="238" spans="2:10" s="1" customFormat="1" ht="14.4" customHeight="1" x14ac:dyDescent="0.35">
      <c r="B238" s="4"/>
      <c r="G238" s="41"/>
      <c r="I238" s="14"/>
      <c r="J238" s="223"/>
    </row>
    <row r="239" spans="2:10" s="1" customFormat="1" ht="14.4" customHeight="1" x14ac:dyDescent="0.35">
      <c r="B239" s="4"/>
      <c r="G239" s="41"/>
      <c r="I239" s="14"/>
      <c r="J239" s="223"/>
    </row>
    <row r="240" spans="2:10" s="1" customFormat="1" ht="14.4" customHeight="1" x14ac:dyDescent="0.35">
      <c r="B240" s="4"/>
      <c r="G240" s="41"/>
      <c r="I240" s="14"/>
      <c r="J240" s="223"/>
    </row>
    <row r="241" spans="2:10" s="1" customFormat="1" ht="14.4" customHeight="1" x14ac:dyDescent="0.35">
      <c r="B241" s="4"/>
      <c r="G241" s="41"/>
      <c r="I241" s="14"/>
      <c r="J241" s="223"/>
    </row>
    <row r="242" spans="2:10" s="1" customFormat="1" ht="14.4" customHeight="1" x14ac:dyDescent="0.35">
      <c r="B242" s="4"/>
      <c r="G242" s="41"/>
      <c r="I242" s="14"/>
      <c r="J242" s="223"/>
    </row>
    <row r="243" spans="2:10" s="1" customFormat="1" ht="14.4" customHeight="1" x14ac:dyDescent="0.35">
      <c r="B243" s="4"/>
      <c r="G243" s="41"/>
      <c r="I243" s="14"/>
      <c r="J243" s="223"/>
    </row>
    <row r="244" spans="2:10" s="1" customFormat="1" ht="14.4" customHeight="1" x14ac:dyDescent="0.35">
      <c r="B244" s="4"/>
      <c r="G244" s="41"/>
      <c r="I244" s="14"/>
      <c r="J244" s="223"/>
    </row>
    <row r="245" spans="2:10" s="1" customFormat="1" ht="14.4" customHeight="1" x14ac:dyDescent="0.35">
      <c r="B245" s="4"/>
      <c r="G245" s="41"/>
      <c r="I245" s="14"/>
      <c r="J245" s="223"/>
    </row>
    <row r="246" spans="2:10" s="1" customFormat="1" ht="14.4" customHeight="1" x14ac:dyDescent="0.35">
      <c r="B246" s="4"/>
      <c r="G246" s="41"/>
      <c r="I246" s="14"/>
      <c r="J246" s="223"/>
    </row>
    <row r="247" spans="2:10" s="1" customFormat="1" ht="14.4" customHeight="1" x14ac:dyDescent="0.35">
      <c r="B247" s="4"/>
      <c r="G247" s="41"/>
      <c r="I247" s="14"/>
      <c r="J247" s="223"/>
    </row>
    <row r="248" spans="2:10" s="1" customFormat="1" ht="14.4" customHeight="1" x14ac:dyDescent="0.35">
      <c r="B248" s="4"/>
      <c r="G248" s="41"/>
      <c r="I248" s="14"/>
      <c r="J248" s="223"/>
    </row>
    <row r="249" spans="2:10" s="1" customFormat="1" ht="14.4" customHeight="1" x14ac:dyDescent="0.35">
      <c r="B249" s="4"/>
      <c r="G249" s="41"/>
      <c r="I249" s="14"/>
      <c r="J249" s="223"/>
    </row>
    <row r="250" spans="2:10" s="1" customFormat="1" ht="14.5" x14ac:dyDescent="0.35">
      <c r="B250" s="4"/>
      <c r="G250" s="41"/>
      <c r="I250" s="14"/>
      <c r="J250" s="223"/>
    </row>
    <row r="251" spans="2:10" s="1" customFormat="1" ht="14.5" x14ac:dyDescent="0.35">
      <c r="B251" s="4"/>
      <c r="G251" s="41"/>
      <c r="I251" s="14"/>
      <c r="J251" s="223"/>
    </row>
    <row r="252" spans="2:10" s="1" customFormat="1" ht="14.5" x14ac:dyDescent="0.35">
      <c r="B252" s="4"/>
      <c r="G252" s="41"/>
      <c r="I252" s="14"/>
      <c r="J252" s="223"/>
    </row>
    <row r="253" spans="2:10" s="1" customFormat="1" ht="14.5" x14ac:dyDescent="0.35">
      <c r="B253" s="4"/>
      <c r="G253" s="41"/>
      <c r="I253" s="14"/>
      <c r="J253" s="223"/>
    </row>
    <row r="254" spans="2:10" s="1" customFormat="1" ht="14.5" x14ac:dyDescent="0.35">
      <c r="B254" s="4"/>
      <c r="G254" s="41"/>
      <c r="I254" s="14"/>
      <c r="J254" s="223"/>
    </row>
    <row r="255" spans="2:10" s="1" customFormat="1" ht="14.5" x14ac:dyDescent="0.35">
      <c r="B255" s="4"/>
      <c r="G255" s="41"/>
      <c r="I255" s="14"/>
      <c r="J255" s="223"/>
    </row>
    <row r="256" spans="2:10" s="1" customFormat="1" ht="14.5" x14ac:dyDescent="0.35">
      <c r="B256" s="4"/>
      <c r="G256" s="41"/>
      <c r="I256" s="14"/>
      <c r="J256" s="223"/>
    </row>
    <row r="257" spans="2:10" s="1" customFormat="1" ht="14.5" x14ac:dyDescent="0.35">
      <c r="B257" s="4"/>
      <c r="G257" s="41"/>
      <c r="I257" s="14"/>
      <c r="J257" s="223"/>
    </row>
    <row r="258" spans="2:10" s="1" customFormat="1" ht="14.5" x14ac:dyDescent="0.35">
      <c r="B258" s="4"/>
      <c r="G258" s="41"/>
      <c r="I258" s="14"/>
      <c r="J258" s="223"/>
    </row>
    <row r="259" spans="2:10" s="1" customFormat="1" ht="14.5" x14ac:dyDescent="0.35">
      <c r="B259" s="4"/>
      <c r="G259" s="41"/>
      <c r="I259" s="14"/>
      <c r="J259" s="223"/>
    </row>
    <row r="260" spans="2:10" s="1" customFormat="1" ht="14.5" x14ac:dyDescent="0.35">
      <c r="B260" s="4"/>
      <c r="G260" s="41"/>
      <c r="I260" s="14"/>
      <c r="J260" s="223"/>
    </row>
    <row r="261" spans="2:10" s="1" customFormat="1" ht="14.5" x14ac:dyDescent="0.35">
      <c r="B261" s="4"/>
      <c r="G261" s="41"/>
      <c r="I261" s="14"/>
      <c r="J261" s="223"/>
    </row>
    <row r="262" spans="2:10" s="1" customFormat="1" ht="14.5" x14ac:dyDescent="0.35">
      <c r="B262" s="4"/>
      <c r="G262" s="41"/>
      <c r="I262" s="14"/>
      <c r="J262" s="223"/>
    </row>
    <row r="263" spans="2:10" s="1" customFormat="1" ht="14.5" x14ac:dyDescent="0.35">
      <c r="B263" s="4"/>
      <c r="G263" s="41"/>
      <c r="I263" s="14"/>
      <c r="J263" s="223"/>
    </row>
    <row r="264" spans="2:10" s="1" customFormat="1" ht="14.5" x14ac:dyDescent="0.35">
      <c r="B264" s="4"/>
      <c r="G264" s="41"/>
      <c r="I264" s="14"/>
      <c r="J264" s="223"/>
    </row>
    <row r="265" spans="2:10" s="1" customFormat="1" ht="14.5" x14ac:dyDescent="0.35">
      <c r="B265" s="4"/>
      <c r="G265" s="41"/>
      <c r="I265" s="14"/>
      <c r="J265" s="223"/>
    </row>
    <row r="266" spans="2:10" s="1" customFormat="1" ht="14.5" x14ac:dyDescent="0.35">
      <c r="B266" s="4"/>
      <c r="G266" s="41"/>
      <c r="I266" s="14"/>
      <c r="J266" s="223"/>
    </row>
    <row r="267" spans="2:10" s="1" customFormat="1" ht="14.5" x14ac:dyDescent="0.35">
      <c r="B267" s="4"/>
      <c r="G267" s="41"/>
      <c r="I267" s="14"/>
      <c r="J267" s="223"/>
    </row>
    <row r="268" spans="2:10" s="1" customFormat="1" ht="14.5" x14ac:dyDescent="0.35">
      <c r="B268" s="4"/>
      <c r="G268" s="41"/>
      <c r="I268" s="14"/>
      <c r="J268" s="223"/>
    </row>
    <row r="269" spans="2:10" s="1" customFormat="1" ht="14.5" x14ac:dyDescent="0.35">
      <c r="B269" s="4"/>
      <c r="G269" s="41"/>
      <c r="I269" s="14"/>
      <c r="J269" s="223"/>
    </row>
    <row r="270" spans="2:10" s="1" customFormat="1" ht="14.5" x14ac:dyDescent="0.35">
      <c r="B270" s="4"/>
      <c r="G270" s="41"/>
      <c r="I270" s="14"/>
      <c r="J270" s="223"/>
    </row>
    <row r="271" spans="2:10" s="1" customFormat="1" ht="14.5" x14ac:dyDescent="0.35">
      <c r="B271" s="4"/>
      <c r="G271" s="41"/>
      <c r="I271" s="14"/>
      <c r="J271" s="223"/>
    </row>
    <row r="272" spans="2:10" s="1" customFormat="1" ht="14.5" x14ac:dyDescent="0.35">
      <c r="B272" s="4"/>
      <c r="G272" s="41"/>
      <c r="I272" s="14"/>
      <c r="J272" s="223"/>
    </row>
    <row r="273" spans="2:10" s="1" customFormat="1" ht="14.5" x14ac:dyDescent="0.35">
      <c r="B273" s="4"/>
      <c r="G273" s="41"/>
      <c r="I273" s="14"/>
      <c r="J273" s="223"/>
    </row>
    <row r="274" spans="2:10" s="1" customFormat="1" ht="14.5" x14ac:dyDescent="0.35">
      <c r="B274" s="4"/>
      <c r="G274" s="41"/>
      <c r="I274" s="14"/>
      <c r="J274" s="223"/>
    </row>
    <row r="275" spans="2:10" s="1" customFormat="1" ht="14.5" x14ac:dyDescent="0.35">
      <c r="B275" s="4"/>
      <c r="G275" s="41"/>
      <c r="I275" s="14"/>
      <c r="J275" s="223"/>
    </row>
    <row r="276" spans="2:10" s="1" customFormat="1" ht="14.5" x14ac:dyDescent="0.35">
      <c r="B276" s="4"/>
      <c r="G276" s="41"/>
      <c r="I276" s="14"/>
      <c r="J276" s="223"/>
    </row>
    <row r="277" spans="2:10" s="1" customFormat="1" ht="14.5" x14ac:dyDescent="0.35">
      <c r="B277" s="4"/>
      <c r="G277" s="41"/>
      <c r="I277" s="14"/>
      <c r="J277" s="223"/>
    </row>
    <row r="278" spans="2:10" s="1" customFormat="1" ht="14.5" x14ac:dyDescent="0.35">
      <c r="B278" s="4"/>
      <c r="G278" s="41"/>
      <c r="I278" s="14"/>
      <c r="J278" s="223"/>
    </row>
    <row r="279" spans="2:10" s="1" customFormat="1" ht="14.5" x14ac:dyDescent="0.35">
      <c r="B279" s="4"/>
      <c r="G279" s="41"/>
      <c r="I279" s="14"/>
      <c r="J279" s="223"/>
    </row>
    <row r="280" spans="2:10" s="1" customFormat="1" ht="14.5" x14ac:dyDescent="0.35">
      <c r="B280" s="4"/>
      <c r="G280" s="41"/>
      <c r="I280" s="14"/>
      <c r="J280" s="223"/>
    </row>
    <row r="281" spans="2:10" s="1" customFormat="1" ht="14.5" x14ac:dyDescent="0.35">
      <c r="B281" s="4"/>
      <c r="G281" s="41"/>
      <c r="I281" s="14"/>
      <c r="J281" s="223"/>
    </row>
    <row r="282" spans="2:10" s="1" customFormat="1" ht="14.5" x14ac:dyDescent="0.35">
      <c r="B282" s="4"/>
      <c r="G282" s="41"/>
      <c r="I282" s="14"/>
      <c r="J282" s="223"/>
    </row>
    <row r="283" spans="2:10" s="1" customFormat="1" ht="14.5" x14ac:dyDescent="0.35">
      <c r="B283" s="4"/>
      <c r="G283" s="41"/>
      <c r="I283" s="14"/>
      <c r="J283" s="223"/>
    </row>
    <row r="284" spans="2:10" s="1" customFormat="1" ht="14.5" x14ac:dyDescent="0.35">
      <c r="B284" s="4"/>
      <c r="G284" s="41"/>
      <c r="I284" s="14"/>
      <c r="J284" s="223"/>
    </row>
    <row r="285" spans="2:10" s="1" customFormat="1" ht="14.5" x14ac:dyDescent="0.35">
      <c r="B285" s="4"/>
      <c r="G285" s="41"/>
      <c r="I285" s="14"/>
      <c r="J285" s="223"/>
    </row>
    <row r="286" spans="2:10" s="1" customFormat="1" ht="14.5" x14ac:dyDescent="0.35">
      <c r="B286" s="4"/>
      <c r="G286" s="41"/>
      <c r="I286" s="14"/>
      <c r="J286" s="223"/>
    </row>
    <row r="287" spans="2:10" s="1" customFormat="1" ht="14.5" x14ac:dyDescent="0.35">
      <c r="B287" s="4"/>
      <c r="G287" s="41"/>
      <c r="I287" s="14"/>
      <c r="J287" s="223"/>
    </row>
    <row r="288" spans="2:10" s="1" customFormat="1" ht="14.5" x14ac:dyDescent="0.35">
      <c r="B288" s="4"/>
      <c r="G288" s="41"/>
      <c r="I288" s="14"/>
      <c r="J288" s="223"/>
    </row>
    <row r="289" spans="2:10" s="1" customFormat="1" ht="14.5" x14ac:dyDescent="0.35">
      <c r="B289" s="4"/>
      <c r="G289" s="41"/>
      <c r="I289" s="14"/>
      <c r="J289" s="223"/>
    </row>
    <row r="290" spans="2:10" s="1" customFormat="1" ht="14.5" x14ac:dyDescent="0.35">
      <c r="B290" s="4"/>
      <c r="G290" s="41"/>
      <c r="I290" s="14"/>
      <c r="J290" s="223"/>
    </row>
    <row r="291" spans="2:10" s="1" customFormat="1" ht="14.5" x14ac:dyDescent="0.35">
      <c r="B291" s="4"/>
      <c r="G291" s="41"/>
      <c r="I291" s="14"/>
      <c r="J291" s="223"/>
    </row>
    <row r="292" spans="2:10" s="1" customFormat="1" ht="14.5" x14ac:dyDescent="0.35">
      <c r="B292" s="4"/>
      <c r="G292" s="41"/>
      <c r="I292" s="14"/>
      <c r="J292" s="223"/>
    </row>
    <row r="293" spans="2:10" s="1" customFormat="1" ht="14.5" x14ac:dyDescent="0.35">
      <c r="B293" s="4"/>
      <c r="G293" s="41"/>
      <c r="I293" s="14"/>
      <c r="J293" s="223"/>
    </row>
    <row r="294" spans="2:10" s="1" customFormat="1" ht="14.5" x14ac:dyDescent="0.35">
      <c r="B294" s="4"/>
      <c r="G294" s="41"/>
      <c r="I294" s="14"/>
      <c r="J294" s="223"/>
    </row>
    <row r="295" spans="2:10" s="1" customFormat="1" ht="14.5" x14ac:dyDescent="0.35">
      <c r="B295" s="4"/>
      <c r="G295" s="41"/>
      <c r="I295" s="14"/>
      <c r="J295" s="223"/>
    </row>
    <row r="296" spans="2:10" s="1" customFormat="1" ht="14.5" x14ac:dyDescent="0.35">
      <c r="B296" s="4"/>
      <c r="G296" s="41"/>
      <c r="I296" s="14"/>
      <c r="J296" s="223"/>
    </row>
    <row r="297" spans="2:10" s="1" customFormat="1" ht="14.5" x14ac:dyDescent="0.35">
      <c r="B297" s="4"/>
      <c r="G297" s="41"/>
      <c r="I297" s="14"/>
      <c r="J297" s="223"/>
    </row>
    <row r="298" spans="2:10" s="1" customFormat="1" ht="14.5" x14ac:dyDescent="0.35">
      <c r="B298" s="4"/>
      <c r="G298" s="41"/>
      <c r="I298" s="14"/>
      <c r="J298" s="223"/>
    </row>
    <row r="299" spans="2:10" s="1" customFormat="1" ht="14.5" x14ac:dyDescent="0.35">
      <c r="B299" s="4"/>
      <c r="G299" s="41"/>
      <c r="I299" s="14"/>
      <c r="J299" s="223"/>
    </row>
    <row r="300" spans="2:10" s="1" customFormat="1" ht="14.5" x14ac:dyDescent="0.35">
      <c r="B300" s="4"/>
      <c r="G300" s="41"/>
      <c r="I300" s="14"/>
      <c r="J300" s="223"/>
    </row>
    <row r="301" spans="2:10" s="1" customFormat="1" ht="14.5" x14ac:dyDescent="0.35">
      <c r="B301" s="4"/>
      <c r="G301" s="41"/>
      <c r="I301" s="14"/>
      <c r="J301" s="223"/>
    </row>
    <row r="302" spans="2:10" s="1" customFormat="1" ht="14.5" x14ac:dyDescent="0.35">
      <c r="B302" s="4"/>
      <c r="G302" s="41"/>
      <c r="I302" s="14"/>
      <c r="J302" s="223"/>
    </row>
    <row r="303" spans="2:10" s="1" customFormat="1" ht="14.5" x14ac:dyDescent="0.35">
      <c r="B303" s="4"/>
      <c r="G303" s="41"/>
      <c r="I303" s="14"/>
      <c r="J303" s="223"/>
    </row>
    <row r="304" spans="2:10" s="1" customFormat="1" ht="14.5" x14ac:dyDescent="0.35">
      <c r="B304" s="4"/>
      <c r="G304" s="41"/>
      <c r="I304" s="14"/>
      <c r="J304" s="223"/>
    </row>
    <row r="305" spans="2:10" s="1" customFormat="1" ht="14.5" x14ac:dyDescent="0.35">
      <c r="B305" s="4"/>
      <c r="G305" s="41"/>
      <c r="I305" s="14"/>
      <c r="J305" s="223"/>
    </row>
    <row r="306" spans="2:10" s="1" customFormat="1" ht="14.5" x14ac:dyDescent="0.35">
      <c r="B306" s="4"/>
      <c r="G306" s="41"/>
      <c r="I306" s="14"/>
      <c r="J306" s="223"/>
    </row>
    <row r="307" spans="2:10" s="1" customFormat="1" ht="14.5" x14ac:dyDescent="0.35">
      <c r="B307" s="4"/>
      <c r="G307" s="41"/>
      <c r="I307" s="14"/>
      <c r="J307" s="223"/>
    </row>
    <row r="308" spans="2:10" s="1" customFormat="1" ht="14.5" x14ac:dyDescent="0.35">
      <c r="B308" s="4"/>
      <c r="G308" s="41"/>
      <c r="I308" s="14"/>
      <c r="J308" s="223"/>
    </row>
    <row r="309" spans="2:10" s="1" customFormat="1" ht="14.5" x14ac:dyDescent="0.35">
      <c r="B309" s="4"/>
      <c r="G309" s="41"/>
      <c r="I309" s="14"/>
      <c r="J309" s="223"/>
    </row>
    <row r="310" spans="2:10" s="1" customFormat="1" ht="14.5" x14ac:dyDescent="0.35">
      <c r="B310" s="4"/>
      <c r="G310" s="41"/>
      <c r="I310" s="14"/>
      <c r="J310" s="223"/>
    </row>
    <row r="311" spans="2:10" s="1" customFormat="1" ht="14.5" x14ac:dyDescent="0.35">
      <c r="B311" s="4"/>
      <c r="G311" s="41"/>
      <c r="I311" s="14"/>
      <c r="J311" s="223"/>
    </row>
    <row r="312" spans="2:10" s="1" customFormat="1" ht="14.5" x14ac:dyDescent="0.35">
      <c r="B312" s="4"/>
      <c r="G312" s="41"/>
      <c r="I312" s="14"/>
      <c r="J312" s="223"/>
    </row>
    <row r="313" spans="2:10" s="1" customFormat="1" ht="14.5" x14ac:dyDescent="0.35">
      <c r="B313" s="4"/>
      <c r="G313" s="41"/>
      <c r="I313" s="14"/>
      <c r="J313" s="223"/>
    </row>
    <row r="314" spans="2:10" s="1" customFormat="1" ht="14.5" x14ac:dyDescent="0.35">
      <c r="B314" s="4"/>
      <c r="G314" s="41"/>
      <c r="I314" s="14"/>
      <c r="J314" s="223"/>
    </row>
    <row r="315" spans="2:10" s="1" customFormat="1" ht="14.5" x14ac:dyDescent="0.35">
      <c r="B315" s="4"/>
      <c r="G315" s="41"/>
      <c r="I315" s="14"/>
      <c r="J315" s="223"/>
    </row>
    <row r="316" spans="2:10" s="1" customFormat="1" ht="14.5" x14ac:dyDescent="0.35">
      <c r="B316" s="4"/>
      <c r="G316" s="41"/>
      <c r="I316" s="14"/>
      <c r="J316" s="223"/>
    </row>
    <row r="317" spans="2:10" s="1" customFormat="1" ht="14.5" x14ac:dyDescent="0.35">
      <c r="B317" s="4"/>
      <c r="G317" s="41"/>
      <c r="I317" s="14"/>
      <c r="J317" s="223"/>
    </row>
    <row r="318" spans="2:10" s="1" customFormat="1" ht="14.5" x14ac:dyDescent="0.35">
      <c r="B318" s="4"/>
      <c r="G318" s="41"/>
      <c r="I318" s="14"/>
      <c r="J318" s="223"/>
    </row>
    <row r="319" spans="2:10" s="1" customFormat="1" ht="14.5" x14ac:dyDescent="0.35">
      <c r="B319" s="4"/>
      <c r="G319" s="41"/>
      <c r="I319" s="14"/>
      <c r="J319" s="223"/>
    </row>
    <row r="320" spans="2:10" s="1" customFormat="1" ht="14.5" x14ac:dyDescent="0.35">
      <c r="B320" s="4"/>
      <c r="G320" s="41"/>
      <c r="I320" s="14"/>
      <c r="J320" s="223"/>
    </row>
    <row r="321" spans="2:10" s="1" customFormat="1" ht="14.5" x14ac:dyDescent="0.35">
      <c r="B321" s="4"/>
      <c r="G321" s="41"/>
      <c r="I321" s="14"/>
      <c r="J321" s="223"/>
    </row>
    <row r="322" spans="2:10" s="1" customFormat="1" ht="14.5" x14ac:dyDescent="0.35">
      <c r="B322" s="4"/>
      <c r="G322" s="41"/>
      <c r="I322" s="14"/>
      <c r="J322" s="223"/>
    </row>
    <row r="323" spans="2:10" s="1" customFormat="1" ht="14.5" x14ac:dyDescent="0.35">
      <c r="B323" s="4"/>
      <c r="G323" s="41"/>
      <c r="I323" s="14"/>
      <c r="J323" s="223"/>
    </row>
    <row r="324" spans="2:10" s="1" customFormat="1" ht="14.5" x14ac:dyDescent="0.35">
      <c r="B324" s="4"/>
      <c r="G324" s="41"/>
      <c r="I324" s="14"/>
      <c r="J324" s="223"/>
    </row>
    <row r="325" spans="2:10" s="1" customFormat="1" ht="14.5" x14ac:dyDescent="0.35">
      <c r="B325" s="4"/>
      <c r="G325" s="41"/>
      <c r="I325" s="14"/>
      <c r="J325" s="223"/>
    </row>
    <row r="326" spans="2:10" s="1" customFormat="1" ht="14.5" x14ac:dyDescent="0.35">
      <c r="B326" s="4"/>
      <c r="G326" s="41"/>
      <c r="I326" s="14"/>
      <c r="J326" s="223"/>
    </row>
    <row r="327" spans="2:10" s="1" customFormat="1" ht="14.5" x14ac:dyDescent="0.35">
      <c r="B327" s="4"/>
      <c r="G327" s="41"/>
      <c r="I327" s="14"/>
      <c r="J327" s="223"/>
    </row>
    <row r="328" spans="2:10" s="1" customFormat="1" ht="14.5" x14ac:dyDescent="0.35">
      <c r="B328" s="4"/>
      <c r="G328" s="41"/>
      <c r="I328" s="14"/>
      <c r="J328" s="223"/>
    </row>
    <row r="329" spans="2:10" s="1" customFormat="1" ht="14.5" x14ac:dyDescent="0.35">
      <c r="B329" s="4"/>
      <c r="G329" s="41"/>
      <c r="I329" s="14"/>
      <c r="J329" s="223"/>
    </row>
    <row r="330" spans="2:10" s="1" customFormat="1" ht="14.5" x14ac:dyDescent="0.35">
      <c r="B330" s="4"/>
      <c r="G330" s="41"/>
      <c r="I330" s="14"/>
      <c r="J330" s="223"/>
    </row>
    <row r="331" spans="2:10" s="1" customFormat="1" ht="14.5" x14ac:dyDescent="0.35">
      <c r="B331" s="4"/>
      <c r="G331" s="41"/>
      <c r="I331" s="14"/>
      <c r="J331" s="223"/>
    </row>
    <row r="332" spans="2:10" s="1" customFormat="1" ht="14.5" x14ac:dyDescent="0.35">
      <c r="B332" s="4"/>
      <c r="G332" s="41"/>
      <c r="I332" s="14"/>
      <c r="J332" s="223"/>
    </row>
    <row r="333" spans="2:10" s="1" customFormat="1" ht="14.5" x14ac:dyDescent="0.35">
      <c r="B333" s="4"/>
      <c r="G333" s="41"/>
      <c r="I333" s="14"/>
      <c r="J333" s="223"/>
    </row>
    <row r="334" spans="2:10" s="1" customFormat="1" ht="14.5" x14ac:dyDescent="0.35">
      <c r="B334" s="4"/>
      <c r="G334" s="41"/>
      <c r="I334" s="14"/>
      <c r="J334" s="223"/>
    </row>
    <row r="335" spans="2:10" s="1" customFormat="1" ht="14.5" x14ac:dyDescent="0.35">
      <c r="B335" s="4"/>
      <c r="G335" s="41"/>
      <c r="I335" s="14"/>
      <c r="J335" s="223"/>
    </row>
    <row r="336" spans="2:10" s="1" customFormat="1" ht="14.5" x14ac:dyDescent="0.35">
      <c r="B336" s="4"/>
      <c r="G336" s="41"/>
      <c r="I336" s="14"/>
      <c r="J336" s="223"/>
    </row>
    <row r="337" spans="2:10" s="1" customFormat="1" ht="14.5" x14ac:dyDescent="0.35">
      <c r="B337" s="4"/>
      <c r="G337" s="41"/>
      <c r="I337" s="14"/>
      <c r="J337" s="223"/>
    </row>
    <row r="338" spans="2:10" s="1" customFormat="1" ht="14.5" x14ac:dyDescent="0.35">
      <c r="B338" s="4"/>
      <c r="G338" s="41"/>
      <c r="I338" s="14"/>
      <c r="J338" s="223"/>
    </row>
    <row r="339" spans="2:10" s="1" customFormat="1" ht="14.5" x14ac:dyDescent="0.35">
      <c r="B339" s="4"/>
      <c r="G339" s="41"/>
      <c r="I339" s="14"/>
      <c r="J339" s="223"/>
    </row>
    <row r="340" spans="2:10" s="1" customFormat="1" ht="14.5" x14ac:dyDescent="0.35">
      <c r="B340" s="4"/>
      <c r="G340" s="41"/>
      <c r="I340" s="14"/>
      <c r="J340" s="223"/>
    </row>
    <row r="341" spans="2:10" s="1" customFormat="1" ht="14.5" x14ac:dyDescent="0.35">
      <c r="B341" s="4"/>
      <c r="G341" s="41"/>
      <c r="I341" s="14"/>
      <c r="J341" s="223"/>
    </row>
    <row r="342" spans="2:10" s="1" customFormat="1" ht="14.5" x14ac:dyDescent="0.35">
      <c r="B342" s="4"/>
      <c r="G342" s="41"/>
      <c r="I342" s="14"/>
      <c r="J342" s="223"/>
    </row>
    <row r="343" spans="2:10" s="1" customFormat="1" ht="14.5" x14ac:dyDescent="0.35">
      <c r="B343" s="4"/>
      <c r="G343" s="41"/>
      <c r="I343" s="14"/>
      <c r="J343" s="223"/>
    </row>
    <row r="344" spans="2:10" s="1" customFormat="1" ht="14.5" x14ac:dyDescent="0.35">
      <c r="B344" s="4"/>
      <c r="G344" s="41"/>
      <c r="I344" s="14"/>
      <c r="J344" s="223"/>
    </row>
    <row r="345" spans="2:10" s="1" customFormat="1" ht="14.5" x14ac:dyDescent="0.35">
      <c r="B345" s="4"/>
      <c r="G345" s="41"/>
      <c r="I345" s="14"/>
      <c r="J345" s="223"/>
    </row>
    <row r="346" spans="2:10" s="1" customFormat="1" ht="14.5" x14ac:dyDescent="0.35">
      <c r="B346" s="4"/>
      <c r="G346" s="41"/>
      <c r="I346" s="14"/>
      <c r="J346" s="223"/>
    </row>
    <row r="347" spans="2:10" s="1" customFormat="1" ht="14.5" x14ac:dyDescent="0.35">
      <c r="B347" s="4"/>
      <c r="G347" s="41"/>
      <c r="I347" s="14"/>
      <c r="J347" s="223"/>
    </row>
    <row r="348" spans="2:10" s="1" customFormat="1" ht="14.5" x14ac:dyDescent="0.35">
      <c r="B348" s="4"/>
      <c r="G348" s="41"/>
      <c r="I348" s="14"/>
      <c r="J348" s="223"/>
    </row>
    <row r="349" spans="2:10" s="1" customFormat="1" ht="14.5" x14ac:dyDescent="0.35">
      <c r="B349" s="4"/>
      <c r="G349" s="41"/>
      <c r="I349" s="14"/>
      <c r="J349" s="223"/>
    </row>
    <row r="350" spans="2:10" s="1" customFormat="1" ht="14.5" x14ac:dyDescent="0.35">
      <c r="B350" s="4"/>
      <c r="G350" s="41"/>
      <c r="I350" s="14"/>
      <c r="J350" s="223"/>
    </row>
    <row r="351" spans="2:10" s="1" customFormat="1" ht="14.5" x14ac:dyDescent="0.35">
      <c r="B351" s="4"/>
      <c r="G351" s="41"/>
      <c r="I351" s="14"/>
      <c r="J351" s="223"/>
    </row>
    <row r="352" spans="2:10" s="1" customFormat="1" ht="14.5" x14ac:dyDescent="0.35">
      <c r="B352" s="4"/>
      <c r="G352" s="41"/>
      <c r="I352" s="14"/>
      <c r="J352" s="223"/>
    </row>
    <row r="353" spans="2:10" s="1" customFormat="1" ht="14.5" x14ac:dyDescent="0.35">
      <c r="B353" s="4"/>
      <c r="G353" s="41"/>
      <c r="I353" s="14"/>
      <c r="J353" s="223"/>
    </row>
    <row r="354" spans="2:10" s="1" customFormat="1" ht="14.5" x14ac:dyDescent="0.35">
      <c r="B354" s="4"/>
      <c r="G354" s="41"/>
      <c r="I354" s="14"/>
      <c r="J354" s="223"/>
    </row>
    <row r="355" spans="2:10" s="1" customFormat="1" ht="14.5" x14ac:dyDescent="0.35">
      <c r="B355" s="4"/>
      <c r="G355" s="41"/>
      <c r="I355" s="14"/>
      <c r="J355" s="223"/>
    </row>
    <row r="356" spans="2:10" s="1" customFormat="1" ht="14.5" x14ac:dyDescent="0.35">
      <c r="B356" s="4"/>
      <c r="G356" s="41"/>
      <c r="I356" s="14"/>
      <c r="J356" s="223"/>
    </row>
    <row r="357" spans="2:10" s="1" customFormat="1" ht="14.5" x14ac:dyDescent="0.35">
      <c r="B357" s="4"/>
      <c r="G357" s="41"/>
      <c r="I357" s="14"/>
      <c r="J357" s="223"/>
    </row>
    <row r="358" spans="2:10" s="1" customFormat="1" ht="14.5" x14ac:dyDescent="0.35">
      <c r="B358" s="4"/>
      <c r="G358" s="41"/>
      <c r="I358" s="14"/>
      <c r="J358" s="223"/>
    </row>
    <row r="359" spans="2:10" s="1" customFormat="1" ht="14.5" x14ac:dyDescent="0.35">
      <c r="B359" s="4"/>
      <c r="G359" s="41"/>
      <c r="I359" s="14"/>
      <c r="J359" s="223"/>
    </row>
    <row r="360" spans="2:10" s="1" customFormat="1" ht="14.5" x14ac:dyDescent="0.35">
      <c r="B360" s="4"/>
      <c r="G360" s="41"/>
      <c r="I360" s="14"/>
      <c r="J360" s="223"/>
    </row>
    <row r="361" spans="2:10" s="1" customFormat="1" ht="14.5" x14ac:dyDescent="0.35">
      <c r="B361" s="4"/>
      <c r="G361" s="41"/>
      <c r="I361" s="14"/>
      <c r="J361" s="223"/>
    </row>
    <row r="362" spans="2:10" s="1" customFormat="1" ht="14.5" x14ac:dyDescent="0.35">
      <c r="B362" s="4"/>
      <c r="G362" s="41"/>
      <c r="I362" s="14"/>
      <c r="J362" s="223"/>
    </row>
    <row r="363" spans="2:10" s="1" customFormat="1" ht="14.5" x14ac:dyDescent="0.35">
      <c r="B363" s="4"/>
      <c r="G363" s="41"/>
      <c r="I363" s="14"/>
      <c r="J363" s="223"/>
    </row>
    <row r="364" spans="2:10" s="1" customFormat="1" ht="14.5" x14ac:dyDescent="0.35">
      <c r="B364" s="4"/>
      <c r="G364" s="41"/>
      <c r="I364" s="14"/>
      <c r="J364" s="223"/>
    </row>
    <row r="365" spans="2:10" s="1" customFormat="1" ht="14.5" x14ac:dyDescent="0.35">
      <c r="B365" s="4"/>
      <c r="G365" s="41"/>
      <c r="I365" s="14"/>
      <c r="J365" s="223"/>
    </row>
    <row r="366" spans="2:10" s="1" customFormat="1" ht="14.5" x14ac:dyDescent="0.35">
      <c r="B366" s="4"/>
      <c r="G366" s="41"/>
      <c r="I366" s="14"/>
      <c r="J366" s="223"/>
    </row>
    <row r="367" spans="2:10" s="1" customFormat="1" ht="14.5" x14ac:dyDescent="0.35">
      <c r="B367" s="4"/>
      <c r="G367" s="41"/>
      <c r="I367" s="14"/>
      <c r="J367" s="223"/>
    </row>
    <row r="368" spans="2:10" s="1" customFormat="1" ht="14.5" x14ac:dyDescent="0.35">
      <c r="B368" s="4"/>
      <c r="G368" s="41"/>
      <c r="I368" s="14"/>
      <c r="J368" s="223"/>
    </row>
    <row r="369" spans="2:10" s="1" customFormat="1" ht="14.5" x14ac:dyDescent="0.35">
      <c r="B369" s="4"/>
      <c r="G369" s="41"/>
      <c r="I369" s="14"/>
      <c r="J369" s="223"/>
    </row>
    <row r="370" spans="2:10" s="1" customFormat="1" ht="14.5" x14ac:dyDescent="0.35">
      <c r="B370" s="4"/>
      <c r="G370" s="41"/>
      <c r="I370" s="14"/>
      <c r="J370" s="223"/>
    </row>
    <row r="371" spans="2:10" s="1" customFormat="1" ht="14.5" x14ac:dyDescent="0.35">
      <c r="B371" s="4"/>
      <c r="G371" s="41"/>
      <c r="I371" s="14"/>
      <c r="J371" s="223"/>
    </row>
    <row r="372" spans="2:10" s="1" customFormat="1" ht="14.5" x14ac:dyDescent="0.35">
      <c r="B372" s="4"/>
      <c r="G372" s="41"/>
      <c r="I372" s="14"/>
      <c r="J372" s="223"/>
    </row>
    <row r="373" spans="2:10" s="1" customFormat="1" ht="14.5" x14ac:dyDescent="0.35">
      <c r="B373" s="4"/>
      <c r="G373" s="41"/>
      <c r="I373" s="14"/>
      <c r="J373" s="223"/>
    </row>
    <row r="374" spans="2:10" s="1" customFormat="1" ht="14.5" x14ac:dyDescent="0.35">
      <c r="B374" s="4"/>
      <c r="G374" s="41"/>
      <c r="I374" s="14"/>
      <c r="J374" s="223"/>
    </row>
    <row r="375" spans="2:10" s="1" customFormat="1" ht="14.5" x14ac:dyDescent="0.35">
      <c r="B375" s="4"/>
      <c r="G375" s="41"/>
      <c r="I375" s="14"/>
      <c r="J375" s="223"/>
    </row>
    <row r="376" spans="2:10" s="1" customFormat="1" ht="14.5" x14ac:dyDescent="0.35">
      <c r="B376" s="4"/>
      <c r="G376" s="41"/>
      <c r="I376" s="14"/>
      <c r="J376" s="223"/>
    </row>
    <row r="377" spans="2:10" s="1" customFormat="1" ht="14.5" x14ac:dyDescent="0.35">
      <c r="B377" s="4"/>
      <c r="G377" s="41"/>
      <c r="I377" s="14"/>
      <c r="J377" s="223"/>
    </row>
    <row r="378" spans="2:10" s="1" customFormat="1" ht="14.5" x14ac:dyDescent="0.35">
      <c r="B378" s="4"/>
      <c r="G378" s="41"/>
      <c r="I378" s="14"/>
      <c r="J378" s="223"/>
    </row>
    <row r="379" spans="2:10" s="1" customFormat="1" ht="14.5" x14ac:dyDescent="0.35">
      <c r="B379" s="4"/>
      <c r="G379" s="41"/>
      <c r="I379" s="14"/>
      <c r="J379" s="223"/>
    </row>
    <row r="380" spans="2:10" s="1" customFormat="1" ht="14.5" x14ac:dyDescent="0.35">
      <c r="B380" s="4"/>
      <c r="G380" s="41"/>
      <c r="I380" s="14"/>
      <c r="J380" s="223"/>
    </row>
    <row r="381" spans="2:10" s="1" customFormat="1" ht="14.5" x14ac:dyDescent="0.35">
      <c r="B381" s="4"/>
      <c r="G381" s="41"/>
      <c r="I381" s="14"/>
      <c r="J381" s="223"/>
    </row>
    <row r="382" spans="2:10" s="1" customFormat="1" ht="14.5" x14ac:dyDescent="0.35">
      <c r="B382" s="4"/>
      <c r="G382" s="41"/>
      <c r="I382" s="14"/>
      <c r="J382" s="223"/>
    </row>
    <row r="383" spans="2:10" s="1" customFormat="1" ht="14.5" x14ac:dyDescent="0.35">
      <c r="B383" s="4"/>
      <c r="G383" s="41"/>
      <c r="I383" s="14"/>
      <c r="J383" s="223"/>
    </row>
    <row r="384" spans="2:10" s="1" customFormat="1" ht="14.5" x14ac:dyDescent="0.35">
      <c r="B384" s="4"/>
      <c r="G384" s="41"/>
      <c r="I384" s="14"/>
      <c r="J384" s="223"/>
    </row>
    <row r="385" spans="2:10" s="1" customFormat="1" ht="14.5" x14ac:dyDescent="0.35">
      <c r="B385" s="4"/>
      <c r="G385" s="41"/>
      <c r="I385" s="14"/>
      <c r="J385" s="223"/>
    </row>
    <row r="386" spans="2:10" s="1" customFormat="1" ht="14.5" x14ac:dyDescent="0.35">
      <c r="B386" s="4"/>
      <c r="G386" s="41"/>
      <c r="I386" s="14"/>
      <c r="J386" s="223"/>
    </row>
    <row r="387" spans="2:10" s="1" customFormat="1" ht="14.5" x14ac:dyDescent="0.35">
      <c r="B387" s="4"/>
      <c r="G387" s="41"/>
      <c r="I387" s="14"/>
      <c r="J387" s="223"/>
    </row>
    <row r="388" spans="2:10" s="1" customFormat="1" ht="14.5" x14ac:dyDescent="0.35">
      <c r="B388" s="4"/>
      <c r="G388" s="41"/>
      <c r="I388" s="14"/>
      <c r="J388" s="223"/>
    </row>
    <row r="389" spans="2:10" s="1" customFormat="1" ht="14.5" x14ac:dyDescent="0.35">
      <c r="B389" s="4"/>
      <c r="G389" s="41"/>
      <c r="I389" s="14"/>
      <c r="J389" s="223"/>
    </row>
    <row r="390" spans="2:10" s="1" customFormat="1" ht="14.5" x14ac:dyDescent="0.35">
      <c r="B390" s="4"/>
      <c r="G390" s="41"/>
      <c r="I390" s="14"/>
      <c r="J390" s="223"/>
    </row>
    <row r="391" spans="2:10" s="1" customFormat="1" ht="14.5" x14ac:dyDescent="0.35">
      <c r="B391" s="4"/>
      <c r="G391" s="41"/>
      <c r="I391" s="14"/>
      <c r="J391" s="223"/>
    </row>
    <row r="392" spans="2:10" s="1" customFormat="1" ht="14.5" x14ac:dyDescent="0.35">
      <c r="B392" s="4"/>
      <c r="G392" s="41"/>
      <c r="I392" s="14"/>
      <c r="J392" s="223"/>
    </row>
    <row r="393" spans="2:10" s="1" customFormat="1" ht="14.5" x14ac:dyDescent="0.35">
      <c r="B393" s="4"/>
      <c r="G393" s="41"/>
      <c r="I393" s="14"/>
      <c r="J393" s="223"/>
    </row>
    <row r="394" spans="2:10" s="1" customFormat="1" ht="14.5" x14ac:dyDescent="0.35">
      <c r="B394" s="4"/>
      <c r="G394" s="41"/>
      <c r="I394" s="14"/>
      <c r="J394" s="223"/>
    </row>
    <row r="395" spans="2:10" s="1" customFormat="1" ht="14.5" x14ac:dyDescent="0.35">
      <c r="B395" s="4"/>
      <c r="G395" s="41"/>
      <c r="I395" s="14"/>
      <c r="J395" s="223"/>
    </row>
    <row r="396" spans="2:10" s="1" customFormat="1" ht="14.5" x14ac:dyDescent="0.35">
      <c r="B396" s="4"/>
      <c r="G396" s="41"/>
      <c r="I396" s="14"/>
      <c r="J396" s="223"/>
    </row>
    <row r="397" spans="2:10" s="1" customFormat="1" ht="14.5" x14ac:dyDescent="0.35">
      <c r="B397" s="4"/>
      <c r="G397" s="41"/>
      <c r="I397" s="14"/>
      <c r="J397" s="223"/>
    </row>
    <row r="398" spans="2:10" s="1" customFormat="1" ht="14.5" x14ac:dyDescent="0.35">
      <c r="B398" s="4"/>
      <c r="G398" s="41"/>
      <c r="I398" s="14"/>
      <c r="J398" s="223"/>
    </row>
    <row r="399" spans="2:10" s="1" customFormat="1" ht="14.5" x14ac:dyDescent="0.35">
      <c r="B399" s="4"/>
      <c r="G399" s="41"/>
      <c r="I399" s="14"/>
      <c r="J399" s="223"/>
    </row>
    <row r="400" spans="2:10" s="1" customFormat="1" ht="14.5" x14ac:dyDescent="0.35">
      <c r="B400" s="4"/>
      <c r="G400" s="41"/>
      <c r="I400" s="14"/>
      <c r="J400" s="223"/>
    </row>
    <row r="401" spans="2:10" s="1" customFormat="1" ht="14.5" x14ac:dyDescent="0.35">
      <c r="B401" s="4"/>
      <c r="G401" s="41"/>
      <c r="I401" s="14"/>
      <c r="J401" s="223"/>
    </row>
    <row r="402" spans="2:10" s="1" customFormat="1" ht="14.5" x14ac:dyDescent="0.35">
      <c r="B402" s="4"/>
      <c r="G402" s="41"/>
      <c r="I402" s="14"/>
      <c r="J402" s="223"/>
    </row>
    <row r="403" spans="2:10" s="1" customFormat="1" ht="14.5" x14ac:dyDescent="0.35">
      <c r="B403" s="4"/>
      <c r="G403" s="41"/>
      <c r="I403" s="14"/>
      <c r="J403" s="223"/>
    </row>
    <row r="404" spans="2:10" s="1" customFormat="1" ht="14.5" x14ac:dyDescent="0.35">
      <c r="B404" s="4"/>
      <c r="G404" s="41"/>
      <c r="I404" s="14"/>
      <c r="J404" s="223"/>
    </row>
    <row r="405" spans="2:10" s="1" customFormat="1" ht="14.5" x14ac:dyDescent="0.35">
      <c r="B405" s="4"/>
      <c r="G405" s="41"/>
      <c r="I405" s="14"/>
      <c r="J405" s="223"/>
    </row>
    <row r="406" spans="2:10" s="1" customFormat="1" ht="14.5" x14ac:dyDescent="0.35">
      <c r="B406" s="4"/>
      <c r="G406" s="41"/>
      <c r="I406" s="14"/>
      <c r="J406" s="223"/>
    </row>
    <row r="407" spans="2:10" s="1" customFormat="1" ht="14.5" x14ac:dyDescent="0.35">
      <c r="B407" s="4"/>
      <c r="G407" s="41"/>
      <c r="I407" s="14"/>
      <c r="J407" s="223"/>
    </row>
    <row r="408" spans="2:10" s="1" customFormat="1" ht="14.5" x14ac:dyDescent="0.35">
      <c r="B408" s="4"/>
      <c r="G408" s="41"/>
      <c r="I408" s="14"/>
      <c r="J408" s="223"/>
    </row>
    <row r="409" spans="2:10" s="1" customFormat="1" ht="14.5" x14ac:dyDescent="0.35">
      <c r="B409" s="4"/>
      <c r="G409" s="41"/>
      <c r="I409" s="14"/>
      <c r="J409" s="223"/>
    </row>
    <row r="410" spans="2:10" s="1" customFormat="1" ht="14.5" x14ac:dyDescent="0.35">
      <c r="B410" s="4"/>
      <c r="G410" s="41"/>
      <c r="I410" s="14"/>
      <c r="J410" s="223"/>
    </row>
    <row r="411" spans="2:10" s="1" customFormat="1" ht="14.5" x14ac:dyDescent="0.35">
      <c r="B411" s="4"/>
      <c r="G411" s="41"/>
      <c r="I411" s="14"/>
      <c r="J411" s="223"/>
    </row>
    <row r="412" spans="2:10" s="1" customFormat="1" ht="14.5" x14ac:dyDescent="0.35">
      <c r="B412" s="4"/>
      <c r="G412" s="41"/>
      <c r="I412" s="14"/>
      <c r="J412" s="223"/>
    </row>
    <row r="413" spans="2:10" s="1" customFormat="1" ht="14.5" x14ac:dyDescent="0.35">
      <c r="B413" s="4"/>
      <c r="G413" s="41"/>
      <c r="I413" s="14"/>
      <c r="J413" s="223"/>
    </row>
    <row r="414" spans="2:10" s="1" customFormat="1" ht="14.5" x14ac:dyDescent="0.35">
      <c r="B414" s="4"/>
      <c r="G414" s="41"/>
      <c r="I414" s="14"/>
      <c r="J414" s="223"/>
    </row>
    <row r="415" spans="2:10" s="1" customFormat="1" ht="14.5" x14ac:dyDescent="0.35">
      <c r="B415" s="4"/>
      <c r="G415" s="41"/>
      <c r="I415" s="14"/>
      <c r="J415" s="223"/>
    </row>
    <row r="416" spans="2:10" s="1" customFormat="1" ht="14.5" x14ac:dyDescent="0.35">
      <c r="B416" s="4"/>
      <c r="G416" s="41"/>
      <c r="I416" s="14"/>
      <c r="J416" s="223"/>
    </row>
    <row r="417" spans="1:14" s="1" customFormat="1" ht="14.5" x14ac:dyDescent="0.35">
      <c r="B417" s="4"/>
      <c r="G417" s="41"/>
      <c r="I417" s="14"/>
      <c r="J417" s="223"/>
    </row>
    <row r="418" spans="1:14" s="1" customFormat="1" ht="14.5" x14ac:dyDescent="0.35">
      <c r="B418" s="4"/>
      <c r="G418" s="41"/>
      <c r="I418" s="14"/>
      <c r="J418" s="223"/>
    </row>
    <row r="419" spans="1:14" s="1" customFormat="1" ht="14.5" x14ac:dyDescent="0.35">
      <c r="B419" s="4"/>
      <c r="G419" s="41"/>
      <c r="I419" s="14"/>
      <c r="J419" s="223"/>
    </row>
    <row r="420" spans="1:14" s="1" customFormat="1" ht="14.5" x14ac:dyDescent="0.35">
      <c r="B420" s="4"/>
      <c r="G420" s="41"/>
      <c r="I420" s="14"/>
      <c r="J420" s="223"/>
    </row>
    <row r="421" spans="1:14" s="1" customFormat="1" ht="14.5" x14ac:dyDescent="0.35">
      <c r="B421" s="4"/>
      <c r="G421" s="41"/>
      <c r="I421" s="14"/>
      <c r="J421" s="223"/>
    </row>
    <row r="422" spans="1:14" s="1" customFormat="1" ht="14.5" x14ac:dyDescent="0.35">
      <c r="B422" s="4"/>
      <c r="G422" s="41"/>
      <c r="I422" s="14"/>
      <c r="J422" s="223"/>
    </row>
    <row r="423" spans="1:14" s="1" customFormat="1" ht="14.5" x14ac:dyDescent="0.35">
      <c r="B423" s="4"/>
      <c r="G423" s="41"/>
      <c r="I423" s="14"/>
      <c r="J423" s="223"/>
    </row>
    <row r="424" spans="1:14" s="1" customFormat="1" ht="14.5" x14ac:dyDescent="0.35">
      <c r="B424" s="4"/>
      <c r="G424" s="41"/>
      <c r="I424" s="14"/>
      <c r="J424" s="223"/>
    </row>
    <row r="425" spans="1:14" s="1" customFormat="1" ht="14.5" x14ac:dyDescent="0.35">
      <c r="B425" s="4"/>
      <c r="G425" s="41"/>
      <c r="I425" s="14"/>
      <c r="J425" s="223"/>
    </row>
    <row r="426" spans="1:14" s="1" customFormat="1" ht="14.5" x14ac:dyDescent="0.35">
      <c r="B426" s="4"/>
      <c r="G426" s="41"/>
      <c r="I426" s="14"/>
      <c r="J426" s="223"/>
    </row>
    <row r="427" spans="1:14" s="1" customFormat="1" ht="14.5" x14ac:dyDescent="0.35">
      <c r="B427" s="4"/>
      <c r="G427" s="41"/>
      <c r="I427" s="14"/>
      <c r="J427" s="223"/>
    </row>
    <row r="428" spans="1:14" x14ac:dyDescent="0.35">
      <c r="A428" s="1"/>
      <c r="B428" s="4"/>
      <c r="C428" s="1"/>
      <c r="D428" s="1"/>
      <c r="E428" s="1"/>
      <c r="F428" s="1"/>
      <c r="G428" s="41"/>
      <c r="H428" s="1"/>
      <c r="I428" s="14"/>
      <c r="J428" s="223"/>
      <c r="K428" s="1"/>
      <c r="L428" s="1"/>
      <c r="M428" s="1"/>
      <c r="N428" s="1"/>
    </row>
    <row r="429" spans="1:14" x14ac:dyDescent="0.35">
      <c r="A429" s="1"/>
      <c r="B429" s="4"/>
      <c r="C429" s="1"/>
      <c r="D429" s="1"/>
      <c r="E429" s="1"/>
      <c r="F429" s="1"/>
      <c r="G429" s="41"/>
      <c r="H429" s="1"/>
      <c r="I429" s="14"/>
      <c r="J429" s="223"/>
      <c r="K429" s="1"/>
      <c r="L429" s="1"/>
      <c r="M429" s="1"/>
      <c r="N429" s="1"/>
    </row>
    <row r="430" spans="1:14" x14ac:dyDescent="0.35">
      <c r="A430" s="1"/>
      <c r="B430" s="4"/>
      <c r="C430" s="1"/>
      <c r="D430" s="1"/>
      <c r="E430" s="1"/>
      <c r="F430" s="1"/>
      <c r="G430" s="41"/>
      <c r="H430" s="1"/>
      <c r="I430" s="14"/>
      <c r="J430" s="223"/>
      <c r="K430" s="1"/>
      <c r="L430" s="1"/>
      <c r="M430" s="1"/>
      <c r="N430" s="1"/>
    </row>
    <row r="431" spans="1:14" x14ac:dyDescent="0.35">
      <c r="A431" s="1"/>
      <c r="B431" s="4"/>
      <c r="C431" s="1"/>
      <c r="D431" s="1"/>
      <c r="E431" s="1"/>
      <c r="F431" s="1"/>
      <c r="G431" s="41"/>
      <c r="H431" s="1"/>
      <c r="I431" s="14"/>
      <c r="J431" s="223"/>
      <c r="K431" s="1"/>
      <c r="L431" s="1"/>
      <c r="M431" s="1"/>
      <c r="N431" s="1"/>
    </row>
    <row r="432" spans="1:14" x14ac:dyDescent="0.35">
      <c r="A432" s="1"/>
      <c r="B432" s="4"/>
      <c r="C432" s="1"/>
      <c r="D432" s="1"/>
      <c r="E432" s="1"/>
      <c r="F432" s="1"/>
      <c r="G432" s="41"/>
      <c r="H432" s="1"/>
      <c r="I432" s="14"/>
      <c r="J432" s="223"/>
      <c r="K432" s="1"/>
      <c r="L432" s="1"/>
      <c r="M432" s="1"/>
      <c r="N432" s="1"/>
    </row>
    <row r="433" spans="1:14" x14ac:dyDescent="0.35">
      <c r="A433" s="1"/>
      <c r="B433" s="4"/>
      <c r="C433" s="1"/>
      <c r="D433" s="1"/>
      <c r="E433" s="1"/>
      <c r="F433" s="1"/>
      <c r="G433" s="41"/>
      <c r="H433" s="1"/>
      <c r="I433" s="14"/>
      <c r="J433" s="223"/>
      <c r="K433" s="1"/>
      <c r="L433" s="1"/>
      <c r="M433" s="1"/>
      <c r="N433" s="1"/>
    </row>
    <row r="434" spans="1:14" x14ac:dyDescent="0.35">
      <c r="A434" s="1"/>
      <c r="B434" s="4"/>
      <c r="C434" s="1"/>
      <c r="D434" s="1"/>
      <c r="E434" s="1"/>
      <c r="F434" s="1"/>
      <c r="G434" s="41"/>
      <c r="H434" s="1"/>
      <c r="I434" s="14"/>
      <c r="J434" s="223"/>
      <c r="K434" s="1"/>
      <c r="L434" s="1"/>
      <c r="M434" s="1"/>
      <c r="N434" s="1"/>
    </row>
    <row r="435" spans="1:14" x14ac:dyDescent="0.35">
      <c r="A435" s="1"/>
      <c r="B435" s="4"/>
      <c r="C435" s="1"/>
      <c r="D435" s="1"/>
      <c r="E435" s="1"/>
      <c r="F435" s="1"/>
      <c r="G435" s="41"/>
      <c r="H435" s="1"/>
      <c r="I435" s="14"/>
      <c r="J435" s="223"/>
      <c r="K435" s="1"/>
      <c r="L435" s="1"/>
      <c r="M435" s="1"/>
      <c r="N435" s="1"/>
    </row>
    <row r="436" spans="1:14" x14ac:dyDescent="0.35">
      <c r="A436" s="1"/>
      <c r="B436" s="4"/>
      <c r="C436" s="1"/>
      <c r="D436" s="1"/>
      <c r="E436" s="1"/>
      <c r="F436" s="1"/>
      <c r="G436" s="41"/>
      <c r="H436" s="1"/>
      <c r="I436" s="14"/>
      <c r="J436" s="223"/>
      <c r="K436" s="1"/>
      <c r="L436" s="1"/>
      <c r="M436" s="1"/>
      <c r="N436" s="1"/>
    </row>
    <row r="437" spans="1:14" x14ac:dyDescent="0.35">
      <c r="A437" s="1"/>
      <c r="B437" s="4"/>
      <c r="C437" s="1"/>
      <c r="D437" s="1"/>
      <c r="E437" s="1"/>
      <c r="F437" s="1"/>
      <c r="G437" s="41"/>
      <c r="H437" s="1"/>
      <c r="I437" s="14"/>
      <c r="J437" s="223"/>
      <c r="K437" s="1"/>
      <c r="L437" s="1"/>
      <c r="M437" s="1"/>
      <c r="N437" s="1"/>
    </row>
    <row r="438" spans="1:14" x14ac:dyDescent="0.35">
      <c r="A438" s="1"/>
      <c r="B438" s="4"/>
      <c r="C438" s="1"/>
      <c r="D438" s="1"/>
      <c r="E438" s="1"/>
      <c r="F438" s="1"/>
      <c r="G438" s="41"/>
      <c r="H438" s="1"/>
      <c r="I438" s="14"/>
      <c r="J438" s="223"/>
      <c r="K438" s="1"/>
      <c r="L438" s="1"/>
      <c r="M438" s="1"/>
      <c r="N438" s="1"/>
    </row>
    <row r="439" spans="1:14" x14ac:dyDescent="0.35">
      <c r="A439" s="1"/>
      <c r="B439" s="4"/>
      <c r="C439" s="1"/>
      <c r="D439" s="1"/>
      <c r="E439" s="1"/>
      <c r="F439" s="1"/>
      <c r="G439" s="41"/>
      <c r="H439" s="1"/>
      <c r="I439" s="14"/>
      <c r="J439" s="223"/>
      <c r="K439" s="1"/>
      <c r="L439" s="1"/>
      <c r="M439" s="1"/>
      <c r="N439" s="1"/>
    </row>
    <row r="440" spans="1:14" x14ac:dyDescent="0.35">
      <c r="A440" s="1"/>
      <c r="B440" s="4"/>
      <c r="C440" s="1"/>
      <c r="D440" s="1"/>
      <c r="E440" s="1"/>
      <c r="F440" s="1"/>
      <c r="G440" s="41"/>
      <c r="H440" s="1"/>
      <c r="I440" s="14"/>
      <c r="J440" s="223"/>
      <c r="K440" s="1"/>
      <c r="L440" s="1"/>
      <c r="M440" s="1"/>
      <c r="N440" s="1"/>
    </row>
  </sheetData>
  <mergeCells count="29">
    <mergeCell ref="E103:F103"/>
    <mergeCell ref="E142:F142"/>
    <mergeCell ref="E116:F116"/>
    <mergeCell ref="D134:E134"/>
    <mergeCell ref="D141:E141"/>
    <mergeCell ref="E129:F129"/>
    <mergeCell ref="D147:E147"/>
    <mergeCell ref="E149:F149"/>
    <mergeCell ref="D108:E108"/>
    <mergeCell ref="D115:E115"/>
    <mergeCell ref="D128:E128"/>
    <mergeCell ref="D121:E121"/>
    <mergeCell ref="D54:E54"/>
    <mergeCell ref="D44:E44"/>
    <mergeCell ref="D88:E88"/>
    <mergeCell ref="D95:E95"/>
    <mergeCell ref="D102:E102"/>
    <mergeCell ref="E89:F89"/>
    <mergeCell ref="D72:E72"/>
    <mergeCell ref="D63:E63"/>
    <mergeCell ref="D80:E80"/>
    <mergeCell ref="E73:F73"/>
    <mergeCell ref="E55:F55"/>
    <mergeCell ref="A1:H1"/>
    <mergeCell ref="A2:H2"/>
    <mergeCell ref="B5:G5"/>
    <mergeCell ref="E35:F35"/>
    <mergeCell ref="D33:E33"/>
    <mergeCell ref="D22:E22"/>
  </mergeCells>
  <pageMargins left="0.7" right="0.7" top="0.75" bottom="0.75" header="0.3" footer="0.3"/>
  <pageSetup scale="63" fitToHeight="8" orientation="landscape" horizontalDpi="4294967293" verticalDpi="0" r:id="rId1"/>
  <rowBreaks count="3" manualBreakCount="3">
    <brk id="42" max="13" man="1"/>
    <brk id="78" max="13" man="1"/>
    <brk id="119" max="1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R491"/>
  <sheetViews>
    <sheetView showGridLines="0" zoomScaleNormal="100" workbookViewId="0">
      <selection activeCell="K20" sqref="K20"/>
    </sheetView>
  </sheetViews>
  <sheetFormatPr defaultColWidth="8.84375" defaultRowHeight="15.5" x14ac:dyDescent="0.35"/>
  <cols>
    <col min="1" max="1" width="7.765625" customWidth="1"/>
    <col min="2" max="2" width="8" style="98" customWidth="1"/>
    <col min="3" max="4" width="10.53515625" customWidth="1"/>
    <col min="5" max="6" width="12.61328125" customWidth="1"/>
    <col min="7" max="7" width="12.61328125" style="105" customWidth="1"/>
    <col min="8" max="8" width="12.61328125" customWidth="1"/>
    <col min="9" max="9" width="12.61328125" style="225" customWidth="1"/>
    <col min="10" max="10" width="12.61328125" style="224" customWidth="1"/>
    <col min="11" max="14" width="12.61328125" customWidth="1"/>
    <col min="15" max="16" width="8.765625" customWidth="1"/>
  </cols>
  <sheetData>
    <row r="1" spans="1:18" ht="21" x14ac:dyDescent="0.5">
      <c r="A1" s="452" t="s">
        <v>383</v>
      </c>
      <c r="B1" s="452"/>
      <c r="C1" s="452"/>
      <c r="D1" s="452"/>
      <c r="E1" s="452"/>
      <c r="F1" s="452"/>
      <c r="G1" s="452"/>
      <c r="H1" s="452"/>
      <c r="I1" s="14"/>
      <c r="J1" s="223"/>
      <c r="K1" s="1"/>
      <c r="L1" s="1"/>
      <c r="M1" s="1"/>
      <c r="N1" s="1"/>
      <c r="O1" s="1"/>
      <c r="P1" s="1"/>
      <c r="Q1" s="1"/>
      <c r="R1" s="1"/>
    </row>
    <row r="2" spans="1:18" ht="18.5" x14ac:dyDescent="0.35">
      <c r="A2" s="453" t="str">
        <f>SAO!A2</f>
        <v>RATTLESNAKE RIDGE WATER DISTRICT</v>
      </c>
      <c r="B2" s="453"/>
      <c r="C2" s="453"/>
      <c r="D2" s="453"/>
      <c r="E2" s="453"/>
      <c r="F2" s="453"/>
      <c r="G2" s="453"/>
      <c r="H2" s="453"/>
      <c r="I2" s="14"/>
      <c r="J2" s="223"/>
      <c r="K2" s="1"/>
      <c r="L2" s="1"/>
      <c r="M2" s="1"/>
      <c r="N2" s="1"/>
      <c r="O2" s="1"/>
      <c r="P2" s="1"/>
      <c r="Q2" s="1"/>
      <c r="R2" s="1"/>
    </row>
    <row r="3" spans="1:18" ht="18.5" x14ac:dyDescent="0.35">
      <c r="A3" s="28"/>
      <c r="B3" s="95"/>
      <c r="C3" s="28"/>
      <c r="D3" s="28"/>
      <c r="E3" s="28"/>
      <c r="F3" s="28"/>
      <c r="G3" s="100"/>
      <c r="H3" s="28"/>
      <c r="I3" s="14"/>
      <c r="J3" s="223"/>
      <c r="K3" s="1"/>
      <c r="L3" s="1"/>
      <c r="M3" s="1"/>
      <c r="N3" s="1"/>
      <c r="O3" s="1"/>
      <c r="P3" s="1"/>
      <c r="Q3" s="1"/>
      <c r="R3" s="1"/>
    </row>
    <row r="4" spans="1:18" x14ac:dyDescent="0.35">
      <c r="A4" s="88"/>
      <c r="B4" s="96"/>
      <c r="C4" s="89"/>
      <c r="D4" s="89"/>
      <c r="E4" s="89"/>
      <c r="F4" s="89"/>
      <c r="G4" s="101"/>
      <c r="H4" s="89"/>
      <c r="I4" s="14"/>
      <c r="J4" s="223"/>
      <c r="K4" s="1"/>
      <c r="L4" s="1"/>
      <c r="M4" s="1"/>
      <c r="N4" s="1"/>
      <c r="O4" s="1"/>
      <c r="P4" s="1"/>
      <c r="Q4" s="1"/>
      <c r="R4" s="1"/>
    </row>
    <row r="5" spans="1:18" x14ac:dyDescent="0.35">
      <c r="A5" s="1"/>
      <c r="B5" s="454" t="s">
        <v>48</v>
      </c>
      <c r="C5" s="454"/>
      <c r="D5" s="454"/>
      <c r="E5" s="454"/>
      <c r="F5" s="454"/>
      <c r="G5" s="454"/>
      <c r="H5" s="1"/>
      <c r="I5" s="14"/>
      <c r="J5" s="223"/>
      <c r="K5" s="1"/>
      <c r="L5" s="1"/>
      <c r="M5" s="1"/>
      <c r="N5" s="1"/>
      <c r="O5" s="1"/>
      <c r="P5" s="1"/>
      <c r="Q5" s="1"/>
      <c r="R5" s="1"/>
    </row>
    <row r="6" spans="1:18" s="1" customFormat="1" ht="14.5" x14ac:dyDescent="0.35">
      <c r="B6" s="4" t="s">
        <v>115</v>
      </c>
      <c r="C6" s="93"/>
      <c r="D6" s="315" t="s">
        <v>50</v>
      </c>
      <c r="E6" s="315" t="s">
        <v>51</v>
      </c>
      <c r="F6" s="83"/>
      <c r="G6" s="102" t="s">
        <v>54</v>
      </c>
      <c r="I6" s="14"/>
      <c r="J6" s="223"/>
      <c r="L6" s="340" t="s">
        <v>525</v>
      </c>
    </row>
    <row r="7" spans="1:18" s="1" customFormat="1" ht="14.5" x14ac:dyDescent="0.35">
      <c r="B7" s="4" t="s">
        <v>518</v>
      </c>
      <c r="D7" s="125">
        <f>C31+C52+C70+C86+C100+C113+C126+C139+C158</f>
        <v>50557</v>
      </c>
      <c r="E7" s="125">
        <f>D42+D78+D106+D119+D132+D145+D158</f>
        <v>258716140</v>
      </c>
      <c r="F7" s="85"/>
      <c r="G7" s="20">
        <f>G42+G61+G78+G93+G106+G119+G132+G145+G158</f>
        <v>3543454.23</v>
      </c>
      <c r="I7" s="14"/>
      <c r="J7" s="223"/>
      <c r="K7" s="4"/>
      <c r="L7" s="12">
        <f>ExBA!G7</f>
        <v>2981723.02</v>
      </c>
      <c r="M7" s="350">
        <f>(G7-L7)/L7</f>
        <v>0.18839147909855153</v>
      </c>
    </row>
    <row r="8" spans="1:18" s="1" customFormat="1" ht="16" x14ac:dyDescent="0.5">
      <c r="B8" s="4" t="s">
        <v>120</v>
      </c>
      <c r="C8" s="90"/>
      <c r="D8" s="99"/>
      <c r="E8" s="37"/>
      <c r="F8" s="37"/>
      <c r="G8" s="417">
        <f>-193786.04+53281.83</f>
        <v>-140504.21000000002</v>
      </c>
      <c r="H8" s="223" t="s">
        <v>517</v>
      </c>
      <c r="J8" s="223"/>
      <c r="K8" s="87"/>
      <c r="L8" s="419"/>
    </row>
    <row r="9" spans="1:18" s="1" customFormat="1" ht="16" x14ac:dyDescent="0.5">
      <c r="B9" s="4" t="s">
        <v>121</v>
      </c>
      <c r="C9" s="90"/>
      <c r="D9" s="34"/>
      <c r="E9" s="85"/>
      <c r="F9" s="85"/>
      <c r="G9" s="20">
        <f>SUM(G7:G8)</f>
        <v>3402950.02</v>
      </c>
      <c r="I9" s="352"/>
      <c r="J9" s="223"/>
      <c r="K9" s="87"/>
      <c r="L9" s="419">
        <f>ExBA!G9</f>
        <v>2841218.81</v>
      </c>
      <c r="M9" s="350">
        <f>(G9-L9)/L9</f>
        <v>0.19770783159076719</v>
      </c>
    </row>
    <row r="10" spans="1:18" s="1" customFormat="1" ht="16" x14ac:dyDescent="0.5">
      <c r="B10" s="4"/>
      <c r="C10" s="90"/>
      <c r="D10" s="34"/>
      <c r="E10" s="87"/>
      <c r="F10" s="87"/>
      <c r="G10" s="317"/>
      <c r="I10" s="14"/>
      <c r="J10" s="223"/>
      <c r="K10" s="87"/>
      <c r="L10" s="91"/>
    </row>
    <row r="11" spans="1:18" s="1" customFormat="1" ht="16" x14ac:dyDescent="0.5">
      <c r="B11" s="4"/>
      <c r="C11" s="90"/>
      <c r="D11" s="34"/>
      <c r="E11" s="85"/>
      <c r="F11" s="85"/>
      <c r="G11" s="350"/>
      <c r="I11" s="14"/>
      <c r="J11" s="228"/>
      <c r="K11" s="87"/>
      <c r="L11" s="91"/>
    </row>
    <row r="12" spans="1:18" s="1" customFormat="1" ht="16" x14ac:dyDescent="0.5">
      <c r="B12" s="4"/>
      <c r="C12" s="90"/>
      <c r="D12" s="34"/>
      <c r="E12" s="85"/>
      <c r="F12" s="85"/>
      <c r="G12" s="64"/>
      <c r="I12" s="14"/>
      <c r="J12" s="228"/>
      <c r="K12" s="87"/>
      <c r="L12" s="91"/>
    </row>
    <row r="13" spans="1:18" s="1" customFormat="1" ht="16" x14ac:dyDescent="0.5">
      <c r="B13" s="4"/>
      <c r="C13" s="90"/>
      <c r="D13" s="315"/>
      <c r="E13" s="315"/>
      <c r="F13" s="85"/>
      <c r="G13" s="116">
        <f>SAO!G66</f>
        <v>3376402.0915309396</v>
      </c>
      <c r="H13" s="325" t="s">
        <v>59</v>
      </c>
      <c r="I13" s="14"/>
      <c r="J13" s="228"/>
      <c r="K13" s="87"/>
      <c r="L13" s="91"/>
    </row>
    <row r="14" spans="1:18" s="1" customFormat="1" ht="16" x14ac:dyDescent="0.5">
      <c r="B14" s="4"/>
      <c r="D14" s="125"/>
      <c r="E14" s="125"/>
      <c r="F14" s="85"/>
      <c r="G14" s="20">
        <f>G9-G13</f>
        <v>26547.928469060455</v>
      </c>
      <c r="H14" s="1" t="s">
        <v>66</v>
      </c>
      <c r="I14" s="14"/>
      <c r="J14" s="228"/>
      <c r="K14" s="87"/>
      <c r="L14" s="91"/>
    </row>
    <row r="15" spans="1:18" s="1" customFormat="1" ht="16" x14ac:dyDescent="0.5">
      <c r="B15" s="4"/>
      <c r="C15" s="90"/>
      <c r="D15" s="34"/>
      <c r="E15" s="87"/>
      <c r="F15" s="87"/>
      <c r="G15" s="420">
        <f>G14/G13</f>
        <v>7.8627864067644278E-3</v>
      </c>
      <c r="I15" s="14"/>
      <c r="J15" s="228"/>
      <c r="K15" s="87"/>
      <c r="L15" s="91"/>
    </row>
    <row r="16" spans="1:18" s="1" customFormat="1" ht="16" x14ac:dyDescent="0.5">
      <c r="B16" s="4"/>
      <c r="C16" s="90"/>
      <c r="D16" s="34"/>
      <c r="E16" s="85"/>
      <c r="F16" s="85"/>
      <c r="G16" s="20"/>
      <c r="I16" s="14"/>
      <c r="J16" s="228"/>
      <c r="K16" s="87"/>
      <c r="L16" s="91"/>
    </row>
    <row r="17" spans="1:14" s="1" customFormat="1" ht="16" x14ac:dyDescent="0.5">
      <c r="B17" s="4"/>
      <c r="C17" s="90"/>
      <c r="D17" s="4"/>
      <c r="E17" s="85"/>
      <c r="F17" s="85"/>
      <c r="G17" s="64"/>
      <c r="I17" s="14"/>
      <c r="J17" s="228"/>
      <c r="K17" s="87"/>
      <c r="L17" s="91"/>
    </row>
    <row r="18" spans="1:14" s="1" customFormat="1" ht="16" x14ac:dyDescent="0.5">
      <c r="B18" s="4"/>
      <c r="C18" s="90"/>
      <c r="D18" s="4"/>
      <c r="E18" s="85"/>
      <c r="F18" s="85"/>
      <c r="G18" s="64"/>
      <c r="I18" s="14"/>
      <c r="J18" s="228"/>
      <c r="K18" s="87"/>
      <c r="L18" s="91"/>
    </row>
    <row r="19" spans="1:14" s="1" customFormat="1" ht="16" x14ac:dyDescent="0.5">
      <c r="B19" s="4"/>
      <c r="C19" s="90"/>
      <c r="D19" s="4"/>
      <c r="E19" s="4"/>
      <c r="F19" s="85"/>
      <c r="G19" s="318"/>
      <c r="I19" s="14"/>
      <c r="J19" s="228"/>
      <c r="K19" s="87"/>
      <c r="L19" s="91"/>
      <c r="N19" s="92"/>
    </row>
    <row r="20" spans="1:14" s="1" customFormat="1" ht="14.4" customHeight="1" x14ac:dyDescent="0.5">
      <c r="B20" s="4"/>
      <c r="C20" s="90"/>
      <c r="D20" s="34"/>
      <c r="E20" s="85"/>
      <c r="F20" s="85"/>
      <c r="G20" s="64"/>
      <c r="I20" s="14"/>
      <c r="J20" s="228"/>
      <c r="K20" s="87"/>
      <c r="L20" s="91"/>
      <c r="N20" s="4"/>
    </row>
    <row r="21" spans="1:14" s="1" customFormat="1" ht="14.4" customHeight="1" thickBot="1" x14ac:dyDescent="0.55000000000000004">
      <c r="B21" s="4"/>
      <c r="C21" s="90"/>
      <c r="D21" s="34"/>
      <c r="E21" s="85"/>
      <c r="F21" s="85"/>
      <c r="G21" s="41"/>
      <c r="I21" s="14"/>
      <c r="J21" s="228"/>
      <c r="K21" s="87"/>
      <c r="L21" s="91"/>
      <c r="N21" s="4"/>
    </row>
    <row r="22" spans="1:14" s="1" customFormat="1" ht="14.4" customHeight="1" x14ac:dyDescent="0.5">
      <c r="A22" s="268" t="s">
        <v>211</v>
      </c>
      <c r="B22" s="269"/>
      <c r="C22" s="270"/>
      <c r="D22" s="457" t="s">
        <v>204</v>
      </c>
      <c r="E22" s="457"/>
      <c r="F22" s="271"/>
      <c r="G22" s="288"/>
      <c r="H22" s="291"/>
      <c r="I22" s="295"/>
      <c r="J22" s="300"/>
      <c r="K22" s="303"/>
      <c r="L22" s="306"/>
      <c r="M22" s="426"/>
      <c r="N22" s="4"/>
    </row>
    <row r="23" spans="1:14" s="1" customFormat="1" ht="14.4" customHeight="1" x14ac:dyDescent="0.35">
      <c r="A23" s="273"/>
      <c r="B23" s="4"/>
      <c r="C23" s="90"/>
      <c r="D23" s="262"/>
      <c r="E23" s="92" t="s">
        <v>194</v>
      </c>
      <c r="F23" s="92" t="s">
        <v>195</v>
      </c>
      <c r="G23" s="92" t="s">
        <v>195</v>
      </c>
      <c r="H23" s="92" t="s">
        <v>195</v>
      </c>
      <c r="I23" s="92" t="s">
        <v>195</v>
      </c>
      <c r="J23" s="92" t="s">
        <v>196</v>
      </c>
      <c r="K23" s="92"/>
      <c r="L23" s="92"/>
      <c r="M23" s="427"/>
      <c r="N23" s="4"/>
    </row>
    <row r="24" spans="1:14" s="1" customFormat="1" ht="14.4" customHeight="1" x14ac:dyDescent="0.35">
      <c r="A24" s="245"/>
      <c r="B24" s="97" t="s">
        <v>49</v>
      </c>
      <c r="C24" s="83" t="s">
        <v>50</v>
      </c>
      <c r="D24" s="83" t="s">
        <v>51</v>
      </c>
      <c r="E24" s="263">
        <f>B25</f>
        <v>1000</v>
      </c>
      <c r="F24" s="263">
        <f>B26</f>
        <v>4000</v>
      </c>
      <c r="G24" s="263">
        <f>B27</f>
        <v>5000</v>
      </c>
      <c r="H24" s="263">
        <f>B28</f>
        <v>10000</v>
      </c>
      <c r="I24" s="263">
        <f>B29</f>
        <v>20000</v>
      </c>
      <c r="J24" s="263">
        <f>B30</f>
        <v>40000</v>
      </c>
      <c r="K24" s="263" t="s">
        <v>12</v>
      </c>
      <c r="L24" s="263"/>
      <c r="M24" s="428"/>
      <c r="N24" s="4"/>
    </row>
    <row r="25" spans="1:14" s="1" customFormat="1" ht="14.4" customHeight="1" x14ac:dyDescent="0.35">
      <c r="A25" s="276" t="s">
        <v>194</v>
      </c>
      <c r="B25" s="4">
        <f>Rates!D9</f>
        <v>1000</v>
      </c>
      <c r="C25" s="19">
        <v>49278</v>
      </c>
      <c r="D25" s="4"/>
      <c r="E25" s="264"/>
      <c r="F25" s="264"/>
      <c r="G25" s="264"/>
      <c r="H25" s="264"/>
      <c r="I25" s="264"/>
      <c r="J25" s="264"/>
      <c r="K25" s="264">
        <f>SUM(E25:J25)</f>
        <v>0</v>
      </c>
      <c r="L25" s="264"/>
      <c r="M25" s="428"/>
      <c r="N25" s="4"/>
    </row>
    <row r="26" spans="1:14" s="1" customFormat="1" ht="14.4" customHeight="1" x14ac:dyDescent="0.35">
      <c r="A26" s="276" t="s">
        <v>195</v>
      </c>
      <c r="B26" s="4">
        <f>Rates!D10</f>
        <v>4000</v>
      </c>
      <c r="C26" s="19">
        <v>717</v>
      </c>
      <c r="D26" s="4"/>
      <c r="E26" s="264"/>
      <c r="F26" s="264"/>
      <c r="G26" s="264"/>
      <c r="H26" s="264"/>
      <c r="I26" s="264"/>
      <c r="J26" s="264"/>
      <c r="K26" s="264">
        <f t="shared" ref="K26:K30" si="0">SUM(E26:J26)</f>
        <v>0</v>
      </c>
      <c r="L26" s="264"/>
      <c r="M26" s="428"/>
      <c r="N26" s="4"/>
    </row>
    <row r="27" spans="1:14" s="1" customFormat="1" ht="14.4" customHeight="1" x14ac:dyDescent="0.35">
      <c r="A27" s="276" t="s">
        <v>195</v>
      </c>
      <c r="B27" s="4">
        <f>Rates!D11</f>
        <v>5000</v>
      </c>
      <c r="C27" s="19">
        <v>63</v>
      </c>
      <c r="D27" s="4"/>
      <c r="E27" s="264"/>
      <c r="F27" s="264"/>
      <c r="G27" s="264"/>
      <c r="H27" s="264"/>
      <c r="I27" s="264"/>
      <c r="J27" s="264"/>
      <c r="K27" s="264">
        <f t="shared" si="0"/>
        <v>0</v>
      </c>
      <c r="L27" s="264"/>
      <c r="M27" s="428"/>
      <c r="N27" s="4"/>
    </row>
    <row r="28" spans="1:14" s="1" customFormat="1" ht="14.4" customHeight="1" x14ac:dyDescent="0.5">
      <c r="A28" s="276" t="s">
        <v>195</v>
      </c>
      <c r="B28" s="4">
        <f>Rates!D12</f>
        <v>10000</v>
      </c>
      <c r="C28" s="19">
        <v>4</v>
      </c>
      <c r="D28" s="4"/>
      <c r="E28" s="264"/>
      <c r="F28" s="264"/>
      <c r="G28" s="264"/>
      <c r="H28" s="264"/>
      <c r="I28" s="264"/>
      <c r="J28" s="264"/>
      <c r="K28" s="264">
        <f t="shared" si="0"/>
        <v>0</v>
      </c>
      <c r="L28" s="264"/>
      <c r="M28" s="428"/>
      <c r="N28" s="37"/>
    </row>
    <row r="29" spans="1:14" s="1" customFormat="1" ht="14.4" customHeight="1" x14ac:dyDescent="0.35">
      <c r="A29" s="276" t="s">
        <v>195</v>
      </c>
      <c r="B29" s="4">
        <f>Rates!D13</f>
        <v>20000</v>
      </c>
      <c r="C29" s="19">
        <v>297</v>
      </c>
      <c r="D29" s="4"/>
      <c r="E29" s="264"/>
      <c r="F29" s="264"/>
      <c r="G29" s="264"/>
      <c r="H29" s="264"/>
      <c r="I29" s="264"/>
      <c r="J29" s="264"/>
      <c r="K29" s="264">
        <f t="shared" si="0"/>
        <v>0</v>
      </c>
      <c r="L29" s="264"/>
      <c r="M29" s="428"/>
      <c r="N29" s="4"/>
    </row>
    <row r="30" spans="1:14" s="1" customFormat="1" ht="14.4" customHeight="1" x14ac:dyDescent="0.5">
      <c r="A30" s="282" t="s">
        <v>196</v>
      </c>
      <c r="B30" s="4">
        <f>Rates!D14</f>
        <v>40000</v>
      </c>
      <c r="C30" s="86"/>
      <c r="D30" s="37"/>
      <c r="E30" s="37"/>
      <c r="F30" s="37"/>
      <c r="G30" s="37"/>
      <c r="H30" s="37"/>
      <c r="I30" s="37"/>
      <c r="J30" s="13">
        <f>D30-E30-F30-G30-H30-I30</f>
        <v>0</v>
      </c>
      <c r="K30" s="339">
        <f t="shared" si="0"/>
        <v>0</v>
      </c>
      <c r="L30" s="265"/>
      <c r="M30" s="429"/>
    </row>
    <row r="31" spans="1:14" s="1" customFormat="1" ht="14.4" customHeight="1" x14ac:dyDescent="0.35">
      <c r="A31" s="276"/>
      <c r="B31" s="4"/>
      <c r="C31" s="19">
        <f t="shared" ref="C31:K31" si="1">SUM(C25:C30)</f>
        <v>50359</v>
      </c>
      <c r="D31" s="4">
        <f t="shared" si="1"/>
        <v>0</v>
      </c>
      <c r="E31" s="4">
        <f t="shared" si="1"/>
        <v>0</v>
      </c>
      <c r="F31" s="4">
        <f t="shared" si="1"/>
        <v>0</v>
      </c>
      <c r="G31" s="4">
        <f t="shared" si="1"/>
        <v>0</v>
      </c>
      <c r="H31" s="4">
        <f t="shared" si="1"/>
        <v>0</v>
      </c>
      <c r="I31" s="4">
        <f t="shared" si="1"/>
        <v>0</v>
      </c>
      <c r="J31" s="4">
        <f t="shared" si="1"/>
        <v>0</v>
      </c>
      <c r="K31" s="4">
        <f t="shared" si="1"/>
        <v>0</v>
      </c>
      <c r="L31" s="4"/>
      <c r="M31" s="9"/>
      <c r="N31" s="91"/>
    </row>
    <row r="32" spans="1:14" s="1" customFormat="1" ht="14.4" customHeight="1" x14ac:dyDescent="0.5">
      <c r="A32" s="245"/>
      <c r="B32" s="4"/>
      <c r="C32" s="90"/>
      <c r="D32" s="34"/>
      <c r="E32" s="85"/>
      <c r="F32" s="85"/>
      <c r="G32" s="41"/>
      <c r="I32" s="14"/>
      <c r="J32" s="228"/>
      <c r="K32" s="87"/>
      <c r="L32" s="91"/>
      <c r="M32" s="430"/>
      <c r="N32" s="91"/>
    </row>
    <row r="33" spans="1:13" s="1" customFormat="1" ht="14.4" customHeight="1" x14ac:dyDescent="0.35">
      <c r="A33" s="273" t="s">
        <v>210</v>
      </c>
      <c r="D33" s="456" t="s">
        <v>204</v>
      </c>
      <c r="E33" s="456"/>
      <c r="F33" s="117"/>
      <c r="G33" s="117"/>
      <c r="I33" s="14"/>
      <c r="J33" s="223"/>
      <c r="K33" s="4"/>
      <c r="M33" s="9"/>
    </row>
    <row r="34" spans="1:13" s="1" customFormat="1" ht="14.4" customHeight="1" x14ac:dyDescent="0.35">
      <c r="A34" s="273"/>
      <c r="D34" s="262"/>
      <c r="E34" s="262"/>
      <c r="F34" s="117"/>
      <c r="G34" s="117"/>
      <c r="I34" s="14"/>
      <c r="J34" s="223"/>
      <c r="K34" s="4"/>
      <c r="M34" s="9"/>
    </row>
    <row r="35" spans="1:13" s="1" customFormat="1" ht="14.4" customHeight="1" x14ac:dyDescent="0.35">
      <c r="A35" s="245"/>
      <c r="B35" s="97" t="s">
        <v>49</v>
      </c>
      <c r="C35" s="83" t="s">
        <v>50</v>
      </c>
      <c r="D35" s="83" t="s">
        <v>51</v>
      </c>
      <c r="E35" s="455" t="s">
        <v>53</v>
      </c>
      <c r="F35" s="455"/>
      <c r="G35" s="102" t="s">
        <v>54</v>
      </c>
      <c r="H35" s="17"/>
      <c r="I35" s="14"/>
      <c r="J35" s="223"/>
      <c r="M35" s="430"/>
    </row>
    <row r="36" spans="1:13" s="1" customFormat="1" ht="14.4" customHeight="1" x14ac:dyDescent="0.35">
      <c r="A36" s="276" t="s">
        <v>194</v>
      </c>
      <c r="B36" s="4">
        <f>Rates!D9</f>
        <v>1000</v>
      </c>
      <c r="C36" s="19">
        <f>C31</f>
        <v>50359</v>
      </c>
      <c r="D36" s="19">
        <v>4055680</v>
      </c>
      <c r="E36" s="234">
        <f>Rates!H9</f>
        <v>24.34</v>
      </c>
      <c r="F36" s="43" t="s">
        <v>110</v>
      </c>
      <c r="G36" s="103">
        <f>ROUND(C36*E36,0)</f>
        <v>1225738</v>
      </c>
      <c r="H36" s="19"/>
      <c r="I36" s="14"/>
      <c r="J36" s="223"/>
      <c r="M36" s="430"/>
    </row>
    <row r="37" spans="1:13" s="1" customFormat="1" ht="14.4" customHeight="1" x14ac:dyDescent="0.35">
      <c r="A37" s="276" t="s">
        <v>195</v>
      </c>
      <c r="B37" s="4">
        <f>Rates!D10</f>
        <v>4000</v>
      </c>
      <c r="C37" s="19"/>
      <c r="D37" s="19">
        <v>70502770</v>
      </c>
      <c r="E37" s="235">
        <f>Rates!H10</f>
        <v>1.813E-2</v>
      </c>
      <c r="F37" s="43" t="s">
        <v>192</v>
      </c>
      <c r="G37" s="103">
        <f>ROUND(D37*E37,0)</f>
        <v>1278215</v>
      </c>
      <c r="H37" s="19"/>
      <c r="I37" s="14"/>
      <c r="J37" s="223"/>
      <c r="M37" s="430"/>
    </row>
    <row r="38" spans="1:13" s="1" customFormat="1" ht="14.4" customHeight="1" x14ac:dyDescent="0.35">
      <c r="A38" s="276" t="s">
        <v>195</v>
      </c>
      <c r="B38" s="4">
        <f>Rates!D11</f>
        <v>5000</v>
      </c>
      <c r="C38" s="19"/>
      <c r="D38" s="19">
        <v>31546310</v>
      </c>
      <c r="E38" s="235">
        <f>Rates!H11</f>
        <v>1.562E-2</v>
      </c>
      <c r="F38" s="43" t="s">
        <v>192</v>
      </c>
      <c r="G38" s="103">
        <f t="shared" ref="G38:G41" si="2">ROUND(D38*E38,0)</f>
        <v>492753</v>
      </c>
      <c r="H38" s="19"/>
      <c r="I38" s="14"/>
      <c r="J38" s="223"/>
      <c r="M38" s="430"/>
    </row>
    <row r="39" spans="1:13" s="1" customFormat="1" ht="14.4" customHeight="1" x14ac:dyDescent="0.35">
      <c r="A39" s="276" t="s">
        <v>195</v>
      </c>
      <c r="B39" s="4">
        <f>Rates!D12</f>
        <v>10000</v>
      </c>
      <c r="C39" s="19"/>
      <c r="D39" s="19">
        <v>13189270</v>
      </c>
      <c r="E39" s="235">
        <f>Rates!H12</f>
        <v>1.3990000000000001E-2</v>
      </c>
      <c r="F39" s="43" t="s">
        <v>192</v>
      </c>
      <c r="G39" s="103">
        <f t="shared" si="2"/>
        <v>184518</v>
      </c>
      <c r="H39" s="19"/>
      <c r="I39" s="14"/>
      <c r="J39" s="223"/>
      <c r="M39" s="430"/>
    </row>
    <row r="40" spans="1:13" s="1" customFormat="1" ht="14.4" customHeight="1" x14ac:dyDescent="0.35">
      <c r="A40" s="276" t="s">
        <v>195</v>
      </c>
      <c r="B40" s="4">
        <f>Rates!D13</f>
        <v>20000</v>
      </c>
      <c r="C40" s="19"/>
      <c r="D40" s="19">
        <v>16169290</v>
      </c>
      <c r="E40" s="235">
        <f>Rates!H13</f>
        <v>9.9500000000000005E-3</v>
      </c>
      <c r="F40" s="43" t="s">
        <v>192</v>
      </c>
      <c r="G40" s="103">
        <f t="shared" si="2"/>
        <v>160884</v>
      </c>
      <c r="H40" s="19"/>
      <c r="I40" s="14"/>
      <c r="J40" s="223"/>
      <c r="M40" s="430"/>
    </row>
    <row r="41" spans="1:13" s="1" customFormat="1" ht="14.4" customHeight="1" x14ac:dyDescent="0.5">
      <c r="A41" s="282" t="s">
        <v>196</v>
      </c>
      <c r="B41" s="4">
        <f>Rates!D14</f>
        <v>40000</v>
      </c>
      <c r="C41" s="86"/>
      <c r="D41" s="86">
        <f>J31</f>
        <v>0</v>
      </c>
      <c r="E41" s="235">
        <f>Rates!H14</f>
        <v>7.9399999999999991E-3</v>
      </c>
      <c r="F41" s="43" t="s">
        <v>192</v>
      </c>
      <c r="G41" s="104">
        <f t="shared" si="2"/>
        <v>0</v>
      </c>
      <c r="H41" s="86"/>
      <c r="I41" s="14"/>
      <c r="J41" s="223"/>
      <c r="M41" s="430"/>
    </row>
    <row r="42" spans="1:13" s="1" customFormat="1" ht="14.4" customHeight="1" thickBot="1" x14ac:dyDescent="0.4">
      <c r="A42" s="307"/>
      <c r="B42" s="284"/>
      <c r="C42" s="308"/>
      <c r="D42" s="310">
        <f>SUM(D36:D41)</f>
        <v>135463320</v>
      </c>
      <c r="E42" s="308"/>
      <c r="F42" s="308"/>
      <c r="G42" s="305">
        <f>SUM(G36:G41)</f>
        <v>3342108</v>
      </c>
      <c r="H42" s="308"/>
      <c r="I42" s="298"/>
      <c r="J42" s="302"/>
      <c r="K42" s="286"/>
      <c r="L42" s="286"/>
      <c r="M42" s="431"/>
    </row>
    <row r="43" spans="1:13" s="1" customFormat="1" ht="14.4" customHeight="1" thickBot="1" x14ac:dyDescent="0.4">
      <c r="A43" s="92"/>
      <c r="B43" s="4"/>
      <c r="C43" s="19"/>
      <c r="D43" s="257"/>
      <c r="E43" s="19"/>
      <c r="F43" s="19"/>
      <c r="G43" s="103"/>
      <c r="H43" s="19"/>
      <c r="I43" s="14"/>
      <c r="J43" s="223"/>
    </row>
    <row r="44" spans="1:13" s="1" customFormat="1" ht="16" x14ac:dyDescent="0.5">
      <c r="A44" s="268" t="s">
        <v>211</v>
      </c>
      <c r="B44" s="269"/>
      <c r="C44" s="270"/>
      <c r="D44" s="457" t="s">
        <v>205</v>
      </c>
      <c r="E44" s="457"/>
      <c r="F44" s="271"/>
      <c r="G44" s="288"/>
      <c r="H44" s="291"/>
      <c r="I44" s="295"/>
      <c r="J44" s="300"/>
      <c r="K44" s="303"/>
      <c r="L44" s="306"/>
      <c r="M44" s="289"/>
    </row>
    <row r="45" spans="1:13" s="1" customFormat="1" ht="14.4" customHeight="1" x14ac:dyDescent="0.35">
      <c r="A45" s="273"/>
      <c r="B45" s="4"/>
      <c r="C45" s="90"/>
      <c r="D45" s="262"/>
      <c r="E45" s="92" t="s">
        <v>194</v>
      </c>
      <c r="F45" s="92" t="s">
        <v>195</v>
      </c>
      <c r="G45" s="92" t="s">
        <v>195</v>
      </c>
      <c r="H45" s="92" t="s">
        <v>195</v>
      </c>
      <c r="I45" s="92" t="s">
        <v>196</v>
      </c>
      <c r="J45" s="92"/>
      <c r="K45" s="92"/>
      <c r="L45" s="92"/>
      <c r="M45" s="274"/>
    </row>
    <row r="46" spans="1:13" s="1" customFormat="1" ht="14.4" customHeight="1" x14ac:dyDescent="0.35">
      <c r="A46" s="245"/>
      <c r="B46" s="97" t="s">
        <v>49</v>
      </c>
      <c r="C46" s="83" t="s">
        <v>50</v>
      </c>
      <c r="D46" s="83" t="s">
        <v>51</v>
      </c>
      <c r="E46" s="263">
        <f>B47</f>
        <v>5000</v>
      </c>
      <c r="F46" s="263">
        <f>B48</f>
        <v>5000</v>
      </c>
      <c r="G46" s="263">
        <f>B49</f>
        <v>10000</v>
      </c>
      <c r="H46" s="263">
        <f>B50</f>
        <v>20000</v>
      </c>
      <c r="I46" s="263">
        <f>B51</f>
        <v>40000</v>
      </c>
      <c r="J46" s="263" t="s">
        <v>12</v>
      </c>
      <c r="K46" s="263"/>
      <c r="L46" s="263"/>
      <c r="M46" s="275"/>
    </row>
    <row r="47" spans="1:13" s="1" customFormat="1" ht="14.4" customHeight="1" x14ac:dyDescent="0.35">
      <c r="A47" s="276" t="s">
        <v>194</v>
      </c>
      <c r="B47" s="4">
        <f>Rates!D17</f>
        <v>5000</v>
      </c>
      <c r="C47" s="19"/>
      <c r="D47" s="4"/>
      <c r="E47" s="264">
        <f>D47</f>
        <v>0</v>
      </c>
      <c r="F47" s="264"/>
      <c r="G47" s="264"/>
      <c r="H47" s="264"/>
      <c r="I47" s="264"/>
      <c r="J47" s="264">
        <f>SUM(E47:I47)</f>
        <v>0</v>
      </c>
      <c r="K47" s="264"/>
      <c r="L47" s="264"/>
      <c r="M47" s="277"/>
    </row>
    <row r="48" spans="1:13" s="1" customFormat="1" ht="14.4" customHeight="1" x14ac:dyDescent="0.35">
      <c r="A48" s="276" t="s">
        <v>195</v>
      </c>
      <c r="B48" s="4">
        <f>Rates!D18</f>
        <v>5000</v>
      </c>
      <c r="C48" s="19"/>
      <c r="D48" s="4"/>
      <c r="E48" s="264">
        <f>C48*E46</f>
        <v>0</v>
      </c>
      <c r="F48" s="264">
        <f>D48-E48</f>
        <v>0</v>
      </c>
      <c r="G48" s="264"/>
      <c r="H48" s="264"/>
      <c r="I48" s="264"/>
      <c r="J48" s="264">
        <f t="shared" ref="J48:J51" si="3">SUM(E48:I48)</f>
        <v>0</v>
      </c>
      <c r="K48" s="264"/>
      <c r="L48" s="264"/>
      <c r="M48" s="277"/>
    </row>
    <row r="49" spans="1:13" s="1" customFormat="1" ht="14.4" customHeight="1" x14ac:dyDescent="0.35">
      <c r="A49" s="276" t="s">
        <v>195</v>
      </c>
      <c r="B49" s="4">
        <f>Rates!D19</f>
        <v>10000</v>
      </c>
      <c r="C49" s="19"/>
      <c r="D49" s="4"/>
      <c r="E49" s="264">
        <f>C49*E46</f>
        <v>0</v>
      </c>
      <c r="F49" s="264">
        <f>C49*F46</f>
        <v>0</v>
      </c>
      <c r="G49" s="264">
        <f>D49-E49-F49</f>
        <v>0</v>
      </c>
      <c r="H49" s="264"/>
      <c r="I49" s="264"/>
      <c r="J49" s="264">
        <f t="shared" si="3"/>
        <v>0</v>
      </c>
      <c r="K49" s="264"/>
      <c r="L49" s="264"/>
      <c r="M49" s="277"/>
    </row>
    <row r="50" spans="1:13" s="1" customFormat="1" ht="14.4" customHeight="1" x14ac:dyDescent="0.35">
      <c r="A50" s="276" t="s">
        <v>195</v>
      </c>
      <c r="B50" s="4">
        <f>Rates!D20</f>
        <v>20000</v>
      </c>
      <c r="C50" s="19"/>
      <c r="D50" s="4"/>
      <c r="E50" s="264">
        <f>C50*E46</f>
        <v>0</v>
      </c>
      <c r="F50" s="264">
        <f>C50*F46</f>
        <v>0</v>
      </c>
      <c r="G50" s="264">
        <f>C50*G46</f>
        <v>0</v>
      </c>
      <c r="H50" s="264">
        <f>D50-E50-F50-G50</f>
        <v>0</v>
      </c>
      <c r="I50" s="264"/>
      <c r="J50" s="264">
        <f t="shared" si="3"/>
        <v>0</v>
      </c>
      <c r="K50" s="264"/>
      <c r="L50" s="264"/>
      <c r="M50" s="277"/>
    </row>
    <row r="51" spans="1:13" s="1" customFormat="1" ht="14.4" customHeight="1" x14ac:dyDescent="0.5">
      <c r="A51" s="276" t="s">
        <v>196</v>
      </c>
      <c r="B51" s="4">
        <f>Rates!D21</f>
        <v>40000</v>
      </c>
      <c r="C51" s="86"/>
      <c r="D51" s="37"/>
      <c r="E51" s="37">
        <f>C51*E46</f>
        <v>0</v>
      </c>
      <c r="F51" s="37">
        <f>C51*F46</f>
        <v>0</v>
      </c>
      <c r="G51" s="37">
        <f>C51*G46</f>
        <v>0</v>
      </c>
      <c r="H51" s="37">
        <f>C51*H46</f>
        <v>0</v>
      </c>
      <c r="I51" s="37">
        <f>D51-E51-F51-G51-H51</f>
        <v>0</v>
      </c>
      <c r="J51" s="339">
        <f t="shared" si="3"/>
        <v>0</v>
      </c>
      <c r="K51" s="37"/>
      <c r="L51" s="265"/>
      <c r="M51" s="278"/>
    </row>
    <row r="52" spans="1:13" s="1" customFormat="1" ht="14.4" customHeight="1" x14ac:dyDescent="0.35">
      <c r="A52" s="276"/>
      <c r="B52" s="4"/>
      <c r="C52" s="19">
        <f t="shared" ref="C52:J52" si="4">SUM(C47:C51)</f>
        <v>0</v>
      </c>
      <c r="D52" s="4">
        <f t="shared" si="4"/>
        <v>0</v>
      </c>
      <c r="E52" s="4">
        <f t="shared" si="4"/>
        <v>0</v>
      </c>
      <c r="F52" s="4">
        <f t="shared" si="4"/>
        <v>0</v>
      </c>
      <c r="G52" s="4">
        <f t="shared" si="4"/>
        <v>0</v>
      </c>
      <c r="H52" s="4">
        <f t="shared" si="4"/>
        <v>0</v>
      </c>
      <c r="I52" s="4">
        <f t="shared" si="4"/>
        <v>0</v>
      </c>
      <c r="J52" s="4">
        <f t="shared" si="4"/>
        <v>0</v>
      </c>
      <c r="K52" s="4"/>
      <c r="L52" s="4"/>
      <c r="M52" s="277"/>
    </row>
    <row r="53" spans="1:13" s="1" customFormat="1" ht="14.4" customHeight="1" x14ac:dyDescent="0.35">
      <c r="A53" s="276"/>
      <c r="B53" s="4"/>
      <c r="C53" s="19"/>
      <c r="D53" s="19"/>
      <c r="E53" s="19"/>
      <c r="F53" s="19"/>
      <c r="G53" s="103"/>
      <c r="H53" s="19"/>
      <c r="I53" s="14"/>
      <c r="J53" s="223"/>
      <c r="M53" s="274"/>
    </row>
    <row r="54" spans="1:13" s="1" customFormat="1" ht="14.4" customHeight="1" x14ac:dyDescent="0.35">
      <c r="A54" s="273" t="s">
        <v>210</v>
      </c>
      <c r="C54" s="117"/>
      <c r="D54" s="456" t="s">
        <v>205</v>
      </c>
      <c r="E54" s="456"/>
      <c r="F54" s="117"/>
      <c r="G54" s="117"/>
      <c r="H54" s="84"/>
      <c r="I54" s="14"/>
      <c r="J54" s="223"/>
      <c r="M54" s="274"/>
    </row>
    <row r="55" spans="1:13" s="1" customFormat="1" ht="14.4" customHeight="1" x14ac:dyDescent="0.35">
      <c r="A55" s="245"/>
      <c r="B55" s="97" t="s">
        <v>49</v>
      </c>
      <c r="C55" s="83" t="s">
        <v>50</v>
      </c>
      <c r="D55" s="83" t="s">
        <v>51</v>
      </c>
      <c r="E55" s="455" t="s">
        <v>53</v>
      </c>
      <c r="F55" s="455"/>
      <c r="G55" s="102" t="s">
        <v>54</v>
      </c>
      <c r="H55" s="84"/>
      <c r="I55" s="14"/>
      <c r="J55" s="223"/>
      <c r="M55" s="274"/>
    </row>
    <row r="56" spans="1:13" s="1" customFormat="1" ht="14.4" customHeight="1" x14ac:dyDescent="0.35">
      <c r="A56" s="276" t="s">
        <v>194</v>
      </c>
      <c r="B56" s="4">
        <f>Rates!D17</f>
        <v>5000</v>
      </c>
      <c r="C56" s="19">
        <f>C52</f>
        <v>0</v>
      </c>
      <c r="D56" s="19">
        <f>E52</f>
        <v>0</v>
      </c>
      <c r="E56" s="234">
        <f>Rates!H17</f>
        <v>96.9</v>
      </c>
      <c r="F56" s="43" t="s">
        <v>110</v>
      </c>
      <c r="G56" s="103">
        <f>ROUND(C56*E56,0)</f>
        <v>0</v>
      </c>
      <c r="I56" s="14"/>
      <c r="J56" s="223"/>
      <c r="M56" s="274"/>
    </row>
    <row r="57" spans="1:13" s="1" customFormat="1" ht="14.4" customHeight="1" x14ac:dyDescent="0.35">
      <c r="A57" s="276" t="s">
        <v>195</v>
      </c>
      <c r="B57" s="4">
        <f>Rates!D18</f>
        <v>5000</v>
      </c>
      <c r="C57" s="19"/>
      <c r="D57" s="19">
        <f>F52</f>
        <v>0</v>
      </c>
      <c r="E57" s="235">
        <f>Rates!H18</f>
        <v>1.562E-2</v>
      </c>
      <c r="F57" s="43" t="s">
        <v>192</v>
      </c>
      <c r="G57" s="103">
        <f t="shared" ref="G57:G60" si="5">ROUND(D57*E57,0)</f>
        <v>0</v>
      </c>
      <c r="I57" s="14"/>
      <c r="J57" s="223"/>
      <c r="M57" s="274"/>
    </row>
    <row r="58" spans="1:13" s="1" customFormat="1" ht="14.4" customHeight="1" x14ac:dyDescent="0.35">
      <c r="A58" s="276" t="s">
        <v>195</v>
      </c>
      <c r="B58" s="4">
        <f>Rates!D19</f>
        <v>10000</v>
      </c>
      <c r="C58" s="19"/>
      <c r="D58" s="19">
        <f>G52</f>
        <v>0</v>
      </c>
      <c r="E58" s="235">
        <f>Rates!H19</f>
        <v>1.3990000000000001E-2</v>
      </c>
      <c r="F58" s="43" t="s">
        <v>192</v>
      </c>
      <c r="G58" s="103">
        <f t="shared" si="5"/>
        <v>0</v>
      </c>
      <c r="I58" s="14"/>
      <c r="J58" s="223"/>
      <c r="M58" s="274"/>
    </row>
    <row r="59" spans="1:13" s="1" customFormat="1" ht="14.4" customHeight="1" x14ac:dyDescent="0.35">
      <c r="A59" s="276" t="s">
        <v>195</v>
      </c>
      <c r="B59" s="4">
        <f>Rates!D20</f>
        <v>20000</v>
      </c>
      <c r="C59" s="19"/>
      <c r="D59" s="19">
        <f>H52</f>
        <v>0</v>
      </c>
      <c r="E59" s="235">
        <f>Rates!H20</f>
        <v>9.9500000000000005E-3</v>
      </c>
      <c r="F59" s="43" t="s">
        <v>192</v>
      </c>
      <c r="G59" s="103">
        <f t="shared" si="5"/>
        <v>0</v>
      </c>
      <c r="I59" s="14"/>
      <c r="J59" s="223"/>
      <c r="M59" s="274"/>
    </row>
    <row r="60" spans="1:13" s="1" customFormat="1" ht="14.4" customHeight="1" x14ac:dyDescent="0.5">
      <c r="A60" s="282" t="s">
        <v>196</v>
      </c>
      <c r="B60" s="4">
        <f>Rates!D21</f>
        <v>40000</v>
      </c>
      <c r="C60" s="86"/>
      <c r="D60" s="86">
        <f>I52</f>
        <v>0</v>
      </c>
      <c r="E60" s="235">
        <f>Rates!H21</f>
        <v>7.9399999999999991E-3</v>
      </c>
      <c r="F60" s="43" t="s">
        <v>192</v>
      </c>
      <c r="G60" s="104">
        <f t="shared" si="5"/>
        <v>0</v>
      </c>
      <c r="I60" s="14"/>
      <c r="J60" s="223"/>
      <c r="M60" s="274"/>
    </row>
    <row r="61" spans="1:13" s="1" customFormat="1" ht="14.4" customHeight="1" thickBot="1" x14ac:dyDescent="0.4">
      <c r="A61" s="307"/>
      <c r="B61" s="284"/>
      <c r="C61" s="308"/>
      <c r="D61" s="284">
        <f>SUM(D56:D60)</f>
        <v>0</v>
      </c>
      <c r="E61" s="308"/>
      <c r="F61" s="308"/>
      <c r="G61" s="305">
        <f>G56+G60</f>
        <v>0</v>
      </c>
      <c r="H61" s="286"/>
      <c r="I61" s="298"/>
      <c r="J61" s="302"/>
      <c r="K61" s="286"/>
      <c r="L61" s="286"/>
      <c r="M61" s="290"/>
    </row>
    <row r="62" spans="1:13" s="1" customFormat="1" ht="14.4" customHeight="1" thickBot="1" x14ac:dyDescent="0.4">
      <c r="A62" s="92"/>
      <c r="B62" s="4"/>
      <c r="C62" s="19"/>
      <c r="D62" s="4"/>
      <c r="E62" s="19"/>
      <c r="F62" s="19"/>
      <c r="G62" s="103"/>
      <c r="I62" s="14"/>
      <c r="J62" s="223"/>
    </row>
    <row r="63" spans="1:13" s="1" customFormat="1" ht="14.4" customHeight="1" x14ac:dyDescent="0.5">
      <c r="A63" s="268" t="s">
        <v>211</v>
      </c>
      <c r="B63" s="269"/>
      <c r="C63" s="270"/>
      <c r="D63" s="457" t="s">
        <v>116</v>
      </c>
      <c r="E63" s="457"/>
      <c r="F63" s="271"/>
      <c r="G63" s="288"/>
      <c r="H63" s="291"/>
      <c r="I63" s="295"/>
      <c r="J63" s="300"/>
      <c r="K63" s="303"/>
      <c r="L63" s="304"/>
    </row>
    <row r="64" spans="1:13" s="1" customFormat="1" ht="14.4" customHeight="1" x14ac:dyDescent="0.35">
      <c r="A64" s="273"/>
      <c r="B64" s="4"/>
      <c r="C64" s="90"/>
      <c r="D64" s="262"/>
      <c r="E64" s="92" t="s">
        <v>194</v>
      </c>
      <c r="F64" s="92" t="s">
        <v>195</v>
      </c>
      <c r="G64" s="92" t="s">
        <v>195</v>
      </c>
      <c r="H64" s="92" t="s">
        <v>196</v>
      </c>
      <c r="I64" s="92"/>
      <c r="J64" s="92"/>
      <c r="K64" s="92"/>
      <c r="L64" s="274"/>
    </row>
    <row r="65" spans="1:13" s="1" customFormat="1" ht="14.4" customHeight="1" x14ac:dyDescent="0.35">
      <c r="A65" s="245"/>
      <c r="B65" s="97" t="s">
        <v>49</v>
      </c>
      <c r="C65" s="83" t="s">
        <v>50</v>
      </c>
      <c r="D65" s="83" t="s">
        <v>51</v>
      </c>
      <c r="E65" s="263">
        <f>B66</f>
        <v>10000</v>
      </c>
      <c r="F65" s="263">
        <f>B67</f>
        <v>10000</v>
      </c>
      <c r="G65" s="263">
        <f>B68</f>
        <v>20000</v>
      </c>
      <c r="H65" s="263">
        <f>B69</f>
        <v>40000</v>
      </c>
      <c r="I65" s="263" t="s">
        <v>12</v>
      </c>
      <c r="J65" s="263"/>
      <c r="K65" s="263"/>
      <c r="L65" s="275"/>
    </row>
    <row r="66" spans="1:13" s="1" customFormat="1" ht="14.4" customHeight="1" x14ac:dyDescent="0.35">
      <c r="A66" s="276" t="s">
        <v>194</v>
      </c>
      <c r="B66" s="4">
        <f>Rates!D24</f>
        <v>10000</v>
      </c>
      <c r="C66" s="19">
        <v>87</v>
      </c>
      <c r="D66" s="4"/>
      <c r="E66" s="264"/>
      <c r="F66" s="264"/>
      <c r="G66" s="264"/>
      <c r="H66" s="264"/>
      <c r="I66" s="264"/>
      <c r="J66" s="264"/>
      <c r="K66" s="264"/>
      <c r="L66" s="277"/>
    </row>
    <row r="67" spans="1:13" s="1" customFormat="1" ht="14.4" customHeight="1" x14ac:dyDescent="0.35">
      <c r="A67" s="276" t="s">
        <v>195</v>
      </c>
      <c r="B67" s="4">
        <f>Rates!D25</f>
        <v>10000</v>
      </c>
      <c r="C67" s="19">
        <v>12</v>
      </c>
      <c r="D67" s="4"/>
      <c r="E67" s="264"/>
      <c r="F67" s="264"/>
      <c r="G67" s="264"/>
      <c r="H67" s="264"/>
      <c r="I67" s="264"/>
      <c r="J67" s="264"/>
      <c r="K67" s="264"/>
      <c r="L67" s="277"/>
    </row>
    <row r="68" spans="1:13" s="1" customFormat="1" ht="14.4" customHeight="1" x14ac:dyDescent="0.35">
      <c r="A68" s="276" t="s">
        <v>195</v>
      </c>
      <c r="B68" s="4">
        <f>Rates!D26</f>
        <v>20000</v>
      </c>
      <c r="C68" s="19"/>
      <c r="D68" s="4"/>
      <c r="E68" s="264"/>
      <c r="F68" s="264"/>
      <c r="G68" s="264"/>
      <c r="H68" s="264"/>
      <c r="I68" s="264"/>
      <c r="J68" s="264"/>
      <c r="K68" s="264"/>
      <c r="L68" s="277"/>
    </row>
    <row r="69" spans="1:13" s="1" customFormat="1" ht="14.4" customHeight="1" x14ac:dyDescent="0.5">
      <c r="A69" s="276" t="s">
        <v>196</v>
      </c>
      <c r="B69" s="4">
        <f>Rates!D27</f>
        <v>40000</v>
      </c>
      <c r="C69" s="86"/>
      <c r="D69" s="37"/>
      <c r="E69" s="266"/>
      <c r="F69" s="266"/>
      <c r="G69" s="266"/>
      <c r="H69" s="266"/>
      <c r="I69" s="266"/>
      <c r="J69" s="266"/>
      <c r="K69" s="266"/>
      <c r="L69" s="278"/>
    </row>
    <row r="70" spans="1:13" s="1" customFormat="1" ht="14.4" customHeight="1" x14ac:dyDescent="0.35">
      <c r="A70" s="276"/>
      <c r="B70" s="4"/>
      <c r="C70" s="19">
        <f>SUM(C66:C69)</f>
        <v>99</v>
      </c>
      <c r="D70" s="4">
        <f>SUM(D66:D69)</f>
        <v>0</v>
      </c>
      <c r="E70" s="4">
        <f>SUM(E66:E69)</f>
        <v>0</v>
      </c>
      <c r="F70" s="4">
        <f>SUM(F66:F69)</f>
        <v>0</v>
      </c>
      <c r="G70" s="4">
        <f>SUM(G66:G69)</f>
        <v>0</v>
      </c>
      <c r="H70" s="4">
        <f t="shared" ref="H70:I70" si="6">SUM(H66:H69)</f>
        <v>0</v>
      </c>
      <c r="I70" s="4">
        <f t="shared" si="6"/>
        <v>0</v>
      </c>
      <c r="J70" s="4"/>
      <c r="K70" s="4"/>
      <c r="L70" s="277"/>
    </row>
    <row r="71" spans="1:13" s="1" customFormat="1" ht="14.4" customHeight="1" x14ac:dyDescent="0.35">
      <c r="A71" s="276"/>
      <c r="B71" s="4"/>
      <c r="C71" s="19"/>
      <c r="D71" s="4"/>
      <c r="E71" s="4"/>
      <c r="F71" s="4"/>
      <c r="G71" s="4"/>
      <c r="H71" s="4"/>
      <c r="I71" s="4"/>
      <c r="J71" s="4"/>
      <c r="K71" s="4"/>
      <c r="L71" s="277"/>
      <c r="M71" s="4"/>
    </row>
    <row r="72" spans="1:13" s="1" customFormat="1" ht="14.4" customHeight="1" x14ac:dyDescent="0.35">
      <c r="A72" s="273" t="s">
        <v>210</v>
      </c>
      <c r="C72" s="117"/>
      <c r="D72" s="456" t="s">
        <v>116</v>
      </c>
      <c r="E72" s="456"/>
      <c r="F72" s="117"/>
      <c r="G72" s="117"/>
      <c r="I72" s="14"/>
      <c r="J72" s="223"/>
      <c r="L72" s="274"/>
    </row>
    <row r="73" spans="1:13" s="1" customFormat="1" ht="14.4" customHeight="1" x14ac:dyDescent="0.35">
      <c r="A73" s="245"/>
      <c r="B73" s="97" t="s">
        <v>49</v>
      </c>
      <c r="C73" s="83" t="s">
        <v>50</v>
      </c>
      <c r="D73" s="83" t="s">
        <v>51</v>
      </c>
      <c r="E73" s="455" t="s">
        <v>53</v>
      </c>
      <c r="F73" s="455"/>
      <c r="G73" s="102" t="s">
        <v>54</v>
      </c>
      <c r="I73" s="14"/>
      <c r="J73" s="223"/>
      <c r="L73" s="274"/>
    </row>
    <row r="74" spans="1:13" s="1" customFormat="1" ht="14.4" customHeight="1" x14ac:dyDescent="0.35">
      <c r="A74" s="276" t="s">
        <v>194</v>
      </c>
      <c r="B74" s="4">
        <f>Rates!D24</f>
        <v>10000</v>
      </c>
      <c r="C74" s="85">
        <f>C70</f>
        <v>99</v>
      </c>
      <c r="D74" s="85">
        <v>73900</v>
      </c>
      <c r="E74" s="234">
        <f>Rates!H24</f>
        <v>175</v>
      </c>
      <c r="F74" s="43" t="s">
        <v>110</v>
      </c>
      <c r="G74" s="103">
        <f>ROUND(C74*E74,0)</f>
        <v>17325</v>
      </c>
      <c r="I74" s="14"/>
      <c r="J74" s="223"/>
      <c r="L74" s="274"/>
    </row>
    <row r="75" spans="1:13" s="1" customFormat="1" ht="14.4" customHeight="1" x14ac:dyDescent="0.35">
      <c r="A75" s="276" t="s">
        <v>195</v>
      </c>
      <c r="B75" s="4">
        <f>Rates!D25</f>
        <v>10000</v>
      </c>
      <c r="D75" s="85">
        <v>36130</v>
      </c>
      <c r="E75" s="235">
        <f>Rates!H25</f>
        <v>1.3990000000000001E-2</v>
      </c>
      <c r="F75" s="43" t="s">
        <v>192</v>
      </c>
      <c r="G75" s="103">
        <f t="shared" ref="G75:G77" si="7">ROUND(D75*E75,0)</f>
        <v>505</v>
      </c>
      <c r="I75" s="14"/>
      <c r="J75" s="223"/>
      <c r="L75" s="274"/>
    </row>
    <row r="76" spans="1:13" s="1" customFormat="1" ht="14.4" customHeight="1" x14ac:dyDescent="0.35">
      <c r="A76" s="276" t="s">
        <v>195</v>
      </c>
      <c r="B76" s="4">
        <f>Rates!D26</f>
        <v>20000</v>
      </c>
      <c r="D76" s="85">
        <f>G70</f>
        <v>0</v>
      </c>
      <c r="E76" s="235">
        <f>Rates!H26</f>
        <v>9.9500000000000005E-3</v>
      </c>
      <c r="F76" s="43" t="s">
        <v>192</v>
      </c>
      <c r="G76" s="103">
        <f t="shared" si="7"/>
        <v>0</v>
      </c>
      <c r="I76" s="14"/>
      <c r="J76" s="223"/>
      <c r="L76" s="274"/>
    </row>
    <row r="77" spans="1:13" s="1" customFormat="1" ht="14.4" customHeight="1" x14ac:dyDescent="0.5">
      <c r="A77" s="282" t="s">
        <v>196</v>
      </c>
      <c r="B77" s="4">
        <f>Rates!D27</f>
        <v>40000</v>
      </c>
      <c r="C77" s="76"/>
      <c r="D77" s="267">
        <f>H70</f>
        <v>0</v>
      </c>
      <c r="E77" s="235">
        <f>Rates!H27</f>
        <v>7.9399999999999991E-3</v>
      </c>
      <c r="F77" s="43" t="s">
        <v>192</v>
      </c>
      <c r="G77" s="104">
        <f t="shared" si="7"/>
        <v>0</v>
      </c>
      <c r="I77" s="14"/>
      <c r="J77" s="223"/>
      <c r="L77" s="274"/>
    </row>
    <row r="78" spans="1:13" s="1" customFormat="1" ht="14.4" customHeight="1" thickBot="1" x14ac:dyDescent="0.4">
      <c r="A78" s="283"/>
      <c r="B78" s="284"/>
      <c r="C78" s="298"/>
      <c r="D78" s="284">
        <f>SUM(D74:D77)</f>
        <v>110030</v>
      </c>
      <c r="E78" s="286"/>
      <c r="F78" s="286"/>
      <c r="G78" s="305">
        <f>SUM(G74:G77)</f>
        <v>17830</v>
      </c>
      <c r="H78" s="286"/>
      <c r="I78" s="298"/>
      <c r="J78" s="302"/>
      <c r="K78" s="286"/>
      <c r="L78" s="290"/>
    </row>
    <row r="79" spans="1:13" s="1" customFormat="1" ht="14.4" customHeight="1" thickBot="1" x14ac:dyDescent="0.4">
      <c r="B79" s="4"/>
      <c r="C79" s="14"/>
      <c r="D79" s="4"/>
      <c r="G79" s="103"/>
      <c r="I79" s="14"/>
      <c r="J79" s="223"/>
    </row>
    <row r="80" spans="1:13" s="1" customFormat="1" ht="14.4" customHeight="1" x14ac:dyDescent="0.5">
      <c r="A80" s="268" t="s">
        <v>211</v>
      </c>
      <c r="B80" s="269"/>
      <c r="C80" s="270"/>
      <c r="D80" s="457" t="s">
        <v>117</v>
      </c>
      <c r="E80" s="457"/>
      <c r="F80" s="271"/>
      <c r="G80" s="288"/>
      <c r="H80" s="291"/>
      <c r="I80" s="295"/>
      <c r="J80" s="300"/>
      <c r="K80" s="301"/>
      <c r="L80" s="91"/>
    </row>
    <row r="81" spans="1:11" s="1" customFormat="1" ht="14.4" customHeight="1" x14ac:dyDescent="0.35">
      <c r="A81" s="273"/>
      <c r="B81" s="4"/>
      <c r="C81" s="90"/>
      <c r="D81" s="262"/>
      <c r="E81" s="92" t="s">
        <v>194</v>
      </c>
      <c r="F81" s="92" t="s">
        <v>195</v>
      </c>
      <c r="G81" s="92" t="s">
        <v>196</v>
      </c>
      <c r="H81" s="92"/>
      <c r="I81" s="92"/>
      <c r="J81" s="92"/>
      <c r="K81" s="274"/>
    </row>
    <row r="82" spans="1:11" s="1" customFormat="1" ht="14.4" customHeight="1" x14ac:dyDescent="0.35">
      <c r="A82" s="245"/>
      <c r="B82" s="97" t="s">
        <v>49</v>
      </c>
      <c r="C82" s="83" t="s">
        <v>50</v>
      </c>
      <c r="D82" s="83" t="s">
        <v>51</v>
      </c>
      <c r="E82" s="263">
        <f>B83</f>
        <v>30000</v>
      </c>
      <c r="F82" s="263">
        <f>B84</f>
        <v>10000</v>
      </c>
      <c r="G82" s="263">
        <f>B85</f>
        <v>40000</v>
      </c>
      <c r="H82" s="263" t="s">
        <v>12</v>
      </c>
      <c r="I82" s="263"/>
      <c r="J82" s="263"/>
      <c r="K82" s="275"/>
    </row>
    <row r="83" spans="1:11" s="1" customFormat="1" ht="14.4" customHeight="1" x14ac:dyDescent="0.35">
      <c r="A83" s="276" t="s">
        <v>194</v>
      </c>
      <c r="B83" s="4">
        <f>Rates!D30</f>
        <v>30000</v>
      </c>
      <c r="C83" s="19">
        <v>1</v>
      </c>
      <c r="D83" s="4"/>
      <c r="E83" s="264">
        <f>D83</f>
        <v>0</v>
      </c>
      <c r="F83" s="264"/>
      <c r="G83" s="264"/>
      <c r="H83" s="264">
        <f>SUM(E83:G83)</f>
        <v>0</v>
      </c>
      <c r="I83" s="264"/>
      <c r="J83" s="264"/>
      <c r="K83" s="277"/>
    </row>
    <row r="84" spans="1:11" s="1" customFormat="1" ht="14.4" customHeight="1" x14ac:dyDescent="0.35">
      <c r="A84" s="276" t="s">
        <v>195</v>
      </c>
      <c r="B84" s="4">
        <f>Rates!D31</f>
        <v>10000</v>
      </c>
      <c r="C84" s="19"/>
      <c r="D84" s="4"/>
      <c r="E84" s="264">
        <f>C84*E82</f>
        <v>0</v>
      </c>
      <c r="F84" s="264">
        <f>D84-E84</f>
        <v>0</v>
      </c>
      <c r="G84" s="264"/>
      <c r="H84" s="264">
        <f t="shared" ref="H84:H85" si="8">SUM(E84:G84)</f>
        <v>0</v>
      </c>
      <c r="I84" s="264"/>
      <c r="J84" s="264"/>
      <c r="K84" s="277"/>
    </row>
    <row r="85" spans="1:11" s="1" customFormat="1" ht="14.4" customHeight="1" x14ac:dyDescent="0.5">
      <c r="A85" s="276" t="s">
        <v>196</v>
      </c>
      <c r="B85" s="4">
        <f>Rates!D32</f>
        <v>40000</v>
      </c>
      <c r="C85" s="375"/>
      <c r="D85" s="37"/>
      <c r="E85" s="266">
        <f>C85*E82</f>
        <v>0</v>
      </c>
      <c r="F85" s="266">
        <f>C85*F82</f>
        <v>0</v>
      </c>
      <c r="G85" s="266">
        <f>D85-E85-F85</f>
        <v>0</v>
      </c>
      <c r="H85" s="266">
        <f t="shared" si="8"/>
        <v>0</v>
      </c>
      <c r="I85" s="266"/>
      <c r="J85" s="266"/>
      <c r="K85" s="278"/>
    </row>
    <row r="86" spans="1:11" s="1" customFormat="1" ht="14.4" customHeight="1" x14ac:dyDescent="0.35">
      <c r="A86" s="276"/>
      <c r="B86" s="4"/>
      <c r="C86" s="19">
        <f>SUM(C83:C85)</f>
        <v>1</v>
      </c>
      <c r="D86" s="19">
        <f>SUM(D83:D85)</f>
        <v>0</v>
      </c>
      <c r="E86" s="4">
        <f>SUM(E83:E85)</f>
        <v>0</v>
      </c>
      <c r="F86" s="4">
        <f>SUM(F83:F85)</f>
        <v>0</v>
      </c>
      <c r="G86" s="4">
        <f t="shared" ref="G86:H86" si="9">SUM(G83:G85)</f>
        <v>0</v>
      </c>
      <c r="H86" s="4">
        <f t="shared" si="9"/>
        <v>0</v>
      </c>
      <c r="I86" s="4"/>
      <c r="J86" s="4"/>
      <c r="K86" s="277"/>
    </row>
    <row r="87" spans="1:11" s="1" customFormat="1" ht="14.4" customHeight="1" x14ac:dyDescent="0.35">
      <c r="A87" s="245"/>
      <c r="B87" s="4"/>
      <c r="G87" s="41"/>
      <c r="I87" s="14"/>
      <c r="J87" s="223"/>
      <c r="K87" s="274"/>
    </row>
    <row r="88" spans="1:11" s="1" customFormat="1" ht="14.4" customHeight="1" x14ac:dyDescent="0.35">
      <c r="A88" s="273" t="s">
        <v>210</v>
      </c>
      <c r="B88" s="4"/>
      <c r="C88" s="90"/>
      <c r="D88" s="456" t="s">
        <v>117</v>
      </c>
      <c r="E88" s="456"/>
      <c r="F88" s="117"/>
      <c r="G88" s="117"/>
      <c r="I88" s="14"/>
      <c r="J88" s="223"/>
      <c r="K88" s="274"/>
    </row>
    <row r="89" spans="1:11" s="1" customFormat="1" ht="14.4" customHeight="1" x14ac:dyDescent="0.35">
      <c r="A89" s="245"/>
      <c r="B89" s="97" t="s">
        <v>49</v>
      </c>
      <c r="C89" s="83" t="s">
        <v>50</v>
      </c>
      <c r="D89" s="83" t="s">
        <v>51</v>
      </c>
      <c r="E89" s="455" t="s">
        <v>53</v>
      </c>
      <c r="F89" s="455"/>
      <c r="G89" s="102" t="s">
        <v>54</v>
      </c>
      <c r="I89" s="14"/>
      <c r="J89" s="223"/>
      <c r="K89" s="274"/>
    </row>
    <row r="90" spans="1:11" s="1" customFormat="1" ht="14.4" customHeight="1" x14ac:dyDescent="0.35">
      <c r="A90" s="276" t="s">
        <v>194</v>
      </c>
      <c r="B90" s="4">
        <f>Rates!D30</f>
        <v>30000</v>
      </c>
      <c r="C90" s="85">
        <f>C86</f>
        <v>1</v>
      </c>
      <c r="D90" s="85">
        <f>E86</f>
        <v>0</v>
      </c>
      <c r="E90" s="75">
        <f>Rates!H30</f>
        <v>414.35</v>
      </c>
      <c r="F90" s="43" t="s">
        <v>110</v>
      </c>
      <c r="G90" s="103">
        <f>(C90*E90)</f>
        <v>414.35</v>
      </c>
      <c r="I90" s="14"/>
      <c r="J90" s="223"/>
      <c r="K90" s="274"/>
    </row>
    <row r="91" spans="1:11" s="1" customFormat="1" ht="14.4" customHeight="1" x14ac:dyDescent="0.35">
      <c r="A91" s="276" t="s">
        <v>195</v>
      </c>
      <c r="B91" s="4">
        <f>Rates!D31</f>
        <v>10000</v>
      </c>
      <c r="D91" s="85">
        <f>F86</f>
        <v>0</v>
      </c>
      <c r="E91" s="256">
        <f>Rates!H31</f>
        <v>9.9500000000000005E-3</v>
      </c>
      <c r="F91" s="43" t="s">
        <v>192</v>
      </c>
      <c r="G91" s="103">
        <f t="shared" ref="G91:G92" si="10">ROUND(D91*E91,0)</f>
        <v>0</v>
      </c>
      <c r="I91" s="14"/>
      <c r="J91" s="223"/>
      <c r="K91" s="274"/>
    </row>
    <row r="92" spans="1:11" s="1" customFormat="1" ht="14.4" customHeight="1" x14ac:dyDescent="0.5">
      <c r="A92" s="282" t="s">
        <v>196</v>
      </c>
      <c r="B92" s="4">
        <f>Rates!D32</f>
        <v>40000</v>
      </c>
      <c r="C92" s="76"/>
      <c r="D92" s="267">
        <f>G86</f>
        <v>0</v>
      </c>
      <c r="E92" s="256">
        <f>Rates!H32</f>
        <v>7.9399999999999991E-3</v>
      </c>
      <c r="F92" s="43" t="s">
        <v>192</v>
      </c>
      <c r="G92" s="104">
        <f t="shared" si="10"/>
        <v>0</v>
      </c>
      <c r="I92" s="14"/>
      <c r="J92" s="223"/>
      <c r="K92" s="274"/>
    </row>
    <row r="93" spans="1:11" s="1" customFormat="1" ht="14.4" customHeight="1" thickBot="1" x14ac:dyDescent="0.4">
      <c r="A93" s="283"/>
      <c r="B93" s="284"/>
      <c r="C93" s="285"/>
      <c r="D93" s="284">
        <f>SUM(D90:D92)</f>
        <v>0</v>
      </c>
      <c r="E93" s="286"/>
      <c r="F93" s="286"/>
      <c r="G93" s="380">
        <f>SUM(G90:G92)</f>
        <v>414.35</v>
      </c>
      <c r="H93" s="286"/>
      <c r="I93" s="298"/>
      <c r="J93" s="302"/>
      <c r="K93" s="290"/>
    </row>
    <row r="94" spans="1:11" s="1" customFormat="1" ht="14.4" customHeight="1" thickBot="1" x14ac:dyDescent="0.4">
      <c r="B94" s="4"/>
      <c r="C94" s="208"/>
      <c r="D94" s="4"/>
      <c r="G94" s="208"/>
      <c r="I94" s="14"/>
      <c r="J94" s="223"/>
    </row>
    <row r="95" spans="1:11" s="1" customFormat="1" ht="14.4" customHeight="1" x14ac:dyDescent="0.5">
      <c r="A95" s="268" t="s">
        <v>211</v>
      </c>
      <c r="B95" s="269"/>
      <c r="C95" s="270"/>
      <c r="D95" s="457" t="s">
        <v>118</v>
      </c>
      <c r="E95" s="457"/>
      <c r="F95" s="271"/>
      <c r="G95" s="288"/>
      <c r="H95" s="291"/>
      <c r="I95" s="295"/>
      <c r="J95" s="296"/>
      <c r="K95" s="87"/>
    </row>
    <row r="96" spans="1:11" s="1" customFormat="1" ht="14.4" customHeight="1" x14ac:dyDescent="0.35">
      <c r="A96" s="273"/>
      <c r="B96" s="4"/>
      <c r="C96" s="90"/>
      <c r="D96" s="262"/>
      <c r="E96" s="92" t="s">
        <v>194</v>
      </c>
      <c r="F96" s="92" t="s">
        <v>196</v>
      </c>
      <c r="G96" s="92"/>
      <c r="H96" s="92"/>
      <c r="I96" s="92"/>
      <c r="J96" s="274"/>
    </row>
    <row r="97" spans="1:10" s="1" customFormat="1" ht="14.4" customHeight="1" x14ac:dyDescent="0.35">
      <c r="A97" s="245"/>
      <c r="B97" s="97" t="s">
        <v>49</v>
      </c>
      <c r="C97" s="83" t="s">
        <v>50</v>
      </c>
      <c r="D97" s="83" t="s">
        <v>51</v>
      </c>
      <c r="E97" s="263">
        <f>B98</f>
        <v>50000</v>
      </c>
      <c r="F97" s="263">
        <f>B99</f>
        <v>50000</v>
      </c>
      <c r="G97" s="263" t="s">
        <v>12</v>
      </c>
      <c r="H97" s="263"/>
      <c r="I97" s="263"/>
      <c r="J97" s="275"/>
    </row>
    <row r="98" spans="1:10" s="1" customFormat="1" ht="14.4" customHeight="1" x14ac:dyDescent="0.35">
      <c r="A98" s="276" t="s">
        <v>194</v>
      </c>
      <c r="B98" s="4">
        <f>Rates!D35</f>
        <v>50000</v>
      </c>
      <c r="C98" s="19">
        <v>24</v>
      </c>
      <c r="D98" s="4"/>
      <c r="E98" s="264">
        <f>D98</f>
        <v>0</v>
      </c>
      <c r="F98" s="264"/>
      <c r="G98" s="264">
        <f>SUM(E98:F98)</f>
        <v>0</v>
      </c>
      <c r="H98" s="264"/>
      <c r="I98" s="264"/>
      <c r="J98" s="277"/>
    </row>
    <row r="99" spans="1:10" s="1" customFormat="1" ht="14.4" customHeight="1" x14ac:dyDescent="0.5">
      <c r="A99" s="276" t="s">
        <v>196</v>
      </c>
      <c r="B99" s="4">
        <f>Rates!D36</f>
        <v>50000</v>
      </c>
      <c r="C99" s="86"/>
      <c r="D99" s="37"/>
      <c r="E99" s="266">
        <f>C99*E97</f>
        <v>0</v>
      </c>
      <c r="F99" s="266">
        <f>D99-E99</f>
        <v>0</v>
      </c>
      <c r="G99" s="266">
        <f>SUM(E99:F99)</f>
        <v>0</v>
      </c>
      <c r="H99" s="266"/>
      <c r="I99" s="266"/>
      <c r="J99" s="278"/>
    </row>
    <row r="100" spans="1:10" s="1" customFormat="1" ht="14.4" customHeight="1" x14ac:dyDescent="0.35">
      <c r="A100" s="276"/>
      <c r="B100" s="4"/>
      <c r="C100" s="19">
        <f>SUM(C98:C99)</f>
        <v>24</v>
      </c>
      <c r="D100" s="4">
        <f>SUM(D98:D99)</f>
        <v>0</v>
      </c>
      <c r="E100" s="4">
        <f>SUM(E98:E99)</f>
        <v>0</v>
      </c>
      <c r="F100" s="4">
        <f t="shared" ref="F100:G100" si="11">SUM(F98:F99)</f>
        <v>0</v>
      </c>
      <c r="G100" s="4">
        <f t="shared" si="11"/>
        <v>0</v>
      </c>
      <c r="H100" s="4"/>
      <c r="I100" s="4"/>
      <c r="J100" s="277"/>
    </row>
    <row r="101" spans="1:10" s="1" customFormat="1" ht="14.4" customHeight="1" x14ac:dyDescent="0.35">
      <c r="A101" s="245"/>
      <c r="B101" s="4"/>
      <c r="G101" s="41"/>
      <c r="I101" s="14"/>
      <c r="J101" s="297"/>
    </row>
    <row r="102" spans="1:10" s="1" customFormat="1" ht="14.4" customHeight="1" x14ac:dyDescent="0.35">
      <c r="A102" s="273" t="s">
        <v>210</v>
      </c>
      <c r="B102" s="117"/>
      <c r="C102" s="117"/>
      <c r="D102" s="456" t="s">
        <v>118</v>
      </c>
      <c r="E102" s="456"/>
      <c r="F102" s="117"/>
      <c r="G102" s="117"/>
      <c r="I102" s="14"/>
      <c r="J102" s="297"/>
    </row>
    <row r="103" spans="1:10" s="1" customFormat="1" ht="14.4" customHeight="1" x14ac:dyDescent="0.35">
      <c r="A103" s="245"/>
      <c r="B103" s="97" t="s">
        <v>49</v>
      </c>
      <c r="C103" s="83" t="s">
        <v>50</v>
      </c>
      <c r="D103" s="83" t="s">
        <v>51</v>
      </c>
      <c r="E103" s="455" t="s">
        <v>53</v>
      </c>
      <c r="F103" s="455"/>
      <c r="G103" s="102" t="s">
        <v>54</v>
      </c>
      <c r="I103" s="14"/>
      <c r="J103" s="297"/>
    </row>
    <row r="104" spans="1:10" s="1" customFormat="1" ht="14.4" customHeight="1" x14ac:dyDescent="0.35">
      <c r="A104" s="276" t="s">
        <v>194</v>
      </c>
      <c r="B104" s="4">
        <f>Rates!D35</f>
        <v>50000</v>
      </c>
      <c r="C104" s="85">
        <f>C100</f>
        <v>24</v>
      </c>
      <c r="D104" s="85">
        <v>2894800</v>
      </c>
      <c r="E104" s="75">
        <f>Rates!H35</f>
        <v>593.23</v>
      </c>
      <c r="F104" s="43" t="s">
        <v>110</v>
      </c>
      <c r="G104" s="103">
        <f>ROUND(C104*E104,0)</f>
        <v>14238</v>
      </c>
      <c r="I104" s="14"/>
      <c r="J104" s="297"/>
    </row>
    <row r="105" spans="1:10" s="1" customFormat="1" ht="14.4" customHeight="1" x14ac:dyDescent="0.5">
      <c r="A105" s="282" t="s">
        <v>196</v>
      </c>
      <c r="B105" s="4">
        <f>Rates!D36</f>
        <v>50000</v>
      </c>
      <c r="C105" s="76"/>
      <c r="D105" s="267">
        <f>F100</f>
        <v>0</v>
      </c>
      <c r="E105" s="255">
        <f>Rates!H36</f>
        <v>7.9399999999999991E-3</v>
      </c>
      <c r="F105" s="43" t="s">
        <v>192</v>
      </c>
      <c r="G105" s="104">
        <f t="shared" ref="G105" si="12">ROUND(D105*E105,0)</f>
        <v>0</v>
      </c>
      <c r="I105" s="14"/>
      <c r="J105" s="297"/>
    </row>
    <row r="106" spans="1:10" s="1" customFormat="1" ht="14.4" customHeight="1" thickBot="1" x14ac:dyDescent="0.4">
      <c r="A106" s="283"/>
      <c r="B106" s="284"/>
      <c r="C106" s="285"/>
      <c r="D106" s="284">
        <f>SUM(D104:D105)</f>
        <v>2894800</v>
      </c>
      <c r="E106" s="286"/>
      <c r="F106" s="286"/>
      <c r="G106" s="285">
        <f>SUM(G104:G105)</f>
        <v>14238</v>
      </c>
      <c r="H106" s="286"/>
      <c r="I106" s="298"/>
      <c r="J106" s="299"/>
    </row>
    <row r="107" spans="1:10" s="1" customFormat="1" ht="14.4" customHeight="1" thickBot="1" x14ac:dyDescent="0.4">
      <c r="B107" s="4"/>
      <c r="C107" s="208"/>
      <c r="D107" s="4"/>
      <c r="G107" s="208"/>
      <c r="I107" s="14"/>
      <c r="J107" s="223"/>
    </row>
    <row r="108" spans="1:10" s="1" customFormat="1" ht="14.4" customHeight="1" x14ac:dyDescent="0.35">
      <c r="A108" s="268" t="s">
        <v>211</v>
      </c>
      <c r="B108" s="269"/>
      <c r="C108" s="270"/>
      <c r="D108" s="457" t="s">
        <v>206</v>
      </c>
      <c r="E108" s="457"/>
      <c r="F108" s="271"/>
      <c r="G108" s="288"/>
      <c r="H108" s="291"/>
      <c r="I108" s="292"/>
      <c r="J108" s="228"/>
    </row>
    <row r="109" spans="1:10" s="1" customFormat="1" ht="14.4" customHeight="1" x14ac:dyDescent="0.35">
      <c r="A109" s="273"/>
      <c r="B109" s="4"/>
      <c r="C109" s="90"/>
      <c r="D109" s="262"/>
      <c r="E109" s="92" t="s">
        <v>194</v>
      </c>
      <c r="F109" s="92" t="s">
        <v>196</v>
      </c>
      <c r="G109" s="92"/>
      <c r="H109" s="92"/>
      <c r="I109" s="274"/>
    </row>
    <row r="110" spans="1:10" s="1" customFormat="1" ht="14.4" customHeight="1" x14ac:dyDescent="0.35">
      <c r="A110" s="245"/>
      <c r="B110" s="97" t="s">
        <v>49</v>
      </c>
      <c r="C110" s="83" t="s">
        <v>50</v>
      </c>
      <c r="D110" s="83" t="s">
        <v>51</v>
      </c>
      <c r="E110" s="263">
        <f>B111</f>
        <v>100000</v>
      </c>
      <c r="F110" s="263">
        <f>B112</f>
        <v>100000</v>
      </c>
      <c r="G110" s="263" t="s">
        <v>12</v>
      </c>
      <c r="H110" s="263"/>
      <c r="I110" s="275"/>
    </row>
    <row r="111" spans="1:10" s="1" customFormat="1" ht="14.4" customHeight="1" x14ac:dyDescent="0.35">
      <c r="A111" s="276" t="s">
        <v>194</v>
      </c>
      <c r="B111" s="4">
        <f>Rates!D39</f>
        <v>100000</v>
      </c>
      <c r="C111" s="19">
        <v>24</v>
      </c>
      <c r="D111" s="4">
        <v>0</v>
      </c>
      <c r="E111" s="264">
        <f>D111</f>
        <v>0</v>
      </c>
      <c r="F111" s="264"/>
      <c r="G111" s="264">
        <f>SUM(E111:F111)</f>
        <v>0</v>
      </c>
      <c r="H111" s="264"/>
      <c r="I111" s="277"/>
    </row>
    <row r="112" spans="1:10" s="1" customFormat="1" ht="14.4" customHeight="1" x14ac:dyDescent="0.5">
      <c r="A112" s="276" t="s">
        <v>195</v>
      </c>
      <c r="B112" s="4">
        <f>Rates!D40</f>
        <v>100000</v>
      </c>
      <c r="C112" s="86"/>
      <c r="D112" s="37">
        <v>0</v>
      </c>
      <c r="E112" s="266">
        <f>C112*E110</f>
        <v>0</v>
      </c>
      <c r="F112" s="266">
        <f>D112-E112</f>
        <v>0</v>
      </c>
      <c r="G112" s="266">
        <f>SUM(E112:F112)</f>
        <v>0</v>
      </c>
      <c r="H112" s="266"/>
      <c r="I112" s="278"/>
    </row>
    <row r="113" spans="1:10" s="1" customFormat="1" ht="14.4" customHeight="1" x14ac:dyDescent="0.35">
      <c r="A113" s="276"/>
      <c r="B113" s="4"/>
      <c r="C113" s="19">
        <f>SUM(C111:C112)</f>
        <v>24</v>
      </c>
      <c r="D113" s="4">
        <f>SUM(D111:D112)</f>
        <v>0</v>
      </c>
      <c r="E113" s="4">
        <f>SUM(E111:E112)</f>
        <v>0</v>
      </c>
      <c r="F113" s="4">
        <f t="shared" ref="F113:G113" si="13">SUM(F111:F112)</f>
        <v>0</v>
      </c>
      <c r="G113" s="4">
        <f t="shared" si="13"/>
        <v>0</v>
      </c>
      <c r="H113" s="4"/>
      <c r="I113" s="277"/>
    </row>
    <row r="114" spans="1:10" s="1" customFormat="1" ht="14.4" customHeight="1" x14ac:dyDescent="0.35">
      <c r="A114" s="245"/>
      <c r="B114" s="4"/>
      <c r="G114" s="41"/>
      <c r="I114" s="293"/>
      <c r="J114" s="223"/>
    </row>
    <row r="115" spans="1:10" s="1" customFormat="1" ht="14.4" customHeight="1" x14ac:dyDescent="0.35">
      <c r="A115" s="273" t="s">
        <v>210</v>
      </c>
      <c r="C115" s="117"/>
      <c r="D115" s="456" t="s">
        <v>206</v>
      </c>
      <c r="E115" s="456"/>
      <c r="F115" s="117"/>
      <c r="G115" s="117"/>
      <c r="I115" s="293"/>
      <c r="J115" s="223"/>
    </row>
    <row r="116" spans="1:10" s="1" customFormat="1" ht="14.4" customHeight="1" x14ac:dyDescent="0.35">
      <c r="A116" s="245"/>
      <c r="B116" s="97" t="s">
        <v>49</v>
      </c>
      <c r="C116" s="83" t="s">
        <v>50</v>
      </c>
      <c r="D116" s="83" t="s">
        <v>51</v>
      </c>
      <c r="E116" s="455" t="s">
        <v>53</v>
      </c>
      <c r="F116" s="455"/>
      <c r="G116" s="102" t="s">
        <v>54</v>
      </c>
      <c r="I116" s="293"/>
      <c r="J116" s="223"/>
    </row>
    <row r="117" spans="1:10" s="1" customFormat="1" ht="14.4" customHeight="1" x14ac:dyDescent="0.35">
      <c r="A117" s="276" t="s">
        <v>194</v>
      </c>
      <c r="B117" s="4">
        <f>Rates!D39</f>
        <v>100000</v>
      </c>
      <c r="C117" s="85">
        <f>C113</f>
        <v>24</v>
      </c>
      <c r="D117" s="85">
        <v>9541080</v>
      </c>
      <c r="E117" s="75">
        <f>Rates!H39</f>
        <v>990.03</v>
      </c>
      <c r="F117" s="43" t="s">
        <v>110</v>
      </c>
      <c r="G117" s="103">
        <f>ROUND(C117*E117,0)</f>
        <v>23761</v>
      </c>
      <c r="I117" s="293"/>
      <c r="J117" s="223"/>
    </row>
    <row r="118" spans="1:10" s="1" customFormat="1" ht="14.4" customHeight="1" x14ac:dyDescent="0.5">
      <c r="A118" s="282" t="s">
        <v>196</v>
      </c>
      <c r="B118" s="4">
        <f>Rates!D40</f>
        <v>100000</v>
      </c>
      <c r="C118" s="76"/>
      <c r="D118" s="267">
        <f>F113</f>
        <v>0</v>
      </c>
      <c r="E118" s="256">
        <f>Rates!H40</f>
        <v>7.9399999999999991E-3</v>
      </c>
      <c r="F118" s="43" t="s">
        <v>192</v>
      </c>
      <c r="G118" s="104">
        <f t="shared" ref="G118" si="14">ROUND(D118*E118,0)</f>
        <v>0</v>
      </c>
      <c r="I118" s="293"/>
      <c r="J118" s="223"/>
    </row>
    <row r="119" spans="1:10" s="1" customFormat="1" ht="14.4" customHeight="1" thickBot="1" x14ac:dyDescent="0.4">
      <c r="A119" s="283"/>
      <c r="B119" s="284"/>
      <c r="C119" s="285"/>
      <c r="D119" s="284">
        <f>SUM(D117:D118)</f>
        <v>9541080</v>
      </c>
      <c r="E119" s="286"/>
      <c r="F119" s="286"/>
      <c r="G119" s="285">
        <f>SUM(G117:G118)</f>
        <v>23761</v>
      </c>
      <c r="H119" s="286"/>
      <c r="I119" s="294"/>
      <c r="J119" s="223"/>
    </row>
    <row r="120" spans="1:10" s="1" customFormat="1" ht="14.4" customHeight="1" thickBot="1" x14ac:dyDescent="0.4">
      <c r="B120" s="4"/>
      <c r="C120" s="208"/>
      <c r="D120" s="258"/>
      <c r="G120" s="208"/>
      <c r="I120" s="14"/>
      <c r="J120" s="223"/>
    </row>
    <row r="121" spans="1:10" s="1" customFormat="1" ht="14.4" customHeight="1" x14ac:dyDescent="0.35">
      <c r="A121" s="268" t="s">
        <v>211</v>
      </c>
      <c r="B121" s="269"/>
      <c r="C121" s="270"/>
      <c r="D121" s="457" t="s">
        <v>119</v>
      </c>
      <c r="E121" s="457"/>
      <c r="F121" s="271"/>
      <c r="G121" s="288"/>
      <c r="H121" s="289"/>
      <c r="I121" s="14"/>
      <c r="J121" s="223"/>
    </row>
    <row r="122" spans="1:10" s="1" customFormat="1" ht="14.4" customHeight="1" x14ac:dyDescent="0.35">
      <c r="A122" s="273"/>
      <c r="B122" s="4"/>
      <c r="C122" s="90"/>
      <c r="D122" s="262"/>
      <c r="E122" s="92" t="s">
        <v>194</v>
      </c>
      <c r="F122" s="92" t="s">
        <v>196</v>
      </c>
      <c r="G122" s="92"/>
      <c r="H122" s="274"/>
      <c r="I122" s="223"/>
    </row>
    <row r="123" spans="1:10" s="1" customFormat="1" ht="14.4" customHeight="1" x14ac:dyDescent="0.35">
      <c r="A123" s="245"/>
      <c r="B123" s="97" t="s">
        <v>49</v>
      </c>
      <c r="C123" s="83" t="s">
        <v>50</v>
      </c>
      <c r="D123" s="83" t="s">
        <v>51</v>
      </c>
      <c r="E123" s="263">
        <f>B124</f>
        <v>200000</v>
      </c>
      <c r="F123" s="263">
        <f>B125</f>
        <v>200000</v>
      </c>
      <c r="G123" s="263"/>
      <c r="H123" s="275" t="s">
        <v>12</v>
      </c>
      <c r="I123" s="223"/>
    </row>
    <row r="124" spans="1:10" s="1" customFormat="1" ht="14.4" customHeight="1" x14ac:dyDescent="0.35">
      <c r="A124" s="276" t="s">
        <v>194</v>
      </c>
      <c r="B124" s="4">
        <f>Rates!D43</f>
        <v>200000</v>
      </c>
      <c r="C124" s="19">
        <v>12</v>
      </c>
      <c r="D124" s="4"/>
      <c r="E124" s="264">
        <f>D124</f>
        <v>0</v>
      </c>
      <c r="F124" s="264"/>
      <c r="G124" s="264"/>
      <c r="H124" s="277">
        <f>SUM(E124:G124)</f>
        <v>0</v>
      </c>
      <c r="I124" s="223"/>
    </row>
    <row r="125" spans="1:10" s="1" customFormat="1" ht="14.4" customHeight="1" x14ac:dyDescent="0.5">
      <c r="A125" s="276" t="s">
        <v>195</v>
      </c>
      <c r="B125" s="4">
        <f>Rates!D44</f>
        <v>200000</v>
      </c>
      <c r="C125" s="86"/>
      <c r="D125" s="37"/>
      <c r="E125" s="266">
        <f>C125*E123</f>
        <v>0</v>
      </c>
      <c r="F125" s="266">
        <f>D125-E125</f>
        <v>0</v>
      </c>
      <c r="G125" s="266"/>
      <c r="H125" s="278">
        <f>SUM(E125:G125)</f>
        <v>0</v>
      </c>
      <c r="I125" s="223"/>
    </row>
    <row r="126" spans="1:10" s="1" customFormat="1" ht="14.4" customHeight="1" x14ac:dyDescent="0.35">
      <c r="A126" s="276"/>
      <c r="B126" s="4"/>
      <c r="C126" s="19">
        <f>SUM(C124:C125)</f>
        <v>12</v>
      </c>
      <c r="D126" s="19">
        <f>SUM(D124:D125)</f>
        <v>0</v>
      </c>
      <c r="E126" s="4">
        <f>SUM(E124:E125)</f>
        <v>0</v>
      </c>
      <c r="F126" s="4">
        <f>SUM(F124:F125)</f>
        <v>0</v>
      </c>
      <c r="G126" s="4"/>
      <c r="H126" s="277">
        <f>SUM(H124:H125)</f>
        <v>0</v>
      </c>
      <c r="I126" s="223"/>
    </row>
    <row r="127" spans="1:10" s="1" customFormat="1" ht="14.4" customHeight="1" x14ac:dyDescent="0.35">
      <c r="A127" s="245"/>
      <c r="B127" s="4"/>
      <c r="G127" s="41"/>
      <c r="H127" s="274"/>
      <c r="I127" s="14"/>
      <c r="J127" s="223"/>
    </row>
    <row r="128" spans="1:10" s="1" customFormat="1" ht="14.4" customHeight="1" x14ac:dyDescent="0.35">
      <c r="A128" s="273" t="s">
        <v>210</v>
      </c>
      <c r="B128" s="117"/>
      <c r="C128" s="117"/>
      <c r="D128" s="456" t="s">
        <v>119</v>
      </c>
      <c r="E128" s="456"/>
      <c r="F128" s="117"/>
      <c r="G128" s="117"/>
      <c r="H128" s="274"/>
      <c r="I128" s="14"/>
      <c r="J128" s="223"/>
    </row>
    <row r="129" spans="1:10" s="1" customFormat="1" ht="14.4" customHeight="1" x14ac:dyDescent="0.35">
      <c r="A129" s="245"/>
      <c r="B129" s="97" t="s">
        <v>49</v>
      </c>
      <c r="C129" s="83" t="s">
        <v>50</v>
      </c>
      <c r="D129" s="83" t="s">
        <v>51</v>
      </c>
      <c r="E129" s="455" t="s">
        <v>53</v>
      </c>
      <c r="F129" s="455"/>
      <c r="G129" s="102" t="s">
        <v>54</v>
      </c>
      <c r="H129" s="274"/>
      <c r="I129" s="14"/>
      <c r="J129" s="223"/>
    </row>
    <row r="130" spans="1:10" s="1" customFormat="1" ht="14.4" customHeight="1" x14ac:dyDescent="0.35">
      <c r="A130" s="276" t="s">
        <v>194</v>
      </c>
      <c r="B130" s="4">
        <f>Rates!D43</f>
        <v>200000</v>
      </c>
      <c r="C130" s="85">
        <f>C126</f>
        <v>12</v>
      </c>
      <c r="D130" s="85">
        <v>302100</v>
      </c>
      <c r="E130" s="75">
        <f>Rates!H43</f>
        <v>1783.65</v>
      </c>
      <c r="F130" s="43" t="s">
        <v>110</v>
      </c>
      <c r="G130" s="207">
        <f>ROUND(C130*E130,0)</f>
        <v>21404</v>
      </c>
      <c r="H130" s="274"/>
      <c r="I130" s="14"/>
      <c r="J130" s="223"/>
    </row>
    <row r="131" spans="1:10" s="1" customFormat="1" ht="14.4" customHeight="1" x14ac:dyDescent="0.5">
      <c r="A131" s="282" t="s">
        <v>196</v>
      </c>
      <c r="B131" s="4">
        <f>Rates!D44</f>
        <v>200000</v>
      </c>
      <c r="C131" s="76"/>
      <c r="D131" s="267">
        <f>F126</f>
        <v>0</v>
      </c>
      <c r="E131" s="256">
        <f>Rates!H44</f>
        <v>7.9399999999999991E-3</v>
      </c>
      <c r="F131" s="43" t="s">
        <v>192</v>
      </c>
      <c r="G131" s="316">
        <f t="shared" ref="G131" si="15">ROUND(D131*E131,0)</f>
        <v>0</v>
      </c>
      <c r="H131" s="274"/>
      <c r="I131" s="14"/>
      <c r="J131" s="223"/>
    </row>
    <row r="132" spans="1:10" s="1" customFormat="1" ht="14.4" customHeight="1" thickBot="1" x14ac:dyDescent="0.4">
      <c r="A132" s="283"/>
      <c r="B132" s="284"/>
      <c r="C132" s="285"/>
      <c r="D132" s="284">
        <f>SUM(D130:D131)</f>
        <v>302100</v>
      </c>
      <c r="E132" s="286"/>
      <c r="F132" s="286"/>
      <c r="G132" s="285">
        <f>SUM(G130:G131)</f>
        <v>21404</v>
      </c>
      <c r="H132" s="290"/>
      <c r="I132" s="14"/>
      <c r="J132" s="223"/>
    </row>
    <row r="133" spans="1:10" s="1" customFormat="1" ht="14.4" customHeight="1" thickBot="1" x14ac:dyDescent="0.4">
      <c r="B133" s="4"/>
      <c r="C133" s="208"/>
      <c r="D133" s="4"/>
      <c r="G133" s="208"/>
      <c r="I133" s="14"/>
      <c r="J133" s="223"/>
    </row>
    <row r="134" spans="1:10" s="1" customFormat="1" ht="14.4" customHeight="1" x14ac:dyDescent="0.35">
      <c r="A134" s="268" t="s">
        <v>211</v>
      </c>
      <c r="B134" s="269"/>
      <c r="C134" s="270"/>
      <c r="D134" s="457" t="s">
        <v>207</v>
      </c>
      <c r="E134" s="457"/>
      <c r="F134" s="271"/>
      <c r="G134" s="272"/>
      <c r="I134" s="14"/>
      <c r="J134" s="223"/>
    </row>
    <row r="135" spans="1:10" s="1" customFormat="1" ht="14.4" customHeight="1" x14ac:dyDescent="0.35">
      <c r="A135" s="273"/>
      <c r="B135" s="4"/>
      <c r="C135" s="90"/>
      <c r="D135" s="262"/>
      <c r="E135" s="92" t="s">
        <v>194</v>
      </c>
      <c r="F135" s="92" t="s">
        <v>196</v>
      </c>
      <c r="G135" s="274"/>
      <c r="H135" s="14"/>
      <c r="I135" s="223"/>
    </row>
    <row r="136" spans="1:10" s="1" customFormat="1" ht="14.4" customHeight="1" x14ac:dyDescent="0.35">
      <c r="A136" s="245"/>
      <c r="B136" s="97" t="s">
        <v>49</v>
      </c>
      <c r="C136" s="83" t="s">
        <v>50</v>
      </c>
      <c r="D136" s="83" t="s">
        <v>51</v>
      </c>
      <c r="E136" s="263">
        <f>B137</f>
        <v>500000</v>
      </c>
      <c r="F136" s="263">
        <f>B138</f>
        <v>500000</v>
      </c>
      <c r="G136" s="275" t="s">
        <v>12</v>
      </c>
      <c r="H136" s="14"/>
      <c r="I136" s="223"/>
    </row>
    <row r="137" spans="1:10" s="1" customFormat="1" ht="14.4" customHeight="1" x14ac:dyDescent="0.35">
      <c r="A137" s="276" t="s">
        <v>194</v>
      </c>
      <c r="B137" s="4">
        <f>Rates!D47</f>
        <v>500000</v>
      </c>
      <c r="C137" s="19">
        <v>12</v>
      </c>
      <c r="D137" s="4">
        <v>97057460</v>
      </c>
      <c r="E137" s="264"/>
      <c r="F137" s="264"/>
      <c r="G137" s="277"/>
      <c r="H137" s="14"/>
      <c r="I137" s="223"/>
    </row>
    <row r="138" spans="1:10" s="1" customFormat="1" ht="14.4" customHeight="1" x14ac:dyDescent="0.5">
      <c r="A138" s="276" t="s">
        <v>196</v>
      </c>
      <c r="B138" s="4">
        <f>Rates!D48</f>
        <v>500000</v>
      </c>
      <c r="C138" s="86"/>
      <c r="D138" s="37"/>
      <c r="E138" s="266"/>
      <c r="F138" s="266"/>
      <c r="G138" s="278"/>
      <c r="H138" s="14"/>
      <c r="I138" s="223"/>
    </row>
    <row r="139" spans="1:10" s="1" customFormat="1" ht="14.4" customHeight="1" x14ac:dyDescent="0.35">
      <c r="A139" s="276"/>
      <c r="B139" s="4"/>
      <c r="C139" s="19">
        <f>SUM(C137:C138)</f>
        <v>12</v>
      </c>
      <c r="D139" s="19">
        <f>SUM(D137:D138)</f>
        <v>97057460</v>
      </c>
      <c r="E139" s="4">
        <f>SUM(E137:E138)</f>
        <v>0</v>
      </c>
      <c r="F139" s="4">
        <f>SUM(F137:F138)</f>
        <v>0</v>
      </c>
      <c r="G139" s="277">
        <f>SUM(G137:G138)</f>
        <v>0</v>
      </c>
      <c r="H139" s="14"/>
      <c r="I139" s="223"/>
    </row>
    <row r="140" spans="1:10" s="1" customFormat="1" ht="14.4" customHeight="1" x14ac:dyDescent="0.35">
      <c r="A140" s="245"/>
      <c r="B140" s="4"/>
      <c r="G140" s="279"/>
      <c r="I140" s="14"/>
      <c r="J140" s="223"/>
    </row>
    <row r="141" spans="1:10" s="1" customFormat="1" ht="14.4" customHeight="1" x14ac:dyDescent="0.35">
      <c r="A141" s="273" t="s">
        <v>210</v>
      </c>
      <c r="B141" s="117"/>
      <c r="C141" s="117"/>
      <c r="D141" s="456" t="s">
        <v>207</v>
      </c>
      <c r="E141" s="456"/>
      <c r="F141" s="117"/>
      <c r="G141" s="280"/>
      <c r="I141" s="14"/>
      <c r="J141" s="223"/>
    </row>
    <row r="142" spans="1:10" s="1" customFormat="1" ht="14.4" customHeight="1" x14ac:dyDescent="0.35">
      <c r="A142" s="245"/>
      <c r="B142" s="97" t="s">
        <v>49</v>
      </c>
      <c r="C142" s="83" t="s">
        <v>50</v>
      </c>
      <c r="D142" s="83" t="s">
        <v>51</v>
      </c>
      <c r="E142" s="455" t="s">
        <v>53</v>
      </c>
      <c r="F142" s="455"/>
      <c r="G142" s="281" t="s">
        <v>54</v>
      </c>
      <c r="I142" s="14"/>
      <c r="J142" s="223"/>
    </row>
    <row r="143" spans="1:10" s="1" customFormat="1" ht="14.4" customHeight="1" x14ac:dyDescent="0.35">
      <c r="A143" s="276" t="s">
        <v>194</v>
      </c>
      <c r="B143" s="4">
        <f>Rates!D47</f>
        <v>500000</v>
      </c>
      <c r="C143" s="85">
        <f>C139</f>
        <v>12</v>
      </c>
      <c r="D143" s="85">
        <v>97057460</v>
      </c>
      <c r="E143" s="75">
        <f>Rates!H47</f>
        <v>4164.49</v>
      </c>
      <c r="F143" s="43" t="s">
        <v>110</v>
      </c>
      <c r="G143" s="313">
        <f>C143*E143</f>
        <v>49973.88</v>
      </c>
      <c r="I143" s="14"/>
      <c r="J143" s="223"/>
    </row>
    <row r="144" spans="1:10" s="1" customFormat="1" ht="14.4" customHeight="1" x14ac:dyDescent="0.5">
      <c r="A144" s="282" t="s">
        <v>196</v>
      </c>
      <c r="B144" s="4">
        <f>Rates!D48</f>
        <v>500000</v>
      </c>
      <c r="C144" s="76"/>
      <c r="D144" s="267">
        <f>F139</f>
        <v>0</v>
      </c>
      <c r="E144" s="256">
        <f>Rates!H48</f>
        <v>7.9399999999999991E-3</v>
      </c>
      <c r="F144" s="43" t="s">
        <v>192</v>
      </c>
      <c r="G144" s="314">
        <f t="shared" ref="G144" si="16">ROUND(D144*E144,0)</f>
        <v>0</v>
      </c>
      <c r="I144" s="14"/>
      <c r="J144" s="223"/>
    </row>
    <row r="145" spans="1:10" s="1" customFormat="1" ht="14.4" customHeight="1" thickBot="1" x14ac:dyDescent="0.4">
      <c r="A145" s="283"/>
      <c r="B145" s="284"/>
      <c r="C145" s="285"/>
      <c r="D145" s="284">
        <f>SUM(D143:D144)</f>
        <v>97057460</v>
      </c>
      <c r="E145" s="286"/>
      <c r="F145" s="286"/>
      <c r="G145" s="287">
        <f>SUM(G143:G144)</f>
        <v>49973.88</v>
      </c>
      <c r="I145" s="14"/>
      <c r="J145" s="223"/>
    </row>
    <row r="146" spans="1:10" s="1" customFormat="1" ht="14.4" customHeight="1" thickBot="1" x14ac:dyDescent="0.4">
      <c r="B146" s="4"/>
      <c r="G146" s="41"/>
      <c r="I146" s="14"/>
      <c r="J146" s="223"/>
    </row>
    <row r="147" spans="1:10" s="1" customFormat="1" ht="14.4" customHeight="1" x14ac:dyDescent="0.35">
      <c r="A147" s="268"/>
      <c r="B147" s="269"/>
      <c r="C147" s="270"/>
      <c r="D147" s="457" t="s">
        <v>258</v>
      </c>
      <c r="E147" s="457"/>
      <c r="F147" s="271"/>
      <c r="G147" s="288"/>
      <c r="H147" s="289"/>
      <c r="I147" s="14"/>
      <c r="J147" s="223"/>
    </row>
    <row r="148" spans="1:10" s="1" customFormat="1" ht="14.4" customHeight="1" x14ac:dyDescent="0.35">
      <c r="A148" s="245"/>
      <c r="B148" s="97"/>
      <c r="C148" s="83"/>
      <c r="D148" s="83"/>
      <c r="E148" s="263"/>
      <c r="F148" s="263"/>
      <c r="G148" s="263"/>
      <c r="H148" s="275"/>
      <c r="I148" s="223"/>
      <c r="J148" s="223"/>
    </row>
    <row r="149" spans="1:10" s="1" customFormat="1" ht="14.4" customHeight="1" x14ac:dyDescent="0.35">
      <c r="A149" s="245"/>
      <c r="B149" s="97"/>
      <c r="C149" s="83" t="s">
        <v>50</v>
      </c>
      <c r="D149" s="83" t="s">
        <v>51</v>
      </c>
      <c r="E149" s="455" t="s">
        <v>53</v>
      </c>
      <c r="F149" s="455"/>
      <c r="G149" s="102" t="s">
        <v>54</v>
      </c>
      <c r="H149" s="274"/>
      <c r="I149" s="14"/>
      <c r="J149" s="223"/>
    </row>
    <row r="150" spans="1:10" s="1" customFormat="1" ht="14.4" customHeight="1" x14ac:dyDescent="0.35">
      <c r="A150" s="232" t="s">
        <v>456</v>
      </c>
      <c r="B150" s="4"/>
      <c r="C150" s="85">
        <v>12</v>
      </c>
      <c r="D150" s="85">
        <v>7594650</v>
      </c>
      <c r="E150" s="256">
        <f>Rates!H51</f>
        <v>5.4200000000000003E-3</v>
      </c>
      <c r="F150" s="43" t="s">
        <v>192</v>
      </c>
      <c r="G150" s="207">
        <f>ROUND(D150*E150,0)</f>
        <v>41163</v>
      </c>
      <c r="H150" s="274"/>
      <c r="I150" s="14"/>
      <c r="J150" s="223"/>
    </row>
    <row r="151" spans="1:10" s="1" customFormat="1" ht="14.4" customHeight="1" x14ac:dyDescent="0.35">
      <c r="A151" s="232" t="s">
        <v>252</v>
      </c>
      <c r="B151" s="4"/>
      <c r="C151" s="76">
        <v>12</v>
      </c>
      <c r="D151" s="85">
        <v>2462670</v>
      </c>
      <c r="E151" s="256">
        <f>Rates!H52</f>
        <v>5.4200000000000003E-3</v>
      </c>
      <c r="F151" s="43" t="s">
        <v>192</v>
      </c>
      <c r="G151" s="207">
        <f>ROUND(D151*E151,0)</f>
        <v>13348</v>
      </c>
      <c r="H151" s="274"/>
      <c r="I151" s="14"/>
      <c r="J151" s="223"/>
    </row>
    <row r="152" spans="1:10" s="1" customFormat="1" ht="14.4" customHeight="1" x14ac:dyDescent="0.35">
      <c r="A152" s="232" t="s">
        <v>253</v>
      </c>
      <c r="B152" s="4"/>
      <c r="D152" s="267"/>
      <c r="E152" s="256">
        <f>Rates!H53</f>
        <v>4.81E-3</v>
      </c>
      <c r="F152" s="43" t="s">
        <v>192</v>
      </c>
      <c r="G152" s="207">
        <f>ROUND(D152*E152,0)</f>
        <v>0</v>
      </c>
      <c r="H152" s="274"/>
      <c r="I152" s="14"/>
      <c r="J152" s="223"/>
    </row>
    <row r="153" spans="1:10" s="1" customFormat="1" ht="14.4" customHeight="1" x14ac:dyDescent="0.35">
      <c r="A153" s="376" t="s">
        <v>254</v>
      </c>
      <c r="B153" s="19"/>
      <c r="C153" s="76"/>
      <c r="D153" s="267"/>
      <c r="E153" s="256">
        <f>Rates!H57</f>
        <v>5.4200000000000003E-3</v>
      </c>
      <c r="F153" s="43" t="s">
        <v>192</v>
      </c>
      <c r="G153" s="207">
        <f t="shared" ref="G153:G154" si="17">ROUND(D153*E153,0)</f>
        <v>0</v>
      </c>
      <c r="H153" s="274"/>
      <c r="I153" s="14"/>
      <c r="J153" s="223"/>
    </row>
    <row r="154" spans="1:10" s="1" customFormat="1" ht="14.4" customHeight="1" x14ac:dyDescent="0.35">
      <c r="A154" s="376" t="s">
        <v>349</v>
      </c>
      <c r="B154" s="19"/>
      <c r="C154" s="76">
        <v>2</v>
      </c>
      <c r="D154" s="85">
        <v>3290030</v>
      </c>
      <c r="E154" s="256">
        <f>Rates!H58</f>
        <v>5.8399999999999997E-3</v>
      </c>
      <c r="F154" s="43" t="s">
        <v>192</v>
      </c>
      <c r="G154" s="207">
        <f t="shared" si="17"/>
        <v>19214</v>
      </c>
      <c r="H154" s="274"/>
      <c r="I154" s="14"/>
      <c r="J154" s="223"/>
    </row>
    <row r="155" spans="1:10" s="1" customFormat="1" ht="14.4" customHeight="1" x14ac:dyDescent="0.35">
      <c r="A155" s="376" t="s">
        <v>350</v>
      </c>
      <c r="B155" s="19"/>
      <c r="C155" s="76"/>
      <c r="D155" s="85"/>
      <c r="E155" s="256"/>
      <c r="F155" s="43"/>
      <c r="G155" s="207"/>
      <c r="H155" s="274"/>
      <c r="I155" s="14"/>
      <c r="J155" s="223"/>
    </row>
    <row r="156" spans="1:10" s="1" customFormat="1" ht="14.4" customHeight="1" x14ac:dyDescent="0.35">
      <c r="A156" s="377" t="s">
        <v>194</v>
      </c>
      <c r="B156" s="19">
        <v>50000</v>
      </c>
      <c r="C156" s="76"/>
      <c r="D156" s="85"/>
      <c r="E156" s="75">
        <f>Rates!H60</f>
        <v>0</v>
      </c>
      <c r="F156" s="43" t="s">
        <v>351</v>
      </c>
      <c r="G156" s="207">
        <f t="shared" ref="G156:G157" si="18">ROUND(D156*E156,0)</f>
        <v>0</v>
      </c>
      <c r="H156" s="274"/>
      <c r="I156" s="14"/>
      <c r="J156" s="223"/>
    </row>
    <row r="157" spans="1:10" s="1" customFormat="1" ht="14.4" customHeight="1" x14ac:dyDescent="0.35">
      <c r="A157" s="378" t="s">
        <v>196</v>
      </c>
      <c r="B157" s="19">
        <v>50000</v>
      </c>
      <c r="C157" s="337"/>
      <c r="D157" s="338"/>
      <c r="E157" s="256">
        <f>Rates!H61</f>
        <v>3.65E-3</v>
      </c>
      <c r="F157" s="43" t="s">
        <v>192</v>
      </c>
      <c r="G157" s="379">
        <f t="shared" si="18"/>
        <v>0</v>
      </c>
      <c r="H157" s="274"/>
      <c r="I157" s="14"/>
      <c r="J157" s="223"/>
    </row>
    <row r="158" spans="1:10" s="1" customFormat="1" ht="14.4" customHeight="1" x14ac:dyDescent="0.35">
      <c r="A158" s="232"/>
      <c r="B158" s="4" t="s">
        <v>82</v>
      </c>
      <c r="C158" s="85">
        <f>SUM(C150:C157)</f>
        <v>26</v>
      </c>
      <c r="D158" s="85">
        <f>SUM(D150:D157)</f>
        <v>13347350</v>
      </c>
      <c r="E158" s="256"/>
      <c r="F158" s="43"/>
      <c r="G158" s="85">
        <f>SUM(G150:G157)</f>
        <v>73725</v>
      </c>
      <c r="H158" s="274"/>
      <c r="I158" s="14"/>
      <c r="J158" s="223"/>
    </row>
    <row r="159" spans="1:10" s="1" customFormat="1" ht="14.4" customHeight="1" thickBot="1" x14ac:dyDescent="0.4">
      <c r="A159" s="283"/>
      <c r="B159" s="284"/>
      <c r="C159" s="284"/>
      <c r="D159" s="284"/>
      <c r="E159" s="286"/>
      <c r="F159" s="286"/>
      <c r="G159" s="285"/>
      <c r="H159" s="290"/>
      <c r="I159" s="14"/>
      <c r="J159" s="223"/>
    </row>
    <row r="160" spans="1:10" s="1" customFormat="1" ht="14.4" customHeight="1" x14ac:dyDescent="0.35">
      <c r="A160" s="245"/>
      <c r="B160" s="4"/>
      <c r="G160" s="41"/>
      <c r="I160" s="293"/>
      <c r="J160" s="223"/>
    </row>
    <row r="161" spans="1:10" s="1" customFormat="1" ht="14.4" customHeight="1" x14ac:dyDescent="0.35">
      <c r="A161" s="273"/>
      <c r="C161" s="117"/>
      <c r="D161" s="456"/>
      <c r="E161" s="456"/>
      <c r="F161" s="117"/>
      <c r="G161" s="117"/>
      <c r="I161" s="293"/>
      <c r="J161" s="223"/>
    </row>
    <row r="162" spans="1:10" s="1" customFormat="1" ht="14.4" customHeight="1" x14ac:dyDescent="0.35">
      <c r="A162" s="245"/>
      <c r="B162" s="97"/>
      <c r="C162" s="83"/>
      <c r="D162" s="83"/>
      <c r="E162" s="455"/>
      <c r="F162" s="455"/>
      <c r="G162" s="102"/>
      <c r="I162" s="293"/>
      <c r="J162" s="223"/>
    </row>
    <row r="163" spans="1:10" s="1" customFormat="1" ht="14.4" customHeight="1" x14ac:dyDescent="0.35">
      <c r="A163" s="276"/>
      <c r="B163" s="4"/>
      <c r="C163" s="85"/>
      <c r="D163" s="85"/>
      <c r="E163" s="75"/>
      <c r="F163" s="43"/>
      <c r="G163" s="103"/>
      <c r="I163" s="293"/>
      <c r="J163" s="223"/>
    </row>
    <row r="164" spans="1:10" s="1" customFormat="1" ht="14.4" customHeight="1" x14ac:dyDescent="0.35">
      <c r="A164" s="276"/>
      <c r="B164" s="4"/>
      <c r="D164" s="85"/>
      <c r="E164" s="256"/>
      <c r="F164" s="43"/>
      <c r="G164" s="103"/>
      <c r="I164" s="293"/>
      <c r="J164" s="223"/>
    </row>
    <row r="165" spans="1:10" s="1" customFormat="1" ht="14.4" customHeight="1" x14ac:dyDescent="0.35">
      <c r="A165" s="276"/>
      <c r="B165" s="4"/>
      <c r="D165" s="85"/>
      <c r="E165" s="256"/>
      <c r="F165" s="43"/>
      <c r="G165" s="103"/>
      <c r="I165" s="293"/>
      <c r="J165" s="223"/>
    </row>
    <row r="166" spans="1:10" s="1" customFormat="1" ht="14.4" customHeight="1" x14ac:dyDescent="0.5">
      <c r="A166" s="282"/>
      <c r="B166" s="4"/>
      <c r="C166" s="76"/>
      <c r="D166" s="87"/>
      <c r="E166" s="256"/>
      <c r="F166" s="43"/>
      <c r="G166" s="104"/>
      <c r="I166" s="293"/>
      <c r="J166" s="223"/>
    </row>
    <row r="167" spans="1:10" s="1" customFormat="1" ht="14.4" customHeight="1" thickBot="1" x14ac:dyDescent="0.4">
      <c r="A167" s="283"/>
      <c r="B167" s="284"/>
      <c r="C167" s="285"/>
      <c r="D167" s="284"/>
      <c r="E167" s="286"/>
      <c r="F167" s="286"/>
      <c r="G167" s="285"/>
      <c r="H167" s="286"/>
      <c r="I167" s="294"/>
      <c r="J167" s="223"/>
    </row>
    <row r="168" spans="1:10" s="1" customFormat="1" ht="14.4" customHeight="1" thickBot="1" x14ac:dyDescent="0.4">
      <c r="B168" s="4"/>
      <c r="C168" s="208"/>
      <c r="D168" s="258"/>
      <c r="G168" s="208"/>
      <c r="I168" s="14"/>
      <c r="J168" s="223"/>
    </row>
    <row r="169" spans="1:10" s="1" customFormat="1" ht="14.4" customHeight="1" x14ac:dyDescent="0.35">
      <c r="A169" s="268"/>
      <c r="B169" s="269"/>
      <c r="C169" s="270"/>
      <c r="D169" s="457"/>
      <c r="E169" s="457"/>
      <c r="F169" s="271"/>
      <c r="G169" s="288"/>
      <c r="H169" s="289"/>
      <c r="I169" s="14"/>
      <c r="J169" s="223"/>
    </row>
    <row r="170" spans="1:10" s="1" customFormat="1" ht="14.4" customHeight="1" x14ac:dyDescent="0.35">
      <c r="A170" s="273"/>
      <c r="B170" s="4"/>
      <c r="C170" s="90"/>
      <c r="D170" s="262"/>
      <c r="E170" s="92"/>
      <c r="F170" s="92"/>
      <c r="G170" s="92"/>
      <c r="H170" s="274"/>
      <c r="I170" s="223"/>
    </row>
    <row r="171" spans="1:10" s="1" customFormat="1" ht="14.4" customHeight="1" x14ac:dyDescent="0.35">
      <c r="A171" s="245"/>
      <c r="B171" s="97"/>
      <c r="C171" s="83"/>
      <c r="D171" s="83"/>
      <c r="E171" s="263"/>
      <c r="F171" s="263"/>
      <c r="G171" s="263"/>
      <c r="H171" s="275"/>
      <c r="I171" s="223"/>
    </row>
    <row r="172" spans="1:10" s="1" customFormat="1" ht="14.4" customHeight="1" x14ac:dyDescent="0.35">
      <c r="A172" s="276"/>
      <c r="B172" s="4"/>
      <c r="C172" s="19"/>
      <c r="D172" s="19"/>
      <c r="E172" s="264"/>
      <c r="F172" s="264"/>
      <c r="G172" s="264"/>
      <c r="H172" s="277"/>
      <c r="I172" s="223"/>
    </row>
    <row r="173" spans="1:10" s="1" customFormat="1" ht="14.4" customHeight="1" x14ac:dyDescent="0.35">
      <c r="A173" s="276"/>
      <c r="B173" s="4"/>
      <c r="C173" s="19"/>
      <c r="D173" s="19"/>
      <c r="E173" s="264"/>
      <c r="F173" s="264"/>
      <c r="G173" s="264"/>
      <c r="H173" s="277"/>
      <c r="I173" s="223"/>
    </row>
    <row r="174" spans="1:10" s="1" customFormat="1" ht="14.4" customHeight="1" x14ac:dyDescent="0.5">
      <c r="A174" s="276"/>
      <c r="B174" s="4"/>
      <c r="C174" s="86"/>
      <c r="D174" s="86"/>
      <c r="E174" s="266"/>
      <c r="F174" s="266"/>
      <c r="G174" s="266"/>
      <c r="H174" s="278"/>
      <c r="I174" s="223"/>
    </row>
    <row r="175" spans="1:10" s="1" customFormat="1" ht="14.4" customHeight="1" x14ac:dyDescent="0.35">
      <c r="A175" s="276"/>
      <c r="B175" s="4"/>
      <c r="C175" s="19"/>
      <c r="D175" s="4"/>
      <c r="E175" s="4"/>
      <c r="F175" s="4"/>
      <c r="G175" s="4"/>
      <c r="H175" s="277"/>
      <c r="I175" s="223"/>
    </row>
    <row r="176" spans="1:10" s="1" customFormat="1" ht="14.4" customHeight="1" x14ac:dyDescent="0.35">
      <c r="A176" s="245"/>
      <c r="B176" s="4"/>
      <c r="G176" s="41"/>
      <c r="H176" s="274"/>
      <c r="I176" s="14"/>
      <c r="J176" s="223"/>
    </row>
    <row r="177" spans="1:10" s="1" customFormat="1" ht="14.4" customHeight="1" x14ac:dyDescent="0.35">
      <c r="A177" s="273"/>
      <c r="B177" s="117"/>
      <c r="C177" s="117"/>
      <c r="D177" s="456"/>
      <c r="E177" s="456"/>
      <c r="F177" s="117"/>
      <c r="G177" s="117"/>
      <c r="H177" s="274"/>
      <c r="I177" s="14"/>
      <c r="J177" s="223"/>
    </row>
    <row r="178" spans="1:10" s="1" customFormat="1" ht="14.4" customHeight="1" x14ac:dyDescent="0.35">
      <c r="A178" s="245"/>
      <c r="B178" s="97"/>
      <c r="C178" s="83"/>
      <c r="D178" s="83"/>
      <c r="E178" s="455"/>
      <c r="F178" s="455"/>
      <c r="G178" s="102"/>
      <c r="H178" s="274"/>
      <c r="I178" s="14"/>
      <c r="J178" s="223"/>
    </row>
    <row r="179" spans="1:10" s="1" customFormat="1" ht="14.4" customHeight="1" x14ac:dyDescent="0.35">
      <c r="A179" s="276"/>
      <c r="B179" s="4"/>
      <c r="C179" s="85"/>
      <c r="D179" s="85"/>
      <c r="E179" s="75"/>
      <c r="F179" s="43"/>
      <c r="G179" s="207"/>
      <c r="H179" s="274"/>
      <c r="I179" s="14"/>
      <c r="J179" s="223"/>
    </row>
    <row r="180" spans="1:10" s="1" customFormat="1" ht="14.4" customHeight="1" x14ac:dyDescent="0.35">
      <c r="A180" s="276"/>
      <c r="B180" s="4"/>
      <c r="D180" s="85"/>
      <c r="E180" s="256"/>
      <c r="F180" s="43"/>
      <c r="G180" s="207"/>
      <c r="H180" s="274"/>
      <c r="I180" s="14"/>
      <c r="J180" s="223"/>
    </row>
    <row r="181" spans="1:10" s="1" customFormat="1" ht="14.4" customHeight="1" x14ac:dyDescent="0.5">
      <c r="A181" s="282"/>
      <c r="B181" s="4"/>
      <c r="C181" s="76"/>
      <c r="D181" s="267"/>
      <c r="E181" s="256"/>
      <c r="F181" s="43"/>
      <c r="G181" s="316"/>
      <c r="H181" s="274"/>
      <c r="I181" s="14"/>
      <c r="J181" s="223"/>
    </row>
    <row r="182" spans="1:10" s="1" customFormat="1" ht="14.4" customHeight="1" thickBot="1" x14ac:dyDescent="0.4">
      <c r="A182" s="283"/>
      <c r="B182" s="284"/>
      <c r="C182" s="285"/>
      <c r="D182" s="284"/>
      <c r="E182" s="286"/>
      <c r="F182" s="286"/>
      <c r="G182" s="285"/>
      <c r="H182" s="290"/>
      <c r="I182" s="14"/>
      <c r="J182" s="223"/>
    </row>
    <row r="183" spans="1:10" s="1" customFormat="1" ht="14.4" customHeight="1" thickBot="1" x14ac:dyDescent="0.4">
      <c r="B183" s="4"/>
      <c r="C183" s="208"/>
      <c r="D183" s="4"/>
      <c r="G183" s="208"/>
      <c r="I183" s="14"/>
      <c r="J183" s="223"/>
    </row>
    <row r="184" spans="1:10" s="1" customFormat="1" ht="14.4" customHeight="1" x14ac:dyDescent="0.35">
      <c r="A184" s="268"/>
      <c r="B184" s="269"/>
      <c r="C184" s="270"/>
      <c r="D184" s="457"/>
      <c r="E184" s="457"/>
      <c r="F184" s="271"/>
      <c r="G184" s="272"/>
      <c r="I184" s="14"/>
      <c r="J184" s="223"/>
    </row>
    <row r="185" spans="1:10" s="1" customFormat="1" ht="14.4" customHeight="1" x14ac:dyDescent="0.35">
      <c r="A185" s="273"/>
      <c r="B185" s="4"/>
      <c r="C185" s="90"/>
      <c r="D185" s="262"/>
      <c r="E185" s="92"/>
      <c r="F185" s="92"/>
      <c r="G185" s="274"/>
      <c r="H185" s="14"/>
      <c r="I185" s="223"/>
    </row>
    <row r="186" spans="1:10" s="1" customFormat="1" ht="14.4" customHeight="1" x14ac:dyDescent="0.35">
      <c r="A186" s="245"/>
      <c r="B186" s="97"/>
      <c r="C186" s="83"/>
      <c r="D186" s="83"/>
      <c r="E186" s="263"/>
      <c r="F186" s="263"/>
      <c r="G186" s="275"/>
      <c r="H186" s="14"/>
      <c r="I186" s="223"/>
    </row>
    <row r="187" spans="1:10" s="1" customFormat="1" ht="14.4" customHeight="1" x14ac:dyDescent="0.35">
      <c r="A187" s="276"/>
      <c r="B187" s="4"/>
      <c r="C187" s="19"/>
      <c r="D187" s="19"/>
      <c r="E187" s="264"/>
      <c r="F187" s="264"/>
      <c r="G187" s="277"/>
      <c r="H187" s="14"/>
      <c r="I187" s="223"/>
    </row>
    <row r="188" spans="1:10" s="1" customFormat="1" ht="14.4" customHeight="1" x14ac:dyDescent="0.5">
      <c r="A188" s="276"/>
      <c r="B188" s="4"/>
      <c r="C188" s="86"/>
      <c r="D188" s="86"/>
      <c r="E188" s="266"/>
      <c r="F188" s="266"/>
      <c r="G188" s="278"/>
      <c r="H188" s="14"/>
      <c r="I188" s="223"/>
    </row>
    <row r="189" spans="1:10" s="1" customFormat="1" ht="14.4" customHeight="1" x14ac:dyDescent="0.35">
      <c r="A189" s="276"/>
      <c r="B189" s="4"/>
      <c r="C189" s="19"/>
      <c r="D189" s="4"/>
      <c r="E189" s="4"/>
      <c r="F189" s="4"/>
      <c r="G189" s="277"/>
      <c r="H189" s="14"/>
      <c r="I189" s="223"/>
    </row>
    <row r="190" spans="1:10" s="1" customFormat="1" ht="14.4" customHeight="1" x14ac:dyDescent="0.35">
      <c r="A190" s="245"/>
      <c r="B190" s="4"/>
      <c r="G190" s="279"/>
      <c r="I190" s="14"/>
      <c r="J190" s="223"/>
    </row>
    <row r="191" spans="1:10" s="1" customFormat="1" ht="14.4" customHeight="1" x14ac:dyDescent="0.35">
      <c r="A191" s="273"/>
      <c r="B191" s="117"/>
      <c r="C191" s="117"/>
      <c r="D191" s="456"/>
      <c r="E191" s="456"/>
      <c r="F191" s="117"/>
      <c r="G191" s="280"/>
      <c r="I191" s="14"/>
      <c r="J191" s="223"/>
    </row>
    <row r="192" spans="1:10" s="1" customFormat="1" ht="14.4" customHeight="1" x14ac:dyDescent="0.35">
      <c r="A192" s="245"/>
      <c r="B192" s="97"/>
      <c r="C192" s="83"/>
      <c r="D192" s="83"/>
      <c r="E192" s="455"/>
      <c r="F192" s="455"/>
      <c r="G192" s="281"/>
      <c r="I192" s="14"/>
      <c r="J192" s="223"/>
    </row>
    <row r="193" spans="1:10" s="1" customFormat="1" ht="14.4" customHeight="1" x14ac:dyDescent="0.35">
      <c r="A193" s="276"/>
      <c r="B193" s="4"/>
      <c r="C193" s="85"/>
      <c r="D193" s="85"/>
      <c r="E193" s="75"/>
      <c r="F193" s="43"/>
      <c r="G193" s="313"/>
      <c r="I193" s="14"/>
      <c r="J193" s="223"/>
    </row>
    <row r="194" spans="1:10" s="1" customFormat="1" ht="14.4" customHeight="1" x14ac:dyDescent="0.5">
      <c r="A194" s="282"/>
      <c r="B194" s="4"/>
      <c r="C194" s="76"/>
      <c r="D194" s="267"/>
      <c r="E194" s="256"/>
      <c r="F194" s="43"/>
      <c r="G194" s="314"/>
      <c r="I194" s="14"/>
      <c r="J194" s="223"/>
    </row>
    <row r="195" spans="1:10" s="1" customFormat="1" ht="14.4" customHeight="1" thickBot="1" x14ac:dyDescent="0.4">
      <c r="A195" s="283"/>
      <c r="B195" s="284"/>
      <c r="C195" s="285"/>
      <c r="D195" s="284"/>
      <c r="E195" s="286"/>
      <c r="F195" s="286"/>
      <c r="G195" s="287"/>
      <c r="I195" s="14"/>
      <c r="J195" s="223"/>
    </row>
    <row r="196" spans="1:10" s="1" customFormat="1" ht="14.4" customHeight="1" thickBot="1" x14ac:dyDescent="0.4">
      <c r="B196" s="4"/>
      <c r="G196" s="41"/>
      <c r="I196" s="14"/>
      <c r="J196" s="223"/>
    </row>
    <row r="197" spans="1:10" s="1" customFormat="1" ht="14.4" customHeight="1" x14ac:dyDescent="0.35">
      <c r="A197" s="268"/>
      <c r="B197" s="269"/>
      <c r="C197" s="270"/>
      <c r="D197" s="457"/>
      <c r="E197" s="457"/>
      <c r="F197" s="271"/>
      <c r="G197" s="288"/>
      <c r="H197" s="289"/>
      <c r="I197" s="14"/>
      <c r="J197" s="223"/>
    </row>
    <row r="198" spans="1:10" s="1" customFormat="1" ht="14.4" customHeight="1" x14ac:dyDescent="0.35">
      <c r="A198" s="273"/>
      <c r="B198" s="4"/>
      <c r="C198" s="90"/>
      <c r="D198" s="262"/>
      <c r="E198" s="92"/>
      <c r="F198" s="92"/>
      <c r="G198" s="92"/>
      <c r="H198" s="274"/>
      <c r="I198" s="223"/>
      <c r="J198" s="223"/>
    </row>
    <row r="199" spans="1:10" s="1" customFormat="1" ht="14.4" customHeight="1" x14ac:dyDescent="0.35">
      <c r="A199" s="245"/>
      <c r="B199" s="97"/>
      <c r="C199" s="83"/>
      <c r="D199" s="83"/>
      <c r="E199" s="263"/>
      <c r="F199" s="263"/>
      <c r="G199" s="263"/>
      <c r="H199" s="275"/>
      <c r="I199" s="223"/>
      <c r="J199" s="223"/>
    </row>
    <row r="200" spans="1:10" s="1" customFormat="1" ht="14.4" customHeight="1" x14ac:dyDescent="0.35">
      <c r="A200" s="276"/>
      <c r="B200" s="4"/>
      <c r="C200" s="19"/>
      <c r="D200" s="19"/>
      <c r="E200" s="264"/>
      <c r="F200" s="264"/>
      <c r="G200" s="264"/>
      <c r="H200" s="277"/>
      <c r="I200" s="223"/>
      <c r="J200" s="223"/>
    </row>
    <row r="201" spans="1:10" s="1" customFormat="1" ht="14.4" customHeight="1" x14ac:dyDescent="0.35">
      <c r="A201" s="276"/>
      <c r="B201" s="4"/>
      <c r="C201" s="19"/>
      <c r="D201" s="19"/>
      <c r="E201" s="264"/>
      <c r="F201" s="264"/>
      <c r="G201" s="264"/>
      <c r="H201" s="277"/>
      <c r="I201" s="223"/>
      <c r="J201" s="223"/>
    </row>
    <row r="202" spans="1:10" s="1" customFormat="1" ht="14.4" customHeight="1" x14ac:dyDescent="0.5">
      <c r="A202" s="276"/>
      <c r="B202" s="4"/>
      <c r="C202" s="86"/>
      <c r="D202" s="86"/>
      <c r="E202" s="266"/>
      <c r="F202" s="266"/>
      <c r="G202" s="266"/>
      <c r="H202" s="278"/>
      <c r="I202" s="223"/>
      <c r="J202" s="223"/>
    </row>
    <row r="203" spans="1:10" s="1" customFormat="1" ht="14.4" customHeight="1" x14ac:dyDescent="0.35">
      <c r="A203" s="276"/>
      <c r="B203" s="4"/>
      <c r="C203" s="19"/>
      <c r="D203" s="4"/>
      <c r="E203" s="4"/>
      <c r="F203" s="4"/>
      <c r="G203" s="4"/>
      <c r="H203" s="277"/>
      <c r="I203" s="223"/>
      <c r="J203" s="223"/>
    </row>
    <row r="204" spans="1:10" s="1" customFormat="1" ht="14.4" customHeight="1" thickBot="1" x14ac:dyDescent="0.4">
      <c r="A204" s="245"/>
      <c r="B204" s="4"/>
      <c r="G204" s="41"/>
      <c r="H204" s="274"/>
      <c r="I204" s="14"/>
      <c r="J204" s="223"/>
    </row>
    <row r="205" spans="1:10" s="1" customFormat="1" ht="14.4" customHeight="1" x14ac:dyDescent="0.35">
      <c r="A205" s="273"/>
      <c r="B205" s="117"/>
      <c r="C205" s="117"/>
      <c r="D205" s="457"/>
      <c r="E205" s="457"/>
      <c r="F205" s="117"/>
      <c r="G205" s="117"/>
      <c r="H205" s="274"/>
      <c r="I205" s="14"/>
      <c r="J205" s="223"/>
    </row>
    <row r="206" spans="1:10" s="1" customFormat="1" ht="14.4" customHeight="1" x14ac:dyDescent="0.35">
      <c r="A206" s="245"/>
      <c r="B206" s="97"/>
      <c r="C206" s="83"/>
      <c r="D206" s="83"/>
      <c r="E206" s="455"/>
      <c r="F206" s="455"/>
      <c r="G206" s="102"/>
      <c r="H206" s="274"/>
      <c r="I206" s="14"/>
      <c r="J206" s="223"/>
    </row>
    <row r="207" spans="1:10" s="1" customFormat="1" ht="14.4" customHeight="1" x14ac:dyDescent="0.35">
      <c r="A207" s="276"/>
      <c r="B207" s="4"/>
      <c r="C207" s="85"/>
      <c r="D207" s="85"/>
      <c r="E207" s="75"/>
      <c r="F207" s="43"/>
      <c r="G207" s="207"/>
      <c r="H207" s="274"/>
      <c r="I207" s="14"/>
      <c r="J207" s="223"/>
    </row>
    <row r="208" spans="1:10" s="1" customFormat="1" ht="14.4" customHeight="1" x14ac:dyDescent="0.35">
      <c r="A208" s="276"/>
      <c r="B208" s="4"/>
      <c r="D208" s="85"/>
      <c r="E208" s="256"/>
      <c r="F208" s="43"/>
      <c r="G208" s="207"/>
      <c r="H208" s="274"/>
      <c r="I208" s="14"/>
      <c r="J208" s="223"/>
    </row>
    <row r="209" spans="1:10" s="1" customFormat="1" ht="14.4" customHeight="1" x14ac:dyDescent="0.5">
      <c r="A209" s="282"/>
      <c r="B209" s="4"/>
      <c r="C209" s="76"/>
      <c r="D209" s="267"/>
      <c r="E209" s="256"/>
      <c r="F209" s="43"/>
      <c r="G209" s="316"/>
      <c r="H209" s="274"/>
      <c r="I209" s="14"/>
      <c r="J209" s="223"/>
    </row>
    <row r="210" spans="1:10" s="1" customFormat="1" ht="14.4" customHeight="1" thickBot="1" x14ac:dyDescent="0.4">
      <c r="A210" s="283"/>
      <c r="B210" s="284"/>
      <c r="C210" s="285"/>
      <c r="D210" s="284"/>
      <c r="E210" s="286"/>
      <c r="F210" s="286"/>
      <c r="G210" s="285"/>
      <c r="H210" s="290"/>
      <c r="I210" s="14"/>
      <c r="J210" s="223"/>
    </row>
    <row r="211" spans="1:10" s="1" customFormat="1" ht="14.4" customHeight="1" x14ac:dyDescent="0.35">
      <c r="B211" s="4"/>
      <c r="C211" s="208"/>
      <c r="D211" s="4"/>
      <c r="G211" s="208"/>
      <c r="I211" s="14"/>
      <c r="J211" s="223"/>
    </row>
    <row r="212" spans="1:10" s="1" customFormat="1" ht="14.4" customHeight="1" x14ac:dyDescent="0.35">
      <c r="B212" s="4"/>
      <c r="G212" s="41"/>
      <c r="I212" s="14"/>
      <c r="J212" s="223"/>
    </row>
    <row r="213" spans="1:10" s="1" customFormat="1" ht="14.4" customHeight="1" x14ac:dyDescent="0.35">
      <c r="B213" s="4"/>
      <c r="G213" s="41"/>
      <c r="I213" s="14"/>
      <c r="J213" s="223"/>
    </row>
    <row r="214" spans="1:10" s="1" customFormat="1" ht="14.4" customHeight="1" x14ac:dyDescent="0.35">
      <c r="B214" s="4"/>
      <c r="G214" s="41"/>
      <c r="I214" s="14"/>
      <c r="J214" s="223"/>
    </row>
    <row r="215" spans="1:10" s="1" customFormat="1" ht="14.4" customHeight="1" x14ac:dyDescent="0.35">
      <c r="B215" s="4"/>
      <c r="D215" s="85"/>
      <c r="G215" s="41"/>
      <c r="I215" s="14"/>
      <c r="J215" s="223"/>
    </row>
    <row r="216" spans="1:10" s="1" customFormat="1" ht="14.4" customHeight="1" x14ac:dyDescent="0.35">
      <c r="B216" s="4"/>
      <c r="G216" s="41"/>
      <c r="I216" s="14"/>
      <c r="J216" s="223"/>
    </row>
    <row r="217" spans="1:10" s="1" customFormat="1" ht="14.4" customHeight="1" x14ac:dyDescent="0.35">
      <c r="B217" s="4"/>
      <c r="G217" s="41"/>
      <c r="I217" s="14"/>
      <c r="J217" s="223"/>
    </row>
    <row r="218" spans="1:10" s="1" customFormat="1" ht="14.4" customHeight="1" x14ac:dyDescent="0.35">
      <c r="B218" s="4"/>
      <c r="G218" s="41"/>
      <c r="I218" s="14"/>
      <c r="J218" s="223"/>
    </row>
    <row r="219" spans="1:10" s="1" customFormat="1" ht="14.4" customHeight="1" x14ac:dyDescent="0.35">
      <c r="B219" s="4"/>
      <c r="G219" s="319"/>
      <c r="I219" s="14"/>
      <c r="J219" s="223"/>
    </row>
    <row r="220" spans="1:10" s="1" customFormat="1" ht="14.4" customHeight="1" x14ac:dyDescent="0.35">
      <c r="B220" s="4"/>
      <c r="G220" s="41"/>
      <c r="I220" s="14"/>
      <c r="J220" s="223"/>
    </row>
    <row r="221" spans="1:10" s="1" customFormat="1" ht="14.4" customHeight="1" x14ac:dyDescent="0.35">
      <c r="B221" s="4"/>
      <c r="G221" s="41"/>
      <c r="I221" s="14"/>
      <c r="J221" s="223"/>
    </row>
    <row r="222" spans="1:10" s="1" customFormat="1" ht="14.4" customHeight="1" x14ac:dyDescent="0.35">
      <c r="B222" s="4"/>
      <c r="G222" s="41"/>
      <c r="I222" s="14"/>
      <c r="J222" s="223"/>
    </row>
    <row r="223" spans="1:10" s="1" customFormat="1" ht="14.4" customHeight="1" x14ac:dyDescent="0.35">
      <c r="B223" s="4"/>
      <c r="G223" s="41"/>
      <c r="I223" s="14"/>
      <c r="J223" s="223"/>
    </row>
    <row r="224" spans="1:10" s="1" customFormat="1" ht="14.4" customHeight="1" x14ac:dyDescent="0.35">
      <c r="B224" s="4"/>
      <c r="G224" s="41"/>
      <c r="I224" s="14"/>
      <c r="J224" s="223"/>
    </row>
    <row r="225" spans="2:10" s="1" customFormat="1" ht="14.4" customHeight="1" x14ac:dyDescent="0.35">
      <c r="B225" s="4"/>
      <c r="G225" s="41"/>
      <c r="I225" s="14"/>
      <c r="J225" s="223"/>
    </row>
    <row r="226" spans="2:10" s="1" customFormat="1" ht="14.4" customHeight="1" x14ac:dyDescent="0.35">
      <c r="B226" s="4"/>
      <c r="G226" s="41"/>
      <c r="I226" s="14"/>
      <c r="J226" s="223"/>
    </row>
    <row r="227" spans="2:10" s="1" customFormat="1" ht="14.4" customHeight="1" x14ac:dyDescent="0.35">
      <c r="B227" s="4"/>
      <c r="G227" s="41"/>
      <c r="I227" s="14"/>
      <c r="J227" s="223"/>
    </row>
    <row r="228" spans="2:10" s="1" customFormat="1" ht="14.4" customHeight="1" x14ac:dyDescent="0.35">
      <c r="B228" s="4"/>
      <c r="G228" s="41"/>
      <c r="I228" s="14"/>
      <c r="J228" s="223"/>
    </row>
    <row r="229" spans="2:10" s="1" customFormat="1" ht="14.4" customHeight="1" x14ac:dyDescent="0.35">
      <c r="B229" s="4"/>
      <c r="G229" s="41"/>
      <c r="I229" s="14"/>
      <c r="J229" s="223"/>
    </row>
    <row r="230" spans="2:10" s="1" customFormat="1" ht="14.4" customHeight="1" x14ac:dyDescent="0.35">
      <c r="B230" s="4"/>
      <c r="G230" s="41"/>
      <c r="I230" s="14"/>
      <c r="J230" s="223"/>
    </row>
    <row r="231" spans="2:10" s="1" customFormat="1" ht="14.4" customHeight="1" x14ac:dyDescent="0.35">
      <c r="B231" s="4"/>
      <c r="G231" s="41"/>
      <c r="I231" s="14"/>
      <c r="J231" s="223"/>
    </row>
    <row r="232" spans="2:10" s="1" customFormat="1" ht="14.4" customHeight="1" x14ac:dyDescent="0.35">
      <c r="B232" s="4"/>
      <c r="G232" s="41"/>
      <c r="I232" s="14"/>
      <c r="J232" s="223"/>
    </row>
    <row r="233" spans="2:10" s="1" customFormat="1" ht="14.4" customHeight="1" x14ac:dyDescent="0.35">
      <c r="B233" s="4"/>
      <c r="G233" s="41"/>
      <c r="I233" s="14"/>
      <c r="J233" s="223"/>
    </row>
    <row r="234" spans="2:10" s="1" customFormat="1" ht="14.4" customHeight="1" x14ac:dyDescent="0.35">
      <c r="B234" s="4"/>
      <c r="G234" s="41"/>
      <c r="I234" s="14"/>
      <c r="J234" s="223"/>
    </row>
    <row r="235" spans="2:10" s="1" customFormat="1" ht="14.4" customHeight="1" x14ac:dyDescent="0.35">
      <c r="B235" s="4"/>
      <c r="G235" s="41"/>
      <c r="I235" s="14"/>
      <c r="J235" s="223"/>
    </row>
    <row r="236" spans="2:10" s="1" customFormat="1" ht="14.4" customHeight="1" x14ac:dyDescent="0.35">
      <c r="B236" s="4"/>
      <c r="G236" s="41"/>
      <c r="I236" s="14"/>
      <c r="J236" s="223"/>
    </row>
    <row r="237" spans="2:10" s="1" customFormat="1" ht="14.4" customHeight="1" x14ac:dyDescent="0.35">
      <c r="B237" s="4"/>
      <c r="G237" s="41"/>
      <c r="I237" s="14"/>
      <c r="J237" s="223"/>
    </row>
    <row r="238" spans="2:10" s="1" customFormat="1" ht="14.4" customHeight="1" x14ac:dyDescent="0.35">
      <c r="B238" s="4"/>
      <c r="G238" s="41"/>
      <c r="I238" s="14"/>
      <c r="J238" s="223"/>
    </row>
    <row r="239" spans="2:10" s="1" customFormat="1" ht="14.4" customHeight="1" x14ac:dyDescent="0.35">
      <c r="B239" s="4"/>
      <c r="G239" s="41"/>
      <c r="I239" s="14"/>
      <c r="J239" s="223"/>
    </row>
    <row r="240" spans="2:10" s="1" customFormat="1" ht="14.4" customHeight="1" x14ac:dyDescent="0.35">
      <c r="B240" s="4"/>
      <c r="G240" s="41"/>
      <c r="I240" s="14"/>
      <c r="J240" s="223"/>
    </row>
    <row r="241" spans="2:10" s="1" customFormat="1" ht="14.4" customHeight="1" x14ac:dyDescent="0.35">
      <c r="B241" s="4"/>
      <c r="G241" s="41"/>
      <c r="I241" s="14"/>
      <c r="J241" s="223"/>
    </row>
    <row r="242" spans="2:10" s="1" customFormat="1" ht="14.4" customHeight="1" x14ac:dyDescent="0.35">
      <c r="B242" s="4"/>
      <c r="G242" s="41"/>
      <c r="I242" s="14"/>
      <c r="J242" s="223"/>
    </row>
    <row r="243" spans="2:10" s="1" customFormat="1" ht="14.4" customHeight="1" x14ac:dyDescent="0.35">
      <c r="B243" s="4"/>
      <c r="G243" s="41"/>
      <c r="I243" s="14"/>
      <c r="J243" s="223"/>
    </row>
    <row r="244" spans="2:10" s="1" customFormat="1" ht="14.4" customHeight="1" x14ac:dyDescent="0.35">
      <c r="B244" s="4"/>
      <c r="G244" s="41"/>
      <c r="I244" s="14"/>
      <c r="J244" s="223"/>
    </row>
    <row r="245" spans="2:10" s="1" customFormat="1" ht="14.4" customHeight="1" x14ac:dyDescent="0.35">
      <c r="B245" s="4"/>
      <c r="G245" s="41"/>
      <c r="I245" s="14"/>
      <c r="J245" s="223"/>
    </row>
    <row r="246" spans="2:10" s="1" customFormat="1" ht="14.4" customHeight="1" x14ac:dyDescent="0.35">
      <c r="B246" s="4"/>
      <c r="G246" s="41"/>
      <c r="I246" s="14"/>
      <c r="J246" s="223"/>
    </row>
    <row r="247" spans="2:10" s="1" customFormat="1" ht="14.4" customHeight="1" x14ac:dyDescent="0.35">
      <c r="B247" s="4"/>
      <c r="G247" s="41"/>
      <c r="I247" s="14"/>
      <c r="J247" s="223"/>
    </row>
    <row r="248" spans="2:10" s="1" customFormat="1" ht="14.4" customHeight="1" x14ac:dyDescent="0.35">
      <c r="B248" s="4"/>
      <c r="G248" s="41"/>
      <c r="I248" s="14"/>
      <c r="J248" s="223"/>
    </row>
    <row r="249" spans="2:10" s="1" customFormat="1" ht="14.4" customHeight="1" x14ac:dyDescent="0.35">
      <c r="B249" s="4"/>
      <c r="G249" s="41"/>
      <c r="I249" s="14"/>
      <c r="J249" s="223"/>
    </row>
    <row r="250" spans="2:10" s="1" customFormat="1" ht="14.4" customHeight="1" x14ac:dyDescent="0.35">
      <c r="B250" s="4"/>
      <c r="G250" s="41"/>
      <c r="I250" s="14"/>
      <c r="J250" s="223"/>
    </row>
    <row r="251" spans="2:10" s="1" customFormat="1" ht="14.4" customHeight="1" x14ac:dyDescent="0.35">
      <c r="B251" s="4"/>
      <c r="G251" s="41"/>
      <c r="I251" s="14"/>
      <c r="J251" s="223"/>
    </row>
    <row r="252" spans="2:10" s="1" customFormat="1" ht="14.4" customHeight="1" x14ac:dyDescent="0.35">
      <c r="B252" s="4"/>
      <c r="G252" s="41"/>
      <c r="I252" s="14"/>
      <c r="J252" s="223"/>
    </row>
    <row r="253" spans="2:10" s="1" customFormat="1" ht="14.4" customHeight="1" x14ac:dyDescent="0.35">
      <c r="B253" s="4"/>
      <c r="G253" s="41"/>
      <c r="I253" s="14"/>
      <c r="J253" s="223"/>
    </row>
    <row r="254" spans="2:10" s="1" customFormat="1" ht="14.4" customHeight="1" x14ac:dyDescent="0.35">
      <c r="B254" s="4"/>
      <c r="G254" s="41"/>
      <c r="I254" s="14"/>
      <c r="J254" s="223"/>
    </row>
    <row r="255" spans="2:10" s="1" customFormat="1" ht="14.4" customHeight="1" x14ac:dyDescent="0.35">
      <c r="B255" s="4"/>
      <c r="G255" s="41"/>
      <c r="I255" s="14"/>
      <c r="J255" s="223"/>
    </row>
    <row r="256" spans="2:10" s="1" customFormat="1" ht="14.4" customHeight="1" x14ac:dyDescent="0.35">
      <c r="B256" s="4"/>
      <c r="G256" s="41"/>
      <c r="I256" s="14"/>
      <c r="J256" s="223"/>
    </row>
    <row r="257" spans="2:10" s="1" customFormat="1" ht="14.4" customHeight="1" x14ac:dyDescent="0.35">
      <c r="B257" s="4"/>
      <c r="G257" s="41"/>
      <c r="I257" s="14"/>
      <c r="J257" s="223"/>
    </row>
    <row r="258" spans="2:10" s="1" customFormat="1" ht="14.4" customHeight="1" x14ac:dyDescent="0.35">
      <c r="B258" s="4"/>
      <c r="G258" s="41"/>
      <c r="I258" s="14"/>
      <c r="J258" s="223"/>
    </row>
    <row r="259" spans="2:10" s="1" customFormat="1" ht="14.4" customHeight="1" x14ac:dyDescent="0.35">
      <c r="B259" s="4"/>
      <c r="G259" s="41"/>
      <c r="I259" s="14"/>
      <c r="J259" s="223"/>
    </row>
    <row r="260" spans="2:10" s="1" customFormat="1" ht="14.4" customHeight="1" x14ac:dyDescent="0.35">
      <c r="B260" s="4"/>
      <c r="G260" s="41"/>
      <c r="I260" s="14"/>
      <c r="J260" s="223"/>
    </row>
    <row r="261" spans="2:10" s="1" customFormat="1" ht="14.4" customHeight="1" x14ac:dyDescent="0.35">
      <c r="B261" s="4"/>
      <c r="G261" s="41"/>
      <c r="I261" s="14"/>
      <c r="J261" s="223"/>
    </row>
    <row r="262" spans="2:10" s="1" customFormat="1" ht="14.4" customHeight="1" x14ac:dyDescent="0.35">
      <c r="B262" s="4"/>
      <c r="G262" s="41"/>
      <c r="I262" s="14"/>
      <c r="J262" s="223"/>
    </row>
    <row r="263" spans="2:10" s="1" customFormat="1" ht="14.4" customHeight="1" x14ac:dyDescent="0.35">
      <c r="B263" s="4"/>
      <c r="G263" s="41"/>
      <c r="I263" s="14"/>
      <c r="J263" s="223"/>
    </row>
    <row r="264" spans="2:10" s="1" customFormat="1" ht="14.4" customHeight="1" x14ac:dyDescent="0.35">
      <c r="B264" s="4"/>
      <c r="G264" s="41"/>
      <c r="I264" s="14"/>
      <c r="J264" s="223"/>
    </row>
    <row r="265" spans="2:10" s="1" customFormat="1" ht="14.4" customHeight="1" x14ac:dyDescent="0.35">
      <c r="B265" s="4"/>
      <c r="G265" s="41"/>
      <c r="I265" s="14"/>
      <c r="J265" s="223"/>
    </row>
    <row r="266" spans="2:10" s="1" customFormat="1" ht="14.4" customHeight="1" x14ac:dyDescent="0.35">
      <c r="B266" s="4"/>
      <c r="G266" s="41"/>
      <c r="I266" s="14"/>
      <c r="J266" s="223"/>
    </row>
    <row r="267" spans="2:10" s="1" customFormat="1" ht="14.4" customHeight="1" x14ac:dyDescent="0.35">
      <c r="B267" s="4"/>
      <c r="G267" s="41"/>
      <c r="I267" s="14"/>
      <c r="J267" s="223"/>
    </row>
    <row r="268" spans="2:10" s="1" customFormat="1" ht="14.4" customHeight="1" x14ac:dyDescent="0.35">
      <c r="B268" s="4"/>
      <c r="G268" s="41"/>
      <c r="I268" s="14"/>
      <c r="J268" s="223"/>
    </row>
    <row r="269" spans="2:10" s="1" customFormat="1" ht="14.4" customHeight="1" x14ac:dyDescent="0.35">
      <c r="B269" s="4"/>
      <c r="G269" s="41"/>
      <c r="I269" s="14"/>
      <c r="J269" s="223"/>
    </row>
    <row r="270" spans="2:10" s="1" customFormat="1" ht="14.4" customHeight="1" x14ac:dyDescent="0.35">
      <c r="B270" s="4"/>
      <c r="G270" s="41"/>
      <c r="I270" s="14"/>
      <c r="J270" s="223"/>
    </row>
    <row r="271" spans="2:10" s="1" customFormat="1" ht="14.4" customHeight="1" x14ac:dyDescent="0.35">
      <c r="B271" s="4"/>
      <c r="G271" s="41"/>
      <c r="I271" s="14"/>
      <c r="J271" s="223"/>
    </row>
    <row r="272" spans="2:10" s="1" customFormat="1" ht="14.4" customHeight="1" x14ac:dyDescent="0.35">
      <c r="B272" s="4"/>
      <c r="G272" s="41"/>
      <c r="I272" s="14"/>
      <c r="J272" s="223"/>
    </row>
    <row r="273" spans="2:10" s="1" customFormat="1" ht="14.4" customHeight="1" x14ac:dyDescent="0.35">
      <c r="B273" s="4"/>
      <c r="G273" s="41"/>
      <c r="I273" s="14"/>
      <c r="J273" s="223"/>
    </row>
    <row r="274" spans="2:10" s="1" customFormat="1" ht="14.4" customHeight="1" x14ac:dyDescent="0.35">
      <c r="B274" s="4"/>
      <c r="G274" s="41"/>
      <c r="I274" s="14"/>
      <c r="J274" s="223"/>
    </row>
    <row r="275" spans="2:10" s="1" customFormat="1" ht="14.4" customHeight="1" x14ac:dyDescent="0.35">
      <c r="B275" s="4"/>
      <c r="G275" s="41"/>
      <c r="I275" s="14"/>
      <c r="J275" s="223"/>
    </row>
    <row r="276" spans="2:10" s="1" customFormat="1" ht="14.4" customHeight="1" x14ac:dyDescent="0.35">
      <c r="B276" s="4"/>
      <c r="G276" s="41"/>
      <c r="I276" s="14"/>
      <c r="J276" s="223"/>
    </row>
    <row r="277" spans="2:10" s="1" customFormat="1" ht="14.4" customHeight="1" x14ac:dyDescent="0.35">
      <c r="B277" s="4"/>
      <c r="G277" s="41"/>
      <c r="I277" s="14"/>
      <c r="J277" s="223"/>
    </row>
    <row r="278" spans="2:10" s="1" customFormat="1" ht="14.4" customHeight="1" x14ac:dyDescent="0.35">
      <c r="B278" s="4"/>
      <c r="G278" s="41"/>
      <c r="I278" s="14"/>
      <c r="J278" s="223"/>
    </row>
    <row r="279" spans="2:10" s="1" customFormat="1" ht="14.4" customHeight="1" x14ac:dyDescent="0.35">
      <c r="B279" s="4"/>
      <c r="G279" s="41"/>
      <c r="I279" s="14"/>
      <c r="J279" s="223"/>
    </row>
    <row r="280" spans="2:10" s="1" customFormat="1" ht="14.4" customHeight="1" x14ac:dyDescent="0.35">
      <c r="B280" s="4"/>
      <c r="G280" s="41"/>
      <c r="I280" s="14"/>
      <c r="J280" s="223"/>
    </row>
    <row r="281" spans="2:10" s="1" customFormat="1" ht="14.4" customHeight="1" x14ac:dyDescent="0.35">
      <c r="B281" s="4"/>
      <c r="G281" s="41"/>
      <c r="I281" s="14"/>
      <c r="J281" s="223"/>
    </row>
    <row r="282" spans="2:10" s="1" customFormat="1" ht="14.4" customHeight="1" x14ac:dyDescent="0.35">
      <c r="B282" s="4"/>
      <c r="G282" s="41"/>
      <c r="I282" s="14"/>
      <c r="J282" s="223"/>
    </row>
    <row r="283" spans="2:10" s="1" customFormat="1" ht="14.4" customHeight="1" x14ac:dyDescent="0.35">
      <c r="B283" s="4"/>
      <c r="G283" s="41"/>
      <c r="I283" s="14"/>
      <c r="J283" s="223"/>
    </row>
    <row r="284" spans="2:10" s="1" customFormat="1" ht="14.4" customHeight="1" x14ac:dyDescent="0.35">
      <c r="B284" s="4"/>
      <c r="G284" s="41"/>
      <c r="I284" s="14"/>
      <c r="J284" s="223"/>
    </row>
    <row r="285" spans="2:10" s="1" customFormat="1" ht="14.4" customHeight="1" x14ac:dyDescent="0.35">
      <c r="B285" s="4"/>
      <c r="G285" s="41"/>
      <c r="I285" s="14"/>
      <c r="J285" s="223"/>
    </row>
    <row r="286" spans="2:10" s="1" customFormat="1" ht="14.4" customHeight="1" x14ac:dyDescent="0.35">
      <c r="B286" s="4"/>
      <c r="G286" s="41"/>
      <c r="I286" s="14"/>
      <c r="J286" s="223"/>
    </row>
    <row r="287" spans="2:10" s="1" customFormat="1" ht="14.4" customHeight="1" x14ac:dyDescent="0.35">
      <c r="B287" s="4"/>
      <c r="G287" s="41"/>
      <c r="I287" s="14"/>
      <c r="J287" s="223"/>
    </row>
    <row r="288" spans="2:10" s="1" customFormat="1" ht="14.4" customHeight="1" x14ac:dyDescent="0.35">
      <c r="B288" s="4"/>
      <c r="G288" s="41"/>
      <c r="I288" s="14"/>
      <c r="J288" s="223"/>
    </row>
    <row r="289" spans="2:10" s="1" customFormat="1" ht="14.4" customHeight="1" x14ac:dyDescent="0.35">
      <c r="B289" s="4"/>
      <c r="G289" s="41"/>
      <c r="I289" s="14"/>
      <c r="J289" s="223"/>
    </row>
    <row r="290" spans="2:10" s="1" customFormat="1" ht="14.4" customHeight="1" x14ac:dyDescent="0.35">
      <c r="B290" s="4"/>
      <c r="G290" s="41"/>
      <c r="I290" s="14"/>
      <c r="J290" s="223"/>
    </row>
    <row r="291" spans="2:10" s="1" customFormat="1" ht="14.4" customHeight="1" x14ac:dyDescent="0.35">
      <c r="B291" s="4"/>
      <c r="G291" s="41"/>
      <c r="I291" s="14"/>
      <c r="J291" s="223"/>
    </row>
    <row r="292" spans="2:10" s="1" customFormat="1" ht="14.4" customHeight="1" x14ac:dyDescent="0.35">
      <c r="B292" s="4"/>
      <c r="G292" s="41"/>
      <c r="I292" s="14"/>
      <c r="J292" s="223"/>
    </row>
    <row r="293" spans="2:10" s="1" customFormat="1" ht="14.4" customHeight="1" x14ac:dyDescent="0.35">
      <c r="B293" s="4"/>
      <c r="G293" s="41"/>
      <c r="I293" s="14"/>
      <c r="J293" s="223"/>
    </row>
    <row r="294" spans="2:10" s="1" customFormat="1" ht="14.4" customHeight="1" x14ac:dyDescent="0.35">
      <c r="B294" s="4"/>
      <c r="G294" s="41"/>
      <c r="I294" s="14"/>
      <c r="J294" s="223"/>
    </row>
    <row r="295" spans="2:10" s="1" customFormat="1" ht="14.4" customHeight="1" x14ac:dyDescent="0.35">
      <c r="B295" s="4"/>
      <c r="G295" s="41"/>
      <c r="I295" s="14"/>
      <c r="J295" s="223"/>
    </row>
    <row r="296" spans="2:10" s="1" customFormat="1" ht="14.4" customHeight="1" x14ac:dyDescent="0.35">
      <c r="B296" s="4"/>
      <c r="G296" s="41"/>
      <c r="I296" s="14"/>
      <c r="J296" s="223"/>
    </row>
    <row r="297" spans="2:10" s="1" customFormat="1" ht="14.4" customHeight="1" x14ac:dyDescent="0.35">
      <c r="B297" s="4"/>
      <c r="G297" s="41"/>
      <c r="I297" s="14"/>
      <c r="J297" s="223"/>
    </row>
    <row r="298" spans="2:10" s="1" customFormat="1" ht="14.4" customHeight="1" x14ac:dyDescent="0.35">
      <c r="B298" s="4"/>
      <c r="G298" s="41"/>
      <c r="I298" s="14"/>
      <c r="J298" s="223"/>
    </row>
    <row r="299" spans="2:10" s="1" customFormat="1" ht="14.4" customHeight="1" x14ac:dyDescent="0.35">
      <c r="B299" s="4"/>
      <c r="G299" s="41"/>
      <c r="I299" s="14"/>
      <c r="J299" s="223"/>
    </row>
    <row r="300" spans="2:10" s="1" customFormat="1" ht="14.4" customHeight="1" x14ac:dyDescent="0.35">
      <c r="B300" s="4"/>
      <c r="G300" s="41"/>
      <c r="I300" s="14"/>
      <c r="J300" s="223"/>
    </row>
    <row r="301" spans="2:10" s="1" customFormat="1" ht="14.5" x14ac:dyDescent="0.35">
      <c r="B301" s="4"/>
      <c r="G301" s="41"/>
      <c r="I301" s="14"/>
      <c r="J301" s="223"/>
    </row>
    <row r="302" spans="2:10" s="1" customFormat="1" ht="14.5" x14ac:dyDescent="0.35">
      <c r="B302" s="4"/>
      <c r="G302" s="41"/>
      <c r="I302" s="14"/>
      <c r="J302" s="223"/>
    </row>
    <row r="303" spans="2:10" s="1" customFormat="1" ht="14.5" x14ac:dyDescent="0.35">
      <c r="B303" s="4"/>
      <c r="G303" s="41"/>
      <c r="I303" s="14"/>
      <c r="J303" s="223"/>
    </row>
    <row r="304" spans="2:10" s="1" customFormat="1" ht="14.5" x14ac:dyDescent="0.35">
      <c r="B304" s="4"/>
      <c r="G304" s="41"/>
      <c r="I304" s="14"/>
      <c r="J304" s="223"/>
    </row>
    <row r="305" spans="2:10" s="1" customFormat="1" ht="14.5" x14ac:dyDescent="0.35">
      <c r="B305" s="4"/>
      <c r="G305" s="41"/>
      <c r="I305" s="14"/>
      <c r="J305" s="223"/>
    </row>
    <row r="306" spans="2:10" s="1" customFormat="1" ht="14.5" x14ac:dyDescent="0.35">
      <c r="B306" s="4"/>
      <c r="G306" s="41"/>
      <c r="I306" s="14"/>
      <c r="J306" s="223"/>
    </row>
    <row r="307" spans="2:10" s="1" customFormat="1" ht="14.5" x14ac:dyDescent="0.35">
      <c r="B307" s="4"/>
      <c r="G307" s="41"/>
      <c r="I307" s="14"/>
      <c r="J307" s="223"/>
    </row>
    <row r="308" spans="2:10" s="1" customFormat="1" ht="14.5" x14ac:dyDescent="0.35">
      <c r="B308" s="4"/>
      <c r="G308" s="41"/>
      <c r="I308" s="14"/>
      <c r="J308" s="223"/>
    </row>
    <row r="309" spans="2:10" s="1" customFormat="1" ht="14.5" x14ac:dyDescent="0.35">
      <c r="B309" s="4"/>
      <c r="G309" s="41"/>
      <c r="I309" s="14"/>
      <c r="J309" s="223"/>
    </row>
    <row r="310" spans="2:10" s="1" customFormat="1" ht="14.5" x14ac:dyDescent="0.35">
      <c r="B310" s="4"/>
      <c r="G310" s="41"/>
      <c r="I310" s="14"/>
      <c r="J310" s="223"/>
    </row>
    <row r="311" spans="2:10" s="1" customFormat="1" ht="14.5" x14ac:dyDescent="0.35">
      <c r="B311" s="4"/>
      <c r="G311" s="41"/>
      <c r="I311" s="14"/>
      <c r="J311" s="223"/>
    </row>
    <row r="312" spans="2:10" s="1" customFormat="1" ht="14.5" x14ac:dyDescent="0.35">
      <c r="B312" s="4"/>
      <c r="G312" s="41"/>
      <c r="I312" s="14"/>
      <c r="J312" s="223"/>
    </row>
    <row r="313" spans="2:10" s="1" customFormat="1" ht="14.5" x14ac:dyDescent="0.35">
      <c r="B313" s="4"/>
      <c r="G313" s="41"/>
      <c r="I313" s="14"/>
      <c r="J313" s="223"/>
    </row>
    <row r="314" spans="2:10" s="1" customFormat="1" ht="14.5" x14ac:dyDescent="0.35">
      <c r="B314" s="4"/>
      <c r="G314" s="41"/>
      <c r="I314" s="14"/>
      <c r="J314" s="223"/>
    </row>
    <row r="315" spans="2:10" s="1" customFormat="1" ht="14.5" x14ac:dyDescent="0.35">
      <c r="B315" s="4"/>
      <c r="G315" s="41"/>
      <c r="I315" s="14"/>
      <c r="J315" s="223"/>
    </row>
    <row r="316" spans="2:10" s="1" customFormat="1" ht="14.5" x14ac:dyDescent="0.35">
      <c r="B316" s="4"/>
      <c r="G316" s="41"/>
      <c r="I316" s="14"/>
      <c r="J316" s="223"/>
    </row>
    <row r="317" spans="2:10" s="1" customFormat="1" ht="14.5" x14ac:dyDescent="0.35">
      <c r="B317" s="4"/>
      <c r="G317" s="41"/>
      <c r="I317" s="14"/>
      <c r="J317" s="223"/>
    </row>
    <row r="318" spans="2:10" s="1" customFormat="1" ht="14.5" x14ac:dyDescent="0.35">
      <c r="B318" s="4"/>
      <c r="G318" s="41"/>
      <c r="I318" s="14"/>
      <c r="J318" s="223"/>
    </row>
    <row r="319" spans="2:10" s="1" customFormat="1" ht="14.5" x14ac:dyDescent="0.35">
      <c r="B319" s="4"/>
      <c r="G319" s="41"/>
      <c r="I319" s="14"/>
      <c r="J319" s="223"/>
    </row>
    <row r="320" spans="2:10" s="1" customFormat="1" ht="14.5" x14ac:dyDescent="0.35">
      <c r="B320" s="4"/>
      <c r="G320" s="41"/>
      <c r="I320" s="14"/>
      <c r="J320" s="223"/>
    </row>
    <row r="321" spans="2:10" s="1" customFormat="1" ht="14.5" x14ac:dyDescent="0.35">
      <c r="B321" s="4"/>
      <c r="G321" s="41"/>
      <c r="I321" s="14"/>
      <c r="J321" s="223"/>
    </row>
    <row r="322" spans="2:10" s="1" customFormat="1" ht="14.5" x14ac:dyDescent="0.35">
      <c r="B322" s="4"/>
      <c r="G322" s="41"/>
      <c r="I322" s="14"/>
      <c r="J322" s="223"/>
    </row>
    <row r="323" spans="2:10" s="1" customFormat="1" ht="14.5" x14ac:dyDescent="0.35">
      <c r="B323" s="4"/>
      <c r="G323" s="41"/>
      <c r="I323" s="14"/>
      <c r="J323" s="223"/>
    </row>
    <row r="324" spans="2:10" s="1" customFormat="1" ht="14.5" x14ac:dyDescent="0.35">
      <c r="B324" s="4"/>
      <c r="G324" s="41"/>
      <c r="I324" s="14"/>
      <c r="J324" s="223"/>
    </row>
    <row r="325" spans="2:10" s="1" customFormat="1" ht="14.5" x14ac:dyDescent="0.35">
      <c r="B325" s="4"/>
      <c r="G325" s="41"/>
      <c r="I325" s="14"/>
      <c r="J325" s="223"/>
    </row>
    <row r="326" spans="2:10" s="1" customFormat="1" ht="14.5" x14ac:dyDescent="0.35">
      <c r="B326" s="4"/>
      <c r="G326" s="41"/>
      <c r="I326" s="14"/>
      <c r="J326" s="223"/>
    </row>
    <row r="327" spans="2:10" s="1" customFormat="1" ht="14.5" x14ac:dyDescent="0.35">
      <c r="B327" s="4"/>
      <c r="G327" s="41"/>
      <c r="I327" s="14"/>
      <c r="J327" s="223"/>
    </row>
    <row r="328" spans="2:10" s="1" customFormat="1" ht="14.5" x14ac:dyDescent="0.35">
      <c r="B328" s="4"/>
      <c r="G328" s="41"/>
      <c r="I328" s="14"/>
      <c r="J328" s="223"/>
    </row>
    <row r="329" spans="2:10" s="1" customFormat="1" ht="14.5" x14ac:dyDescent="0.35">
      <c r="B329" s="4"/>
      <c r="G329" s="41"/>
      <c r="I329" s="14"/>
      <c r="J329" s="223"/>
    </row>
    <row r="330" spans="2:10" s="1" customFormat="1" ht="14.5" x14ac:dyDescent="0.35">
      <c r="B330" s="4"/>
      <c r="G330" s="41"/>
      <c r="I330" s="14"/>
      <c r="J330" s="223"/>
    </row>
    <row r="331" spans="2:10" s="1" customFormat="1" ht="14.5" x14ac:dyDescent="0.35">
      <c r="B331" s="4"/>
      <c r="G331" s="41"/>
      <c r="I331" s="14"/>
      <c r="J331" s="223"/>
    </row>
    <row r="332" spans="2:10" s="1" customFormat="1" ht="14.5" x14ac:dyDescent="0.35">
      <c r="B332" s="4"/>
      <c r="G332" s="41"/>
      <c r="I332" s="14"/>
      <c r="J332" s="223"/>
    </row>
    <row r="333" spans="2:10" s="1" customFormat="1" ht="14.5" x14ac:dyDescent="0.35">
      <c r="B333" s="4"/>
      <c r="G333" s="41"/>
      <c r="I333" s="14"/>
      <c r="J333" s="223"/>
    </row>
    <row r="334" spans="2:10" s="1" customFormat="1" ht="14.5" x14ac:dyDescent="0.35">
      <c r="B334" s="4"/>
      <c r="G334" s="41"/>
      <c r="I334" s="14"/>
      <c r="J334" s="223"/>
    </row>
    <row r="335" spans="2:10" s="1" customFormat="1" ht="14.5" x14ac:dyDescent="0.35">
      <c r="B335" s="4"/>
      <c r="G335" s="41"/>
      <c r="I335" s="14"/>
      <c r="J335" s="223"/>
    </row>
    <row r="336" spans="2:10" s="1" customFormat="1" ht="14.5" x14ac:dyDescent="0.35">
      <c r="B336" s="4"/>
      <c r="G336" s="41"/>
      <c r="I336" s="14"/>
      <c r="J336" s="223"/>
    </row>
    <row r="337" spans="2:10" s="1" customFormat="1" ht="14.5" x14ac:dyDescent="0.35">
      <c r="B337" s="4"/>
      <c r="G337" s="41"/>
      <c r="I337" s="14"/>
      <c r="J337" s="223"/>
    </row>
    <row r="338" spans="2:10" s="1" customFormat="1" ht="14.5" x14ac:dyDescent="0.35">
      <c r="B338" s="4"/>
      <c r="G338" s="41"/>
      <c r="I338" s="14"/>
      <c r="J338" s="223"/>
    </row>
    <row r="339" spans="2:10" s="1" customFormat="1" ht="14.5" x14ac:dyDescent="0.35">
      <c r="B339" s="4"/>
      <c r="G339" s="41"/>
      <c r="I339" s="14"/>
      <c r="J339" s="223"/>
    </row>
    <row r="340" spans="2:10" s="1" customFormat="1" ht="14.5" x14ac:dyDescent="0.35">
      <c r="B340" s="4"/>
      <c r="G340" s="41"/>
      <c r="I340" s="14"/>
      <c r="J340" s="223"/>
    </row>
    <row r="341" spans="2:10" s="1" customFormat="1" ht="14.5" x14ac:dyDescent="0.35">
      <c r="B341" s="4"/>
      <c r="G341" s="41"/>
      <c r="I341" s="14"/>
      <c r="J341" s="223"/>
    </row>
    <row r="342" spans="2:10" s="1" customFormat="1" ht="14.5" x14ac:dyDescent="0.35">
      <c r="B342" s="4"/>
      <c r="G342" s="41"/>
      <c r="I342" s="14"/>
      <c r="J342" s="223"/>
    </row>
    <row r="343" spans="2:10" s="1" customFormat="1" ht="14.5" x14ac:dyDescent="0.35">
      <c r="B343" s="4"/>
      <c r="G343" s="41"/>
      <c r="I343" s="14"/>
      <c r="J343" s="223"/>
    </row>
    <row r="344" spans="2:10" s="1" customFormat="1" ht="14.5" x14ac:dyDescent="0.35">
      <c r="B344" s="4"/>
      <c r="G344" s="41"/>
      <c r="I344" s="14"/>
      <c r="J344" s="223"/>
    </row>
    <row r="345" spans="2:10" s="1" customFormat="1" ht="14.5" x14ac:dyDescent="0.35">
      <c r="B345" s="4"/>
      <c r="G345" s="41"/>
      <c r="I345" s="14"/>
      <c r="J345" s="223"/>
    </row>
    <row r="346" spans="2:10" s="1" customFormat="1" ht="14.5" x14ac:dyDescent="0.35">
      <c r="B346" s="4"/>
      <c r="G346" s="41"/>
      <c r="I346" s="14"/>
      <c r="J346" s="223"/>
    </row>
    <row r="347" spans="2:10" s="1" customFormat="1" ht="14.5" x14ac:dyDescent="0.35">
      <c r="B347" s="4"/>
      <c r="G347" s="41"/>
      <c r="I347" s="14"/>
      <c r="J347" s="223"/>
    </row>
    <row r="348" spans="2:10" s="1" customFormat="1" ht="14.5" x14ac:dyDescent="0.35">
      <c r="B348" s="4"/>
      <c r="G348" s="41"/>
      <c r="I348" s="14"/>
      <c r="J348" s="223"/>
    </row>
    <row r="349" spans="2:10" s="1" customFormat="1" ht="14.5" x14ac:dyDescent="0.35">
      <c r="B349" s="4"/>
      <c r="G349" s="41"/>
      <c r="I349" s="14"/>
      <c r="J349" s="223"/>
    </row>
    <row r="350" spans="2:10" s="1" customFormat="1" ht="14.5" x14ac:dyDescent="0.35">
      <c r="B350" s="4"/>
      <c r="G350" s="41"/>
      <c r="I350" s="14"/>
      <c r="J350" s="223"/>
    </row>
    <row r="351" spans="2:10" s="1" customFormat="1" ht="14.5" x14ac:dyDescent="0.35">
      <c r="B351" s="4"/>
      <c r="G351" s="41"/>
      <c r="I351" s="14"/>
      <c r="J351" s="223"/>
    </row>
    <row r="352" spans="2:10" s="1" customFormat="1" ht="14.5" x14ac:dyDescent="0.35">
      <c r="B352" s="4"/>
      <c r="G352" s="41"/>
      <c r="I352" s="14"/>
      <c r="J352" s="223"/>
    </row>
    <row r="353" spans="2:10" s="1" customFormat="1" ht="14.5" x14ac:dyDescent="0.35">
      <c r="B353" s="4"/>
      <c r="G353" s="41"/>
      <c r="I353" s="14"/>
      <c r="J353" s="223"/>
    </row>
    <row r="354" spans="2:10" s="1" customFormat="1" ht="14.5" x14ac:dyDescent="0.35">
      <c r="B354" s="4"/>
      <c r="G354" s="41"/>
      <c r="I354" s="14"/>
      <c r="J354" s="223"/>
    </row>
    <row r="355" spans="2:10" s="1" customFormat="1" ht="14.5" x14ac:dyDescent="0.35">
      <c r="B355" s="4"/>
      <c r="G355" s="41"/>
      <c r="I355" s="14"/>
      <c r="J355" s="223"/>
    </row>
    <row r="356" spans="2:10" s="1" customFormat="1" ht="14.5" x14ac:dyDescent="0.35">
      <c r="B356" s="4"/>
      <c r="G356" s="41"/>
      <c r="I356" s="14"/>
      <c r="J356" s="223"/>
    </row>
    <row r="357" spans="2:10" s="1" customFormat="1" ht="14.5" x14ac:dyDescent="0.35">
      <c r="B357" s="4"/>
      <c r="G357" s="41"/>
      <c r="I357" s="14"/>
      <c r="J357" s="223"/>
    </row>
    <row r="358" spans="2:10" s="1" customFormat="1" ht="14.5" x14ac:dyDescent="0.35">
      <c r="B358" s="4"/>
      <c r="G358" s="41"/>
      <c r="I358" s="14"/>
      <c r="J358" s="223"/>
    </row>
    <row r="359" spans="2:10" s="1" customFormat="1" ht="14.5" x14ac:dyDescent="0.35">
      <c r="B359" s="4"/>
      <c r="G359" s="41"/>
      <c r="I359" s="14"/>
      <c r="J359" s="223"/>
    </row>
    <row r="360" spans="2:10" s="1" customFormat="1" ht="14.5" x14ac:dyDescent="0.35">
      <c r="B360" s="4"/>
      <c r="G360" s="41"/>
      <c r="I360" s="14"/>
      <c r="J360" s="223"/>
    </row>
    <row r="361" spans="2:10" s="1" customFormat="1" ht="14.5" x14ac:dyDescent="0.35">
      <c r="B361" s="4"/>
      <c r="G361" s="41"/>
      <c r="I361" s="14"/>
      <c r="J361" s="223"/>
    </row>
    <row r="362" spans="2:10" s="1" customFormat="1" ht="14.5" x14ac:dyDescent="0.35">
      <c r="B362" s="4"/>
      <c r="G362" s="41"/>
      <c r="I362" s="14"/>
      <c r="J362" s="223"/>
    </row>
    <row r="363" spans="2:10" s="1" customFormat="1" ht="14.5" x14ac:dyDescent="0.35">
      <c r="B363" s="4"/>
      <c r="G363" s="41"/>
      <c r="I363" s="14"/>
      <c r="J363" s="223"/>
    </row>
    <row r="364" spans="2:10" s="1" customFormat="1" ht="14.5" x14ac:dyDescent="0.35">
      <c r="B364" s="4"/>
      <c r="G364" s="41"/>
      <c r="I364" s="14"/>
      <c r="J364" s="223"/>
    </row>
    <row r="365" spans="2:10" s="1" customFormat="1" ht="14.5" x14ac:dyDescent="0.35">
      <c r="B365" s="4"/>
      <c r="G365" s="41"/>
      <c r="I365" s="14"/>
      <c r="J365" s="223"/>
    </row>
    <row r="366" spans="2:10" s="1" customFormat="1" ht="14.5" x14ac:dyDescent="0.35">
      <c r="B366" s="4"/>
      <c r="G366" s="41"/>
      <c r="I366" s="14"/>
      <c r="J366" s="223"/>
    </row>
    <row r="367" spans="2:10" s="1" customFormat="1" ht="14.5" x14ac:dyDescent="0.35">
      <c r="B367" s="4"/>
      <c r="G367" s="41"/>
      <c r="I367" s="14"/>
      <c r="J367" s="223"/>
    </row>
    <row r="368" spans="2:10" s="1" customFormat="1" ht="14.5" x14ac:dyDescent="0.35">
      <c r="B368" s="4"/>
      <c r="G368" s="41"/>
      <c r="I368" s="14"/>
      <c r="J368" s="223"/>
    </row>
    <row r="369" spans="2:10" s="1" customFormat="1" ht="14.5" x14ac:dyDescent="0.35">
      <c r="B369" s="4"/>
      <c r="G369" s="41"/>
      <c r="I369" s="14"/>
      <c r="J369" s="223"/>
    </row>
    <row r="370" spans="2:10" s="1" customFormat="1" ht="14.5" x14ac:dyDescent="0.35">
      <c r="B370" s="4"/>
      <c r="G370" s="41"/>
      <c r="I370" s="14"/>
      <c r="J370" s="223"/>
    </row>
    <row r="371" spans="2:10" s="1" customFormat="1" ht="14.5" x14ac:dyDescent="0.35">
      <c r="B371" s="4"/>
      <c r="G371" s="41"/>
      <c r="I371" s="14"/>
      <c r="J371" s="223"/>
    </row>
    <row r="372" spans="2:10" s="1" customFormat="1" ht="14.5" x14ac:dyDescent="0.35">
      <c r="B372" s="4"/>
      <c r="G372" s="41"/>
      <c r="I372" s="14"/>
      <c r="J372" s="223"/>
    </row>
    <row r="373" spans="2:10" s="1" customFormat="1" ht="14.5" x14ac:dyDescent="0.35">
      <c r="B373" s="4"/>
      <c r="G373" s="41"/>
      <c r="I373" s="14"/>
      <c r="J373" s="223"/>
    </row>
    <row r="374" spans="2:10" s="1" customFormat="1" ht="14.5" x14ac:dyDescent="0.35">
      <c r="B374" s="4"/>
      <c r="G374" s="41"/>
      <c r="I374" s="14"/>
      <c r="J374" s="223"/>
    </row>
    <row r="375" spans="2:10" s="1" customFormat="1" ht="14.5" x14ac:dyDescent="0.35">
      <c r="B375" s="4"/>
      <c r="G375" s="41"/>
      <c r="I375" s="14"/>
      <c r="J375" s="223"/>
    </row>
    <row r="376" spans="2:10" s="1" customFormat="1" ht="14.5" x14ac:dyDescent="0.35">
      <c r="B376" s="4"/>
      <c r="G376" s="41"/>
      <c r="I376" s="14"/>
      <c r="J376" s="223"/>
    </row>
    <row r="377" spans="2:10" s="1" customFormat="1" ht="14.5" x14ac:dyDescent="0.35">
      <c r="B377" s="4"/>
      <c r="G377" s="41"/>
      <c r="I377" s="14"/>
      <c r="J377" s="223"/>
    </row>
    <row r="378" spans="2:10" s="1" customFormat="1" ht="14.5" x14ac:dyDescent="0.35">
      <c r="B378" s="4"/>
      <c r="G378" s="41"/>
      <c r="I378" s="14"/>
      <c r="J378" s="223"/>
    </row>
    <row r="379" spans="2:10" s="1" customFormat="1" ht="14.5" x14ac:dyDescent="0.35">
      <c r="B379" s="4"/>
      <c r="G379" s="41"/>
      <c r="I379" s="14"/>
      <c r="J379" s="223"/>
    </row>
    <row r="380" spans="2:10" s="1" customFormat="1" ht="14.5" x14ac:dyDescent="0.35">
      <c r="B380" s="4"/>
      <c r="G380" s="41"/>
      <c r="I380" s="14"/>
      <c r="J380" s="223"/>
    </row>
    <row r="381" spans="2:10" s="1" customFormat="1" ht="14.5" x14ac:dyDescent="0.35">
      <c r="B381" s="4"/>
      <c r="G381" s="41"/>
      <c r="I381" s="14"/>
      <c r="J381" s="223"/>
    </row>
    <row r="382" spans="2:10" s="1" customFormat="1" ht="14.5" x14ac:dyDescent="0.35">
      <c r="B382" s="4"/>
      <c r="G382" s="41"/>
      <c r="I382" s="14"/>
      <c r="J382" s="223"/>
    </row>
    <row r="383" spans="2:10" s="1" customFormat="1" ht="14.5" x14ac:dyDescent="0.35">
      <c r="B383" s="4"/>
      <c r="G383" s="41"/>
      <c r="I383" s="14"/>
      <c r="J383" s="223"/>
    </row>
    <row r="384" spans="2:10" s="1" customFormat="1" ht="14.5" x14ac:dyDescent="0.35">
      <c r="B384" s="4"/>
      <c r="G384" s="41"/>
      <c r="I384" s="14"/>
      <c r="J384" s="223"/>
    </row>
    <row r="385" spans="2:10" s="1" customFormat="1" ht="14.5" x14ac:dyDescent="0.35">
      <c r="B385" s="4"/>
      <c r="G385" s="41"/>
      <c r="I385" s="14"/>
      <c r="J385" s="223"/>
    </row>
    <row r="386" spans="2:10" s="1" customFormat="1" ht="14.5" x14ac:dyDescent="0.35">
      <c r="B386" s="4"/>
      <c r="G386" s="41"/>
      <c r="I386" s="14"/>
      <c r="J386" s="223"/>
    </row>
    <row r="387" spans="2:10" s="1" customFormat="1" ht="14.5" x14ac:dyDescent="0.35">
      <c r="B387" s="4"/>
      <c r="G387" s="41"/>
      <c r="I387" s="14"/>
      <c r="J387" s="223"/>
    </row>
    <row r="388" spans="2:10" s="1" customFormat="1" ht="14.5" x14ac:dyDescent="0.35">
      <c r="B388" s="4"/>
      <c r="G388" s="41"/>
      <c r="I388" s="14"/>
      <c r="J388" s="223"/>
    </row>
    <row r="389" spans="2:10" s="1" customFormat="1" ht="14.5" x14ac:dyDescent="0.35">
      <c r="B389" s="4"/>
      <c r="G389" s="41"/>
      <c r="I389" s="14"/>
      <c r="J389" s="223"/>
    </row>
    <row r="390" spans="2:10" s="1" customFormat="1" ht="14.5" x14ac:dyDescent="0.35">
      <c r="B390" s="4"/>
      <c r="G390" s="41"/>
      <c r="I390" s="14"/>
      <c r="J390" s="223"/>
    </row>
    <row r="391" spans="2:10" s="1" customFormat="1" ht="14.5" x14ac:dyDescent="0.35">
      <c r="B391" s="4"/>
      <c r="G391" s="41"/>
      <c r="I391" s="14"/>
      <c r="J391" s="223"/>
    </row>
    <row r="392" spans="2:10" s="1" customFormat="1" ht="14.5" x14ac:dyDescent="0.35">
      <c r="B392" s="4"/>
      <c r="G392" s="41"/>
      <c r="I392" s="14"/>
      <c r="J392" s="223"/>
    </row>
    <row r="393" spans="2:10" s="1" customFormat="1" ht="14.5" x14ac:dyDescent="0.35">
      <c r="B393" s="4"/>
      <c r="G393" s="41"/>
      <c r="I393" s="14"/>
      <c r="J393" s="223"/>
    </row>
    <row r="394" spans="2:10" s="1" customFormat="1" ht="14.5" x14ac:dyDescent="0.35">
      <c r="B394" s="4"/>
      <c r="G394" s="41"/>
      <c r="I394" s="14"/>
      <c r="J394" s="223"/>
    </row>
    <row r="395" spans="2:10" s="1" customFormat="1" ht="14.5" x14ac:dyDescent="0.35">
      <c r="B395" s="4"/>
      <c r="G395" s="41"/>
      <c r="I395" s="14"/>
      <c r="J395" s="223"/>
    </row>
    <row r="396" spans="2:10" s="1" customFormat="1" ht="14.5" x14ac:dyDescent="0.35">
      <c r="B396" s="4"/>
      <c r="G396" s="41"/>
      <c r="I396" s="14"/>
      <c r="J396" s="223"/>
    </row>
    <row r="397" spans="2:10" s="1" customFormat="1" ht="14.5" x14ac:dyDescent="0.35">
      <c r="B397" s="4"/>
      <c r="G397" s="41"/>
      <c r="I397" s="14"/>
      <c r="J397" s="223"/>
    </row>
    <row r="398" spans="2:10" s="1" customFormat="1" ht="14.5" x14ac:dyDescent="0.35">
      <c r="B398" s="4"/>
      <c r="G398" s="41"/>
      <c r="I398" s="14"/>
      <c r="J398" s="223"/>
    </row>
    <row r="399" spans="2:10" s="1" customFormat="1" ht="14.5" x14ac:dyDescent="0.35">
      <c r="B399" s="4"/>
      <c r="G399" s="41"/>
      <c r="I399" s="14"/>
      <c r="J399" s="223"/>
    </row>
    <row r="400" spans="2:10" s="1" customFormat="1" ht="14.5" x14ac:dyDescent="0.35">
      <c r="B400" s="4"/>
      <c r="G400" s="41"/>
      <c r="I400" s="14"/>
      <c r="J400" s="223"/>
    </row>
    <row r="401" spans="2:10" s="1" customFormat="1" ht="14.5" x14ac:dyDescent="0.35">
      <c r="B401" s="4"/>
      <c r="G401" s="41"/>
      <c r="I401" s="14"/>
      <c r="J401" s="223"/>
    </row>
    <row r="402" spans="2:10" s="1" customFormat="1" ht="14.5" x14ac:dyDescent="0.35">
      <c r="B402" s="4"/>
      <c r="G402" s="41"/>
      <c r="I402" s="14"/>
      <c r="J402" s="223"/>
    </row>
    <row r="403" spans="2:10" s="1" customFormat="1" ht="14.5" x14ac:dyDescent="0.35">
      <c r="B403" s="4"/>
      <c r="G403" s="41"/>
      <c r="I403" s="14"/>
      <c r="J403" s="223"/>
    </row>
    <row r="404" spans="2:10" s="1" customFormat="1" ht="14.5" x14ac:dyDescent="0.35">
      <c r="B404" s="4"/>
      <c r="G404" s="41"/>
      <c r="I404" s="14"/>
      <c r="J404" s="223"/>
    </row>
    <row r="405" spans="2:10" s="1" customFormat="1" ht="14.5" x14ac:dyDescent="0.35">
      <c r="B405" s="4"/>
      <c r="G405" s="41"/>
      <c r="I405" s="14"/>
      <c r="J405" s="223"/>
    </row>
    <row r="406" spans="2:10" s="1" customFormat="1" ht="14.5" x14ac:dyDescent="0.35">
      <c r="B406" s="4"/>
      <c r="G406" s="41"/>
      <c r="I406" s="14"/>
      <c r="J406" s="223"/>
    </row>
    <row r="407" spans="2:10" s="1" customFormat="1" ht="14.5" x14ac:dyDescent="0.35">
      <c r="B407" s="4"/>
      <c r="G407" s="41"/>
      <c r="I407" s="14"/>
      <c r="J407" s="223"/>
    </row>
    <row r="408" spans="2:10" s="1" customFormat="1" ht="14.5" x14ac:dyDescent="0.35">
      <c r="B408" s="4"/>
      <c r="G408" s="41"/>
      <c r="I408" s="14"/>
      <c r="J408" s="223"/>
    </row>
    <row r="409" spans="2:10" s="1" customFormat="1" ht="14.5" x14ac:dyDescent="0.35">
      <c r="B409" s="4"/>
      <c r="G409" s="41"/>
      <c r="I409" s="14"/>
      <c r="J409" s="223"/>
    </row>
    <row r="410" spans="2:10" s="1" customFormat="1" ht="14.5" x14ac:dyDescent="0.35">
      <c r="B410" s="4"/>
      <c r="G410" s="41"/>
      <c r="I410" s="14"/>
      <c r="J410" s="223"/>
    </row>
    <row r="411" spans="2:10" s="1" customFormat="1" ht="14.5" x14ac:dyDescent="0.35">
      <c r="B411" s="4"/>
      <c r="G411" s="41"/>
      <c r="I411" s="14"/>
      <c r="J411" s="223"/>
    </row>
    <row r="412" spans="2:10" s="1" customFormat="1" ht="14.5" x14ac:dyDescent="0.35">
      <c r="B412" s="4"/>
      <c r="G412" s="41"/>
      <c r="I412" s="14"/>
      <c r="J412" s="223"/>
    </row>
    <row r="413" spans="2:10" s="1" customFormat="1" ht="14.5" x14ac:dyDescent="0.35">
      <c r="B413" s="4"/>
      <c r="G413" s="41"/>
      <c r="I413" s="14"/>
      <c r="J413" s="223"/>
    </row>
    <row r="414" spans="2:10" s="1" customFormat="1" ht="14.5" x14ac:dyDescent="0.35">
      <c r="B414" s="4"/>
      <c r="G414" s="41"/>
      <c r="I414" s="14"/>
      <c r="J414" s="223"/>
    </row>
    <row r="415" spans="2:10" s="1" customFormat="1" ht="14.5" x14ac:dyDescent="0.35">
      <c r="B415" s="4"/>
      <c r="G415" s="41"/>
      <c r="I415" s="14"/>
      <c r="J415" s="223"/>
    </row>
    <row r="416" spans="2:10" s="1" customFormat="1" ht="14.5" x14ac:dyDescent="0.35">
      <c r="B416" s="4"/>
      <c r="G416" s="41"/>
      <c r="I416" s="14"/>
      <c r="J416" s="223"/>
    </row>
    <row r="417" spans="2:10" s="1" customFormat="1" ht="14.5" x14ac:dyDescent="0.35">
      <c r="B417" s="4"/>
      <c r="G417" s="41"/>
      <c r="I417" s="14"/>
      <c r="J417" s="223"/>
    </row>
    <row r="418" spans="2:10" s="1" customFormat="1" ht="14.5" x14ac:dyDescent="0.35">
      <c r="B418" s="4"/>
      <c r="G418" s="41"/>
      <c r="I418" s="14"/>
      <c r="J418" s="223"/>
    </row>
    <row r="419" spans="2:10" s="1" customFormat="1" ht="14.5" x14ac:dyDescent="0.35">
      <c r="B419" s="4"/>
      <c r="G419" s="41"/>
      <c r="I419" s="14"/>
      <c r="J419" s="223"/>
    </row>
    <row r="420" spans="2:10" s="1" customFormat="1" ht="14.5" x14ac:dyDescent="0.35">
      <c r="B420" s="4"/>
      <c r="G420" s="41"/>
      <c r="I420" s="14"/>
      <c r="J420" s="223"/>
    </row>
    <row r="421" spans="2:10" s="1" customFormat="1" ht="14.5" x14ac:dyDescent="0.35">
      <c r="B421" s="4"/>
      <c r="G421" s="41"/>
      <c r="I421" s="14"/>
      <c r="J421" s="223"/>
    </row>
    <row r="422" spans="2:10" s="1" customFormat="1" ht="14.5" x14ac:dyDescent="0.35">
      <c r="B422" s="4"/>
      <c r="G422" s="41"/>
      <c r="I422" s="14"/>
      <c r="J422" s="223"/>
    </row>
    <row r="423" spans="2:10" s="1" customFormat="1" ht="14.5" x14ac:dyDescent="0.35">
      <c r="B423" s="4"/>
      <c r="G423" s="41"/>
      <c r="I423" s="14"/>
      <c r="J423" s="223"/>
    </row>
    <row r="424" spans="2:10" s="1" customFormat="1" ht="14.5" x14ac:dyDescent="0.35">
      <c r="B424" s="4"/>
      <c r="G424" s="41"/>
      <c r="I424" s="14"/>
      <c r="J424" s="223"/>
    </row>
    <row r="425" spans="2:10" s="1" customFormat="1" ht="14.5" x14ac:dyDescent="0.35">
      <c r="B425" s="4"/>
      <c r="G425" s="41"/>
      <c r="I425" s="14"/>
      <c r="J425" s="223"/>
    </row>
    <row r="426" spans="2:10" s="1" customFormat="1" ht="14.5" x14ac:dyDescent="0.35">
      <c r="B426" s="4"/>
      <c r="G426" s="41"/>
      <c r="I426" s="14"/>
      <c r="J426" s="223"/>
    </row>
    <row r="427" spans="2:10" s="1" customFormat="1" ht="14.5" x14ac:dyDescent="0.35">
      <c r="B427" s="4"/>
      <c r="G427" s="41"/>
      <c r="I427" s="14"/>
      <c r="J427" s="223"/>
    </row>
    <row r="428" spans="2:10" s="1" customFormat="1" ht="14.5" x14ac:dyDescent="0.35">
      <c r="B428" s="4"/>
      <c r="G428" s="41"/>
      <c r="I428" s="14"/>
      <c r="J428" s="223"/>
    </row>
    <row r="429" spans="2:10" s="1" customFormat="1" ht="14.5" x14ac:dyDescent="0.35">
      <c r="B429" s="4"/>
      <c r="G429" s="41"/>
      <c r="I429" s="14"/>
      <c r="J429" s="223"/>
    </row>
    <row r="430" spans="2:10" s="1" customFormat="1" ht="14.5" x14ac:dyDescent="0.35">
      <c r="B430" s="4"/>
      <c r="G430" s="41"/>
      <c r="I430" s="14"/>
      <c r="J430" s="223"/>
    </row>
    <row r="431" spans="2:10" s="1" customFormat="1" ht="14.5" x14ac:dyDescent="0.35">
      <c r="B431" s="4"/>
      <c r="G431" s="41"/>
      <c r="I431" s="14"/>
      <c r="J431" s="223"/>
    </row>
    <row r="432" spans="2:10" s="1" customFormat="1" ht="14.5" x14ac:dyDescent="0.35">
      <c r="B432" s="4"/>
      <c r="G432" s="41"/>
      <c r="I432" s="14"/>
      <c r="J432" s="223"/>
    </row>
    <row r="433" spans="2:10" s="1" customFormat="1" ht="14.5" x14ac:dyDescent="0.35">
      <c r="B433" s="4"/>
      <c r="G433" s="41"/>
      <c r="I433" s="14"/>
      <c r="J433" s="223"/>
    </row>
    <row r="434" spans="2:10" s="1" customFormat="1" ht="14.5" x14ac:dyDescent="0.35">
      <c r="B434" s="4"/>
      <c r="G434" s="41"/>
      <c r="I434" s="14"/>
      <c r="J434" s="223"/>
    </row>
    <row r="435" spans="2:10" s="1" customFormat="1" ht="14.5" x14ac:dyDescent="0.35">
      <c r="B435" s="4"/>
      <c r="G435" s="41"/>
      <c r="I435" s="14"/>
      <c r="J435" s="223"/>
    </row>
    <row r="436" spans="2:10" s="1" customFormat="1" ht="14.5" x14ac:dyDescent="0.35">
      <c r="B436" s="4"/>
      <c r="G436" s="41"/>
      <c r="I436" s="14"/>
      <c r="J436" s="223"/>
    </row>
    <row r="437" spans="2:10" s="1" customFormat="1" ht="14.5" x14ac:dyDescent="0.35">
      <c r="B437" s="4"/>
      <c r="G437" s="41"/>
      <c r="I437" s="14"/>
      <c r="J437" s="223"/>
    </row>
    <row r="438" spans="2:10" s="1" customFormat="1" ht="14.5" x14ac:dyDescent="0.35">
      <c r="B438" s="4"/>
      <c r="G438" s="41"/>
      <c r="I438" s="14"/>
      <c r="J438" s="223"/>
    </row>
    <row r="439" spans="2:10" s="1" customFormat="1" ht="14.5" x14ac:dyDescent="0.35">
      <c r="B439" s="4"/>
      <c r="G439" s="41"/>
      <c r="I439" s="14"/>
      <c r="J439" s="223"/>
    </row>
    <row r="440" spans="2:10" s="1" customFormat="1" ht="14.5" x14ac:dyDescent="0.35">
      <c r="B440" s="4"/>
      <c r="G440" s="41"/>
      <c r="I440" s="14"/>
      <c r="J440" s="223"/>
    </row>
    <row r="441" spans="2:10" s="1" customFormat="1" ht="14.5" x14ac:dyDescent="0.35">
      <c r="B441" s="4"/>
      <c r="G441" s="41"/>
      <c r="I441" s="14"/>
      <c r="J441" s="223"/>
    </row>
    <row r="442" spans="2:10" s="1" customFormat="1" ht="14.5" x14ac:dyDescent="0.35">
      <c r="B442" s="4"/>
      <c r="G442" s="41"/>
      <c r="I442" s="14"/>
      <c r="J442" s="223"/>
    </row>
    <row r="443" spans="2:10" s="1" customFormat="1" ht="14.5" x14ac:dyDescent="0.35">
      <c r="B443" s="4"/>
      <c r="G443" s="41"/>
      <c r="I443" s="14"/>
      <c r="J443" s="223"/>
    </row>
    <row r="444" spans="2:10" s="1" customFormat="1" ht="14.5" x14ac:dyDescent="0.35">
      <c r="B444" s="4"/>
      <c r="G444" s="41"/>
      <c r="I444" s="14"/>
      <c r="J444" s="223"/>
    </row>
    <row r="445" spans="2:10" s="1" customFormat="1" ht="14.5" x14ac:dyDescent="0.35">
      <c r="B445" s="4"/>
      <c r="G445" s="41"/>
      <c r="I445" s="14"/>
      <c r="J445" s="223"/>
    </row>
    <row r="446" spans="2:10" s="1" customFormat="1" ht="14.5" x14ac:dyDescent="0.35">
      <c r="B446" s="4"/>
      <c r="G446" s="41"/>
      <c r="I446" s="14"/>
      <c r="J446" s="223"/>
    </row>
    <row r="447" spans="2:10" s="1" customFormat="1" ht="14.5" x14ac:dyDescent="0.35">
      <c r="B447" s="4"/>
      <c r="G447" s="41"/>
      <c r="I447" s="14"/>
      <c r="J447" s="223"/>
    </row>
    <row r="448" spans="2:10" s="1" customFormat="1" ht="14.5" x14ac:dyDescent="0.35">
      <c r="B448" s="4"/>
      <c r="G448" s="41"/>
      <c r="I448" s="14"/>
      <c r="J448" s="223"/>
    </row>
    <row r="449" spans="2:10" s="1" customFormat="1" ht="14.5" x14ac:dyDescent="0.35">
      <c r="B449" s="4"/>
      <c r="G449" s="41"/>
      <c r="I449" s="14"/>
      <c r="J449" s="223"/>
    </row>
    <row r="450" spans="2:10" s="1" customFormat="1" ht="14.5" x14ac:dyDescent="0.35">
      <c r="B450" s="4"/>
      <c r="G450" s="41"/>
      <c r="I450" s="14"/>
      <c r="J450" s="223"/>
    </row>
    <row r="451" spans="2:10" s="1" customFormat="1" ht="14.5" x14ac:dyDescent="0.35">
      <c r="B451" s="4"/>
      <c r="G451" s="41"/>
      <c r="I451" s="14"/>
      <c r="J451" s="223"/>
    </row>
    <row r="452" spans="2:10" s="1" customFormat="1" ht="14.5" x14ac:dyDescent="0.35">
      <c r="B452" s="4"/>
      <c r="G452" s="41"/>
      <c r="I452" s="14"/>
      <c r="J452" s="223"/>
    </row>
    <row r="453" spans="2:10" s="1" customFormat="1" ht="14.5" x14ac:dyDescent="0.35">
      <c r="B453" s="4"/>
      <c r="G453" s="41"/>
      <c r="I453" s="14"/>
      <c r="J453" s="223"/>
    </row>
    <row r="454" spans="2:10" s="1" customFormat="1" ht="14.5" x14ac:dyDescent="0.35">
      <c r="B454" s="4"/>
      <c r="G454" s="41"/>
      <c r="I454" s="14"/>
      <c r="J454" s="223"/>
    </row>
    <row r="455" spans="2:10" s="1" customFormat="1" ht="14.5" x14ac:dyDescent="0.35">
      <c r="B455" s="4"/>
      <c r="G455" s="41"/>
      <c r="I455" s="14"/>
      <c r="J455" s="223"/>
    </row>
    <row r="456" spans="2:10" s="1" customFormat="1" ht="14.5" x14ac:dyDescent="0.35">
      <c r="B456" s="4"/>
      <c r="G456" s="41"/>
      <c r="I456" s="14"/>
      <c r="J456" s="223"/>
    </row>
    <row r="457" spans="2:10" s="1" customFormat="1" ht="14.5" x14ac:dyDescent="0.35">
      <c r="B457" s="4"/>
      <c r="G457" s="41"/>
      <c r="I457" s="14"/>
      <c r="J457" s="223"/>
    </row>
    <row r="458" spans="2:10" s="1" customFormat="1" ht="14.5" x14ac:dyDescent="0.35">
      <c r="B458" s="4"/>
      <c r="G458" s="41"/>
      <c r="I458" s="14"/>
      <c r="J458" s="223"/>
    </row>
    <row r="459" spans="2:10" s="1" customFormat="1" ht="14.5" x14ac:dyDescent="0.35">
      <c r="B459" s="4"/>
      <c r="G459" s="41"/>
      <c r="I459" s="14"/>
      <c r="J459" s="223"/>
    </row>
    <row r="460" spans="2:10" s="1" customFormat="1" ht="14.5" x14ac:dyDescent="0.35">
      <c r="B460" s="4"/>
      <c r="G460" s="41"/>
      <c r="I460" s="14"/>
      <c r="J460" s="223"/>
    </row>
    <row r="461" spans="2:10" s="1" customFormat="1" ht="14.5" x14ac:dyDescent="0.35">
      <c r="B461" s="4"/>
      <c r="G461" s="41"/>
      <c r="I461" s="14"/>
      <c r="J461" s="223"/>
    </row>
    <row r="462" spans="2:10" s="1" customFormat="1" ht="14.5" x14ac:dyDescent="0.35">
      <c r="B462" s="4"/>
      <c r="G462" s="41"/>
      <c r="I462" s="14"/>
      <c r="J462" s="223"/>
    </row>
    <row r="463" spans="2:10" s="1" customFormat="1" ht="14.5" x14ac:dyDescent="0.35">
      <c r="B463" s="4"/>
      <c r="G463" s="41"/>
      <c r="I463" s="14"/>
      <c r="J463" s="223"/>
    </row>
    <row r="464" spans="2:10" s="1" customFormat="1" ht="14.5" x14ac:dyDescent="0.35">
      <c r="B464" s="4"/>
      <c r="G464" s="41"/>
      <c r="I464" s="14"/>
      <c r="J464" s="223"/>
    </row>
    <row r="465" spans="1:14" s="1" customFormat="1" ht="14.5" x14ac:dyDescent="0.35">
      <c r="B465" s="4"/>
      <c r="G465" s="41"/>
      <c r="I465" s="14"/>
      <c r="J465" s="223"/>
    </row>
    <row r="466" spans="1:14" s="1" customFormat="1" ht="14.5" x14ac:dyDescent="0.35">
      <c r="B466" s="4"/>
      <c r="G466" s="41"/>
      <c r="I466" s="14"/>
      <c r="J466" s="223"/>
    </row>
    <row r="467" spans="1:14" s="1" customFormat="1" ht="14.5" x14ac:dyDescent="0.35">
      <c r="B467" s="4"/>
      <c r="G467" s="41"/>
      <c r="I467" s="14"/>
      <c r="J467" s="223"/>
    </row>
    <row r="468" spans="1:14" s="1" customFormat="1" ht="14.5" x14ac:dyDescent="0.35">
      <c r="B468" s="4"/>
      <c r="G468" s="41"/>
      <c r="I468" s="14"/>
      <c r="J468" s="223"/>
    </row>
    <row r="469" spans="1:14" s="1" customFormat="1" ht="14.5" x14ac:dyDescent="0.35">
      <c r="B469" s="4"/>
      <c r="G469" s="41"/>
      <c r="I469" s="14"/>
      <c r="J469" s="223"/>
    </row>
    <row r="470" spans="1:14" s="1" customFormat="1" ht="14.5" x14ac:dyDescent="0.35">
      <c r="B470" s="4"/>
      <c r="G470" s="41"/>
      <c r="I470" s="14"/>
      <c r="J470" s="223"/>
    </row>
    <row r="471" spans="1:14" s="1" customFormat="1" ht="14.5" x14ac:dyDescent="0.35">
      <c r="B471" s="4"/>
      <c r="G471" s="41"/>
      <c r="I471" s="14"/>
      <c r="J471" s="223"/>
    </row>
    <row r="472" spans="1:14" s="1" customFormat="1" ht="14.5" x14ac:dyDescent="0.35">
      <c r="B472" s="4"/>
      <c r="G472" s="41"/>
      <c r="I472" s="14"/>
      <c r="J472" s="223"/>
    </row>
    <row r="473" spans="1:14" s="1" customFormat="1" ht="14.5" x14ac:dyDescent="0.35">
      <c r="B473" s="4"/>
      <c r="G473" s="41"/>
      <c r="I473" s="14"/>
      <c r="J473" s="223"/>
    </row>
    <row r="474" spans="1:14" s="1" customFormat="1" ht="14.5" x14ac:dyDescent="0.35">
      <c r="B474" s="4"/>
      <c r="G474" s="41"/>
      <c r="I474" s="14"/>
      <c r="J474" s="223"/>
    </row>
    <row r="475" spans="1:14" s="1" customFormat="1" ht="14.5" x14ac:dyDescent="0.35">
      <c r="B475" s="4"/>
      <c r="G475" s="41"/>
      <c r="I475" s="14"/>
      <c r="J475" s="223"/>
    </row>
    <row r="476" spans="1:14" s="1" customFormat="1" ht="14.5" x14ac:dyDescent="0.35">
      <c r="B476" s="4"/>
      <c r="G476" s="41"/>
      <c r="I476" s="14"/>
      <c r="J476" s="223"/>
    </row>
    <row r="477" spans="1:14" s="1" customFormat="1" ht="14.5" x14ac:dyDescent="0.35">
      <c r="B477" s="4"/>
      <c r="G477" s="41"/>
      <c r="I477" s="14"/>
      <c r="J477" s="223"/>
    </row>
    <row r="478" spans="1:14" s="1" customFormat="1" ht="14.5" x14ac:dyDescent="0.35">
      <c r="B478" s="4"/>
      <c r="G478" s="41"/>
      <c r="I478" s="14"/>
      <c r="J478" s="223"/>
    </row>
    <row r="479" spans="1:14" x14ac:dyDescent="0.35">
      <c r="A479" s="1"/>
      <c r="B479" s="4"/>
      <c r="C479" s="1"/>
      <c r="D479" s="1"/>
      <c r="E479" s="1"/>
      <c r="F479" s="1"/>
      <c r="G479" s="41"/>
      <c r="H479" s="1"/>
      <c r="I479" s="14"/>
      <c r="J479" s="223"/>
      <c r="K479" s="1"/>
      <c r="L479" s="1"/>
      <c r="M479" s="1"/>
      <c r="N479" s="1"/>
    </row>
    <row r="480" spans="1:14" x14ac:dyDescent="0.35">
      <c r="A480" s="1"/>
      <c r="B480" s="4"/>
      <c r="C480" s="1"/>
      <c r="D480" s="1"/>
      <c r="E480" s="1"/>
      <c r="F480" s="1"/>
      <c r="G480" s="41"/>
      <c r="H480" s="1"/>
      <c r="I480" s="14"/>
      <c r="J480" s="223"/>
      <c r="K480" s="1"/>
      <c r="L480" s="1"/>
      <c r="M480" s="1"/>
      <c r="N480" s="1"/>
    </row>
    <row r="481" spans="1:14" x14ac:dyDescent="0.35">
      <c r="A481" s="1"/>
      <c r="B481" s="4"/>
      <c r="C481" s="1"/>
      <c r="D481" s="1"/>
      <c r="E481" s="1"/>
      <c r="F481" s="1"/>
      <c r="G481" s="41"/>
      <c r="H481" s="1"/>
      <c r="I481" s="14"/>
      <c r="J481" s="223"/>
      <c r="K481" s="1"/>
      <c r="L481" s="1"/>
      <c r="M481" s="1"/>
      <c r="N481" s="1"/>
    </row>
    <row r="482" spans="1:14" x14ac:dyDescent="0.35">
      <c r="A482" s="1"/>
      <c r="B482" s="4"/>
      <c r="C482" s="1"/>
      <c r="D482" s="1"/>
      <c r="E482" s="1"/>
      <c r="F482" s="1"/>
      <c r="G482" s="41"/>
      <c r="H482" s="1"/>
      <c r="I482" s="14"/>
      <c r="J482" s="223"/>
      <c r="K482" s="1"/>
      <c r="L482" s="1"/>
      <c r="M482" s="1"/>
      <c r="N482" s="1"/>
    </row>
    <row r="483" spans="1:14" x14ac:dyDescent="0.35">
      <c r="A483" s="1"/>
      <c r="B483" s="4"/>
      <c r="C483" s="1"/>
      <c r="D483" s="1"/>
      <c r="E483" s="1"/>
      <c r="F483" s="1"/>
      <c r="G483" s="41"/>
      <c r="H483" s="1"/>
      <c r="I483" s="14"/>
      <c r="J483" s="223"/>
      <c r="K483" s="1"/>
      <c r="L483" s="1"/>
      <c r="M483" s="1"/>
      <c r="N483" s="1"/>
    </row>
    <row r="484" spans="1:14" x14ac:dyDescent="0.35">
      <c r="A484" s="1"/>
      <c r="B484" s="4"/>
      <c r="C484" s="1"/>
      <c r="D484" s="1"/>
      <c r="E484" s="1"/>
      <c r="F484" s="1"/>
      <c r="G484" s="41"/>
      <c r="H484" s="1"/>
      <c r="I484" s="14"/>
      <c r="J484" s="223"/>
      <c r="K484" s="1"/>
      <c r="L484" s="1"/>
      <c r="M484" s="1"/>
      <c r="N484" s="1"/>
    </row>
    <row r="485" spans="1:14" x14ac:dyDescent="0.35">
      <c r="A485" s="1"/>
      <c r="B485" s="4"/>
      <c r="C485" s="1"/>
      <c r="D485" s="1"/>
      <c r="E485" s="1"/>
      <c r="F485" s="1"/>
      <c r="G485" s="41"/>
      <c r="H485" s="1"/>
      <c r="I485" s="14"/>
      <c r="J485" s="223"/>
      <c r="K485" s="1"/>
      <c r="L485" s="1"/>
      <c r="M485" s="1"/>
      <c r="N485" s="1"/>
    </row>
    <row r="486" spans="1:14" x14ac:dyDescent="0.35">
      <c r="A486" s="1"/>
      <c r="B486" s="4"/>
      <c r="C486" s="1"/>
      <c r="D486" s="1"/>
      <c r="E486" s="1"/>
      <c r="F486" s="1"/>
      <c r="G486" s="41"/>
      <c r="H486" s="1"/>
      <c r="I486" s="14"/>
      <c r="J486" s="223"/>
      <c r="K486" s="1"/>
      <c r="L486" s="1"/>
      <c r="M486" s="1"/>
      <c r="N486" s="1"/>
    </row>
    <row r="487" spans="1:14" x14ac:dyDescent="0.35">
      <c r="A487" s="1"/>
      <c r="B487" s="4"/>
      <c r="C487" s="1"/>
      <c r="D487" s="1"/>
      <c r="E487" s="1"/>
      <c r="F487" s="1"/>
      <c r="G487" s="41"/>
      <c r="H487" s="1"/>
      <c r="I487" s="14"/>
      <c r="J487" s="223"/>
      <c r="K487" s="1"/>
      <c r="L487" s="1"/>
      <c r="M487" s="1"/>
      <c r="N487" s="1"/>
    </row>
    <row r="488" spans="1:14" x14ac:dyDescent="0.35">
      <c r="A488" s="1"/>
      <c r="B488" s="4"/>
      <c r="C488" s="1"/>
      <c r="D488" s="1"/>
      <c r="E488" s="1"/>
      <c r="F488" s="1"/>
      <c r="G488" s="41"/>
      <c r="H488" s="1"/>
      <c r="I488" s="14"/>
      <c r="J488" s="223"/>
      <c r="K488" s="1"/>
      <c r="L488" s="1"/>
      <c r="M488" s="1"/>
      <c r="N488" s="1"/>
    </row>
    <row r="489" spans="1:14" x14ac:dyDescent="0.35">
      <c r="A489" s="1"/>
      <c r="B489" s="4"/>
      <c r="C489" s="1"/>
      <c r="D489" s="1"/>
      <c r="E489" s="1"/>
      <c r="F489" s="1"/>
      <c r="G489" s="41"/>
      <c r="H489" s="1"/>
      <c r="I489" s="14"/>
      <c r="J489" s="223"/>
      <c r="K489" s="1"/>
      <c r="L489" s="1"/>
      <c r="M489" s="1"/>
      <c r="N489" s="1"/>
    </row>
    <row r="490" spans="1:14" x14ac:dyDescent="0.35">
      <c r="A490" s="1"/>
      <c r="B490" s="4"/>
      <c r="C490" s="1"/>
      <c r="D490" s="1"/>
      <c r="E490" s="1"/>
      <c r="F490" s="1"/>
      <c r="G490" s="41"/>
      <c r="H490" s="1"/>
      <c r="I490" s="14"/>
      <c r="J490" s="223"/>
      <c r="K490" s="1"/>
      <c r="L490" s="1"/>
      <c r="M490" s="1"/>
      <c r="N490" s="1"/>
    </row>
    <row r="491" spans="1:14" x14ac:dyDescent="0.35">
      <c r="A491" s="1"/>
      <c r="B491" s="4"/>
      <c r="C491" s="1"/>
      <c r="D491" s="1"/>
      <c r="E491" s="1"/>
      <c r="F491" s="1"/>
      <c r="G491" s="41"/>
      <c r="H491" s="1"/>
      <c r="I491" s="14"/>
      <c r="J491" s="223"/>
      <c r="K491" s="1"/>
      <c r="L491" s="1"/>
      <c r="M491" s="1"/>
      <c r="N491" s="1"/>
    </row>
  </sheetData>
  <mergeCells count="40">
    <mergeCell ref="E192:F192"/>
    <mergeCell ref="D197:E197"/>
    <mergeCell ref="D205:E205"/>
    <mergeCell ref="E206:F206"/>
    <mergeCell ref="D161:E161"/>
    <mergeCell ref="E162:F162"/>
    <mergeCell ref="A1:H1"/>
    <mergeCell ref="A2:H2"/>
    <mergeCell ref="B5:G5"/>
    <mergeCell ref="D22:E22"/>
    <mergeCell ref="D191:E191"/>
    <mergeCell ref="D177:E177"/>
    <mergeCell ref="E178:F178"/>
    <mergeCell ref="D184:E184"/>
    <mergeCell ref="D169:E169"/>
    <mergeCell ref="D115:E115"/>
    <mergeCell ref="E116:F116"/>
    <mergeCell ref="D121:E121"/>
    <mergeCell ref="D128:E128"/>
    <mergeCell ref="E129:F129"/>
    <mergeCell ref="D134:E134"/>
    <mergeCell ref="D141:E141"/>
    <mergeCell ref="D33:E33"/>
    <mergeCell ref="E35:F35"/>
    <mergeCell ref="D44:E44"/>
    <mergeCell ref="D54:E54"/>
    <mergeCell ref="E55:F55"/>
    <mergeCell ref="D63:E63"/>
    <mergeCell ref="D72:E72"/>
    <mergeCell ref="E73:F73"/>
    <mergeCell ref="D80:E80"/>
    <mergeCell ref="D88:E88"/>
    <mergeCell ref="E142:F142"/>
    <mergeCell ref="D147:E147"/>
    <mergeCell ref="E149:F149"/>
    <mergeCell ref="E89:F89"/>
    <mergeCell ref="D95:E95"/>
    <mergeCell ref="D102:E102"/>
    <mergeCell ref="E103:F103"/>
    <mergeCell ref="D108:E108"/>
  </mergeCells>
  <printOptions horizontalCentered="1"/>
  <pageMargins left="0.7" right="0.7" top="1" bottom="0.75" header="0.3" footer="0.3"/>
  <pageSetup scale="63" fitToHeight="4"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DADD5-61B8-4BCE-BAD2-9B2C4592C573}">
  <sheetPr>
    <tabColor rgb="FF92D050"/>
  </sheetPr>
  <dimension ref="B1:C54"/>
  <sheetViews>
    <sheetView topLeftCell="A14" workbookViewId="0">
      <selection activeCell="C37" sqref="C37"/>
    </sheetView>
  </sheetViews>
  <sheetFormatPr defaultRowHeight="15.5" x14ac:dyDescent="0.35"/>
  <cols>
    <col min="2" max="2" width="4.07421875" customWidth="1"/>
    <col min="3" max="3" width="86.3828125" customWidth="1"/>
    <col min="4" max="4" width="3.3828125" customWidth="1"/>
  </cols>
  <sheetData>
    <row r="1" spans="2:3" ht="18" x14ac:dyDescent="0.4">
      <c r="B1" s="407"/>
      <c r="C1" s="388"/>
    </row>
    <row r="2" spans="2:3" ht="18" x14ac:dyDescent="0.4">
      <c r="B2" s="407"/>
      <c r="C2" s="388" t="s">
        <v>392</v>
      </c>
    </row>
    <row r="3" spans="2:3" ht="18" x14ac:dyDescent="0.4">
      <c r="B3" s="407"/>
      <c r="C3" s="388"/>
    </row>
    <row r="4" spans="2:3" x14ac:dyDescent="0.35">
      <c r="B4" s="408" t="s">
        <v>393</v>
      </c>
      <c r="C4" s="392" t="s">
        <v>522</v>
      </c>
    </row>
    <row r="5" spans="2:3" ht="17.5" x14ac:dyDescent="0.35">
      <c r="B5" s="407"/>
      <c r="C5" s="393"/>
    </row>
    <row r="6" spans="2:3" x14ac:dyDescent="0.35">
      <c r="B6" s="408" t="s">
        <v>394</v>
      </c>
      <c r="C6" s="394" t="s">
        <v>406</v>
      </c>
    </row>
    <row r="7" spans="2:3" x14ac:dyDescent="0.35">
      <c r="B7" s="408"/>
      <c r="C7" s="395"/>
    </row>
    <row r="8" spans="2:3" ht="62" x14ac:dyDescent="0.35">
      <c r="B8" s="408" t="s">
        <v>395</v>
      </c>
      <c r="C8" s="394" t="s">
        <v>425</v>
      </c>
    </row>
    <row r="9" spans="2:3" x14ac:dyDescent="0.35">
      <c r="B9" s="408"/>
      <c r="C9" s="394"/>
    </row>
    <row r="10" spans="2:3" ht="31" x14ac:dyDescent="0.35">
      <c r="B10" s="408" t="s">
        <v>396</v>
      </c>
      <c r="C10" s="394" t="s">
        <v>426</v>
      </c>
    </row>
    <row r="11" spans="2:3" x14ac:dyDescent="0.35">
      <c r="B11" s="408"/>
      <c r="C11" s="394"/>
    </row>
    <row r="12" spans="2:3" x14ac:dyDescent="0.35">
      <c r="B12" s="408" t="s">
        <v>397</v>
      </c>
      <c r="C12" s="394" t="s">
        <v>427</v>
      </c>
    </row>
    <row r="13" spans="2:3" x14ac:dyDescent="0.35">
      <c r="B13" s="408"/>
      <c r="C13" s="395"/>
    </row>
    <row r="14" spans="2:3" x14ac:dyDescent="0.35">
      <c r="B14" s="408" t="s">
        <v>398</v>
      </c>
      <c r="C14" s="394" t="s">
        <v>449</v>
      </c>
    </row>
    <row r="15" spans="2:3" x14ac:dyDescent="0.35">
      <c r="B15" s="408"/>
      <c r="C15" s="394"/>
    </row>
    <row r="16" spans="2:3" x14ac:dyDescent="0.35">
      <c r="B16" s="408" t="s">
        <v>399</v>
      </c>
      <c r="C16" s="394" t="s">
        <v>428</v>
      </c>
    </row>
    <row r="17" spans="2:3" x14ac:dyDescent="0.35">
      <c r="B17" s="407"/>
      <c r="C17" s="396"/>
    </row>
    <row r="18" spans="2:3" x14ac:dyDescent="0.35">
      <c r="B18" s="408" t="s">
        <v>400</v>
      </c>
      <c r="C18" s="391" t="s">
        <v>429</v>
      </c>
    </row>
    <row r="19" spans="2:3" x14ac:dyDescent="0.35">
      <c r="B19" s="407"/>
      <c r="C19" s="396"/>
    </row>
    <row r="20" spans="2:3" ht="62" x14ac:dyDescent="0.35">
      <c r="B20" s="408" t="s">
        <v>401</v>
      </c>
      <c r="C20" s="394" t="s">
        <v>430</v>
      </c>
    </row>
    <row r="21" spans="2:3" x14ac:dyDescent="0.35">
      <c r="B21" s="407"/>
      <c r="C21" s="396"/>
    </row>
    <row r="22" spans="2:3" x14ac:dyDescent="0.35">
      <c r="B22" s="408" t="s">
        <v>402</v>
      </c>
      <c r="C22" s="391" t="s">
        <v>418</v>
      </c>
    </row>
    <row r="23" spans="2:3" x14ac:dyDescent="0.35">
      <c r="B23" s="407"/>
      <c r="C23" s="396"/>
    </row>
    <row r="24" spans="2:3" x14ac:dyDescent="0.35">
      <c r="B24" s="408" t="s">
        <v>403</v>
      </c>
      <c r="C24" s="397" t="s">
        <v>447</v>
      </c>
    </row>
    <row r="25" spans="2:3" x14ac:dyDescent="0.35">
      <c r="B25" s="407"/>
      <c r="C25" s="396"/>
    </row>
    <row r="26" spans="2:3" x14ac:dyDescent="0.35">
      <c r="B26" s="408" t="s">
        <v>404</v>
      </c>
      <c r="C26" s="394" t="s">
        <v>432</v>
      </c>
    </row>
    <row r="27" spans="2:3" x14ac:dyDescent="0.35">
      <c r="B27" s="408"/>
      <c r="C27" s="394"/>
    </row>
    <row r="28" spans="2:3" x14ac:dyDescent="0.35">
      <c r="B28" s="408" t="s">
        <v>445</v>
      </c>
      <c r="C28" s="394" t="s">
        <v>433</v>
      </c>
    </row>
    <row r="29" spans="2:3" x14ac:dyDescent="0.35">
      <c r="B29" s="407"/>
      <c r="C29" s="396"/>
    </row>
    <row r="30" spans="2:3" ht="62" x14ac:dyDescent="0.35">
      <c r="B30" s="408" t="s">
        <v>405</v>
      </c>
      <c r="C30" s="394" t="s">
        <v>434</v>
      </c>
    </row>
    <row r="31" spans="2:3" x14ac:dyDescent="0.35">
      <c r="B31" s="407"/>
      <c r="C31" s="396"/>
    </row>
    <row r="32" spans="2:3" x14ac:dyDescent="0.35">
      <c r="B32" s="408" t="s">
        <v>441</v>
      </c>
      <c r="C32" s="394" t="s">
        <v>446</v>
      </c>
    </row>
    <row r="33" spans="2:3" x14ac:dyDescent="0.35">
      <c r="B33" s="407"/>
      <c r="C33" s="396"/>
    </row>
    <row r="34" spans="2:3" ht="46.5" x14ac:dyDescent="0.35">
      <c r="B34" s="408" t="s">
        <v>442</v>
      </c>
      <c r="C34" s="394" t="s">
        <v>542</v>
      </c>
    </row>
    <row r="35" spans="2:3" x14ac:dyDescent="0.35">
      <c r="B35" s="409"/>
      <c r="C35" s="395"/>
    </row>
    <row r="36" spans="2:3" ht="31" x14ac:dyDescent="0.35">
      <c r="B36" s="407" t="s">
        <v>443</v>
      </c>
      <c r="C36" s="402" t="s">
        <v>543</v>
      </c>
    </row>
    <row r="37" spans="2:3" x14ac:dyDescent="0.35">
      <c r="B37" s="409"/>
      <c r="C37" s="395"/>
    </row>
    <row r="38" spans="2:3" x14ac:dyDescent="0.35">
      <c r="B38" s="409"/>
      <c r="C38" s="395"/>
    </row>
    <row r="39" spans="2:3" x14ac:dyDescent="0.35">
      <c r="B39" s="409"/>
      <c r="C39" s="395"/>
    </row>
    <row r="40" spans="2:3" x14ac:dyDescent="0.35">
      <c r="B40" s="409"/>
      <c r="C40" s="395"/>
    </row>
    <row r="41" spans="2:3" x14ac:dyDescent="0.35">
      <c r="B41" s="409"/>
      <c r="C41" s="395"/>
    </row>
    <row r="42" spans="2:3" x14ac:dyDescent="0.35">
      <c r="B42" s="409"/>
      <c r="C42" s="395"/>
    </row>
    <row r="43" spans="2:3" x14ac:dyDescent="0.35">
      <c r="B43" s="409"/>
      <c r="C43" s="395"/>
    </row>
    <row r="44" spans="2:3" x14ac:dyDescent="0.35">
      <c r="B44" s="410"/>
      <c r="C44" s="395"/>
    </row>
    <row r="45" spans="2:3" x14ac:dyDescent="0.35">
      <c r="C45" s="395"/>
    </row>
    <row r="46" spans="2:3" x14ac:dyDescent="0.35">
      <c r="C46" s="395"/>
    </row>
    <row r="47" spans="2:3" x14ac:dyDescent="0.35">
      <c r="C47" s="395"/>
    </row>
    <row r="48" spans="2:3" x14ac:dyDescent="0.35">
      <c r="C48" s="395"/>
    </row>
    <row r="49" spans="3:3" x14ac:dyDescent="0.35">
      <c r="C49" s="395"/>
    </row>
    <row r="50" spans="3:3" x14ac:dyDescent="0.35">
      <c r="C50" s="395"/>
    </row>
    <row r="51" spans="3:3" x14ac:dyDescent="0.35">
      <c r="C51" s="395"/>
    </row>
    <row r="52" spans="3:3" x14ac:dyDescent="0.35">
      <c r="C52" s="395"/>
    </row>
    <row r="53" spans="3:3" x14ac:dyDescent="0.35">
      <c r="C53" s="395"/>
    </row>
    <row r="54" spans="3:3" x14ac:dyDescent="0.35">
      <c r="C54" s="39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BBBB5-CC08-4BF7-AA19-06430048C465}">
  <sheetPr>
    <tabColor rgb="FF92D050"/>
  </sheetPr>
  <dimension ref="A1:J44"/>
  <sheetViews>
    <sheetView topLeftCell="A25" workbookViewId="0">
      <selection activeCell="B22" sqref="B22"/>
    </sheetView>
  </sheetViews>
  <sheetFormatPr defaultRowHeight="15.5" x14ac:dyDescent="0.35"/>
  <cols>
    <col min="6" max="6" width="10.15234375" bestFit="1" customWidth="1"/>
    <col min="7" max="7" width="11.15234375" bestFit="1" customWidth="1"/>
    <col min="8" max="8" width="10.765625" bestFit="1" customWidth="1"/>
    <col min="9" max="9" width="11.765625" bestFit="1" customWidth="1"/>
    <col min="10" max="10" width="47.84375" customWidth="1"/>
  </cols>
  <sheetData>
    <row r="1" spans="1:10" x14ac:dyDescent="0.35">
      <c r="A1" t="s">
        <v>510</v>
      </c>
    </row>
    <row r="3" spans="1:10" x14ac:dyDescent="0.35">
      <c r="A3" s="411" t="s">
        <v>488</v>
      </c>
      <c r="B3" s="366" t="s">
        <v>412</v>
      </c>
      <c r="F3" s="411" t="s">
        <v>470</v>
      </c>
      <c r="G3" s="411" t="s">
        <v>471</v>
      </c>
      <c r="J3" s="411" t="s">
        <v>512</v>
      </c>
    </row>
    <row r="4" spans="1:10" x14ac:dyDescent="0.35">
      <c r="A4" s="412" t="s">
        <v>227</v>
      </c>
      <c r="B4" t="s">
        <v>413</v>
      </c>
      <c r="F4" s="389">
        <v>26280</v>
      </c>
      <c r="H4" s="389"/>
    </row>
    <row r="5" spans="1:10" x14ac:dyDescent="0.35">
      <c r="A5" s="412" t="s">
        <v>229</v>
      </c>
      <c r="B5" t="s">
        <v>414</v>
      </c>
      <c r="F5" s="384">
        <v>1755</v>
      </c>
      <c r="H5" s="384"/>
    </row>
    <row r="6" spans="1:10" x14ac:dyDescent="0.35">
      <c r="A6" s="368" t="s">
        <v>231</v>
      </c>
      <c r="B6" t="s">
        <v>415</v>
      </c>
      <c r="F6" s="384">
        <v>958.62</v>
      </c>
      <c r="H6" s="384"/>
    </row>
    <row r="7" spans="1:10" x14ac:dyDescent="0.35">
      <c r="A7" s="368" t="s">
        <v>487</v>
      </c>
      <c r="B7" s="367" t="s">
        <v>489</v>
      </c>
      <c r="F7" s="384">
        <v>110</v>
      </c>
      <c r="G7" s="384">
        <v>55</v>
      </c>
      <c r="H7" s="384"/>
    </row>
    <row r="8" spans="1:10" x14ac:dyDescent="0.35">
      <c r="A8" s="412" t="s">
        <v>498</v>
      </c>
      <c r="B8" s="367" t="s">
        <v>511</v>
      </c>
      <c r="F8" s="384"/>
      <c r="G8" s="384">
        <v>1558.78</v>
      </c>
      <c r="H8" s="384"/>
    </row>
    <row r="9" spans="1:10" x14ac:dyDescent="0.35">
      <c r="A9" s="412" t="s">
        <v>501</v>
      </c>
      <c r="B9" s="367" t="s">
        <v>372</v>
      </c>
      <c r="F9" s="384">
        <v>675</v>
      </c>
      <c r="G9" s="384"/>
      <c r="H9" s="384"/>
    </row>
    <row r="10" spans="1:10" x14ac:dyDescent="0.35">
      <c r="A10" s="412" t="s">
        <v>503</v>
      </c>
      <c r="B10" s="367" t="s">
        <v>416</v>
      </c>
      <c r="F10" s="384"/>
      <c r="G10" s="384">
        <v>55</v>
      </c>
      <c r="H10" s="384"/>
    </row>
    <row r="11" spans="1:10" x14ac:dyDescent="0.35">
      <c r="A11" s="368"/>
      <c r="F11" s="384"/>
      <c r="G11" s="384"/>
      <c r="H11" s="384"/>
    </row>
    <row r="12" spans="1:10" x14ac:dyDescent="0.35">
      <c r="A12" s="412" t="s">
        <v>232</v>
      </c>
      <c r="B12" t="s">
        <v>460</v>
      </c>
      <c r="F12" s="384"/>
      <c r="G12" s="384">
        <v>5820.11</v>
      </c>
      <c r="H12" s="384"/>
    </row>
    <row r="13" spans="1:10" x14ac:dyDescent="0.35">
      <c r="A13" s="412" t="s">
        <v>233</v>
      </c>
      <c r="B13" t="s">
        <v>461</v>
      </c>
      <c r="F13" s="384">
        <v>603.51</v>
      </c>
      <c r="G13" s="384">
        <v>509.42</v>
      </c>
      <c r="H13" s="384"/>
    </row>
    <row r="14" spans="1:10" x14ac:dyDescent="0.35">
      <c r="A14" s="412" t="s">
        <v>490</v>
      </c>
      <c r="B14" t="s">
        <v>462</v>
      </c>
      <c r="F14" s="384"/>
      <c r="G14" s="384">
        <v>20638.38</v>
      </c>
      <c r="H14" s="416"/>
      <c r="I14" s="384">
        <v>20638.38</v>
      </c>
      <c r="J14" t="s">
        <v>515</v>
      </c>
    </row>
    <row r="15" spans="1:10" x14ac:dyDescent="0.35">
      <c r="A15" s="412" t="s">
        <v>491</v>
      </c>
      <c r="B15" t="s">
        <v>463</v>
      </c>
      <c r="F15" s="384">
        <v>1.93</v>
      </c>
      <c r="G15" s="384">
        <v>11669.13</v>
      </c>
      <c r="H15" s="384"/>
      <c r="J15" s="367" t="s">
        <v>513</v>
      </c>
    </row>
    <row r="16" spans="1:10" x14ac:dyDescent="0.35">
      <c r="A16" s="412" t="s">
        <v>228</v>
      </c>
      <c r="B16" t="s">
        <v>464</v>
      </c>
      <c r="F16" s="384">
        <v>753.25</v>
      </c>
      <c r="G16" s="384"/>
      <c r="H16" s="384"/>
    </row>
    <row r="17" spans="1:10" x14ac:dyDescent="0.35">
      <c r="A17" s="412" t="s">
        <v>431</v>
      </c>
      <c r="B17" t="s">
        <v>465</v>
      </c>
      <c r="F17" s="384"/>
      <c r="G17" s="384">
        <v>1886.53</v>
      </c>
      <c r="H17" s="416"/>
    </row>
    <row r="18" spans="1:10" x14ac:dyDescent="0.35">
      <c r="A18" s="412" t="s">
        <v>495</v>
      </c>
      <c r="B18" s="367" t="s">
        <v>466</v>
      </c>
      <c r="F18" s="384"/>
      <c r="G18" s="384">
        <v>1415.48</v>
      </c>
      <c r="H18" s="416"/>
    </row>
    <row r="19" spans="1:10" x14ac:dyDescent="0.35">
      <c r="A19" s="412" t="s">
        <v>492</v>
      </c>
      <c r="B19" t="s">
        <v>467</v>
      </c>
      <c r="F19" s="384">
        <v>278.56</v>
      </c>
      <c r="G19" s="384">
        <v>362.09</v>
      </c>
      <c r="H19" s="416"/>
    </row>
    <row r="20" spans="1:10" x14ac:dyDescent="0.35">
      <c r="A20" s="412" t="s">
        <v>497</v>
      </c>
      <c r="B20" t="s">
        <v>367</v>
      </c>
      <c r="F20" s="384"/>
      <c r="G20" s="384"/>
      <c r="H20" s="416"/>
    </row>
    <row r="21" spans="1:10" x14ac:dyDescent="0.35">
      <c r="A21" s="412" t="s">
        <v>498</v>
      </c>
      <c r="B21" t="s">
        <v>468</v>
      </c>
      <c r="F21" s="384">
        <v>1558.78</v>
      </c>
      <c r="G21" s="384"/>
      <c r="H21" s="416"/>
    </row>
    <row r="22" spans="1:10" x14ac:dyDescent="0.35">
      <c r="A22" s="412" t="s">
        <v>499</v>
      </c>
      <c r="B22" t="s">
        <v>516</v>
      </c>
      <c r="F22" s="384">
        <v>7100.84</v>
      </c>
      <c r="G22" s="384"/>
      <c r="H22" s="416"/>
    </row>
    <row r="23" spans="1:10" x14ac:dyDescent="0.35">
      <c r="A23" s="412" t="s">
        <v>494</v>
      </c>
      <c r="B23" t="s">
        <v>370</v>
      </c>
      <c r="F23" s="384">
        <v>3341.43</v>
      </c>
      <c r="G23" s="384"/>
      <c r="H23" s="416"/>
    </row>
    <row r="24" spans="1:10" x14ac:dyDescent="0.35">
      <c r="A24" s="412" t="s">
        <v>500</v>
      </c>
      <c r="B24" t="s">
        <v>469</v>
      </c>
      <c r="F24" s="384">
        <v>36.86</v>
      </c>
      <c r="G24" s="384"/>
      <c r="H24" s="416"/>
    </row>
    <row r="25" spans="1:10" x14ac:dyDescent="0.35">
      <c r="A25" s="412" t="s">
        <v>493</v>
      </c>
      <c r="B25" t="s">
        <v>371</v>
      </c>
      <c r="F25" s="384">
        <v>651.64</v>
      </c>
      <c r="G25" s="416">
        <v>6018.23</v>
      </c>
      <c r="H25" s="416"/>
    </row>
    <row r="26" spans="1:10" x14ac:dyDescent="0.35">
      <c r="A26" s="412" t="s">
        <v>501</v>
      </c>
      <c r="B26" t="s">
        <v>372</v>
      </c>
      <c r="F26" s="384">
        <v>675</v>
      </c>
      <c r="G26" s="384"/>
      <c r="H26" s="384"/>
    </row>
    <row r="27" spans="1:10" x14ac:dyDescent="0.35">
      <c r="A27" s="412" t="s">
        <v>502</v>
      </c>
      <c r="B27" t="s">
        <v>472</v>
      </c>
      <c r="F27" s="384"/>
      <c r="G27" s="384">
        <v>3855.73</v>
      </c>
      <c r="H27" s="384"/>
    </row>
    <row r="28" spans="1:10" x14ac:dyDescent="0.35">
      <c r="A28" s="412" t="s">
        <v>496</v>
      </c>
      <c r="B28" t="s">
        <v>473</v>
      </c>
      <c r="F28" s="384"/>
      <c r="G28" s="384">
        <v>123.19</v>
      </c>
      <c r="H28" s="384"/>
    </row>
    <row r="29" spans="1:10" x14ac:dyDescent="0.35">
      <c r="A29" s="412" t="s">
        <v>503</v>
      </c>
      <c r="B29" t="s">
        <v>474</v>
      </c>
      <c r="F29" s="384">
        <v>55</v>
      </c>
      <c r="G29" s="384"/>
      <c r="H29" s="384"/>
    </row>
    <row r="30" spans="1:10" x14ac:dyDescent="0.35">
      <c r="A30" s="412" t="s">
        <v>505</v>
      </c>
      <c r="B30" t="s">
        <v>475</v>
      </c>
      <c r="F30" s="384">
        <v>19.899999999999999</v>
      </c>
      <c r="G30" s="384">
        <v>659.66</v>
      </c>
      <c r="H30" s="384"/>
    </row>
    <row r="31" spans="1:10" x14ac:dyDescent="0.35">
      <c r="A31" s="412" t="s">
        <v>504</v>
      </c>
      <c r="B31" t="s">
        <v>476</v>
      </c>
      <c r="F31" s="384"/>
      <c r="G31" s="384"/>
      <c r="H31" s="384"/>
    </row>
    <row r="32" spans="1:10" x14ac:dyDescent="0.35">
      <c r="A32" s="412" t="s">
        <v>507</v>
      </c>
      <c r="B32" t="s">
        <v>477</v>
      </c>
      <c r="F32" s="384"/>
      <c r="G32" s="384">
        <v>24881.26</v>
      </c>
      <c r="H32" s="384"/>
      <c r="I32" s="384">
        <v>24881.26</v>
      </c>
      <c r="J32" t="s">
        <v>514</v>
      </c>
    </row>
    <row r="33" spans="1:10" x14ac:dyDescent="0.35">
      <c r="A33" s="412" t="s">
        <v>506</v>
      </c>
      <c r="B33" t="s">
        <v>478</v>
      </c>
      <c r="F33" s="384"/>
      <c r="G33" s="384">
        <v>3434.16</v>
      </c>
      <c r="H33" s="384"/>
      <c r="J33" t="s">
        <v>509</v>
      </c>
    </row>
    <row r="34" spans="1:10" x14ac:dyDescent="0.35">
      <c r="A34" s="412" t="s">
        <v>223</v>
      </c>
      <c r="B34" t="s">
        <v>479</v>
      </c>
      <c r="F34" s="384"/>
      <c r="G34" s="384">
        <v>91699.02</v>
      </c>
      <c r="H34" s="384"/>
    </row>
    <row r="35" spans="1:10" x14ac:dyDescent="0.35">
      <c r="A35" s="412" t="s">
        <v>224</v>
      </c>
      <c r="B35" t="s">
        <v>480</v>
      </c>
      <c r="F35" s="384">
        <v>731.09</v>
      </c>
      <c r="G35" s="384">
        <v>691.63</v>
      </c>
      <c r="H35" s="384"/>
    </row>
    <row r="36" spans="1:10" x14ac:dyDescent="0.35">
      <c r="A36" s="412" t="s">
        <v>225</v>
      </c>
      <c r="B36" t="s">
        <v>481</v>
      </c>
      <c r="F36" s="384"/>
      <c r="G36" s="384">
        <v>5677.14</v>
      </c>
      <c r="H36" s="384"/>
    </row>
    <row r="37" spans="1:10" x14ac:dyDescent="0.35">
      <c r="A37" s="412" t="s">
        <v>226</v>
      </c>
      <c r="B37" t="s">
        <v>482</v>
      </c>
      <c r="F37" s="384">
        <v>19.899999999999999</v>
      </c>
      <c r="G37" s="384"/>
      <c r="H37" s="384"/>
    </row>
    <row r="38" spans="1:10" x14ac:dyDescent="0.35">
      <c r="A38" s="412" t="s">
        <v>508</v>
      </c>
      <c r="B38" t="s">
        <v>483</v>
      </c>
      <c r="F38" s="384">
        <v>27.73</v>
      </c>
      <c r="G38" s="384">
        <v>1599.72</v>
      </c>
      <c r="H38" s="384"/>
    </row>
    <row r="39" spans="1:10" x14ac:dyDescent="0.35">
      <c r="A39" s="368" t="s">
        <v>484</v>
      </c>
      <c r="B39" t="s">
        <v>485</v>
      </c>
      <c r="F39" s="384">
        <v>2224.4</v>
      </c>
      <c r="G39" s="384">
        <v>690.91</v>
      </c>
      <c r="H39" s="384"/>
    </row>
    <row r="40" spans="1:10" x14ac:dyDescent="0.35">
      <c r="A40" s="368" t="s">
        <v>230</v>
      </c>
      <c r="B40" t="s">
        <v>486</v>
      </c>
      <c r="G40" s="384">
        <v>132.88</v>
      </c>
      <c r="H40" s="384"/>
    </row>
    <row r="41" spans="1:10" x14ac:dyDescent="0.35">
      <c r="F41" s="413"/>
      <c r="G41" s="413"/>
      <c r="H41" s="384"/>
    </row>
    <row r="42" spans="1:10" x14ac:dyDescent="0.35">
      <c r="C42" s="367" t="s">
        <v>82</v>
      </c>
      <c r="F42" s="384">
        <f>SUM(F4:F41)</f>
        <v>47858.44000000001</v>
      </c>
      <c r="G42" s="384">
        <f>SUM(G4:G41)</f>
        <v>183433.45000000004</v>
      </c>
      <c r="H42" s="384"/>
      <c r="I42" s="418">
        <f>-G42+F42</f>
        <v>-135575.01000000004</v>
      </c>
    </row>
    <row r="43" spans="1:10" x14ac:dyDescent="0.35">
      <c r="F43" s="384"/>
      <c r="G43" s="384"/>
      <c r="H43" s="384"/>
    </row>
    <row r="44" spans="1:10" x14ac:dyDescent="0.35">
      <c r="H44" s="38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56ECB-1166-4A19-BAC2-1CAB016DEA29}">
  <sheetPr>
    <tabColor rgb="FF92D050"/>
    <pageSetUpPr fitToPage="1"/>
  </sheetPr>
  <dimension ref="A1:M30"/>
  <sheetViews>
    <sheetView workbookViewId="0">
      <selection activeCell="L12" sqref="L12"/>
    </sheetView>
  </sheetViews>
  <sheetFormatPr defaultRowHeight="15.5" x14ac:dyDescent="0.35"/>
  <cols>
    <col min="5" max="5" width="16.4609375" customWidth="1"/>
    <col min="7" max="7" width="11.69140625" bestFit="1" customWidth="1"/>
  </cols>
  <sheetData>
    <row r="1" spans="1:13" ht="18.5" x14ac:dyDescent="0.35">
      <c r="A1" s="437" t="s">
        <v>240</v>
      </c>
      <c r="B1" s="437"/>
      <c r="C1" s="437"/>
      <c r="D1" s="437"/>
      <c r="E1" s="437"/>
      <c r="F1" s="437"/>
      <c r="G1" s="437"/>
      <c r="H1" s="46"/>
      <c r="I1" s="58"/>
      <c r="J1" s="59"/>
      <c r="K1" s="46"/>
      <c r="L1" s="5"/>
      <c r="M1" s="5"/>
    </row>
    <row r="2" spans="1:13" x14ac:dyDescent="0.35">
      <c r="A2" s="54" t="s">
        <v>36</v>
      </c>
      <c r="B2" s="46"/>
      <c r="C2" s="46"/>
      <c r="D2" s="60"/>
      <c r="E2" s="46"/>
      <c r="F2" s="55"/>
      <c r="G2" s="5">
        <f>SAO!G52</f>
        <v>2754919.2587309396</v>
      </c>
      <c r="H2" s="46"/>
      <c r="I2" s="5"/>
      <c r="J2" s="46"/>
      <c r="K2" s="46"/>
      <c r="L2" s="5"/>
      <c r="M2" s="5"/>
    </row>
    <row r="3" spans="1:13" x14ac:dyDescent="0.35">
      <c r="A3" s="46" t="s">
        <v>20</v>
      </c>
      <c r="B3" s="46"/>
      <c r="C3" s="46" t="s">
        <v>158</v>
      </c>
      <c r="D3" s="60"/>
      <c r="E3" s="46"/>
      <c r="F3" s="55" t="s">
        <v>435</v>
      </c>
      <c r="G3" s="5">
        <f>'Debt Service'!M25</f>
        <v>561661.89399999997</v>
      </c>
      <c r="H3" s="46"/>
      <c r="I3" s="5" t="s">
        <v>214</v>
      </c>
      <c r="J3" s="46"/>
      <c r="K3" s="46"/>
      <c r="L3" s="5" t="s">
        <v>220</v>
      </c>
      <c r="M3" s="5"/>
    </row>
    <row r="4" spans="1:13" ht="17" x14ac:dyDescent="0.5">
      <c r="A4" s="46"/>
      <c r="B4" s="60"/>
      <c r="C4" s="60" t="s">
        <v>159</v>
      </c>
      <c r="D4" s="60"/>
      <c r="E4" s="46"/>
      <c r="F4" s="55" t="s">
        <v>440</v>
      </c>
      <c r="G4" s="226">
        <f>'Debt Service'!M27</f>
        <v>112332.37880000001</v>
      </c>
      <c r="H4" s="46"/>
      <c r="I4" s="5" t="s">
        <v>386</v>
      </c>
      <c r="J4" s="46"/>
      <c r="K4" s="46"/>
      <c r="L4" s="5" t="s">
        <v>221</v>
      </c>
      <c r="M4" s="5"/>
    </row>
    <row r="5" spans="1:13" x14ac:dyDescent="0.35">
      <c r="A5" s="54" t="s">
        <v>61</v>
      </c>
      <c r="B5" s="46"/>
      <c r="C5" s="46"/>
      <c r="D5" s="60"/>
      <c r="E5" s="46"/>
      <c r="F5" s="55"/>
      <c r="G5" s="5">
        <f>G2+G3+G4</f>
        <v>3428913.5315309395</v>
      </c>
      <c r="H5" s="46"/>
      <c r="I5" s="5"/>
      <c r="J5" s="46"/>
      <c r="K5" s="46"/>
      <c r="L5" s="5"/>
      <c r="M5" s="5"/>
    </row>
    <row r="6" spans="1:13" x14ac:dyDescent="0.35">
      <c r="A6" s="46" t="s">
        <v>21</v>
      </c>
      <c r="B6" s="46"/>
      <c r="C6" s="46" t="s">
        <v>22</v>
      </c>
      <c r="D6" s="60"/>
      <c r="E6" s="46"/>
      <c r="F6" s="55"/>
      <c r="G6" s="5">
        <f>SUM(SAO!G11:G13)</f>
        <v>47858.44000000001</v>
      </c>
      <c r="H6" s="46"/>
      <c r="I6" s="5"/>
      <c r="J6" s="46"/>
      <c r="K6" s="46"/>
      <c r="L6" s="5"/>
      <c r="M6" s="5"/>
    </row>
    <row r="7" spans="1:13" x14ac:dyDescent="0.35">
      <c r="A7" s="46"/>
      <c r="B7" s="46"/>
      <c r="C7" s="46" t="s">
        <v>439</v>
      </c>
      <c r="D7" s="60"/>
      <c r="E7" s="46"/>
      <c r="F7" s="55"/>
      <c r="G7" s="5">
        <f>SAO!G64</f>
        <v>2673</v>
      </c>
      <c r="H7" s="46"/>
      <c r="I7" s="5"/>
      <c r="J7" s="46"/>
      <c r="K7" s="46"/>
      <c r="L7" s="5"/>
      <c r="M7" s="5"/>
    </row>
    <row r="8" spans="1:13" ht="17" x14ac:dyDescent="0.5">
      <c r="A8" s="46"/>
      <c r="B8" s="46"/>
      <c r="C8" s="46" t="s">
        <v>190</v>
      </c>
      <c r="D8" s="60"/>
      <c r="E8" s="46"/>
      <c r="F8" s="55"/>
      <c r="G8" s="37">
        <f>SAO!G65</f>
        <v>1980</v>
      </c>
      <c r="H8" s="46"/>
      <c r="I8" s="26"/>
      <c r="J8" s="46"/>
      <c r="K8" s="46"/>
      <c r="L8" s="5"/>
      <c r="M8" s="5"/>
    </row>
    <row r="9" spans="1:13" x14ac:dyDescent="0.35">
      <c r="A9" s="54" t="s">
        <v>59</v>
      </c>
      <c r="B9" s="46"/>
      <c r="C9" s="46"/>
      <c r="D9" s="60"/>
      <c r="E9" s="46"/>
      <c r="F9" s="55"/>
      <c r="G9" s="5">
        <f>G5-G6-G7-G8</f>
        <v>3376402.0915309396</v>
      </c>
      <c r="H9" s="46"/>
      <c r="I9" s="5"/>
      <c r="J9" s="46"/>
      <c r="K9" s="46"/>
      <c r="L9" s="5"/>
      <c r="M9" s="5"/>
    </row>
    <row r="10" spans="1:13" x14ac:dyDescent="0.35">
      <c r="A10" s="46" t="s">
        <v>21</v>
      </c>
      <c r="B10" s="46"/>
      <c r="C10" s="46" t="s">
        <v>60</v>
      </c>
      <c r="D10" s="60"/>
      <c r="E10" s="46"/>
      <c r="F10" s="55"/>
      <c r="G10" s="398">
        <f>SAO!G7</f>
        <v>2841218.81</v>
      </c>
      <c r="H10" s="46"/>
      <c r="I10" s="26"/>
      <c r="J10" s="46"/>
      <c r="K10" s="46"/>
      <c r="L10" s="5"/>
      <c r="M10" s="5"/>
    </row>
    <row r="11" spans="1:13" ht="17" x14ac:dyDescent="0.5">
      <c r="A11" s="46"/>
      <c r="B11" s="46"/>
      <c r="C11" s="46" t="s">
        <v>15</v>
      </c>
      <c r="D11" s="60"/>
      <c r="E11" s="46"/>
      <c r="F11" s="55"/>
      <c r="G11" s="37">
        <f>SAO!G8</f>
        <v>0</v>
      </c>
      <c r="H11" s="46"/>
      <c r="I11" s="26"/>
      <c r="J11" s="46"/>
      <c r="K11" s="46"/>
      <c r="L11" s="5"/>
      <c r="M11" s="5"/>
    </row>
    <row r="12" spans="1:13" x14ac:dyDescent="0.35">
      <c r="A12" s="54" t="s">
        <v>62</v>
      </c>
      <c r="B12" s="46"/>
      <c r="C12" s="46"/>
      <c r="D12" s="60"/>
      <c r="E12" s="46"/>
      <c r="F12" s="55"/>
      <c r="G12" s="46">
        <f>G9-G10-G11</f>
        <v>535183.28153093951</v>
      </c>
      <c r="H12" s="46"/>
      <c r="I12" s="46"/>
      <c r="J12" s="46"/>
      <c r="K12" s="46"/>
      <c r="L12" s="5"/>
      <c r="M12" s="5"/>
    </row>
    <row r="13" spans="1:13" x14ac:dyDescent="0.35">
      <c r="A13" s="54" t="s">
        <v>63</v>
      </c>
      <c r="B13" s="46"/>
      <c r="C13" s="46"/>
      <c r="D13" s="60"/>
      <c r="E13" s="46"/>
      <c r="F13" s="55"/>
      <c r="G13" s="61">
        <f>ROUND(G12/G10,4)</f>
        <v>0.18840000000000001</v>
      </c>
      <c r="H13" s="46"/>
      <c r="I13" s="46"/>
      <c r="J13" s="5"/>
      <c r="K13" s="46"/>
      <c r="L13" s="5"/>
      <c r="M13" s="5"/>
    </row>
    <row r="14" spans="1:13" x14ac:dyDescent="0.35">
      <c r="A14" s="54"/>
      <c r="B14" s="46"/>
      <c r="C14" s="46"/>
      <c r="D14" s="60"/>
      <c r="E14" s="46"/>
      <c r="F14" s="55"/>
      <c r="G14" s="61"/>
      <c r="H14" s="46"/>
      <c r="I14" s="46"/>
      <c r="J14" s="5"/>
      <c r="K14" s="46"/>
      <c r="L14" s="5"/>
      <c r="M14" s="5"/>
    </row>
    <row r="15" spans="1:13" x14ac:dyDescent="0.35">
      <c r="A15" s="54"/>
      <c r="B15" s="46"/>
      <c r="C15" s="46"/>
      <c r="D15" s="60"/>
      <c r="E15" s="46"/>
      <c r="F15" s="55"/>
      <c r="G15" s="61"/>
      <c r="H15" s="46"/>
      <c r="I15" s="46"/>
      <c r="J15" s="5"/>
      <c r="K15" s="46"/>
      <c r="L15" s="5"/>
      <c r="M15" s="5"/>
    </row>
    <row r="16" spans="1:13" x14ac:dyDescent="0.35">
      <c r="A16" s="5"/>
      <c r="B16" s="406" t="s">
        <v>459</v>
      </c>
      <c r="C16" s="406"/>
      <c r="D16" s="5"/>
      <c r="E16" s="5"/>
      <c r="F16" s="5"/>
      <c r="G16" s="5"/>
      <c r="H16" s="5"/>
      <c r="I16" s="5"/>
      <c r="J16" s="5"/>
      <c r="K16" s="5"/>
      <c r="L16" s="5"/>
      <c r="M16" s="5"/>
    </row>
    <row r="17" spans="1:13" ht="18.5" x14ac:dyDescent="0.35">
      <c r="A17" s="437" t="s">
        <v>241</v>
      </c>
      <c r="B17" s="437"/>
      <c r="C17" s="437"/>
      <c r="D17" s="437"/>
      <c r="E17" s="437"/>
      <c r="F17" s="437"/>
      <c r="G17" s="437"/>
      <c r="H17" s="5"/>
      <c r="I17" s="5"/>
      <c r="J17" s="5"/>
      <c r="K17" s="5"/>
      <c r="L17" s="5"/>
      <c r="M17" s="5"/>
    </row>
    <row r="18" spans="1:13" x14ac:dyDescent="0.35">
      <c r="A18" s="325" t="s">
        <v>36</v>
      </c>
      <c r="B18" s="326"/>
      <c r="C18" s="326"/>
      <c r="D18" s="60"/>
      <c r="E18" s="46"/>
      <c r="F18" s="55"/>
      <c r="G18" s="5">
        <f>SAO!G52</f>
        <v>2754919.2587309396</v>
      </c>
      <c r="H18" s="5"/>
      <c r="I18" s="5"/>
      <c r="J18" s="5"/>
      <c r="K18" s="5"/>
      <c r="L18" s="5"/>
      <c r="M18" s="5"/>
    </row>
    <row r="19" spans="1:13" x14ac:dyDescent="0.35">
      <c r="A19" s="326" t="s">
        <v>242</v>
      </c>
      <c r="B19" s="326"/>
      <c r="C19" s="326"/>
      <c r="D19" s="60"/>
      <c r="E19" s="46"/>
      <c r="F19" s="55"/>
      <c r="G19" s="209">
        <v>0.88</v>
      </c>
      <c r="H19" s="5"/>
      <c r="I19" s="5"/>
      <c r="J19" s="5"/>
      <c r="K19" s="5"/>
      <c r="L19" s="5"/>
      <c r="M19" s="5"/>
    </row>
    <row r="20" spans="1:13" x14ac:dyDescent="0.35">
      <c r="A20" s="326" t="s">
        <v>243</v>
      </c>
      <c r="B20" s="125"/>
      <c r="C20" s="125"/>
      <c r="D20" s="60"/>
      <c r="E20" s="46"/>
      <c r="F20" s="55"/>
      <c r="G20" s="5">
        <f>G18/G19</f>
        <v>3130590.066739704</v>
      </c>
      <c r="H20" s="5"/>
      <c r="I20" s="5"/>
      <c r="J20" s="5"/>
      <c r="K20" s="5"/>
      <c r="L20" s="5"/>
      <c r="M20" s="5"/>
    </row>
    <row r="21" spans="1:13" ht="17" x14ac:dyDescent="0.5">
      <c r="A21" s="326" t="s">
        <v>20</v>
      </c>
      <c r="B21" s="326"/>
      <c r="C21" s="326" t="s">
        <v>244</v>
      </c>
      <c r="D21" s="60"/>
      <c r="E21" s="46"/>
      <c r="F21" s="55"/>
      <c r="G21" s="226">
        <f>'Debt Service'!M32</f>
        <v>208334.894</v>
      </c>
      <c r="H21" s="5"/>
      <c r="I21" s="5" t="s">
        <v>247</v>
      </c>
      <c r="J21" s="46"/>
      <c r="K21" s="46"/>
      <c r="L21" s="5" t="s">
        <v>246</v>
      </c>
      <c r="M21" s="5"/>
    </row>
    <row r="22" spans="1:13" x14ac:dyDescent="0.35">
      <c r="A22" s="325" t="s">
        <v>61</v>
      </c>
      <c r="B22" s="326"/>
      <c r="C22" s="326"/>
      <c r="D22" s="60"/>
      <c r="E22" s="46"/>
      <c r="F22" s="55"/>
      <c r="G22" s="5">
        <f>G20+G21</f>
        <v>3338924.9607397038</v>
      </c>
      <c r="H22" s="5"/>
      <c r="I22" s="5"/>
      <c r="J22" s="5"/>
      <c r="K22" s="5"/>
      <c r="L22" s="5"/>
      <c r="M22" s="5"/>
    </row>
    <row r="23" spans="1:13" x14ac:dyDescent="0.35">
      <c r="A23" s="326" t="s">
        <v>21</v>
      </c>
      <c r="B23" s="326"/>
      <c r="C23" s="332" t="s">
        <v>22</v>
      </c>
      <c r="D23" s="60"/>
      <c r="E23" s="46"/>
      <c r="F23" s="55"/>
      <c r="G23" s="5">
        <f>SAO!G12</f>
        <v>47858.44000000001</v>
      </c>
      <c r="H23" s="5"/>
      <c r="I23" s="5"/>
      <c r="J23" s="5"/>
      <c r="K23" s="5"/>
      <c r="L23" s="5"/>
      <c r="M23" s="5"/>
    </row>
    <row r="24" spans="1:13" x14ac:dyDescent="0.35">
      <c r="A24" s="326"/>
      <c r="B24" s="326"/>
      <c r="C24" s="46" t="s">
        <v>439</v>
      </c>
      <c r="D24" s="60"/>
      <c r="E24" s="46"/>
      <c r="F24" s="55"/>
      <c r="G24" s="5">
        <f>SAO!G64</f>
        <v>2673</v>
      </c>
      <c r="H24" s="5"/>
      <c r="I24" s="5"/>
      <c r="J24" s="5"/>
      <c r="K24" s="5"/>
      <c r="L24" s="5"/>
      <c r="M24" s="5"/>
    </row>
    <row r="25" spans="1:13" ht="17" x14ac:dyDescent="0.5">
      <c r="A25" s="326"/>
      <c r="B25" s="326"/>
      <c r="C25" s="333" t="s">
        <v>190</v>
      </c>
      <c r="D25" s="60"/>
      <c r="E25" s="46"/>
      <c r="F25" s="55"/>
      <c r="G25" s="37">
        <f>SAO!G65</f>
        <v>1980</v>
      </c>
      <c r="H25" s="5"/>
      <c r="I25" s="5"/>
      <c r="J25" s="5"/>
      <c r="K25" s="5"/>
      <c r="L25" s="5"/>
      <c r="M25" s="5"/>
    </row>
    <row r="26" spans="1:13" x14ac:dyDescent="0.35">
      <c r="A26" s="325" t="s">
        <v>59</v>
      </c>
      <c r="B26" s="326"/>
      <c r="C26" s="326"/>
      <c r="D26" s="60"/>
      <c r="E26" s="46"/>
      <c r="F26" s="55"/>
      <c r="G26" s="5">
        <f>G22-G23-G25</f>
        <v>3289086.5207397039</v>
      </c>
      <c r="H26" s="5"/>
      <c r="I26" s="5"/>
      <c r="J26" s="5"/>
      <c r="K26" s="5"/>
      <c r="L26" s="5"/>
      <c r="M26" s="5"/>
    </row>
    <row r="27" spans="1:13" x14ac:dyDescent="0.35">
      <c r="A27" s="326" t="s">
        <v>21</v>
      </c>
      <c r="B27" s="326"/>
      <c r="C27" s="330" t="s">
        <v>60</v>
      </c>
      <c r="D27" s="60"/>
      <c r="E27" s="46"/>
      <c r="F27" s="55"/>
      <c r="G27" s="4">
        <f>SAO!G7</f>
        <v>2841218.81</v>
      </c>
      <c r="H27" s="5"/>
      <c r="I27" s="5"/>
      <c r="J27" s="5"/>
      <c r="K27" s="5"/>
      <c r="L27" s="5"/>
      <c r="M27" s="5"/>
    </row>
    <row r="28" spans="1:13" ht="17" x14ac:dyDescent="0.5">
      <c r="A28" s="326"/>
      <c r="B28" s="326"/>
      <c r="C28" s="331" t="s">
        <v>15</v>
      </c>
      <c r="D28" s="60"/>
      <c r="E28" s="46"/>
      <c r="F28" s="55"/>
      <c r="G28" s="37">
        <f>SAO!G8</f>
        <v>0</v>
      </c>
      <c r="H28" s="5"/>
      <c r="I28" s="5"/>
      <c r="J28" s="5"/>
      <c r="K28" s="5"/>
      <c r="L28" s="5"/>
      <c r="M28" s="5"/>
    </row>
    <row r="29" spans="1:13" x14ac:dyDescent="0.35">
      <c r="A29" s="325" t="s">
        <v>62</v>
      </c>
      <c r="B29" s="326"/>
      <c r="C29" s="326"/>
      <c r="D29" s="60"/>
      <c r="E29" s="46"/>
      <c r="F29" s="55"/>
      <c r="G29" s="4">
        <f>G26-G27</f>
        <v>447867.71073970385</v>
      </c>
      <c r="H29" s="5"/>
      <c r="I29" s="5"/>
      <c r="J29" s="5"/>
      <c r="K29" s="5"/>
      <c r="L29" s="5"/>
      <c r="M29" s="5"/>
    </row>
    <row r="30" spans="1:13" x14ac:dyDescent="0.35">
      <c r="A30" s="325" t="s">
        <v>63</v>
      </c>
      <c r="B30" s="326"/>
      <c r="C30" s="326"/>
      <c r="D30" s="5"/>
      <c r="E30" s="5"/>
      <c r="F30" s="5"/>
      <c r="G30" s="61">
        <f>G29/G26</f>
        <v>0.13616781070234055</v>
      </c>
      <c r="H30" s="5"/>
      <c r="I30" s="209"/>
      <c r="J30" s="5"/>
      <c r="K30" s="5"/>
      <c r="L30" s="5"/>
      <c r="M30" s="5"/>
    </row>
  </sheetData>
  <mergeCells count="2">
    <mergeCell ref="A1:G1"/>
    <mergeCell ref="A17:G17"/>
  </mergeCells>
  <printOptions horizontalCentered="1" verticalCentered="1"/>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423B5-3C4F-4A66-BDCE-8C5FC4A546FE}">
  <sheetPr>
    <tabColor rgb="FF92D050"/>
  </sheetPr>
  <dimension ref="A1:I27"/>
  <sheetViews>
    <sheetView topLeftCell="A3" workbookViewId="0">
      <selection activeCell="A11" sqref="A11"/>
    </sheetView>
  </sheetViews>
  <sheetFormatPr defaultColWidth="8.84375" defaultRowHeight="14.5" x14ac:dyDescent="0.35"/>
  <cols>
    <col min="1" max="1" width="18.69140625" style="1" customWidth="1"/>
    <col min="2" max="2" width="10.15234375" style="5" bestFit="1" customWidth="1"/>
    <col min="3" max="3" width="10.15234375" style="1" bestFit="1" customWidth="1"/>
    <col min="4" max="4" width="9.921875" style="1" customWidth="1"/>
    <col min="5" max="16384" width="8.84375" style="1"/>
  </cols>
  <sheetData>
    <row r="1" spans="1:7" ht="17" x14ac:dyDescent="0.5">
      <c r="A1" s="1" t="s">
        <v>169</v>
      </c>
      <c r="B1" s="438" t="s">
        <v>315</v>
      </c>
      <c r="C1" s="439"/>
    </row>
    <row r="2" spans="1:7" x14ac:dyDescent="0.35">
      <c r="A2" s="1" t="s">
        <v>170</v>
      </c>
      <c r="C2" s="5">
        <v>639320000</v>
      </c>
    </row>
    <row r="3" spans="1:7" x14ac:dyDescent="0.35">
      <c r="A3" s="1" t="s">
        <v>171</v>
      </c>
      <c r="B3" s="5">
        <v>176980000</v>
      </c>
      <c r="C3" s="5"/>
    </row>
    <row r="4" spans="1:7" x14ac:dyDescent="0.35">
      <c r="A4" s="1" t="s">
        <v>172</v>
      </c>
    </row>
    <row r="5" spans="1:7" x14ac:dyDescent="0.35">
      <c r="A5" s="1" t="s">
        <v>173</v>
      </c>
      <c r="B5" s="5">
        <v>29248000</v>
      </c>
    </row>
    <row r="6" spans="1:7" x14ac:dyDescent="0.35">
      <c r="A6" s="1" t="s">
        <v>174</v>
      </c>
      <c r="B6" s="5">
        <v>21885000</v>
      </c>
    </row>
    <row r="7" spans="1:7" x14ac:dyDescent="0.35">
      <c r="A7" s="1" t="s">
        <v>175</v>
      </c>
      <c r="B7" s="5">
        <v>437000</v>
      </c>
    </row>
    <row r="8" spans="1:7" x14ac:dyDescent="0.35">
      <c r="A8" s="1" t="s">
        <v>176</v>
      </c>
      <c r="B8" s="5">
        <v>0</v>
      </c>
    </row>
    <row r="9" spans="1:7" x14ac:dyDescent="0.35">
      <c r="C9" s="125">
        <f>B5+B6+B7+B8</f>
        <v>51570000</v>
      </c>
    </row>
    <row r="10" spans="1:7" x14ac:dyDescent="0.35">
      <c r="A10" s="1" t="s">
        <v>177</v>
      </c>
      <c r="B10" s="5">
        <v>0</v>
      </c>
    </row>
    <row r="11" spans="1:7" x14ac:dyDescent="0.35">
      <c r="A11" s="1" t="s">
        <v>178</v>
      </c>
    </row>
    <row r="12" spans="1:7" x14ac:dyDescent="0.35">
      <c r="A12" s="1" t="s">
        <v>179</v>
      </c>
      <c r="B12" s="5">
        <v>84350000</v>
      </c>
    </row>
    <row r="13" spans="1:7" x14ac:dyDescent="0.35">
      <c r="A13" s="1" t="s">
        <v>183</v>
      </c>
      <c r="B13" s="5">
        <v>326420000</v>
      </c>
    </row>
    <row r="14" spans="1:7" x14ac:dyDescent="0.35">
      <c r="C14" s="125">
        <f>B10+B11+B12+B13</f>
        <v>410770000</v>
      </c>
      <c r="D14" s="212">
        <f>C14/C2</f>
        <v>0.64251079271726208</v>
      </c>
      <c r="E14" s="1" t="s">
        <v>180</v>
      </c>
    </row>
    <row r="15" spans="1:7" x14ac:dyDescent="0.35">
      <c r="C15" s="125"/>
      <c r="D15" s="212">
        <v>0.15</v>
      </c>
      <c r="E15" s="1" t="s">
        <v>181</v>
      </c>
    </row>
    <row r="16" spans="1:7" x14ac:dyDescent="0.35">
      <c r="D16" s="218">
        <f>IF(D14&gt;D15,D14-D15,0)</f>
        <v>0.49251079271726206</v>
      </c>
      <c r="E16" s="1" t="s">
        <v>182</v>
      </c>
      <c r="G16" s="17"/>
    </row>
    <row r="18" spans="1:9" x14ac:dyDescent="0.35">
      <c r="A18" s="1" t="s">
        <v>235</v>
      </c>
      <c r="D18" s="1" t="s">
        <v>37</v>
      </c>
    </row>
    <row r="19" spans="1:9" x14ac:dyDescent="0.35">
      <c r="A19" s="1" t="s">
        <v>5</v>
      </c>
      <c r="B19" s="321">
        <f>SAO!D25</f>
        <v>0</v>
      </c>
      <c r="D19" s="320">
        <f>D16*B19</f>
        <v>0</v>
      </c>
    </row>
    <row r="20" spans="1:9" x14ac:dyDescent="0.35">
      <c r="A20" s="1" t="s">
        <v>6</v>
      </c>
      <c r="B20" s="321">
        <f>SAO!E26+SAO!E28</f>
        <v>344115.03</v>
      </c>
      <c r="D20" s="320">
        <f>-D16*B20</f>
        <v>-169480.36621122443</v>
      </c>
    </row>
    <row r="21" spans="1:9" x14ac:dyDescent="0.35">
      <c r="A21" s="1" t="s">
        <v>86</v>
      </c>
      <c r="B21" s="322">
        <f>SAO!E30</f>
        <v>255589</v>
      </c>
      <c r="C21" s="323"/>
      <c r="D21" s="324">
        <f>-D16*B21</f>
        <v>-125880.3409998123</v>
      </c>
    </row>
    <row r="22" spans="1:9" x14ac:dyDescent="0.35">
      <c r="A22" s="1" t="s">
        <v>12</v>
      </c>
      <c r="B22" s="321">
        <f>SUM(B19:B21)</f>
        <v>599704.03</v>
      </c>
      <c r="D22" s="320">
        <f>SUM(D19:D21)</f>
        <v>-295360.7072110367</v>
      </c>
      <c r="I22" s="1" t="s">
        <v>99</v>
      </c>
    </row>
    <row r="24" spans="1:9" x14ac:dyDescent="0.35">
      <c r="A24" s="1" t="s">
        <v>236</v>
      </c>
    </row>
    <row r="25" spans="1:9" x14ac:dyDescent="0.35">
      <c r="A25" s="1" t="s">
        <v>237</v>
      </c>
      <c r="D25" s="210">
        <f>D22</f>
        <v>-295360.7072110367</v>
      </c>
    </row>
    <row r="26" spans="1:9" x14ac:dyDescent="0.35">
      <c r="A26" s="1" t="s">
        <v>238</v>
      </c>
      <c r="D26" s="147">
        <f>ExBA!D7</f>
        <v>50557</v>
      </c>
    </row>
    <row r="27" spans="1:9" x14ac:dyDescent="0.35">
      <c r="A27" s="1" t="s">
        <v>239</v>
      </c>
      <c r="D27" s="41">
        <f>ROUND(-D25/D26,2)</f>
        <v>5.84</v>
      </c>
      <c r="E27" s="1" t="s">
        <v>391</v>
      </c>
    </row>
  </sheetData>
  <mergeCells count="1">
    <mergeCell ref="B1:C1"/>
  </mergeCells>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93153-D18D-47C6-A731-B4659C25EE06}">
  <sheetPr>
    <tabColor rgb="FF92D050"/>
  </sheetPr>
  <dimension ref="A1:N85"/>
  <sheetViews>
    <sheetView topLeftCell="B10" zoomScale="106" zoomScaleNormal="106" workbookViewId="0">
      <selection activeCell="M26" sqref="M26"/>
    </sheetView>
  </sheetViews>
  <sheetFormatPr defaultColWidth="8.84375" defaultRowHeight="14.5" x14ac:dyDescent="0.35"/>
  <cols>
    <col min="1" max="1" width="3.3046875" style="1" customWidth="1"/>
    <col min="2" max="2" width="32.69140625" style="1" customWidth="1"/>
    <col min="3" max="3" width="10.53515625" style="1" bestFit="1" customWidth="1"/>
    <col min="4" max="4" width="8.84375" style="1"/>
    <col min="5" max="5" width="9.84375" style="1" bestFit="1" customWidth="1"/>
    <col min="6" max="6" width="10.07421875" style="1" customWidth="1"/>
    <col min="7" max="7" width="10.3828125" style="1" customWidth="1"/>
    <col min="8" max="8" width="9.84375" style="1" bestFit="1" customWidth="1"/>
    <col min="9" max="9" width="8.84375" style="93"/>
    <col min="10" max="10" width="10.3828125" style="1" bestFit="1" customWidth="1"/>
    <col min="11" max="12" width="8.84375" style="1"/>
    <col min="13" max="13" width="10.3828125" style="1" bestFit="1" customWidth="1"/>
    <col min="14" max="16384" width="8.84375" style="1"/>
  </cols>
  <sheetData>
    <row r="1" spans="1:12" x14ac:dyDescent="0.35">
      <c r="B1" s="144" t="s">
        <v>87</v>
      </c>
    </row>
    <row r="2" spans="1:12" x14ac:dyDescent="0.35">
      <c r="E2" s="17">
        <v>2023</v>
      </c>
      <c r="H2" s="17"/>
      <c r="J2" s="17" t="s">
        <v>12</v>
      </c>
    </row>
    <row r="3" spans="1:12" x14ac:dyDescent="0.35">
      <c r="C3" s="17" t="s">
        <v>88</v>
      </c>
      <c r="D3" s="17" t="s">
        <v>88</v>
      </c>
      <c r="E3" s="17" t="s">
        <v>89</v>
      </c>
      <c r="F3" s="17" t="s">
        <v>88</v>
      </c>
      <c r="G3" s="17" t="s">
        <v>88</v>
      </c>
      <c r="H3" s="17" t="s">
        <v>88</v>
      </c>
      <c r="J3" s="17" t="s">
        <v>88</v>
      </c>
    </row>
    <row r="4" spans="1:12" x14ac:dyDescent="0.35">
      <c r="B4" s="18" t="s">
        <v>90</v>
      </c>
      <c r="C4" s="18" t="s">
        <v>91</v>
      </c>
      <c r="D4" s="18" t="s">
        <v>92</v>
      </c>
      <c r="E4" s="18" t="s">
        <v>93</v>
      </c>
      <c r="F4" s="18" t="s">
        <v>94</v>
      </c>
      <c r="G4" s="18" t="s">
        <v>95</v>
      </c>
      <c r="H4" s="18" t="s">
        <v>96</v>
      </c>
      <c r="I4" s="93" t="s">
        <v>321</v>
      </c>
      <c r="J4" s="18" t="s">
        <v>96</v>
      </c>
    </row>
    <row r="5" spans="1:12" x14ac:dyDescent="0.35">
      <c r="A5" s="117"/>
      <c r="B5" s="1" t="s">
        <v>266</v>
      </c>
      <c r="C5" s="334">
        <f>1770+120+88+96</f>
        <v>2074</v>
      </c>
      <c r="D5" s="335">
        <v>5.5</v>
      </c>
      <c r="E5" s="82">
        <v>18.809999999999999</v>
      </c>
      <c r="F5" s="15">
        <f>C5*E5</f>
        <v>39011.939999999995</v>
      </c>
      <c r="G5" s="15">
        <f>D5*E5*1.5</f>
        <v>155.1825</v>
      </c>
      <c r="H5" s="321">
        <f t="shared" ref="H5" si="0">F5+G5</f>
        <v>39167.122499999998</v>
      </c>
      <c r="I5" s="358">
        <v>117</v>
      </c>
      <c r="J5" s="369">
        <f>H5+I5</f>
        <v>39284.122499999998</v>
      </c>
    </row>
    <row r="6" spans="1:12" x14ac:dyDescent="0.35">
      <c r="A6" s="117"/>
      <c r="B6" s="1" t="s">
        <v>267</v>
      </c>
      <c r="C6" s="334">
        <v>472</v>
      </c>
      <c r="D6" s="335"/>
      <c r="E6" s="82">
        <v>20.5</v>
      </c>
      <c r="F6" s="15">
        <f>C6*E6</f>
        <v>9676</v>
      </c>
      <c r="G6" s="15">
        <f>D6*E6*1.5</f>
        <v>0</v>
      </c>
      <c r="H6" s="15">
        <f t="shared" ref="H6:H12" si="1">F6+G6</f>
        <v>9676</v>
      </c>
      <c r="I6" s="355">
        <v>109.47</v>
      </c>
      <c r="J6" s="20">
        <f t="shared" ref="J6:J23" si="2">H6+I6</f>
        <v>9785.4699999999993</v>
      </c>
    </row>
    <row r="7" spans="1:12" x14ac:dyDescent="0.35">
      <c r="A7" s="117"/>
      <c r="B7" s="1" t="s">
        <v>268</v>
      </c>
      <c r="C7" s="334">
        <f>1856+80+84+88</f>
        <v>2108</v>
      </c>
      <c r="D7" s="335">
        <v>87</v>
      </c>
      <c r="E7" s="82">
        <v>21.12</v>
      </c>
      <c r="F7" s="15">
        <f>C7*E7</f>
        <v>44520.959999999999</v>
      </c>
      <c r="G7" s="15">
        <f>D7*E7*1.5</f>
        <v>2756.16</v>
      </c>
      <c r="H7" s="15">
        <f t="shared" si="1"/>
        <v>47277.119999999995</v>
      </c>
      <c r="I7" s="355">
        <v>115.82</v>
      </c>
      <c r="J7" s="369">
        <f t="shared" si="2"/>
        <v>47392.939999999995</v>
      </c>
    </row>
    <row r="8" spans="1:12" x14ac:dyDescent="0.35">
      <c r="A8" s="117"/>
      <c r="B8" s="1" t="s">
        <v>269</v>
      </c>
      <c r="C8" s="334">
        <f>1800+144+84+52</f>
        <v>2080</v>
      </c>
      <c r="D8" s="335">
        <v>168</v>
      </c>
      <c r="E8" s="82">
        <v>24.57</v>
      </c>
      <c r="F8" s="15">
        <f>C8*E8</f>
        <v>51105.599999999999</v>
      </c>
      <c r="G8" s="15">
        <f>D8*E8*1.5</f>
        <v>6191.64</v>
      </c>
      <c r="H8" s="15">
        <f t="shared" si="1"/>
        <v>57297.24</v>
      </c>
      <c r="I8" s="355">
        <v>116.99</v>
      </c>
      <c r="J8" s="369">
        <f t="shared" si="2"/>
        <v>57414.229999999996</v>
      </c>
    </row>
    <row r="9" spans="1:12" x14ac:dyDescent="0.35">
      <c r="A9" s="117"/>
      <c r="B9" s="1" t="s">
        <v>270</v>
      </c>
      <c r="C9" s="334">
        <f>61*12</f>
        <v>732</v>
      </c>
      <c r="D9" s="352"/>
      <c r="E9" s="82">
        <v>12</v>
      </c>
      <c r="F9" s="15">
        <f t="shared" ref="F9:F10" si="3">C9*E9</f>
        <v>8784</v>
      </c>
      <c r="G9" s="19">
        <f t="shared" ref="G9:G12" si="4">D9*E9*1.5</f>
        <v>0</v>
      </c>
      <c r="H9" s="19">
        <f t="shared" si="1"/>
        <v>8784</v>
      </c>
      <c r="I9" s="355"/>
      <c r="J9" s="20">
        <f t="shared" si="2"/>
        <v>8784</v>
      </c>
    </row>
    <row r="10" spans="1:12" x14ac:dyDescent="0.35">
      <c r="A10" s="117"/>
      <c r="B10" s="1" t="s">
        <v>271</v>
      </c>
      <c r="C10" s="334">
        <f>1920+40+68+80</f>
        <v>2108</v>
      </c>
      <c r="D10" s="352">
        <v>29</v>
      </c>
      <c r="E10" s="82">
        <v>18.79</v>
      </c>
      <c r="F10" s="15">
        <f t="shared" si="3"/>
        <v>39609.32</v>
      </c>
      <c r="G10" s="19">
        <f t="shared" si="4"/>
        <v>817.36500000000001</v>
      </c>
      <c r="H10" s="19">
        <f t="shared" si="1"/>
        <v>40426.684999999998</v>
      </c>
      <c r="I10" s="355">
        <v>117.17</v>
      </c>
      <c r="J10" s="369">
        <f t="shared" si="2"/>
        <v>40543.854999999996</v>
      </c>
    </row>
    <row r="11" spans="1:12" x14ac:dyDescent="0.35">
      <c r="A11" s="117"/>
      <c r="B11" s="1" t="s">
        <v>272</v>
      </c>
      <c r="C11" s="334">
        <f>1717+160+88+115</f>
        <v>2080</v>
      </c>
      <c r="D11" s="352">
        <v>173.5</v>
      </c>
      <c r="E11" s="82">
        <v>33.18</v>
      </c>
      <c r="F11" s="15">
        <f>C11*E11</f>
        <v>69014.399999999994</v>
      </c>
      <c r="G11" s="19">
        <f t="shared" si="4"/>
        <v>8635.0949999999993</v>
      </c>
      <c r="H11" s="15">
        <f t="shared" si="1"/>
        <v>77649.494999999995</v>
      </c>
      <c r="I11" s="355">
        <v>117.16</v>
      </c>
      <c r="J11" s="369">
        <f t="shared" si="2"/>
        <v>77766.654999999999</v>
      </c>
    </row>
    <row r="12" spans="1:12" x14ac:dyDescent="0.35">
      <c r="A12" s="117"/>
      <c r="B12" s="1" t="s">
        <v>323</v>
      </c>
      <c r="C12" s="334">
        <f>28+160+16+8</f>
        <v>212</v>
      </c>
      <c r="D12" s="352"/>
      <c r="E12" s="82">
        <v>32.9</v>
      </c>
      <c r="F12" s="15">
        <f t="shared" ref="F12" si="5">C12*E12</f>
        <v>6974.7999999999993</v>
      </c>
      <c r="G12" s="19">
        <f t="shared" si="4"/>
        <v>0</v>
      </c>
      <c r="H12" s="15">
        <f t="shared" si="1"/>
        <v>6974.7999999999993</v>
      </c>
      <c r="I12" s="355"/>
      <c r="J12" s="369">
        <f t="shared" si="2"/>
        <v>6974.7999999999993</v>
      </c>
    </row>
    <row r="13" spans="1:12" x14ac:dyDescent="0.35">
      <c r="A13" s="117"/>
      <c r="B13" s="1" t="s">
        <v>273</v>
      </c>
      <c r="C13" s="334">
        <f>1795+40+88+157</f>
        <v>2080</v>
      </c>
      <c r="D13" s="352">
        <v>249.5</v>
      </c>
      <c r="E13" s="82">
        <v>18.149999999999999</v>
      </c>
      <c r="F13" s="15">
        <f t="shared" ref="F13:F23" si="6">C13*E13</f>
        <v>37752</v>
      </c>
      <c r="G13" s="19">
        <f t="shared" ref="G13:G23" si="7">D13*E13*1.5</f>
        <v>6792.6374999999989</v>
      </c>
      <c r="H13" s="15">
        <f t="shared" ref="H13:H23" si="8">F13+G13</f>
        <v>44544.637499999997</v>
      </c>
      <c r="I13" s="355">
        <v>117.17</v>
      </c>
      <c r="J13" s="369">
        <f t="shared" si="2"/>
        <v>44661.807499999995</v>
      </c>
    </row>
    <row r="14" spans="1:12" x14ac:dyDescent="0.35">
      <c r="A14" s="117"/>
      <c r="B14" s="1" t="s">
        <v>324</v>
      </c>
      <c r="C14" s="334">
        <f>1022+24+56</f>
        <v>1102</v>
      </c>
      <c r="D14" s="352">
        <v>86</v>
      </c>
      <c r="E14" s="82">
        <v>15</v>
      </c>
      <c r="F14" s="15">
        <f t="shared" si="6"/>
        <v>16530</v>
      </c>
      <c r="G14" s="19">
        <f t="shared" si="7"/>
        <v>1935</v>
      </c>
      <c r="H14" s="15">
        <f t="shared" si="8"/>
        <v>18465</v>
      </c>
      <c r="I14" s="355"/>
      <c r="J14" s="369">
        <f t="shared" si="2"/>
        <v>18465</v>
      </c>
      <c r="L14" s="356"/>
    </row>
    <row r="15" spans="1:12" x14ac:dyDescent="0.35">
      <c r="A15" s="117"/>
      <c r="B15" s="1" t="s">
        <v>325</v>
      </c>
      <c r="C15" s="334">
        <f>1902+40+84+54</f>
        <v>2080</v>
      </c>
      <c r="D15" s="352">
        <v>93.5</v>
      </c>
      <c r="E15" s="82">
        <v>17.72</v>
      </c>
      <c r="F15" s="15">
        <f t="shared" ref="F15" si="9">C15*E15</f>
        <v>36857.599999999999</v>
      </c>
      <c r="G15" s="19">
        <f t="shared" ref="G15" si="10">D15*E15*1.5</f>
        <v>2485.23</v>
      </c>
      <c r="H15" s="15">
        <f t="shared" ref="H15" si="11">F15+G15</f>
        <v>39342.83</v>
      </c>
      <c r="I15" s="355">
        <v>115.81</v>
      </c>
      <c r="J15" s="369">
        <f t="shared" ref="J15" si="12">H15+I15</f>
        <v>39458.639999999999</v>
      </c>
      <c r="L15" s="356"/>
    </row>
    <row r="16" spans="1:12" x14ac:dyDescent="0.35">
      <c r="A16" s="117"/>
      <c r="B16" s="1" t="s">
        <v>275</v>
      </c>
      <c r="C16" s="334">
        <f>1677+40+88+104</f>
        <v>1909</v>
      </c>
      <c r="D16" s="352">
        <v>4</v>
      </c>
      <c r="E16" s="82">
        <v>16.5</v>
      </c>
      <c r="F16" s="15">
        <f t="shared" si="6"/>
        <v>31498.5</v>
      </c>
      <c r="G16" s="19">
        <f t="shared" si="7"/>
        <v>99</v>
      </c>
      <c r="H16" s="15">
        <f t="shared" si="8"/>
        <v>31597.5</v>
      </c>
      <c r="I16" s="355">
        <v>117.16</v>
      </c>
      <c r="J16" s="369">
        <f t="shared" si="2"/>
        <v>31714.66</v>
      </c>
    </row>
    <row r="17" spans="1:14" x14ac:dyDescent="0.35">
      <c r="A17" s="117"/>
      <c r="B17" s="1" t="s">
        <v>276</v>
      </c>
      <c r="C17" s="334">
        <f>1909.5+40+88+42.5</f>
        <v>2080</v>
      </c>
      <c r="D17" s="352">
        <v>248.5</v>
      </c>
      <c r="E17" s="82">
        <v>19.5</v>
      </c>
      <c r="F17" s="15">
        <f t="shared" si="6"/>
        <v>40560</v>
      </c>
      <c r="G17" s="19">
        <f t="shared" si="7"/>
        <v>7268.625</v>
      </c>
      <c r="H17" s="15">
        <f t="shared" si="8"/>
        <v>47828.625</v>
      </c>
      <c r="I17" s="355">
        <v>117.16</v>
      </c>
      <c r="J17" s="369">
        <f t="shared" si="2"/>
        <v>47945.785000000003</v>
      </c>
    </row>
    <row r="18" spans="1:14" x14ac:dyDescent="0.35">
      <c r="A18" s="117"/>
      <c r="B18" s="1" t="s">
        <v>287</v>
      </c>
      <c r="C18" s="334">
        <f>1802+40+80+118</f>
        <v>2040</v>
      </c>
      <c r="D18" s="352">
        <v>157</v>
      </c>
      <c r="E18" s="82">
        <v>16.5</v>
      </c>
      <c r="F18" s="15">
        <f t="shared" si="6"/>
        <v>33660</v>
      </c>
      <c r="G18" s="19">
        <f t="shared" si="7"/>
        <v>3885.75</v>
      </c>
      <c r="H18" s="15">
        <f t="shared" si="8"/>
        <v>37545.75</v>
      </c>
      <c r="I18" s="355">
        <v>117.16</v>
      </c>
      <c r="J18" s="369">
        <f t="shared" si="2"/>
        <v>37662.910000000003</v>
      </c>
    </row>
    <row r="19" spans="1:14" x14ac:dyDescent="0.35">
      <c r="A19" s="117"/>
      <c r="B19" s="1" t="s">
        <v>288</v>
      </c>
      <c r="C19" s="334">
        <f>1909+31+84+56</f>
        <v>2080</v>
      </c>
      <c r="D19" s="352">
        <v>332</v>
      </c>
      <c r="E19" s="82">
        <v>21.5</v>
      </c>
      <c r="F19" s="15">
        <f t="shared" si="6"/>
        <v>44720</v>
      </c>
      <c r="G19" s="19">
        <f t="shared" si="7"/>
        <v>10707</v>
      </c>
      <c r="H19" s="15">
        <f t="shared" si="8"/>
        <v>55427</v>
      </c>
      <c r="I19" s="355">
        <v>117.17</v>
      </c>
      <c r="J19" s="369">
        <f t="shared" si="2"/>
        <v>55544.17</v>
      </c>
    </row>
    <row r="20" spans="1:14" x14ac:dyDescent="0.35">
      <c r="A20" s="117"/>
      <c r="B20" s="1" t="s">
        <v>292</v>
      </c>
      <c r="C20" s="334">
        <f>1862+105+84+54</f>
        <v>2105</v>
      </c>
      <c r="D20" s="352">
        <v>37</v>
      </c>
      <c r="E20" s="82">
        <v>23.29</v>
      </c>
      <c r="F20" s="15">
        <f t="shared" si="6"/>
        <v>49025.45</v>
      </c>
      <c r="G20" s="19">
        <f t="shared" si="7"/>
        <v>1292.595</v>
      </c>
      <c r="H20" s="15">
        <f t="shared" si="8"/>
        <v>50318.044999999998</v>
      </c>
      <c r="I20" s="355">
        <v>117.15</v>
      </c>
      <c r="J20" s="369">
        <f t="shared" si="2"/>
        <v>50435.195</v>
      </c>
    </row>
    <row r="21" spans="1:14" x14ac:dyDescent="0.35">
      <c r="A21" s="117"/>
      <c r="B21" s="1" t="s">
        <v>326</v>
      </c>
      <c r="C21" s="357">
        <v>446.5</v>
      </c>
      <c r="D21" s="352">
        <v>0</v>
      </c>
      <c r="E21" s="82">
        <v>11.1</v>
      </c>
      <c r="F21" s="15">
        <f t="shared" si="6"/>
        <v>4956.1499999999996</v>
      </c>
      <c r="G21" s="19">
        <f t="shared" si="7"/>
        <v>0</v>
      </c>
      <c r="H21" s="15">
        <f t="shared" si="8"/>
        <v>4956.1499999999996</v>
      </c>
      <c r="I21" s="355"/>
      <c r="J21" s="20">
        <f t="shared" si="2"/>
        <v>4956.1499999999996</v>
      </c>
    </row>
    <row r="22" spans="1:14" x14ac:dyDescent="0.35">
      <c r="A22" s="117"/>
      <c r="B22" s="1" t="s">
        <v>290</v>
      </c>
      <c r="C22" s="334">
        <f>1848+80+84+112</f>
        <v>2124</v>
      </c>
      <c r="D22" s="352">
        <v>79</v>
      </c>
      <c r="E22" s="82">
        <v>19.8</v>
      </c>
      <c r="F22" s="15">
        <f t="shared" si="6"/>
        <v>42055.200000000004</v>
      </c>
      <c r="G22" s="19">
        <f t="shared" si="7"/>
        <v>2346.3000000000002</v>
      </c>
      <c r="H22" s="15">
        <f t="shared" si="8"/>
        <v>44401.500000000007</v>
      </c>
      <c r="I22" s="355">
        <v>117.14</v>
      </c>
      <c r="J22" s="369">
        <f t="shared" si="2"/>
        <v>44518.640000000007</v>
      </c>
    </row>
    <row r="23" spans="1:14" x14ac:dyDescent="0.35">
      <c r="A23" s="117"/>
      <c r="B23" s="1" t="s">
        <v>327</v>
      </c>
      <c r="C23" s="334">
        <f>614+40+28+32</f>
        <v>714</v>
      </c>
      <c r="D23" s="352">
        <v>33</v>
      </c>
      <c r="E23" s="82">
        <v>16.75</v>
      </c>
      <c r="F23" s="15">
        <f t="shared" si="6"/>
        <v>11959.5</v>
      </c>
      <c r="G23" s="19">
        <f t="shared" si="7"/>
        <v>829.125</v>
      </c>
      <c r="H23" s="15">
        <f t="shared" si="8"/>
        <v>12788.625</v>
      </c>
      <c r="I23" s="355"/>
      <c r="J23" s="20">
        <f t="shared" si="2"/>
        <v>12788.625</v>
      </c>
    </row>
    <row r="24" spans="1:14" x14ac:dyDescent="0.35">
      <c r="A24" s="117"/>
      <c r="B24" s="1" t="s">
        <v>328</v>
      </c>
      <c r="C24" s="334">
        <f>428+8+24</f>
        <v>460</v>
      </c>
      <c r="D24" s="352">
        <v>2.5</v>
      </c>
      <c r="E24" s="82">
        <v>18</v>
      </c>
      <c r="F24" s="15">
        <f t="shared" ref="F24" si="13">C24*E24</f>
        <v>8280</v>
      </c>
      <c r="G24" s="19">
        <f t="shared" ref="G24" si="14">D24*E24*1.5</f>
        <v>67.5</v>
      </c>
      <c r="H24" s="15">
        <f t="shared" ref="H24" si="15">F24+G24</f>
        <v>8347.5</v>
      </c>
      <c r="I24" s="355"/>
      <c r="J24" s="369">
        <f t="shared" ref="J24:J25" si="16">H24+I24</f>
        <v>8347.5</v>
      </c>
      <c r="L24" s="356"/>
      <c r="M24" s="356"/>
    </row>
    <row r="25" spans="1:14" ht="16" x14ac:dyDescent="0.5">
      <c r="A25" s="117"/>
      <c r="B25" s="1" t="s">
        <v>289</v>
      </c>
      <c r="C25" s="19">
        <v>2080</v>
      </c>
      <c r="D25" s="353">
        <v>0</v>
      </c>
      <c r="E25" s="335">
        <v>15</v>
      </c>
      <c r="F25" s="86">
        <f>C25*E25</f>
        <v>31200</v>
      </c>
      <c r="G25" s="86">
        <f>D25*E25*1.5</f>
        <v>0</v>
      </c>
      <c r="H25" s="86">
        <f>F25+G25</f>
        <v>31200</v>
      </c>
      <c r="I25" s="355"/>
      <c r="J25" s="369">
        <f t="shared" si="16"/>
        <v>31200</v>
      </c>
    </row>
    <row r="26" spans="1:14" x14ac:dyDescent="0.35">
      <c r="B26" s="1" t="s">
        <v>163</v>
      </c>
      <c r="C26" s="19">
        <f>SUM(C5:C25)</f>
        <v>33166.5</v>
      </c>
      <c r="D26" s="354">
        <f>SUM(D5:D25)</f>
        <v>1785</v>
      </c>
      <c r="E26" s="19"/>
      <c r="F26" s="19">
        <f>SUM(F5:F25)</f>
        <v>657751.41999999993</v>
      </c>
      <c r="G26" s="19">
        <f>SUM(G5:G25)</f>
        <v>56264.205000000002</v>
      </c>
      <c r="H26" s="207">
        <f>SUM(H5:H25)</f>
        <v>714015.625</v>
      </c>
      <c r="I26" s="103">
        <f t="shared" ref="I26:J26" si="17">SUM(I5:I25)</f>
        <v>1629.5300000000004</v>
      </c>
      <c r="J26" s="207">
        <f t="shared" si="17"/>
        <v>715645.15500000003</v>
      </c>
    </row>
    <row r="27" spans="1:14" x14ac:dyDescent="0.35">
      <c r="C27" s="15"/>
      <c r="D27" s="15"/>
      <c r="E27" s="65"/>
      <c r="F27" s="19"/>
      <c r="G27" s="19"/>
      <c r="H27" s="19"/>
      <c r="I27" s="355"/>
      <c r="J27" s="5">
        <v>30000</v>
      </c>
      <c r="K27" s="1" t="s">
        <v>261</v>
      </c>
    </row>
    <row r="28" spans="1:14" x14ac:dyDescent="0.35">
      <c r="D28" s="1" t="s">
        <v>164</v>
      </c>
      <c r="E28" s="65"/>
      <c r="F28" s="19"/>
      <c r="G28" s="19"/>
      <c r="H28" s="371">
        <f>J5+J7+J8+J10+J11+J12+J13+J14+J15+J16+J17+J18+J19+J20+J22+J24+J25</f>
        <v>679330.91</v>
      </c>
      <c r="I28" s="355"/>
      <c r="J28" s="20">
        <f>SUM(J26:J27)</f>
        <v>745645.15500000003</v>
      </c>
    </row>
    <row r="29" spans="1:14" x14ac:dyDescent="0.35">
      <c r="B29" s="15"/>
      <c r="C29" s="15"/>
      <c r="D29" s="15"/>
      <c r="H29" s="67"/>
      <c r="J29" s="5">
        <v>5365.28</v>
      </c>
      <c r="K29" s="1" t="s">
        <v>346</v>
      </c>
    </row>
    <row r="30" spans="1:14" x14ac:dyDescent="0.35">
      <c r="B30" s="68"/>
      <c r="C30" s="15"/>
      <c r="D30" s="15"/>
      <c r="H30" s="67" t="s">
        <v>30</v>
      </c>
      <c r="K30" s="374" t="s">
        <v>347</v>
      </c>
      <c r="L30" s="374"/>
      <c r="M30" s="374"/>
      <c r="N30" s="372"/>
    </row>
    <row r="31" spans="1:14" x14ac:dyDescent="0.35">
      <c r="B31" s="15"/>
      <c r="C31" s="15"/>
      <c r="D31" s="15"/>
      <c r="E31" s="1" t="s">
        <v>384</v>
      </c>
      <c r="H31" s="69">
        <f>J26</f>
        <v>715645.15500000003</v>
      </c>
      <c r="K31" s="372" t="s">
        <v>316</v>
      </c>
      <c r="L31" s="372"/>
      <c r="M31" s="373">
        <v>53557.09</v>
      </c>
      <c r="N31" s="372"/>
    </row>
    <row r="32" spans="1:14" ht="16" x14ac:dyDescent="0.5">
      <c r="B32" s="15"/>
      <c r="C32" s="15"/>
      <c r="D32" s="15"/>
      <c r="E32" s="1" t="s">
        <v>97</v>
      </c>
      <c r="H32" s="24">
        <f>-SAO!D18</f>
        <v>-667593</v>
      </c>
      <c r="K32" s="372" t="s">
        <v>317</v>
      </c>
      <c r="L32" s="372"/>
      <c r="M32" s="372">
        <v>5365.28</v>
      </c>
      <c r="N32" s="372"/>
    </row>
    <row r="33" spans="2:14" ht="15" thickBot="1" x14ac:dyDescent="0.4">
      <c r="B33" s="15"/>
      <c r="C33" s="15"/>
      <c r="D33" s="15"/>
      <c r="E33" s="38" t="s">
        <v>98</v>
      </c>
      <c r="F33" s="38"/>
      <c r="G33" s="38"/>
      <c r="H33" s="70">
        <f>H31+H32</f>
        <v>48052.155000000028</v>
      </c>
      <c r="I33" s="17"/>
      <c r="K33" s="372" t="s">
        <v>318</v>
      </c>
      <c r="L33" s="372"/>
      <c r="M33" s="372">
        <v>1098</v>
      </c>
      <c r="N33" s="372"/>
    </row>
    <row r="34" spans="2:14" ht="15" thickTop="1" x14ac:dyDescent="0.35">
      <c r="B34" s="15"/>
      <c r="C34" s="15"/>
      <c r="D34" s="15"/>
      <c r="H34" s="1" t="s">
        <v>99</v>
      </c>
      <c r="I34" s="17"/>
      <c r="K34" s="372" t="s">
        <v>319</v>
      </c>
      <c r="L34" s="372"/>
      <c r="M34" s="372">
        <v>1782.12</v>
      </c>
      <c r="N34" s="372"/>
    </row>
    <row r="35" spans="2:14" x14ac:dyDescent="0.35">
      <c r="B35" s="15"/>
      <c r="C35" s="15"/>
      <c r="D35" s="15"/>
      <c r="E35" s="1" t="s">
        <v>100</v>
      </c>
      <c r="H35" s="25">
        <f>J28</f>
        <v>745645.15500000003</v>
      </c>
      <c r="I35" s="93" t="s">
        <v>424</v>
      </c>
      <c r="K35" s="372" t="s">
        <v>454</v>
      </c>
      <c r="L35" s="372"/>
      <c r="M35" s="374">
        <v>176828.42</v>
      </c>
      <c r="N35" s="372"/>
    </row>
    <row r="36" spans="2:14" x14ac:dyDescent="0.35">
      <c r="B36" s="15"/>
      <c r="C36" s="15"/>
      <c r="D36" s="15"/>
      <c r="E36" s="1" t="s">
        <v>101</v>
      </c>
      <c r="H36" s="71">
        <v>7.6499999999999999E-2</v>
      </c>
      <c r="I36" s="17"/>
      <c r="K36" s="372"/>
      <c r="L36" s="372"/>
      <c r="M36" s="373">
        <f>SUM(M31:M35)</f>
        <v>238630.91</v>
      </c>
      <c r="N36" s="372" t="s">
        <v>320</v>
      </c>
    </row>
    <row r="37" spans="2:14" x14ac:dyDescent="0.35">
      <c r="B37" s="15"/>
      <c r="C37" s="15"/>
      <c r="D37" s="15"/>
      <c r="E37" s="1" t="s">
        <v>102</v>
      </c>
      <c r="H37" s="15">
        <f>+H35*H36</f>
        <v>57041.8543575</v>
      </c>
      <c r="I37" s="17"/>
    </row>
    <row r="38" spans="2:14" x14ac:dyDescent="0.35">
      <c r="B38" s="15"/>
      <c r="C38" s="15"/>
      <c r="D38" s="15"/>
      <c r="E38" s="1" t="s">
        <v>103</v>
      </c>
      <c r="H38" s="72">
        <f>-SAO!D51</f>
        <v>-53557</v>
      </c>
      <c r="I38" s="17"/>
    </row>
    <row r="39" spans="2:14" ht="15" thickBot="1" x14ac:dyDescent="0.4">
      <c r="B39" s="15"/>
      <c r="C39" s="15"/>
      <c r="D39" s="15"/>
      <c r="E39" s="38" t="s">
        <v>104</v>
      </c>
      <c r="F39" s="38"/>
      <c r="G39" s="38"/>
      <c r="H39" s="70">
        <f>H37+H38</f>
        <v>3484.8543575000003</v>
      </c>
      <c r="I39" s="17"/>
    </row>
    <row r="40" spans="2:14" ht="15" thickTop="1" x14ac:dyDescent="0.35">
      <c r="B40" s="15"/>
      <c r="C40" s="15"/>
      <c r="D40" s="15"/>
      <c r="I40" s="17"/>
    </row>
    <row r="41" spans="2:14" x14ac:dyDescent="0.35">
      <c r="B41" s="15"/>
      <c r="C41" s="15"/>
      <c r="D41" s="15"/>
      <c r="E41" s="1" t="s">
        <v>105</v>
      </c>
      <c r="H41" s="370">
        <f>H28</f>
        <v>679330.91</v>
      </c>
      <c r="I41" s="17"/>
    </row>
    <row r="42" spans="2:14" x14ac:dyDescent="0.35">
      <c r="B42" s="15"/>
      <c r="C42" s="15"/>
      <c r="D42" s="15"/>
      <c r="E42" s="1" t="s">
        <v>106</v>
      </c>
      <c r="H42" s="71">
        <v>0.2334</v>
      </c>
      <c r="I42" s="17"/>
      <c r="J42" s="1" t="s">
        <v>448</v>
      </c>
    </row>
    <row r="43" spans="2:14" x14ac:dyDescent="0.35">
      <c r="B43" s="15"/>
      <c r="C43" s="15"/>
      <c r="D43" s="15"/>
      <c r="E43" s="1" t="s">
        <v>107</v>
      </c>
      <c r="H43" s="15">
        <f>+H41*H42</f>
        <v>158555.834394</v>
      </c>
      <c r="I43" s="17"/>
    </row>
    <row r="44" spans="2:14" x14ac:dyDescent="0.35">
      <c r="B44" s="15"/>
      <c r="C44" s="15"/>
      <c r="D44" s="15"/>
      <c r="E44" s="1" t="s">
        <v>108</v>
      </c>
      <c r="H44" s="213">
        <f>-M35</f>
        <v>-176828.42</v>
      </c>
      <c r="I44" s="17"/>
      <c r="J44" s="1" t="s">
        <v>348</v>
      </c>
    </row>
    <row r="45" spans="2:14" ht="15" thickBot="1" x14ac:dyDescent="0.4">
      <c r="B45" s="15"/>
      <c r="C45" s="15"/>
      <c r="D45" s="15"/>
      <c r="E45" s="117" t="s">
        <v>109</v>
      </c>
      <c r="F45" s="117"/>
      <c r="G45" s="117"/>
      <c r="H45" s="214">
        <f>+H43+H44</f>
        <v>-18272.585606000008</v>
      </c>
      <c r="I45" s="17"/>
    </row>
    <row r="46" spans="2:14" ht="15" thickTop="1" x14ac:dyDescent="0.35">
      <c r="B46" s="15"/>
      <c r="C46" s="15"/>
      <c r="D46" s="15"/>
      <c r="E46" s="117"/>
      <c r="F46" s="117"/>
      <c r="G46" s="117"/>
      <c r="H46" s="199"/>
      <c r="I46" s="17"/>
    </row>
    <row r="47" spans="2:14" x14ac:dyDescent="0.35">
      <c r="B47" s="15"/>
      <c r="C47" s="15"/>
      <c r="D47" s="334"/>
      <c r="F47" s="117"/>
      <c r="G47" s="117"/>
      <c r="H47" s="403"/>
      <c r="I47" s="17"/>
    </row>
    <row r="48" spans="2:14" x14ac:dyDescent="0.35">
      <c r="B48" s="15"/>
      <c r="C48" s="15"/>
      <c r="D48" s="334"/>
      <c r="F48" s="117"/>
      <c r="G48" s="117"/>
      <c r="H48" s="404"/>
      <c r="I48" s="17"/>
    </row>
    <row r="49" spans="2:9" x14ac:dyDescent="0.35">
      <c r="B49" s="15"/>
      <c r="C49" s="15"/>
      <c r="D49" s="334"/>
      <c r="F49" s="117"/>
      <c r="G49" s="117"/>
      <c r="H49" s="403"/>
      <c r="I49" s="17"/>
    </row>
    <row r="50" spans="2:9" x14ac:dyDescent="0.35">
      <c r="E50" s="117"/>
      <c r="H50" s="405"/>
    </row>
    <row r="56" spans="2:9" x14ac:dyDescent="0.35">
      <c r="C56" s="1" t="s">
        <v>389</v>
      </c>
    </row>
    <row r="57" spans="2:9" x14ac:dyDescent="0.35">
      <c r="B57" s="340" t="s">
        <v>261</v>
      </c>
      <c r="C57" s="340" t="s">
        <v>314</v>
      </c>
    </row>
    <row r="58" spans="2:9" x14ac:dyDescent="0.35">
      <c r="B58" s="1" t="s">
        <v>265</v>
      </c>
      <c r="C58" s="321">
        <v>6000</v>
      </c>
    </row>
    <row r="59" spans="2:9" x14ac:dyDescent="0.35">
      <c r="B59" s="1" t="s">
        <v>264</v>
      </c>
      <c r="C59" s="321">
        <v>6000</v>
      </c>
      <c r="E59" s="1" t="s">
        <v>322</v>
      </c>
    </row>
    <row r="60" spans="2:9" x14ac:dyDescent="0.35">
      <c r="B60" s="1" t="s">
        <v>262</v>
      </c>
      <c r="C60" s="364">
        <v>4106</v>
      </c>
      <c r="E60" s="1">
        <v>6000</v>
      </c>
      <c r="F60" s="365" t="s">
        <v>341</v>
      </c>
      <c r="G60" s="365"/>
      <c r="H60" s="365"/>
    </row>
    <row r="61" spans="2:9" x14ac:dyDescent="0.35">
      <c r="B61" s="1" t="s">
        <v>263</v>
      </c>
      <c r="C61" s="321">
        <v>6000</v>
      </c>
    </row>
    <row r="62" spans="2:9" x14ac:dyDescent="0.35">
      <c r="B62" s="1" t="s">
        <v>291</v>
      </c>
      <c r="C62" s="321">
        <v>6000</v>
      </c>
    </row>
    <row r="68" spans="2:8" x14ac:dyDescent="0.35">
      <c r="E68" s="76" t="s">
        <v>284</v>
      </c>
    </row>
    <row r="69" spans="2:8" x14ac:dyDescent="0.35">
      <c r="D69" s="76" t="s">
        <v>279</v>
      </c>
      <c r="E69" s="76" t="s">
        <v>281</v>
      </c>
      <c r="F69" s="76" t="s">
        <v>46</v>
      </c>
      <c r="G69" s="76" t="s">
        <v>282</v>
      </c>
      <c r="H69" s="1" t="s">
        <v>285</v>
      </c>
    </row>
    <row r="70" spans="2:8" x14ac:dyDescent="0.35">
      <c r="B70" s="1" t="s">
        <v>266</v>
      </c>
      <c r="C70" s="1" t="s">
        <v>278</v>
      </c>
      <c r="D70" s="1" t="s">
        <v>280</v>
      </c>
      <c r="E70" s="1">
        <v>3.38</v>
      </c>
      <c r="F70" s="1">
        <v>9.5399999999999991</v>
      </c>
      <c r="G70" s="1">
        <v>9.58</v>
      </c>
    </row>
    <row r="71" spans="2:8" x14ac:dyDescent="0.35">
      <c r="B71" s="1" t="s">
        <v>267</v>
      </c>
      <c r="H71" s="346">
        <v>0.01</v>
      </c>
    </row>
    <row r="72" spans="2:8" x14ac:dyDescent="0.35">
      <c r="B72" s="1" t="s">
        <v>268</v>
      </c>
      <c r="D72" s="1" t="s">
        <v>283</v>
      </c>
      <c r="H72" s="346">
        <v>0.01</v>
      </c>
    </row>
    <row r="73" spans="2:8" x14ac:dyDescent="0.35">
      <c r="B73" s="1" t="s">
        <v>269</v>
      </c>
      <c r="D73" s="1" t="s">
        <v>286</v>
      </c>
      <c r="E73" s="1">
        <v>3.38</v>
      </c>
      <c r="H73" s="346">
        <v>0.01</v>
      </c>
    </row>
    <row r="74" spans="2:8" x14ac:dyDescent="0.35">
      <c r="B74" s="1" t="s">
        <v>270</v>
      </c>
    </row>
    <row r="75" spans="2:8" x14ac:dyDescent="0.35">
      <c r="B75" s="1" t="s">
        <v>271</v>
      </c>
      <c r="D75" s="1" t="s">
        <v>286</v>
      </c>
      <c r="E75" s="1">
        <v>3.38</v>
      </c>
      <c r="G75" s="1">
        <v>4.82</v>
      </c>
    </row>
    <row r="76" spans="2:8" x14ac:dyDescent="0.35">
      <c r="B76" s="1" t="s">
        <v>272</v>
      </c>
      <c r="D76" s="1" t="s">
        <v>286</v>
      </c>
      <c r="E76" s="1">
        <v>3.38</v>
      </c>
      <c r="G76" s="1">
        <v>4.82</v>
      </c>
    </row>
    <row r="77" spans="2:8" x14ac:dyDescent="0.35">
      <c r="B77" s="1" t="s">
        <v>273</v>
      </c>
      <c r="D77" s="1" t="s">
        <v>286</v>
      </c>
      <c r="E77" s="1">
        <v>3.38</v>
      </c>
    </row>
    <row r="78" spans="2:8" x14ac:dyDescent="0.35">
      <c r="B78" s="1" t="s">
        <v>274</v>
      </c>
      <c r="D78" s="1" t="s">
        <v>283</v>
      </c>
      <c r="E78" s="1">
        <v>3.38</v>
      </c>
      <c r="H78" s="346">
        <v>0.01</v>
      </c>
    </row>
    <row r="79" spans="2:8" x14ac:dyDescent="0.35">
      <c r="B79" s="1" t="s">
        <v>275</v>
      </c>
      <c r="C79" s="1" t="s">
        <v>278</v>
      </c>
      <c r="D79" s="1" t="s">
        <v>286</v>
      </c>
      <c r="E79" s="1">
        <v>3.38</v>
      </c>
    </row>
    <row r="80" spans="2:8" x14ac:dyDescent="0.35">
      <c r="B80" s="1" t="s">
        <v>276</v>
      </c>
      <c r="D80" s="1" t="s">
        <v>286</v>
      </c>
    </row>
    <row r="81" spans="2:8" x14ac:dyDescent="0.35">
      <c r="B81" s="1" t="s">
        <v>287</v>
      </c>
      <c r="D81" s="1" t="s">
        <v>286</v>
      </c>
      <c r="E81" s="1">
        <v>3.38</v>
      </c>
    </row>
    <row r="82" spans="2:8" x14ac:dyDescent="0.35">
      <c r="B82" s="1" t="s">
        <v>288</v>
      </c>
      <c r="D82" s="1" t="s">
        <v>286</v>
      </c>
    </row>
    <row r="83" spans="2:8" x14ac:dyDescent="0.35">
      <c r="B83" s="1" t="s">
        <v>292</v>
      </c>
      <c r="C83" s="1" t="s">
        <v>278</v>
      </c>
      <c r="D83" s="1" t="s">
        <v>286</v>
      </c>
      <c r="E83" s="1">
        <v>3.38</v>
      </c>
      <c r="F83" s="1">
        <v>1.38</v>
      </c>
    </row>
    <row r="84" spans="2:8" x14ac:dyDescent="0.35">
      <c r="B84" s="1" t="s">
        <v>289</v>
      </c>
      <c r="D84" s="1" t="s">
        <v>286</v>
      </c>
    </row>
    <row r="85" spans="2:8" x14ac:dyDescent="0.35">
      <c r="B85" s="1" t="s">
        <v>290</v>
      </c>
      <c r="D85" s="1" t="s">
        <v>286</v>
      </c>
      <c r="E85" s="1">
        <v>3.38</v>
      </c>
      <c r="F85" s="1">
        <v>1.38</v>
      </c>
      <c r="H85" s="346">
        <v>0.01</v>
      </c>
    </row>
  </sheetData>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B1:GH65"/>
  <sheetViews>
    <sheetView showGridLines="0" topLeftCell="A11" workbookViewId="0">
      <selection activeCell="Q13" sqref="Q13"/>
    </sheetView>
  </sheetViews>
  <sheetFormatPr defaultColWidth="8.84375" defaultRowHeight="14.5" x14ac:dyDescent="0.35"/>
  <cols>
    <col min="1" max="1" width="2.61328125" style="14" customWidth="1"/>
    <col min="2" max="2" width="1.765625" style="23" customWidth="1"/>
    <col min="3" max="3" width="4.61328125" style="23" customWidth="1"/>
    <col min="4" max="4" width="7.61328125" style="94" customWidth="1"/>
    <col min="5" max="5" width="12.23046875" style="232" customWidth="1"/>
    <col min="6" max="6" width="10.61328125" style="23" customWidth="1"/>
    <col min="7" max="7" width="12.61328125" style="23" customWidth="1"/>
    <col min="8" max="8" width="10.61328125" style="23" customWidth="1"/>
    <col min="9" max="9" width="9.84375" style="80" customWidth="1"/>
    <col min="10" max="10" width="10.61328125" style="23" customWidth="1"/>
    <col min="11" max="11" width="6.3046875" style="227" bestFit="1" customWidth="1"/>
    <col min="12" max="12" width="1.765625" style="23" customWidth="1"/>
    <col min="13" max="13" width="2.765625" style="23" customWidth="1"/>
    <col min="14" max="190" width="9.69140625" style="23" customWidth="1"/>
    <col min="191" max="16384" width="8.84375" style="14"/>
  </cols>
  <sheetData>
    <row r="1" spans="2:190" ht="15" thickBot="1" x14ac:dyDescent="0.4"/>
    <row r="2" spans="2:190" x14ac:dyDescent="0.35">
      <c r="B2" s="236"/>
      <c r="C2" s="237"/>
      <c r="D2" s="238"/>
      <c r="E2" s="252"/>
      <c r="F2" s="237"/>
      <c r="G2" s="237"/>
      <c r="H2" s="237"/>
      <c r="I2" s="239"/>
      <c r="J2" s="237"/>
      <c r="K2" s="240"/>
      <c r="L2" s="241"/>
    </row>
    <row r="3" spans="2:190" ht="17.5" hidden="1" customHeight="1" x14ac:dyDescent="0.45">
      <c r="B3" s="242"/>
      <c r="C3" s="442" t="s">
        <v>83</v>
      </c>
      <c r="D3" s="442"/>
      <c r="E3" s="442"/>
      <c r="F3" s="442"/>
      <c r="G3" s="442"/>
      <c r="H3" s="442"/>
      <c r="I3" s="442"/>
      <c r="J3" s="442"/>
      <c r="L3" s="243"/>
    </row>
    <row r="4" spans="2:190" ht="8.5" hidden="1" customHeight="1" x14ac:dyDescent="0.35">
      <c r="B4" s="242"/>
      <c r="L4" s="243"/>
    </row>
    <row r="5" spans="2:190" ht="18.5" x14ac:dyDescent="0.45">
      <c r="B5" s="242"/>
      <c r="C5" s="440" t="s">
        <v>55</v>
      </c>
      <c r="D5" s="440"/>
      <c r="E5" s="440"/>
      <c r="F5" s="440"/>
      <c r="G5" s="440"/>
      <c r="H5" s="440"/>
      <c r="I5" s="440"/>
      <c r="J5" s="440"/>
      <c r="L5" s="243"/>
    </row>
    <row r="6" spans="2:190" ht="18" customHeight="1" x14ac:dyDescent="0.35">
      <c r="B6" s="242"/>
      <c r="C6" s="441" t="str">
        <f>SAO!A2</f>
        <v>RATTLESNAKE RIDGE WATER DISTRICT</v>
      </c>
      <c r="D6" s="441"/>
      <c r="E6" s="441"/>
      <c r="F6" s="441"/>
      <c r="G6" s="441"/>
      <c r="H6" s="441"/>
      <c r="I6" s="441"/>
      <c r="J6" s="441"/>
      <c r="L6" s="243"/>
    </row>
    <row r="7" spans="2:190" ht="6" customHeight="1" x14ac:dyDescent="0.35">
      <c r="B7" s="242"/>
      <c r="L7" s="243"/>
    </row>
    <row r="8" spans="2:190" ht="14.25" customHeight="1" x14ac:dyDescent="0.35">
      <c r="B8" s="242"/>
      <c r="C8" s="76" t="s">
        <v>191</v>
      </c>
      <c r="D8" s="231"/>
      <c r="E8" s="253"/>
      <c r="F8" s="443" t="s">
        <v>187</v>
      </c>
      <c r="G8" s="443"/>
      <c r="H8" s="443" t="s">
        <v>11</v>
      </c>
      <c r="I8" s="443"/>
      <c r="J8" s="424" t="s">
        <v>66</v>
      </c>
      <c r="K8" s="424" t="s">
        <v>533</v>
      </c>
      <c r="L8" s="244"/>
      <c r="GH8" s="14"/>
    </row>
    <row r="9" spans="2:190" ht="17.25" customHeight="1" x14ac:dyDescent="0.35">
      <c r="B9" s="242"/>
      <c r="C9" s="92" t="s">
        <v>194</v>
      </c>
      <c r="D9" s="4">
        <v>1000</v>
      </c>
      <c r="E9" s="93" t="s">
        <v>193</v>
      </c>
      <c r="F9" s="234">
        <v>20.48</v>
      </c>
      <c r="G9" s="43" t="s">
        <v>110</v>
      </c>
      <c r="H9" s="43">
        <f>ROUND(F9*(1+'Revenue Requirements'!$G$13),2)</f>
        <v>24.34</v>
      </c>
      <c r="I9" s="80" t="s">
        <v>110</v>
      </c>
      <c r="J9" s="43">
        <f>H9-F9</f>
        <v>3.8599999999999994</v>
      </c>
      <c r="K9" s="63">
        <f>J9/F9</f>
        <v>0.18847656249999997</v>
      </c>
      <c r="L9" s="244"/>
      <c r="GH9" s="14"/>
    </row>
    <row r="10" spans="2:190" ht="14.25" customHeight="1" x14ac:dyDescent="0.35">
      <c r="B10" s="242"/>
      <c r="C10" s="92" t="s">
        <v>195</v>
      </c>
      <c r="D10" s="4">
        <v>4000</v>
      </c>
      <c r="E10" s="93" t="s">
        <v>193</v>
      </c>
      <c r="F10" s="235">
        <v>1.5259999999999999E-2</v>
      </c>
      <c r="G10" s="43" t="s">
        <v>192</v>
      </c>
      <c r="H10" s="230">
        <f>ROUND(F10*(1+'Revenue Requirements'!$G$13),5)</f>
        <v>1.813E-2</v>
      </c>
      <c r="I10" s="80" t="s">
        <v>192</v>
      </c>
      <c r="J10" s="230">
        <f>H10-F10</f>
        <v>2.870000000000001E-3</v>
      </c>
      <c r="K10" s="63">
        <f t="shared" ref="K10:K14" si="0">J10/F10</f>
        <v>0.18807339449541291</v>
      </c>
      <c r="L10" s="244"/>
      <c r="GH10" s="14"/>
    </row>
    <row r="11" spans="2:190" ht="14.25" customHeight="1" x14ac:dyDescent="0.35">
      <c r="B11" s="245"/>
      <c r="C11" s="92" t="s">
        <v>195</v>
      </c>
      <c r="D11" s="4">
        <v>5000</v>
      </c>
      <c r="E11" s="93" t="s">
        <v>193</v>
      </c>
      <c r="F11" s="235">
        <v>1.3140000000000001E-2</v>
      </c>
      <c r="G11" s="43" t="s">
        <v>192</v>
      </c>
      <c r="H11" s="230">
        <f>ROUND(F11*(1+'Revenue Requirements'!$G$13),5)</f>
        <v>1.562E-2</v>
      </c>
      <c r="I11" s="80" t="s">
        <v>192</v>
      </c>
      <c r="J11" s="230">
        <f t="shared" ref="J11:J14" si="1">H11-F11</f>
        <v>2.4799999999999996E-3</v>
      </c>
      <c r="K11" s="63">
        <f t="shared" si="0"/>
        <v>0.18873668188736678</v>
      </c>
      <c r="L11" s="244"/>
      <c r="GH11" s="14"/>
    </row>
    <row r="12" spans="2:190" ht="14.25" customHeight="1" x14ac:dyDescent="0.35">
      <c r="B12" s="245"/>
      <c r="C12" s="92" t="s">
        <v>195</v>
      </c>
      <c r="D12" s="4">
        <v>10000</v>
      </c>
      <c r="E12" s="93" t="s">
        <v>193</v>
      </c>
      <c r="F12" s="235">
        <v>1.1769999999999999E-2</v>
      </c>
      <c r="G12" s="43" t="s">
        <v>192</v>
      </c>
      <c r="H12" s="230">
        <f>ROUND(F12*(1+'Revenue Requirements'!$G$13),5)</f>
        <v>1.3990000000000001E-2</v>
      </c>
      <c r="I12" s="80" t="s">
        <v>192</v>
      </c>
      <c r="J12" s="230">
        <f t="shared" si="1"/>
        <v>2.2200000000000015E-3</v>
      </c>
      <c r="K12" s="63">
        <f t="shared" si="0"/>
        <v>0.18861512319456258</v>
      </c>
      <c r="L12" s="244"/>
      <c r="GH12" s="14"/>
    </row>
    <row r="13" spans="2:190" ht="14.25" customHeight="1" x14ac:dyDescent="0.35">
      <c r="B13" s="245"/>
      <c r="C13" s="92" t="s">
        <v>195</v>
      </c>
      <c r="D13" s="4">
        <v>20000</v>
      </c>
      <c r="E13" s="93" t="s">
        <v>193</v>
      </c>
      <c r="F13" s="235">
        <v>8.3700000000000007E-3</v>
      </c>
      <c r="G13" s="43" t="s">
        <v>192</v>
      </c>
      <c r="H13" s="230">
        <f>ROUND(F13*(1+'Revenue Requirements'!$G$13),5)</f>
        <v>9.9500000000000005E-3</v>
      </c>
      <c r="I13" s="80" t="s">
        <v>192</v>
      </c>
      <c r="J13" s="230">
        <f t="shared" si="1"/>
        <v>1.5799999999999998E-3</v>
      </c>
      <c r="K13" s="63">
        <f t="shared" si="0"/>
        <v>0.18876941457586616</v>
      </c>
      <c r="L13" s="244"/>
      <c r="GH13" s="14"/>
    </row>
    <row r="14" spans="2:190" ht="15" customHeight="1" x14ac:dyDescent="0.35">
      <c r="B14" s="242"/>
      <c r="C14" s="233" t="s">
        <v>196</v>
      </c>
      <c r="D14" s="97">
        <v>40000</v>
      </c>
      <c r="E14" s="232" t="s">
        <v>193</v>
      </c>
      <c r="F14" s="235">
        <v>6.6800000000000002E-3</v>
      </c>
      <c r="G14" s="43" t="s">
        <v>192</v>
      </c>
      <c r="H14" s="230">
        <f>ROUND(F14*(1+'Revenue Requirements'!$G$13),5)</f>
        <v>7.9399999999999991E-3</v>
      </c>
      <c r="I14" s="80" t="s">
        <v>192</v>
      </c>
      <c r="J14" s="230">
        <f t="shared" si="1"/>
        <v>1.259999999999999E-3</v>
      </c>
      <c r="K14" s="63">
        <f t="shared" si="0"/>
        <v>0.18862275449101781</v>
      </c>
      <c r="L14" s="244"/>
      <c r="GH14" s="14"/>
    </row>
    <row r="15" spans="2:190" ht="15" customHeight="1" x14ac:dyDescent="0.35">
      <c r="B15" s="242"/>
      <c r="C15" s="73"/>
      <c r="D15" s="97"/>
      <c r="F15" s="74"/>
      <c r="G15" s="73"/>
      <c r="H15" s="43"/>
      <c r="I15" s="81"/>
      <c r="J15" s="43"/>
      <c r="K15" s="63"/>
      <c r="L15" s="244"/>
      <c r="GH15" s="14"/>
    </row>
    <row r="16" spans="2:190" ht="15" customHeight="1" x14ac:dyDescent="0.35">
      <c r="B16" s="242"/>
      <c r="C16" s="76" t="s">
        <v>197</v>
      </c>
      <c r="D16" s="231"/>
      <c r="E16" s="253"/>
      <c r="F16" s="443" t="s">
        <v>187</v>
      </c>
      <c r="G16" s="443"/>
      <c r="H16" s="443" t="s">
        <v>11</v>
      </c>
      <c r="I16" s="443"/>
      <c r="J16" s="424" t="s">
        <v>66</v>
      </c>
      <c r="K16" s="424" t="s">
        <v>533</v>
      </c>
      <c r="L16" s="244"/>
      <c r="GH16" s="14"/>
    </row>
    <row r="17" spans="2:190" ht="15" customHeight="1" x14ac:dyDescent="0.35">
      <c r="B17" s="242"/>
      <c r="C17" s="92" t="s">
        <v>194</v>
      </c>
      <c r="D17" s="4">
        <v>5000</v>
      </c>
      <c r="E17" s="93" t="s">
        <v>193</v>
      </c>
      <c r="F17" s="234">
        <v>81.540000000000006</v>
      </c>
      <c r="G17" s="43" t="s">
        <v>110</v>
      </c>
      <c r="H17" s="43">
        <f>ROUND(F17*(1+'Revenue Requirements'!$G$13),2)</f>
        <v>96.9</v>
      </c>
      <c r="I17" s="80" t="s">
        <v>110</v>
      </c>
      <c r="J17" s="43">
        <f>H17-F17</f>
        <v>15.36</v>
      </c>
      <c r="K17" s="63">
        <f>J17/F17</f>
        <v>0.18837380426784398</v>
      </c>
      <c r="L17" s="244"/>
      <c r="GH17" s="14"/>
    </row>
    <row r="18" spans="2:190" ht="15" customHeight="1" x14ac:dyDescent="0.35">
      <c r="B18" s="242"/>
      <c r="C18" s="92" t="s">
        <v>195</v>
      </c>
      <c r="D18" s="4">
        <v>5000</v>
      </c>
      <c r="E18" s="93" t="s">
        <v>193</v>
      </c>
      <c r="F18" s="235">
        <v>1.3140000000000001E-2</v>
      </c>
      <c r="G18" s="43" t="s">
        <v>192</v>
      </c>
      <c r="H18" s="230">
        <f>ROUND(F18*(1+'Revenue Requirements'!$G$13),5)</f>
        <v>1.562E-2</v>
      </c>
      <c r="I18" s="80" t="s">
        <v>192</v>
      </c>
      <c r="J18" s="230">
        <f t="shared" ref="J18:J21" si="2">H18-F18</f>
        <v>2.4799999999999996E-3</v>
      </c>
      <c r="K18" s="63">
        <f t="shared" ref="K18:K21" si="3">J18/F18</f>
        <v>0.18873668188736678</v>
      </c>
      <c r="L18" s="244"/>
      <c r="GH18" s="14"/>
    </row>
    <row r="19" spans="2:190" ht="15" customHeight="1" x14ac:dyDescent="0.35">
      <c r="B19" s="242"/>
      <c r="C19" s="92" t="s">
        <v>195</v>
      </c>
      <c r="D19" s="4">
        <v>10000</v>
      </c>
      <c r="E19" s="93" t="s">
        <v>193</v>
      </c>
      <c r="F19" s="235">
        <v>1.1769999999999999E-2</v>
      </c>
      <c r="G19" s="43" t="s">
        <v>192</v>
      </c>
      <c r="H19" s="230">
        <f>ROUND(F19*(1+'Revenue Requirements'!$G$13),5)</f>
        <v>1.3990000000000001E-2</v>
      </c>
      <c r="I19" s="80" t="s">
        <v>192</v>
      </c>
      <c r="J19" s="230">
        <f t="shared" si="2"/>
        <v>2.2200000000000015E-3</v>
      </c>
      <c r="K19" s="63">
        <f t="shared" si="3"/>
        <v>0.18861512319456258</v>
      </c>
      <c r="L19" s="244"/>
      <c r="GH19" s="14"/>
    </row>
    <row r="20" spans="2:190" ht="15" customHeight="1" x14ac:dyDescent="0.35">
      <c r="B20" s="242"/>
      <c r="C20" s="92" t="s">
        <v>195</v>
      </c>
      <c r="D20" s="4">
        <v>20000</v>
      </c>
      <c r="E20" s="93" t="s">
        <v>193</v>
      </c>
      <c r="F20" s="235">
        <v>8.3700000000000007E-3</v>
      </c>
      <c r="G20" s="43" t="s">
        <v>192</v>
      </c>
      <c r="H20" s="230">
        <f>ROUND(F20*(1+'Revenue Requirements'!$G$13),5)</f>
        <v>9.9500000000000005E-3</v>
      </c>
      <c r="I20" s="80" t="s">
        <v>192</v>
      </c>
      <c r="J20" s="230">
        <f t="shared" si="2"/>
        <v>1.5799999999999998E-3</v>
      </c>
      <c r="K20" s="63">
        <f t="shared" si="3"/>
        <v>0.18876941457586616</v>
      </c>
      <c r="L20" s="243"/>
      <c r="GH20" s="14"/>
    </row>
    <row r="21" spans="2:190" ht="14.25" customHeight="1" x14ac:dyDescent="0.35">
      <c r="B21" s="242"/>
      <c r="C21" s="233" t="s">
        <v>196</v>
      </c>
      <c r="D21" s="97">
        <v>40000</v>
      </c>
      <c r="E21" s="232" t="s">
        <v>193</v>
      </c>
      <c r="F21" s="235">
        <v>6.6800000000000002E-3</v>
      </c>
      <c r="G21" s="43" t="s">
        <v>192</v>
      </c>
      <c r="H21" s="230">
        <f>ROUND(F21*(1+'Revenue Requirements'!$G$13),5)</f>
        <v>7.9399999999999991E-3</v>
      </c>
      <c r="I21" s="80" t="s">
        <v>192</v>
      </c>
      <c r="J21" s="230">
        <f t="shared" si="2"/>
        <v>1.259999999999999E-3</v>
      </c>
      <c r="K21" s="63">
        <f t="shared" si="3"/>
        <v>0.18862275449101781</v>
      </c>
      <c r="L21" s="243"/>
      <c r="GH21" s="14"/>
    </row>
    <row r="22" spans="2:190" ht="14.25" customHeight="1" x14ac:dyDescent="0.35">
      <c r="B22" s="242"/>
      <c r="C22" s="76"/>
      <c r="D22" s="231"/>
      <c r="E22" s="253"/>
      <c r="F22" s="78"/>
      <c r="G22" s="1"/>
      <c r="H22" s="43"/>
      <c r="I22" s="1"/>
      <c r="J22" s="43"/>
      <c r="K22" s="63"/>
      <c r="L22" s="243"/>
      <c r="GH22" s="14"/>
    </row>
    <row r="23" spans="2:190" ht="14.25" customHeight="1" x14ac:dyDescent="0.35">
      <c r="B23" s="242"/>
      <c r="C23" s="76" t="s">
        <v>111</v>
      </c>
      <c r="D23" s="231"/>
      <c r="E23" s="253"/>
      <c r="F23" s="443" t="s">
        <v>187</v>
      </c>
      <c r="G23" s="443"/>
      <c r="H23" s="443" t="s">
        <v>11</v>
      </c>
      <c r="I23" s="443"/>
      <c r="J23" s="424" t="s">
        <v>66</v>
      </c>
      <c r="K23" s="424" t="s">
        <v>533</v>
      </c>
      <c r="L23" s="243"/>
      <c r="GH23" s="14"/>
    </row>
    <row r="24" spans="2:190" ht="14.25" customHeight="1" x14ac:dyDescent="0.35">
      <c r="B24" s="242"/>
      <c r="C24" s="92" t="s">
        <v>194</v>
      </c>
      <c r="D24" s="4">
        <v>10000</v>
      </c>
      <c r="E24" s="93" t="s">
        <v>193</v>
      </c>
      <c r="F24" s="234">
        <v>147.26</v>
      </c>
      <c r="G24" s="43" t="s">
        <v>110</v>
      </c>
      <c r="H24" s="43">
        <f>ROUND(F24*(1+'Revenue Requirements'!$G$13),2)</f>
        <v>175</v>
      </c>
      <c r="I24" s="80" t="s">
        <v>110</v>
      </c>
      <c r="J24" s="43">
        <f>H24-F24</f>
        <v>27.740000000000009</v>
      </c>
      <c r="K24" s="63">
        <f>J24/F24</f>
        <v>0.18837430395219348</v>
      </c>
      <c r="L24" s="243"/>
      <c r="GH24" s="14"/>
    </row>
    <row r="25" spans="2:190" ht="14.25" customHeight="1" x14ac:dyDescent="0.35">
      <c r="B25" s="242"/>
      <c r="C25" s="92" t="s">
        <v>195</v>
      </c>
      <c r="D25" s="4">
        <v>10000</v>
      </c>
      <c r="E25" s="93" t="s">
        <v>193</v>
      </c>
      <c r="F25" s="235">
        <v>1.1769999999999999E-2</v>
      </c>
      <c r="G25" s="43" t="s">
        <v>192</v>
      </c>
      <c r="H25" s="230">
        <f>ROUND(F25*(1+'Revenue Requirements'!$G$13),5)</f>
        <v>1.3990000000000001E-2</v>
      </c>
      <c r="I25" s="80" t="s">
        <v>192</v>
      </c>
      <c r="J25" s="230">
        <f t="shared" ref="J25:J27" si="4">H25-F25</f>
        <v>2.2200000000000015E-3</v>
      </c>
      <c r="K25" s="63">
        <f t="shared" ref="K25:K27" si="5">J25/F25</f>
        <v>0.18861512319456258</v>
      </c>
      <c r="L25" s="243"/>
      <c r="GH25" s="14"/>
    </row>
    <row r="26" spans="2:190" ht="14.25" customHeight="1" x14ac:dyDescent="0.35">
      <c r="B26" s="242"/>
      <c r="C26" s="92" t="s">
        <v>195</v>
      </c>
      <c r="D26" s="4">
        <v>20000</v>
      </c>
      <c r="E26" s="93" t="s">
        <v>193</v>
      </c>
      <c r="F26" s="235">
        <v>8.3700000000000007E-3</v>
      </c>
      <c r="G26" s="43" t="s">
        <v>192</v>
      </c>
      <c r="H26" s="230">
        <f>ROUND(F26*(1+'Revenue Requirements'!$G$13),5)</f>
        <v>9.9500000000000005E-3</v>
      </c>
      <c r="I26" s="80" t="s">
        <v>192</v>
      </c>
      <c r="J26" s="230">
        <f t="shared" si="4"/>
        <v>1.5799999999999998E-3</v>
      </c>
      <c r="K26" s="63">
        <f t="shared" si="5"/>
        <v>0.18876941457586616</v>
      </c>
      <c r="L26" s="243"/>
      <c r="GH26" s="14"/>
    </row>
    <row r="27" spans="2:190" x14ac:dyDescent="0.35">
      <c r="B27" s="242"/>
      <c r="C27" s="233" t="s">
        <v>196</v>
      </c>
      <c r="D27" s="97">
        <v>40000</v>
      </c>
      <c r="E27" s="232" t="s">
        <v>193</v>
      </c>
      <c r="F27" s="235">
        <v>6.6800000000000002E-3</v>
      </c>
      <c r="G27" s="43" t="s">
        <v>192</v>
      </c>
      <c r="H27" s="230">
        <f>ROUND(F27*(1+'Revenue Requirements'!$G$13),5)</f>
        <v>7.9399999999999991E-3</v>
      </c>
      <c r="I27" s="80" t="s">
        <v>192</v>
      </c>
      <c r="J27" s="230">
        <f t="shared" si="4"/>
        <v>1.259999999999999E-3</v>
      </c>
      <c r="K27" s="63">
        <f t="shared" si="5"/>
        <v>0.18862275449101781</v>
      </c>
      <c r="L27" s="243"/>
    </row>
    <row r="28" spans="2:190" x14ac:dyDescent="0.35">
      <c r="B28" s="242"/>
      <c r="L28" s="243"/>
    </row>
    <row r="29" spans="2:190" x14ac:dyDescent="0.35">
      <c r="B29" s="242"/>
      <c r="C29" s="76" t="s">
        <v>112</v>
      </c>
      <c r="D29" s="231"/>
      <c r="E29" s="253"/>
      <c r="F29" s="443" t="s">
        <v>187</v>
      </c>
      <c r="G29" s="443"/>
      <c r="H29" s="443" t="s">
        <v>11</v>
      </c>
      <c r="I29" s="443"/>
      <c r="J29" s="424" t="s">
        <v>66</v>
      </c>
      <c r="K29" s="424" t="s">
        <v>533</v>
      </c>
      <c r="L29" s="243"/>
    </row>
    <row r="30" spans="2:190" x14ac:dyDescent="0.35">
      <c r="B30" s="242"/>
      <c r="C30" s="92" t="s">
        <v>194</v>
      </c>
      <c r="D30" s="4">
        <v>30000</v>
      </c>
      <c r="E30" s="93" t="s">
        <v>193</v>
      </c>
      <c r="F30" s="234">
        <v>348.66</v>
      </c>
      <c r="G30" s="43" t="s">
        <v>110</v>
      </c>
      <c r="H30" s="43">
        <f>ROUND(F30*(1+'Revenue Requirements'!$G$13),2)</f>
        <v>414.35</v>
      </c>
      <c r="I30" s="80" t="s">
        <v>110</v>
      </c>
      <c r="J30" s="43">
        <f>H30-F30</f>
        <v>65.69</v>
      </c>
      <c r="K30" s="63">
        <f>J30/F30</f>
        <v>0.18840704411174208</v>
      </c>
      <c r="L30" s="243"/>
    </row>
    <row r="31" spans="2:190" x14ac:dyDescent="0.35">
      <c r="B31" s="242"/>
      <c r="C31" s="92" t="s">
        <v>195</v>
      </c>
      <c r="D31" s="4">
        <v>10000</v>
      </c>
      <c r="E31" s="93" t="s">
        <v>193</v>
      </c>
      <c r="F31" s="235">
        <v>8.3700000000000007E-3</v>
      </c>
      <c r="G31" s="43" t="s">
        <v>192</v>
      </c>
      <c r="H31" s="230">
        <f>ROUND(F31*(1+'Revenue Requirements'!$G$13),5)</f>
        <v>9.9500000000000005E-3</v>
      </c>
      <c r="I31" s="80" t="s">
        <v>192</v>
      </c>
      <c r="J31" s="230">
        <f t="shared" ref="J31:J32" si="6">H31-F31</f>
        <v>1.5799999999999998E-3</v>
      </c>
      <c r="K31" s="63">
        <f t="shared" ref="K31:K32" si="7">J31/F31</f>
        <v>0.18876941457586616</v>
      </c>
      <c r="L31" s="243"/>
    </row>
    <row r="32" spans="2:190" x14ac:dyDescent="0.35">
      <c r="B32" s="242"/>
      <c r="C32" s="233" t="s">
        <v>196</v>
      </c>
      <c r="D32" s="97">
        <v>40000</v>
      </c>
      <c r="E32" s="232" t="s">
        <v>193</v>
      </c>
      <c r="F32" s="235">
        <v>6.6800000000000002E-3</v>
      </c>
      <c r="G32" s="43" t="s">
        <v>192</v>
      </c>
      <c r="H32" s="230">
        <f>ROUND(F32*(1+'Revenue Requirements'!$G$13),5)</f>
        <v>7.9399999999999991E-3</v>
      </c>
      <c r="I32" s="80" t="s">
        <v>192</v>
      </c>
      <c r="J32" s="230">
        <f t="shared" si="6"/>
        <v>1.259999999999999E-3</v>
      </c>
      <c r="K32" s="63">
        <f t="shared" si="7"/>
        <v>0.18862275449101781</v>
      </c>
      <c r="L32" s="243"/>
    </row>
    <row r="33" spans="2:12" x14ac:dyDescent="0.35">
      <c r="B33" s="242"/>
      <c r="L33" s="243"/>
    </row>
    <row r="34" spans="2:12" x14ac:dyDescent="0.35">
      <c r="B34" s="242"/>
      <c r="C34" s="76" t="s">
        <v>113</v>
      </c>
      <c r="D34" s="231"/>
      <c r="E34" s="253"/>
      <c r="F34" s="443" t="s">
        <v>187</v>
      </c>
      <c r="G34" s="443"/>
      <c r="H34" s="443" t="s">
        <v>11</v>
      </c>
      <c r="I34" s="443"/>
      <c r="J34" s="424" t="s">
        <v>66</v>
      </c>
      <c r="K34" s="424" t="s">
        <v>533</v>
      </c>
      <c r="L34" s="243"/>
    </row>
    <row r="35" spans="2:12" x14ac:dyDescent="0.35">
      <c r="B35" s="242"/>
      <c r="C35" s="92" t="s">
        <v>194</v>
      </c>
      <c r="D35" s="4">
        <v>50000</v>
      </c>
      <c r="E35" s="93" t="s">
        <v>193</v>
      </c>
      <c r="F35" s="234">
        <v>499.18</v>
      </c>
      <c r="G35" s="43" t="s">
        <v>110</v>
      </c>
      <c r="H35" s="43">
        <f>ROUND(F35*(1+'Revenue Requirements'!$G$13),2)</f>
        <v>593.23</v>
      </c>
      <c r="I35" s="80" t="s">
        <v>110</v>
      </c>
      <c r="J35" s="43">
        <f>H35-F35</f>
        <v>94.050000000000011</v>
      </c>
      <c r="K35" s="63">
        <f>J35/F35</f>
        <v>0.18840899074482154</v>
      </c>
      <c r="L35" s="243"/>
    </row>
    <row r="36" spans="2:12" x14ac:dyDescent="0.35">
      <c r="B36" s="242"/>
      <c r="C36" s="233" t="s">
        <v>196</v>
      </c>
      <c r="D36" s="97">
        <v>50000</v>
      </c>
      <c r="E36" s="232" t="s">
        <v>193</v>
      </c>
      <c r="F36" s="235">
        <v>6.6800000000000002E-3</v>
      </c>
      <c r="G36" s="43" t="s">
        <v>192</v>
      </c>
      <c r="H36" s="230">
        <f>ROUND(F36*(1+'Revenue Requirements'!$G$13),5)</f>
        <v>7.9399999999999991E-3</v>
      </c>
      <c r="I36" s="80" t="s">
        <v>192</v>
      </c>
      <c r="J36" s="230">
        <f t="shared" ref="J36" si="8">H36-F36</f>
        <v>1.259999999999999E-3</v>
      </c>
      <c r="K36" s="63">
        <f t="shared" ref="K36" si="9">J36/F36</f>
        <v>0.18862275449101781</v>
      </c>
      <c r="L36" s="243"/>
    </row>
    <row r="37" spans="2:12" x14ac:dyDescent="0.35">
      <c r="B37" s="242"/>
      <c r="L37" s="243"/>
    </row>
    <row r="38" spans="2:12" x14ac:dyDescent="0.35">
      <c r="B38" s="242"/>
      <c r="C38" s="76" t="s">
        <v>198</v>
      </c>
      <c r="D38" s="231"/>
      <c r="E38" s="253"/>
      <c r="F38" s="443" t="s">
        <v>187</v>
      </c>
      <c r="G38" s="443"/>
      <c r="H38" s="443" t="s">
        <v>11</v>
      </c>
      <c r="I38" s="443"/>
      <c r="J38" s="424" t="s">
        <v>66</v>
      </c>
      <c r="K38" s="424" t="s">
        <v>533</v>
      </c>
      <c r="L38" s="243"/>
    </row>
    <row r="39" spans="2:12" x14ac:dyDescent="0.35">
      <c r="B39" s="242"/>
      <c r="C39" s="92" t="s">
        <v>194</v>
      </c>
      <c r="D39" s="4">
        <v>100000</v>
      </c>
      <c r="E39" s="93" t="s">
        <v>193</v>
      </c>
      <c r="F39" s="234">
        <v>833.08</v>
      </c>
      <c r="G39" s="43" t="s">
        <v>110</v>
      </c>
      <c r="H39" s="43">
        <f>ROUND(F39*(1+'Revenue Requirements'!$G$13),2)</f>
        <v>990.03</v>
      </c>
      <c r="I39" s="80" t="s">
        <v>110</v>
      </c>
      <c r="J39" s="43">
        <f>H39-F39</f>
        <v>156.94999999999993</v>
      </c>
      <c r="K39" s="63">
        <f>J39/F39</f>
        <v>0.18839727277092227</v>
      </c>
      <c r="L39" s="243"/>
    </row>
    <row r="40" spans="2:12" x14ac:dyDescent="0.35">
      <c r="B40" s="242"/>
      <c r="C40" s="233" t="s">
        <v>196</v>
      </c>
      <c r="D40" s="97">
        <v>100000</v>
      </c>
      <c r="E40" s="232" t="s">
        <v>193</v>
      </c>
      <c r="F40" s="235">
        <v>6.6800000000000002E-3</v>
      </c>
      <c r="G40" s="43" t="s">
        <v>192</v>
      </c>
      <c r="H40" s="230">
        <f>ROUND(F40*(1+'Revenue Requirements'!$G$13),5)</f>
        <v>7.9399999999999991E-3</v>
      </c>
      <c r="I40" s="80" t="s">
        <v>192</v>
      </c>
      <c r="J40" s="230">
        <f t="shared" ref="J40" si="10">H40-F40</f>
        <v>1.259999999999999E-3</v>
      </c>
      <c r="K40" s="63">
        <f t="shared" ref="K40" si="11">J40/F40</f>
        <v>0.18862275449101781</v>
      </c>
      <c r="L40" s="243"/>
    </row>
    <row r="41" spans="2:12" x14ac:dyDescent="0.35">
      <c r="B41" s="242"/>
      <c r="L41" s="243"/>
    </row>
    <row r="42" spans="2:12" x14ac:dyDescent="0.35">
      <c r="B42" s="242"/>
      <c r="C42" s="76" t="s">
        <v>114</v>
      </c>
      <c r="D42" s="231"/>
      <c r="E42" s="253"/>
      <c r="F42" s="443" t="s">
        <v>187</v>
      </c>
      <c r="G42" s="443"/>
      <c r="H42" s="443" t="s">
        <v>11</v>
      </c>
      <c r="I42" s="443"/>
      <c r="J42" s="424" t="s">
        <v>66</v>
      </c>
      <c r="K42" s="424" t="s">
        <v>533</v>
      </c>
      <c r="L42" s="243"/>
    </row>
    <row r="43" spans="2:12" x14ac:dyDescent="0.35">
      <c r="B43" s="242"/>
      <c r="C43" s="92" t="s">
        <v>194</v>
      </c>
      <c r="D43" s="4">
        <v>200000</v>
      </c>
      <c r="E43" s="93" t="s">
        <v>193</v>
      </c>
      <c r="F43" s="234">
        <v>1500.88</v>
      </c>
      <c r="G43" s="43" t="s">
        <v>110</v>
      </c>
      <c r="H43" s="43">
        <f>ROUND(F43*(1+'Revenue Requirements'!$G$13),2)</f>
        <v>1783.65</v>
      </c>
      <c r="I43" s="80" t="s">
        <v>110</v>
      </c>
      <c r="J43" s="43">
        <f>H43-F43</f>
        <v>282.77</v>
      </c>
      <c r="K43" s="63">
        <f>J43/F43</f>
        <v>0.18840280368850271</v>
      </c>
      <c r="L43" s="243"/>
    </row>
    <row r="44" spans="2:12" x14ac:dyDescent="0.35">
      <c r="B44" s="242"/>
      <c r="C44" s="233" t="s">
        <v>196</v>
      </c>
      <c r="D44" s="97">
        <v>200000</v>
      </c>
      <c r="E44" s="232" t="s">
        <v>193</v>
      </c>
      <c r="F44" s="235">
        <v>6.6800000000000002E-3</v>
      </c>
      <c r="G44" s="43" t="s">
        <v>192</v>
      </c>
      <c r="H44" s="230">
        <f>ROUND(F44*(1+'Revenue Requirements'!$G$13),5)</f>
        <v>7.9399999999999991E-3</v>
      </c>
      <c r="I44" s="80" t="s">
        <v>192</v>
      </c>
      <c r="J44" s="230">
        <f t="shared" ref="J44" si="12">H44-F44</f>
        <v>1.259999999999999E-3</v>
      </c>
      <c r="K44" s="63">
        <f t="shared" ref="K44" si="13">J44/F44</f>
        <v>0.18862275449101781</v>
      </c>
      <c r="L44" s="243"/>
    </row>
    <row r="45" spans="2:12" x14ac:dyDescent="0.35">
      <c r="B45" s="242"/>
      <c r="L45" s="243"/>
    </row>
    <row r="46" spans="2:12" x14ac:dyDescent="0.35">
      <c r="B46" s="242"/>
      <c r="C46" s="76" t="s">
        <v>199</v>
      </c>
      <c r="D46" s="231"/>
      <c r="E46" s="253"/>
      <c r="F46" s="443" t="s">
        <v>187</v>
      </c>
      <c r="G46" s="443"/>
      <c r="H46" s="443" t="s">
        <v>11</v>
      </c>
      <c r="I46" s="443"/>
      <c r="J46" s="424" t="s">
        <v>66</v>
      </c>
      <c r="K46" s="424" t="s">
        <v>533</v>
      </c>
      <c r="L46" s="243"/>
    </row>
    <row r="47" spans="2:12" x14ac:dyDescent="0.35">
      <c r="B47" s="242"/>
      <c r="C47" s="92" t="s">
        <v>194</v>
      </c>
      <c r="D47" s="4">
        <v>500000</v>
      </c>
      <c r="E47" s="93" t="s">
        <v>193</v>
      </c>
      <c r="F47" s="234">
        <v>3504.28</v>
      </c>
      <c r="G47" s="43" t="s">
        <v>110</v>
      </c>
      <c r="H47" s="43">
        <f>ROUND(F47*(1+'Revenue Requirements'!$G$13),2)</f>
        <v>4164.49</v>
      </c>
      <c r="I47" s="80" t="s">
        <v>110</v>
      </c>
      <c r="J47" s="43">
        <f>H47-F47</f>
        <v>660.20999999999958</v>
      </c>
      <c r="K47" s="63">
        <f>J47/F47</f>
        <v>0.18840104101270433</v>
      </c>
      <c r="L47" s="243"/>
    </row>
    <row r="48" spans="2:12" x14ac:dyDescent="0.35">
      <c r="B48" s="242"/>
      <c r="C48" s="233" t="s">
        <v>196</v>
      </c>
      <c r="D48" s="97">
        <v>500000</v>
      </c>
      <c r="E48" s="232" t="s">
        <v>193</v>
      </c>
      <c r="F48" s="235">
        <v>6.6800000000000002E-3</v>
      </c>
      <c r="G48" s="43" t="s">
        <v>192</v>
      </c>
      <c r="H48" s="230">
        <f>ROUND(F48*(1+'Revenue Requirements'!$G$13),5)</f>
        <v>7.9399999999999991E-3</v>
      </c>
      <c r="I48" s="80" t="s">
        <v>192</v>
      </c>
      <c r="J48" s="230">
        <f t="shared" ref="J48" si="14">H48-F48</f>
        <v>1.259999999999999E-3</v>
      </c>
      <c r="K48" s="63">
        <f t="shared" ref="K48" si="15">J48/F48</f>
        <v>0.18862275449101781</v>
      </c>
      <c r="L48" s="243"/>
    </row>
    <row r="49" spans="2:18" x14ac:dyDescent="0.35">
      <c r="B49" s="242"/>
      <c r="C49" s="233"/>
      <c r="D49" s="97"/>
      <c r="F49" s="235"/>
      <c r="G49" s="43"/>
      <c r="H49" s="230"/>
      <c r="J49" s="230"/>
      <c r="K49" s="63"/>
      <c r="L49" s="243"/>
    </row>
    <row r="50" spans="2:18" x14ac:dyDescent="0.35">
      <c r="B50" s="242"/>
      <c r="C50" s="336" t="s">
        <v>251</v>
      </c>
      <c r="D50" s="97"/>
      <c r="F50" s="443" t="s">
        <v>187</v>
      </c>
      <c r="G50" s="443"/>
      <c r="H50" s="443" t="s">
        <v>11</v>
      </c>
      <c r="I50" s="443"/>
      <c r="J50" s="424" t="s">
        <v>66</v>
      </c>
      <c r="K50" s="424" t="s">
        <v>533</v>
      </c>
      <c r="L50" s="243"/>
    </row>
    <row r="51" spans="2:18" x14ac:dyDescent="0.35">
      <c r="B51" s="242"/>
      <c r="C51" s="232" t="s">
        <v>456</v>
      </c>
      <c r="D51" s="97"/>
      <c r="F51" s="235">
        <v>4.5599999999999998E-3</v>
      </c>
      <c r="G51" s="43" t="s">
        <v>192</v>
      </c>
      <c r="H51" s="230">
        <f>ROUND(F51*(1+'Revenue Requirements'!$G$13),5)</f>
        <v>5.4200000000000003E-3</v>
      </c>
      <c r="I51" s="80" t="s">
        <v>192</v>
      </c>
      <c r="J51" s="230">
        <f t="shared" ref="J51:J53" si="16">H51-F51</f>
        <v>8.6000000000000052E-4</v>
      </c>
      <c r="K51" s="63">
        <f t="shared" ref="K51:K53" si="17">J51/F51</f>
        <v>0.18859649122807029</v>
      </c>
      <c r="L51" s="243"/>
    </row>
    <row r="52" spans="2:18" x14ac:dyDescent="0.35">
      <c r="B52" s="242"/>
      <c r="C52" s="232" t="s">
        <v>252</v>
      </c>
      <c r="D52" s="97"/>
      <c r="F52" s="235">
        <v>4.5599999999999998E-3</v>
      </c>
      <c r="G52" s="43" t="s">
        <v>192</v>
      </c>
      <c r="H52" s="230">
        <f>ROUND(F52*(1+'Revenue Requirements'!$G$13),5)</f>
        <v>5.4200000000000003E-3</v>
      </c>
      <c r="I52" s="80" t="s">
        <v>192</v>
      </c>
      <c r="J52" s="230">
        <f t="shared" si="16"/>
        <v>8.6000000000000052E-4</v>
      </c>
      <c r="K52" s="63">
        <f t="shared" si="17"/>
        <v>0.18859649122807029</v>
      </c>
      <c r="L52" s="243"/>
    </row>
    <row r="53" spans="2:18" x14ac:dyDescent="0.35">
      <c r="B53" s="242"/>
      <c r="C53" s="232" t="s">
        <v>253</v>
      </c>
      <c r="D53" s="97"/>
      <c r="F53" s="235">
        <v>4.0499999999999998E-3</v>
      </c>
      <c r="G53" s="43" t="s">
        <v>192</v>
      </c>
      <c r="H53" s="230">
        <f>ROUND(F53*(1+'Revenue Requirements'!$G$13),5)</f>
        <v>4.81E-3</v>
      </c>
      <c r="I53" s="80" t="s">
        <v>192</v>
      </c>
      <c r="J53" s="230">
        <f t="shared" si="16"/>
        <v>7.6000000000000026E-4</v>
      </c>
      <c r="K53" s="63">
        <f t="shared" si="17"/>
        <v>0.18765432098765439</v>
      </c>
      <c r="L53" s="243"/>
    </row>
    <row r="54" spans="2:18" x14ac:dyDescent="0.35">
      <c r="B54" s="242"/>
      <c r="C54" s="232"/>
      <c r="D54" s="97"/>
      <c r="F54" s="235"/>
      <c r="G54" s="43"/>
      <c r="H54" s="230"/>
      <c r="J54" s="230"/>
      <c r="K54" s="63"/>
      <c r="L54" s="243"/>
    </row>
    <row r="55" spans="2:18" x14ac:dyDescent="0.35">
      <c r="B55" s="242"/>
      <c r="C55" s="336" t="s">
        <v>251</v>
      </c>
      <c r="D55" s="97"/>
      <c r="F55" s="235"/>
      <c r="G55" s="43"/>
      <c r="H55" s="230"/>
      <c r="J55" s="230"/>
      <c r="K55" s="63"/>
      <c r="L55" s="243"/>
    </row>
    <row r="56" spans="2:18" x14ac:dyDescent="0.35">
      <c r="B56" s="242"/>
      <c r="C56" s="336" t="s">
        <v>257</v>
      </c>
      <c r="D56" s="97"/>
      <c r="F56" s="443" t="s">
        <v>187</v>
      </c>
      <c r="G56" s="443"/>
      <c r="H56" s="443" t="s">
        <v>11</v>
      </c>
      <c r="I56" s="443"/>
      <c r="J56" s="424" t="s">
        <v>66</v>
      </c>
      <c r="K56" s="424" t="s">
        <v>533</v>
      </c>
      <c r="L56" s="243"/>
    </row>
    <row r="57" spans="2:18" x14ac:dyDescent="0.35">
      <c r="B57" s="242"/>
      <c r="C57" s="232" t="s">
        <v>254</v>
      </c>
      <c r="D57" s="97"/>
      <c r="F57" s="235">
        <v>4.5599999999999998E-3</v>
      </c>
      <c r="G57" s="43" t="s">
        <v>192</v>
      </c>
      <c r="H57" s="230">
        <f>ROUND(F57*(1+'Revenue Requirements'!$G$13),5)</f>
        <v>5.4200000000000003E-3</v>
      </c>
      <c r="I57" s="80" t="s">
        <v>192</v>
      </c>
      <c r="J57" s="230">
        <f t="shared" ref="J57:J58" si="18">H57-F57</f>
        <v>8.6000000000000052E-4</v>
      </c>
      <c r="K57" s="63">
        <f t="shared" ref="K57:K58" si="19">J57/F57</f>
        <v>0.18859649122807029</v>
      </c>
      <c r="L57" s="243"/>
    </row>
    <row r="58" spans="2:18" x14ac:dyDescent="0.35">
      <c r="B58" s="242"/>
      <c r="C58" s="232" t="s">
        <v>255</v>
      </c>
      <c r="D58" s="97"/>
      <c r="F58" s="235">
        <v>4.9100000000000003E-3</v>
      </c>
      <c r="G58" s="43" t="s">
        <v>192</v>
      </c>
      <c r="H58" s="230">
        <f>ROUND(F58*(1+'Revenue Requirements'!$G$13),5)</f>
        <v>5.8399999999999997E-3</v>
      </c>
      <c r="I58" s="80" t="s">
        <v>192</v>
      </c>
      <c r="J58" s="230">
        <f t="shared" si="18"/>
        <v>9.299999999999994E-4</v>
      </c>
      <c r="K58" s="63">
        <f t="shared" si="19"/>
        <v>0.18940936863543775</v>
      </c>
      <c r="L58" s="243"/>
    </row>
    <row r="59" spans="2:18" x14ac:dyDescent="0.35">
      <c r="B59" s="242"/>
      <c r="C59" s="336" t="s">
        <v>256</v>
      </c>
      <c r="D59" s="97"/>
      <c r="F59" s="443" t="s">
        <v>187</v>
      </c>
      <c r="G59" s="443"/>
      <c r="H59" s="443" t="s">
        <v>11</v>
      </c>
      <c r="I59" s="443"/>
      <c r="J59" s="424" t="s">
        <v>66</v>
      </c>
      <c r="K59" s="424" t="s">
        <v>533</v>
      </c>
      <c r="L59" s="243"/>
    </row>
    <row r="60" spans="2:18" x14ac:dyDescent="0.35">
      <c r="B60" s="242"/>
      <c r="C60" s="232" t="s">
        <v>194</v>
      </c>
      <c r="D60" s="97">
        <v>50000</v>
      </c>
      <c r="E60" s="232" t="s">
        <v>193</v>
      </c>
      <c r="F60" s="234">
        <v>153.83000000000001</v>
      </c>
      <c r="G60" s="43" t="s">
        <v>110</v>
      </c>
      <c r="H60" s="230"/>
      <c r="J60" s="230"/>
      <c r="K60" s="63"/>
      <c r="L60" s="243"/>
    </row>
    <row r="61" spans="2:18" x14ac:dyDescent="0.35">
      <c r="B61" s="242"/>
      <c r="C61" s="232" t="s">
        <v>196</v>
      </c>
      <c r="D61" s="97">
        <v>50000</v>
      </c>
      <c r="E61" s="232" t="s">
        <v>193</v>
      </c>
      <c r="F61" s="235">
        <v>3.0699999999999998E-3</v>
      </c>
      <c r="G61" s="43" t="s">
        <v>192</v>
      </c>
      <c r="H61" s="230">
        <f>ROUND(F61*(1+'Revenue Requirements'!$G$13),5)</f>
        <v>3.65E-3</v>
      </c>
      <c r="I61" s="80" t="s">
        <v>192</v>
      </c>
      <c r="J61" s="230">
        <f t="shared" ref="J61" si="20">H61-F61</f>
        <v>5.8000000000000022E-4</v>
      </c>
      <c r="K61" s="63">
        <f t="shared" ref="K61" si="21">J61/F61</f>
        <v>0.18892508143322484</v>
      </c>
      <c r="L61" s="243"/>
      <c r="N61" s="363" t="s">
        <v>455</v>
      </c>
      <c r="O61" s="363"/>
      <c r="P61" s="363"/>
      <c r="Q61" s="363"/>
      <c r="R61" s="363"/>
    </row>
    <row r="62" spans="2:18" x14ac:dyDescent="0.35">
      <c r="B62" s="242"/>
      <c r="C62" s="232"/>
      <c r="D62" s="97"/>
      <c r="F62" s="235"/>
      <c r="G62" s="43"/>
      <c r="H62" s="230"/>
      <c r="J62" s="230"/>
      <c r="K62" s="424" t="s">
        <v>533</v>
      </c>
      <c r="L62" s="243"/>
    </row>
    <row r="63" spans="2:18" x14ac:dyDescent="0.35">
      <c r="B63" s="242"/>
      <c r="C63" s="421" t="s">
        <v>537</v>
      </c>
      <c r="F63" s="234">
        <v>0</v>
      </c>
      <c r="G63" s="80" t="s">
        <v>536</v>
      </c>
      <c r="H63" s="43">
        <f>'Water Loss'!D27</f>
        <v>5.84</v>
      </c>
      <c r="I63" s="80" t="s">
        <v>536</v>
      </c>
      <c r="J63" s="43">
        <f>H63</f>
        <v>5.84</v>
      </c>
      <c r="K63" s="425">
        <v>1</v>
      </c>
      <c r="L63" s="243"/>
    </row>
    <row r="64" spans="2:18" x14ac:dyDescent="0.35">
      <c r="B64" s="242"/>
      <c r="C64" s="232"/>
      <c r="D64" s="97"/>
      <c r="F64" s="235"/>
      <c r="G64" s="43"/>
      <c r="H64" s="230"/>
      <c r="J64" s="230"/>
      <c r="K64" s="63"/>
      <c r="L64" s="243"/>
    </row>
    <row r="65" spans="2:12" ht="15" thickBot="1" x14ac:dyDescent="0.4">
      <c r="B65" s="246"/>
      <c r="C65" s="247"/>
      <c r="D65" s="248"/>
      <c r="E65" s="254"/>
      <c r="F65" s="247"/>
      <c r="G65" s="247"/>
      <c r="H65" s="247"/>
      <c r="I65" s="249"/>
      <c r="J65" s="247"/>
      <c r="K65" s="250"/>
      <c r="L65" s="251"/>
    </row>
  </sheetData>
  <mergeCells count="25">
    <mergeCell ref="F59:G59"/>
    <mergeCell ref="H59:I59"/>
    <mergeCell ref="F50:G50"/>
    <mergeCell ref="H50:I50"/>
    <mergeCell ref="F56:G56"/>
    <mergeCell ref="H56:I56"/>
    <mergeCell ref="F42:G42"/>
    <mergeCell ref="H42:I42"/>
    <mergeCell ref="F46:G46"/>
    <mergeCell ref="H46:I46"/>
    <mergeCell ref="F38:G38"/>
    <mergeCell ref="H38:I38"/>
    <mergeCell ref="F29:G29"/>
    <mergeCell ref="H29:I29"/>
    <mergeCell ref="F34:G34"/>
    <mergeCell ref="H34:I34"/>
    <mergeCell ref="F16:G16"/>
    <mergeCell ref="H16:I16"/>
    <mergeCell ref="F23:G23"/>
    <mergeCell ref="H23:I23"/>
    <mergeCell ref="C5:J5"/>
    <mergeCell ref="C6:J6"/>
    <mergeCell ref="C3:J3"/>
    <mergeCell ref="F8:G8"/>
    <mergeCell ref="H8:I8"/>
  </mergeCells>
  <printOptions horizontalCentered="1" verticalCentered="1"/>
  <pageMargins left="0.5" right="0.5" top="0.75" bottom="0.75" header="0" footer="0"/>
  <pageSetup scale="6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60"/>
  <sheetViews>
    <sheetView topLeftCell="A37" workbookViewId="0">
      <selection activeCell="K58" sqref="K58"/>
    </sheetView>
  </sheetViews>
  <sheetFormatPr defaultColWidth="8.84375" defaultRowHeight="14.5" x14ac:dyDescent="0.35"/>
  <cols>
    <col min="1" max="1" width="24.61328125" style="1" customWidth="1"/>
    <col min="2" max="2" width="9.84375" style="1" customWidth="1"/>
    <col min="3" max="3" width="12.4609375" style="1" customWidth="1"/>
    <col min="4" max="5" width="9.765625" style="1" customWidth="1"/>
    <col min="6" max="6" width="10.69140625" style="1" customWidth="1"/>
    <col min="7" max="7" width="10.07421875" style="204" customWidth="1"/>
    <col min="8" max="8" width="10.53515625" style="1" customWidth="1"/>
    <col min="9" max="10" width="8.84375" style="1"/>
    <col min="11" max="11" width="10.07421875" style="1" customWidth="1"/>
    <col min="12" max="12" width="9" style="1" bestFit="1" customWidth="1"/>
    <col min="13" max="13" width="9.765625" style="1" bestFit="1" customWidth="1"/>
    <col min="14" max="16384" width="8.84375" style="1"/>
  </cols>
  <sheetData>
    <row r="1" spans="1:11" x14ac:dyDescent="0.35">
      <c r="A1" s="117" t="s">
        <v>79</v>
      </c>
    </row>
    <row r="3" spans="1:11" x14ac:dyDescent="0.35">
      <c r="B3" s="262">
        <v>2023</v>
      </c>
      <c r="C3" s="17" t="s">
        <v>71</v>
      </c>
      <c r="F3" s="17" t="s">
        <v>160</v>
      </c>
      <c r="G3" s="204" t="s">
        <v>161</v>
      </c>
      <c r="H3" s="17" t="s">
        <v>161</v>
      </c>
      <c r="J3" s="20"/>
      <c r="K3" s="20"/>
    </row>
    <row r="4" spans="1:11" x14ac:dyDescent="0.35">
      <c r="B4" s="17" t="s">
        <v>71</v>
      </c>
      <c r="C4" s="17" t="s">
        <v>72</v>
      </c>
      <c r="D4" s="17" t="s">
        <v>72</v>
      </c>
      <c r="E4" s="17" t="s">
        <v>73</v>
      </c>
      <c r="F4" s="17" t="s">
        <v>75</v>
      </c>
      <c r="G4" s="204" t="s">
        <v>76</v>
      </c>
      <c r="H4" s="17" t="s">
        <v>76</v>
      </c>
    </row>
    <row r="5" spans="1:11" x14ac:dyDescent="0.35">
      <c r="A5" s="260" t="s">
        <v>208</v>
      </c>
      <c r="B5" s="18" t="s">
        <v>74</v>
      </c>
      <c r="C5" s="18" t="s">
        <v>80</v>
      </c>
      <c r="D5" s="18" t="s">
        <v>81</v>
      </c>
      <c r="E5" s="18" t="s">
        <v>81</v>
      </c>
      <c r="F5" s="39" t="s">
        <v>74</v>
      </c>
      <c r="G5" s="205" t="s">
        <v>77</v>
      </c>
      <c r="H5" s="39" t="s">
        <v>78</v>
      </c>
    </row>
    <row r="6" spans="1:11" x14ac:dyDescent="0.35">
      <c r="A6" s="1" t="s">
        <v>266</v>
      </c>
      <c r="B6" s="36">
        <f>1792.42+8</f>
        <v>1800.42</v>
      </c>
      <c r="C6" s="36">
        <v>0</v>
      </c>
      <c r="D6" s="40">
        <f>IF(B6&gt;0,C6/B6,0)</f>
        <v>0</v>
      </c>
      <c r="E6" s="40">
        <f>1-D6</f>
        <v>1</v>
      </c>
      <c r="F6" s="41">
        <f>B6*E6*12</f>
        <v>21605.040000000001</v>
      </c>
      <c r="G6" s="206">
        <v>0.67</v>
      </c>
      <c r="H6" s="41">
        <f>B6*G6*12</f>
        <v>14475.376800000002</v>
      </c>
    </row>
    <row r="7" spans="1:11" x14ac:dyDescent="0.35">
      <c r="A7" s="1" t="s">
        <v>268</v>
      </c>
      <c r="B7" s="36">
        <f>1177.3+8</f>
        <v>1185.3</v>
      </c>
      <c r="C7" s="36">
        <v>0</v>
      </c>
      <c r="D7" s="40">
        <f t="shared" ref="D7:D18" si="0">IF(B7&gt;0,C7/B7,0)</f>
        <v>0</v>
      </c>
      <c r="E7" s="40">
        <f t="shared" ref="E7:E18" si="1">1-D7</f>
        <v>1</v>
      </c>
      <c r="F7" s="41">
        <f t="shared" ref="F7:F18" si="2">B7*E7*12</f>
        <v>14223.599999999999</v>
      </c>
      <c r="G7" s="206">
        <v>0.67</v>
      </c>
      <c r="H7" s="41">
        <f t="shared" ref="H7:H18" si="3">B7*G7*12</f>
        <v>9529.8120000000017</v>
      </c>
    </row>
    <row r="8" spans="1:11" x14ac:dyDescent="0.35">
      <c r="A8" s="1" t="s">
        <v>269</v>
      </c>
      <c r="B8" s="36">
        <f>1792.42+8</f>
        <v>1800.42</v>
      </c>
      <c r="C8" s="36">
        <v>0</v>
      </c>
      <c r="D8" s="40">
        <f t="shared" si="0"/>
        <v>0</v>
      </c>
      <c r="E8" s="40">
        <f t="shared" si="1"/>
        <v>1</v>
      </c>
      <c r="F8" s="41">
        <f t="shared" si="2"/>
        <v>21605.040000000001</v>
      </c>
      <c r="G8" s="206">
        <v>0.67</v>
      </c>
      <c r="H8" s="41">
        <f t="shared" si="3"/>
        <v>14475.376800000002</v>
      </c>
    </row>
    <row r="9" spans="1:11" x14ac:dyDescent="0.35">
      <c r="A9" s="1" t="s">
        <v>271</v>
      </c>
      <c r="B9" s="36">
        <f>1988.62+8</f>
        <v>1996.62</v>
      </c>
      <c r="C9" s="36">
        <v>0</v>
      </c>
      <c r="D9" s="40">
        <f t="shared" si="0"/>
        <v>0</v>
      </c>
      <c r="E9" s="40">
        <f t="shared" si="1"/>
        <v>1</v>
      </c>
      <c r="F9" s="41">
        <f t="shared" si="2"/>
        <v>23959.439999999999</v>
      </c>
      <c r="G9" s="206">
        <v>0.67</v>
      </c>
      <c r="H9" s="41">
        <f t="shared" si="3"/>
        <v>16052.8248</v>
      </c>
    </row>
    <row r="10" spans="1:11" x14ac:dyDescent="0.35">
      <c r="A10" s="1" t="s">
        <v>272</v>
      </c>
      <c r="B10" s="36">
        <f>833.64+8</f>
        <v>841.64</v>
      </c>
      <c r="C10" s="36">
        <v>0</v>
      </c>
      <c r="D10" s="40">
        <f t="shared" ref="D10:D14" si="4">IF(B10&gt;0,C10/B10,0)</f>
        <v>0</v>
      </c>
      <c r="E10" s="40">
        <f t="shared" ref="E10:E14" si="5">1-D10</f>
        <v>1</v>
      </c>
      <c r="F10" s="41">
        <f t="shared" ref="F10:F14" si="6">B10*E10*12</f>
        <v>10099.68</v>
      </c>
      <c r="G10" s="206">
        <v>0.78</v>
      </c>
      <c r="H10" s="41">
        <f t="shared" ref="H10:H14" si="7">B10*G10*12</f>
        <v>7877.7503999999999</v>
      </c>
    </row>
    <row r="11" spans="1:11" x14ac:dyDescent="0.35">
      <c r="A11" s="1" t="s">
        <v>273</v>
      </c>
      <c r="B11" s="36">
        <f>1177.3+8</f>
        <v>1185.3</v>
      </c>
      <c r="C11" s="36">
        <v>0</v>
      </c>
      <c r="D11" s="40">
        <f t="shared" si="4"/>
        <v>0</v>
      </c>
      <c r="E11" s="40">
        <f t="shared" si="5"/>
        <v>1</v>
      </c>
      <c r="F11" s="41">
        <f t="shared" si="6"/>
        <v>14223.599999999999</v>
      </c>
      <c r="G11" s="206">
        <v>0.67</v>
      </c>
      <c r="H11" s="41">
        <f t="shared" si="7"/>
        <v>9529.8120000000017</v>
      </c>
    </row>
    <row r="12" spans="1:11" x14ac:dyDescent="0.35">
      <c r="A12" s="1" t="s">
        <v>325</v>
      </c>
      <c r="B12" s="36">
        <f>1792.42+8</f>
        <v>1800.42</v>
      </c>
      <c r="C12" s="36">
        <v>0</v>
      </c>
      <c r="D12" s="40">
        <f t="shared" si="4"/>
        <v>0</v>
      </c>
      <c r="E12" s="40">
        <f t="shared" si="5"/>
        <v>1</v>
      </c>
      <c r="F12" s="41">
        <f t="shared" si="6"/>
        <v>21605.040000000001</v>
      </c>
      <c r="G12" s="206">
        <v>0.67</v>
      </c>
      <c r="H12" s="41">
        <f t="shared" si="7"/>
        <v>14475.376800000002</v>
      </c>
    </row>
    <row r="13" spans="1:11" x14ac:dyDescent="0.35">
      <c r="A13" s="1" t="s">
        <v>275</v>
      </c>
      <c r="B13" s="36">
        <f>833.64+8</f>
        <v>841.64</v>
      </c>
      <c r="C13" s="36">
        <v>0</v>
      </c>
      <c r="D13" s="40">
        <f t="shared" si="4"/>
        <v>0</v>
      </c>
      <c r="E13" s="40">
        <f t="shared" si="5"/>
        <v>1</v>
      </c>
      <c r="F13" s="41">
        <f t="shared" si="6"/>
        <v>10099.68</v>
      </c>
      <c r="G13" s="206">
        <v>0.78</v>
      </c>
      <c r="H13" s="41">
        <f t="shared" si="7"/>
        <v>7877.7503999999999</v>
      </c>
    </row>
    <row r="14" spans="1:11" x14ac:dyDescent="0.35">
      <c r="A14" s="1" t="s">
        <v>276</v>
      </c>
      <c r="B14" s="36">
        <f>833.64+8</f>
        <v>841.64</v>
      </c>
      <c r="C14" s="36">
        <v>0</v>
      </c>
      <c r="D14" s="40">
        <f t="shared" si="4"/>
        <v>0</v>
      </c>
      <c r="E14" s="40">
        <f t="shared" si="5"/>
        <v>1</v>
      </c>
      <c r="F14" s="41">
        <f t="shared" si="6"/>
        <v>10099.68</v>
      </c>
      <c r="G14" s="206">
        <v>0.78</v>
      </c>
      <c r="H14" s="41">
        <f t="shared" si="7"/>
        <v>7877.7503999999999</v>
      </c>
    </row>
    <row r="15" spans="1:11" x14ac:dyDescent="0.35">
      <c r="A15" s="1" t="s">
        <v>292</v>
      </c>
      <c r="B15" s="36">
        <f>1792.42+8</f>
        <v>1800.42</v>
      </c>
      <c r="C15" s="36">
        <v>0</v>
      </c>
      <c r="D15" s="40">
        <f t="shared" si="0"/>
        <v>0</v>
      </c>
      <c r="E15" s="40">
        <f t="shared" si="1"/>
        <v>1</v>
      </c>
      <c r="F15" s="41">
        <f t="shared" si="2"/>
        <v>21605.040000000001</v>
      </c>
      <c r="G15" s="206">
        <v>0.67</v>
      </c>
      <c r="H15" s="41">
        <f t="shared" si="3"/>
        <v>14475.376800000002</v>
      </c>
    </row>
    <row r="16" spans="1:11" x14ac:dyDescent="0.35">
      <c r="A16" s="1" t="s">
        <v>289</v>
      </c>
      <c r="B16" s="36">
        <f>833.64+8</f>
        <v>841.64</v>
      </c>
      <c r="C16" s="36">
        <v>0</v>
      </c>
      <c r="D16" s="40">
        <f t="shared" si="0"/>
        <v>0</v>
      </c>
      <c r="E16" s="40">
        <f t="shared" si="1"/>
        <v>1</v>
      </c>
      <c r="F16" s="41">
        <f t="shared" si="2"/>
        <v>10099.68</v>
      </c>
      <c r="G16" s="206">
        <v>0.78</v>
      </c>
      <c r="H16" s="41">
        <f t="shared" si="3"/>
        <v>7877.7503999999999</v>
      </c>
    </row>
    <row r="17" spans="1:8" x14ac:dyDescent="0.35">
      <c r="A17" s="1" t="s">
        <v>290</v>
      </c>
      <c r="B17" s="36">
        <f>833.64+8</f>
        <v>841.64</v>
      </c>
      <c r="C17" s="36">
        <v>0</v>
      </c>
      <c r="D17" s="40">
        <f t="shared" si="0"/>
        <v>0</v>
      </c>
      <c r="E17" s="40">
        <f t="shared" si="1"/>
        <v>1</v>
      </c>
      <c r="F17" s="41">
        <f t="shared" si="2"/>
        <v>10099.68</v>
      </c>
      <c r="G17" s="206">
        <v>0.78</v>
      </c>
      <c r="H17" s="41">
        <f t="shared" si="3"/>
        <v>7877.7503999999999</v>
      </c>
    </row>
    <row r="18" spans="1:8" x14ac:dyDescent="0.35">
      <c r="B18" s="36">
        <v>0</v>
      </c>
      <c r="C18" s="36">
        <v>0</v>
      </c>
      <c r="D18" s="40">
        <f t="shared" si="0"/>
        <v>0</v>
      </c>
      <c r="E18" s="40">
        <f t="shared" si="1"/>
        <v>1</v>
      </c>
      <c r="F18" s="41">
        <f t="shared" si="2"/>
        <v>0</v>
      </c>
      <c r="G18" s="206">
        <v>0</v>
      </c>
      <c r="H18" s="41">
        <f t="shared" si="3"/>
        <v>0</v>
      </c>
    </row>
    <row r="19" spans="1:8" x14ac:dyDescent="0.35">
      <c r="B19" s="261"/>
      <c r="C19" s="112"/>
      <c r="D19" s="40"/>
      <c r="E19" s="40"/>
      <c r="F19" s="259"/>
      <c r="G19" s="206"/>
      <c r="H19" s="259"/>
    </row>
    <row r="20" spans="1:8" x14ac:dyDescent="0.35">
      <c r="A20" s="1" t="s">
        <v>52</v>
      </c>
      <c r="B20" s="41">
        <f>SUM(B6:B19)</f>
        <v>15777.099999999999</v>
      </c>
      <c r="C20" s="12"/>
      <c r="D20" s="40"/>
      <c r="E20" s="40"/>
      <c r="F20" s="41">
        <f>SUM(F6:F19)</f>
        <v>189325.19999999998</v>
      </c>
      <c r="H20" s="41">
        <f>SUM(H6:H19)</f>
        <v>132402.70800000001</v>
      </c>
    </row>
    <row r="21" spans="1:8" x14ac:dyDescent="0.35">
      <c r="B21" s="41"/>
      <c r="C21" s="12"/>
      <c r="D21" s="40"/>
      <c r="E21" s="40"/>
      <c r="F21" s="41"/>
      <c r="H21" s="41"/>
    </row>
    <row r="22" spans="1:8" x14ac:dyDescent="0.35">
      <c r="C22" s="17" t="s">
        <v>71</v>
      </c>
      <c r="F22" s="17" t="s">
        <v>160</v>
      </c>
      <c r="G22" s="204" t="s">
        <v>161</v>
      </c>
      <c r="H22" s="17" t="s">
        <v>161</v>
      </c>
    </row>
    <row r="23" spans="1:8" x14ac:dyDescent="0.35">
      <c r="B23" s="17" t="s">
        <v>71</v>
      </c>
      <c r="C23" s="17" t="s">
        <v>72</v>
      </c>
      <c r="D23" s="17" t="s">
        <v>72</v>
      </c>
      <c r="E23" s="17" t="s">
        <v>73</v>
      </c>
      <c r="F23" s="17" t="s">
        <v>75</v>
      </c>
      <c r="G23" s="204" t="s">
        <v>76</v>
      </c>
      <c r="H23" s="17" t="s">
        <v>76</v>
      </c>
    </row>
    <row r="24" spans="1:8" x14ac:dyDescent="0.35">
      <c r="A24" s="117" t="s">
        <v>209</v>
      </c>
      <c r="B24" s="18" t="s">
        <v>74</v>
      </c>
      <c r="C24" s="18" t="s">
        <v>80</v>
      </c>
      <c r="D24" s="18" t="s">
        <v>81</v>
      </c>
      <c r="E24" s="18" t="s">
        <v>81</v>
      </c>
      <c r="F24" s="39" t="s">
        <v>74</v>
      </c>
      <c r="G24" s="205" t="s">
        <v>77</v>
      </c>
      <c r="H24" s="39" t="s">
        <v>78</v>
      </c>
    </row>
    <row r="25" spans="1:8" x14ac:dyDescent="0.35">
      <c r="B25" s="36"/>
      <c r="C25" s="36"/>
      <c r="D25" s="40"/>
      <c r="E25" s="40"/>
      <c r="F25" s="41"/>
      <c r="G25" s="206"/>
      <c r="H25" s="41"/>
    </row>
    <row r="26" spans="1:8" x14ac:dyDescent="0.35">
      <c r="A26" s="381" t="s">
        <v>352</v>
      </c>
      <c r="B26" s="382"/>
      <c r="C26" s="36"/>
      <c r="D26" s="40"/>
      <c r="E26" s="40"/>
      <c r="F26" s="41"/>
      <c r="G26" s="206"/>
      <c r="H26" s="41"/>
    </row>
    <row r="27" spans="1:8" x14ac:dyDescent="0.35">
      <c r="B27" s="36"/>
      <c r="C27" s="36"/>
      <c r="D27" s="40"/>
      <c r="E27" s="40"/>
      <c r="F27" s="41"/>
      <c r="G27" s="206"/>
      <c r="H27" s="41"/>
    </row>
    <row r="28" spans="1:8" x14ac:dyDescent="0.35">
      <c r="B28" s="36"/>
      <c r="C28" s="36"/>
      <c r="D28" s="40"/>
      <c r="E28" s="40"/>
      <c r="F28" s="41"/>
      <c r="G28" s="206"/>
      <c r="H28" s="41"/>
    </row>
    <row r="29" spans="1:8" x14ac:dyDescent="0.35">
      <c r="B29" s="36"/>
      <c r="C29" s="36"/>
      <c r="D29" s="40"/>
      <c r="E29" s="40"/>
      <c r="F29" s="41"/>
      <c r="G29" s="206"/>
      <c r="H29" s="41"/>
    </row>
    <row r="30" spans="1:8" x14ac:dyDescent="0.35">
      <c r="B30" s="36"/>
      <c r="C30" s="36"/>
      <c r="D30" s="40"/>
      <c r="E30" s="40"/>
      <c r="F30" s="41"/>
      <c r="G30" s="206"/>
      <c r="H30" s="41"/>
    </row>
    <row r="31" spans="1:8" x14ac:dyDescent="0.35">
      <c r="B31" s="36"/>
      <c r="C31" s="36"/>
      <c r="D31" s="40"/>
      <c r="E31" s="40"/>
      <c r="F31" s="41"/>
      <c r="G31" s="206"/>
      <c r="H31" s="41"/>
    </row>
    <row r="32" spans="1:8" x14ac:dyDescent="0.35">
      <c r="B32" s="36"/>
      <c r="C32" s="36"/>
      <c r="D32" s="40"/>
      <c r="E32" s="40"/>
      <c r="F32" s="41"/>
      <c r="G32" s="206"/>
      <c r="H32" s="41"/>
    </row>
    <row r="33" spans="1:11" x14ac:dyDescent="0.35">
      <c r="B33" s="261"/>
      <c r="C33" s="112"/>
      <c r="D33" s="40"/>
      <c r="E33" s="40"/>
      <c r="F33" s="259"/>
      <c r="G33" s="206"/>
      <c r="H33" s="259"/>
    </row>
    <row r="34" spans="1:11" x14ac:dyDescent="0.35">
      <c r="B34" s="41"/>
      <c r="F34" s="41"/>
      <c r="H34" s="41"/>
    </row>
    <row r="35" spans="1:11" x14ac:dyDescent="0.35">
      <c r="F35" s="41"/>
      <c r="H35" s="41"/>
    </row>
    <row r="36" spans="1:11" x14ac:dyDescent="0.35">
      <c r="A36" s="117" t="s">
        <v>162</v>
      </c>
      <c r="F36" s="41">
        <f>F20+F34</f>
        <v>189325.19999999998</v>
      </c>
      <c r="H36" s="41">
        <f>H20+H34</f>
        <v>132402.70800000001</v>
      </c>
    </row>
    <row r="37" spans="1:11" x14ac:dyDescent="0.35">
      <c r="H37" s="41"/>
    </row>
    <row r="38" spans="1:11" x14ac:dyDescent="0.35">
      <c r="A38" s="1" t="s">
        <v>410</v>
      </c>
      <c r="C38" s="217">
        <f>H36</f>
        <v>132402.70800000001</v>
      </c>
      <c r="H38" s="41"/>
    </row>
    <row r="39" spans="1:11" x14ac:dyDescent="0.35">
      <c r="A39" s="1" t="s">
        <v>411</v>
      </c>
      <c r="C39" s="414">
        <f>F60</f>
        <v>198105.12</v>
      </c>
      <c r="D39" s="121"/>
      <c r="E39" s="121"/>
      <c r="G39" s="205"/>
      <c r="H39" s="39"/>
      <c r="J39" s="122"/>
      <c r="K39" s="122"/>
    </row>
    <row r="40" spans="1:11" x14ac:dyDescent="0.35">
      <c r="A40" s="1" t="s">
        <v>122</v>
      </c>
      <c r="C40" s="415">
        <f>C38-C39</f>
        <v>-65702.411999999982</v>
      </c>
      <c r="D40" s="123"/>
      <c r="E40" s="118"/>
      <c r="F40" s="92"/>
      <c r="G40" s="215"/>
      <c r="H40" s="118"/>
      <c r="J40" s="85"/>
    </row>
    <row r="41" spans="1:11" ht="17" x14ac:dyDescent="0.5">
      <c r="C41" s="120"/>
      <c r="D41" s="119"/>
      <c r="E41" s="119"/>
      <c r="F41" s="202"/>
      <c r="G41" s="216"/>
      <c r="H41" s="119"/>
    </row>
    <row r="42" spans="1:11" ht="15.5" x14ac:dyDescent="0.35">
      <c r="C42" s="120"/>
      <c r="D42" s="118"/>
      <c r="E42" s="118"/>
      <c r="F42" s="202"/>
      <c r="G42" s="215"/>
      <c r="H42" s="118"/>
    </row>
    <row r="43" spans="1:11" x14ac:dyDescent="0.35">
      <c r="B43" s="17">
        <v>2022</v>
      </c>
      <c r="C43" s="17" t="s">
        <v>71</v>
      </c>
      <c r="F43" s="17" t="s">
        <v>160</v>
      </c>
      <c r="G43" s="204" t="s">
        <v>161</v>
      </c>
      <c r="H43" s="17" t="s">
        <v>161</v>
      </c>
    </row>
    <row r="44" spans="1:11" x14ac:dyDescent="0.35">
      <c r="B44" s="17" t="s">
        <v>71</v>
      </c>
      <c r="C44" s="17" t="s">
        <v>72</v>
      </c>
      <c r="D44" s="17" t="s">
        <v>72</v>
      </c>
      <c r="E44" s="17" t="s">
        <v>73</v>
      </c>
      <c r="F44" s="17" t="s">
        <v>75</v>
      </c>
      <c r="G44" s="204" t="s">
        <v>76</v>
      </c>
      <c r="H44" s="17" t="s">
        <v>76</v>
      </c>
    </row>
    <row r="45" spans="1:11" x14ac:dyDescent="0.35">
      <c r="A45" s="260" t="s">
        <v>208</v>
      </c>
      <c r="B45" s="18" t="s">
        <v>74</v>
      </c>
      <c r="C45" s="18" t="s">
        <v>80</v>
      </c>
      <c r="D45" s="18" t="s">
        <v>81</v>
      </c>
      <c r="E45" s="18" t="s">
        <v>81</v>
      </c>
      <c r="F45" s="39" t="s">
        <v>74</v>
      </c>
      <c r="G45" s="205" t="s">
        <v>77</v>
      </c>
      <c r="H45" s="39" t="s">
        <v>78</v>
      </c>
    </row>
    <row r="46" spans="1:11" x14ac:dyDescent="0.35">
      <c r="A46" s="1" t="s">
        <v>266</v>
      </c>
      <c r="B46" s="36">
        <f>1691.64+8</f>
        <v>1699.64</v>
      </c>
      <c r="C46" s="36">
        <v>0</v>
      </c>
      <c r="D46" s="40">
        <f>IF(B46&gt;0,C46/B46,0)</f>
        <v>0</v>
      </c>
      <c r="E46" s="40">
        <f>1-D46</f>
        <v>1</v>
      </c>
      <c r="F46" s="41">
        <f>B46*E46*12</f>
        <v>20395.68</v>
      </c>
      <c r="G46" s="206">
        <v>0.67</v>
      </c>
      <c r="H46" s="41">
        <f>B46*G46*12</f>
        <v>13665.105600000001</v>
      </c>
    </row>
    <row r="47" spans="1:11" x14ac:dyDescent="0.35">
      <c r="A47" s="1" t="s">
        <v>268</v>
      </c>
      <c r="B47" s="36">
        <f>1101.08+8</f>
        <v>1109.08</v>
      </c>
      <c r="C47" s="36">
        <v>0</v>
      </c>
      <c r="D47" s="40">
        <f t="shared" ref="D47:D58" si="8">IF(B47&gt;0,C47/B47,0)</f>
        <v>0</v>
      </c>
      <c r="E47" s="40">
        <f t="shared" ref="E47:E58" si="9">1-D47</f>
        <v>1</v>
      </c>
      <c r="F47" s="41">
        <f t="shared" ref="F47:F58" si="10">B47*E47*12</f>
        <v>13308.96</v>
      </c>
      <c r="G47" s="206">
        <v>0.67</v>
      </c>
      <c r="H47" s="41">
        <f t="shared" ref="H47:H58" si="11">B47*G47*12</f>
        <v>8917.003200000001</v>
      </c>
    </row>
    <row r="48" spans="1:11" x14ac:dyDescent="0.35">
      <c r="A48" s="1" t="s">
        <v>269</v>
      </c>
      <c r="B48" s="36">
        <f>1691.64+8</f>
        <v>1699.64</v>
      </c>
      <c r="C48" s="36">
        <v>0</v>
      </c>
      <c r="D48" s="40">
        <f t="shared" si="8"/>
        <v>0</v>
      </c>
      <c r="E48" s="40">
        <f t="shared" si="9"/>
        <v>1</v>
      </c>
      <c r="F48" s="41">
        <f t="shared" si="10"/>
        <v>20395.68</v>
      </c>
      <c r="G48" s="206">
        <v>0.67</v>
      </c>
      <c r="H48" s="41">
        <f t="shared" si="11"/>
        <v>13665.105600000001</v>
      </c>
    </row>
    <row r="49" spans="1:8" x14ac:dyDescent="0.35">
      <c r="A49" s="1" t="s">
        <v>271</v>
      </c>
      <c r="B49" s="36">
        <f>1883.6+8</f>
        <v>1891.6</v>
      </c>
      <c r="C49" s="36">
        <v>0</v>
      </c>
      <c r="D49" s="40">
        <f t="shared" si="8"/>
        <v>0</v>
      </c>
      <c r="E49" s="40">
        <f t="shared" si="9"/>
        <v>1</v>
      </c>
      <c r="F49" s="41">
        <f t="shared" si="10"/>
        <v>22699.199999999997</v>
      </c>
      <c r="G49" s="206">
        <v>0.67</v>
      </c>
      <c r="H49" s="41">
        <f t="shared" si="11"/>
        <v>15208.464</v>
      </c>
    </row>
    <row r="50" spans="1:8" x14ac:dyDescent="0.35">
      <c r="A50" s="1" t="s">
        <v>272</v>
      </c>
      <c r="B50" s="36">
        <f>772.16+8</f>
        <v>780.16</v>
      </c>
      <c r="C50" s="36">
        <v>0</v>
      </c>
      <c r="D50" s="40">
        <f t="shared" si="8"/>
        <v>0</v>
      </c>
      <c r="E50" s="40">
        <f t="shared" si="9"/>
        <v>1</v>
      </c>
      <c r="F50" s="41">
        <f t="shared" si="10"/>
        <v>9361.92</v>
      </c>
      <c r="G50" s="206">
        <v>0.78</v>
      </c>
      <c r="H50" s="41">
        <f t="shared" si="11"/>
        <v>7302.2975999999999</v>
      </c>
    </row>
    <row r="51" spans="1:8" x14ac:dyDescent="0.35">
      <c r="A51" s="1" t="s">
        <v>273</v>
      </c>
      <c r="B51" s="36">
        <f>1101.08+8</f>
        <v>1109.08</v>
      </c>
      <c r="C51" s="36">
        <v>0</v>
      </c>
      <c r="D51" s="40">
        <f t="shared" si="8"/>
        <v>0</v>
      </c>
      <c r="E51" s="40">
        <f t="shared" si="9"/>
        <v>1</v>
      </c>
      <c r="F51" s="41">
        <f t="shared" si="10"/>
        <v>13308.96</v>
      </c>
      <c r="G51" s="206">
        <v>0.67</v>
      </c>
      <c r="H51" s="41">
        <f t="shared" si="11"/>
        <v>8917.003200000001</v>
      </c>
    </row>
    <row r="52" spans="1:8" x14ac:dyDescent="0.35">
      <c r="A52" s="1" t="s">
        <v>325</v>
      </c>
      <c r="B52" s="36">
        <f>1691.64+8</f>
        <v>1699.64</v>
      </c>
      <c r="C52" s="36">
        <v>0</v>
      </c>
      <c r="D52" s="40">
        <f t="shared" si="8"/>
        <v>0</v>
      </c>
      <c r="E52" s="40">
        <f t="shared" si="9"/>
        <v>1</v>
      </c>
      <c r="F52" s="41">
        <f t="shared" si="10"/>
        <v>20395.68</v>
      </c>
      <c r="G52" s="206">
        <v>0.67</v>
      </c>
      <c r="H52" s="41">
        <f t="shared" si="11"/>
        <v>13665.105600000001</v>
      </c>
    </row>
    <row r="53" spans="1:8" x14ac:dyDescent="0.35">
      <c r="A53" s="1" t="s">
        <v>275</v>
      </c>
      <c r="B53" s="36">
        <f>772.16+8</f>
        <v>780.16</v>
      </c>
      <c r="C53" s="36">
        <v>0</v>
      </c>
      <c r="D53" s="40">
        <f t="shared" si="8"/>
        <v>0</v>
      </c>
      <c r="E53" s="40">
        <f t="shared" si="9"/>
        <v>1</v>
      </c>
      <c r="F53" s="41">
        <f t="shared" si="10"/>
        <v>9361.92</v>
      </c>
      <c r="G53" s="206">
        <v>0.78</v>
      </c>
      <c r="H53" s="41">
        <f t="shared" si="11"/>
        <v>7302.2975999999999</v>
      </c>
    </row>
    <row r="54" spans="1:8" x14ac:dyDescent="0.35">
      <c r="A54" s="1" t="s">
        <v>276</v>
      </c>
      <c r="B54" s="36">
        <f>772.16+8</f>
        <v>780.16</v>
      </c>
      <c r="C54" s="36">
        <v>0</v>
      </c>
      <c r="D54" s="40">
        <f t="shared" si="8"/>
        <v>0</v>
      </c>
      <c r="E54" s="40">
        <f t="shared" si="9"/>
        <v>1</v>
      </c>
      <c r="F54" s="41">
        <f t="shared" si="10"/>
        <v>9361.92</v>
      </c>
      <c r="G54" s="206">
        <v>0.78</v>
      </c>
      <c r="H54" s="41">
        <f t="shared" si="11"/>
        <v>7302.2975999999999</v>
      </c>
    </row>
    <row r="55" spans="1:8" x14ac:dyDescent="0.35">
      <c r="A55" s="1" t="s">
        <v>287</v>
      </c>
      <c r="B55" s="36">
        <f>772.16+8</f>
        <v>780.16</v>
      </c>
      <c r="C55" s="36">
        <v>0</v>
      </c>
      <c r="D55" s="40">
        <f t="shared" si="8"/>
        <v>0</v>
      </c>
      <c r="E55" s="40">
        <f t="shared" si="9"/>
        <v>1</v>
      </c>
      <c r="F55" s="41">
        <f t="shared" si="10"/>
        <v>9361.92</v>
      </c>
      <c r="G55" s="206">
        <v>0.67</v>
      </c>
      <c r="H55" s="41">
        <f t="shared" si="11"/>
        <v>6272.4864000000007</v>
      </c>
    </row>
    <row r="56" spans="1:8" x14ac:dyDescent="0.35">
      <c r="A56" s="1" t="s">
        <v>292</v>
      </c>
      <c r="B56" s="36">
        <f>1691.64+8</f>
        <v>1699.64</v>
      </c>
      <c r="C56" s="36">
        <v>0</v>
      </c>
      <c r="D56" s="40">
        <f t="shared" si="8"/>
        <v>0</v>
      </c>
      <c r="E56" s="40">
        <f t="shared" si="9"/>
        <v>1</v>
      </c>
      <c r="F56" s="41">
        <f t="shared" si="10"/>
        <v>20395.68</v>
      </c>
      <c r="G56" s="206">
        <v>0.78</v>
      </c>
      <c r="H56" s="41">
        <f t="shared" si="11"/>
        <v>15908.630400000002</v>
      </c>
    </row>
    <row r="57" spans="1:8" x14ac:dyDescent="0.35">
      <c r="A57" s="1" t="s">
        <v>290</v>
      </c>
      <c r="B57" s="36">
        <f>772.16+8</f>
        <v>780.16</v>
      </c>
      <c r="C57" s="36">
        <v>0</v>
      </c>
      <c r="D57" s="40">
        <f t="shared" si="8"/>
        <v>0</v>
      </c>
      <c r="E57" s="40">
        <f t="shared" si="9"/>
        <v>1</v>
      </c>
      <c r="F57" s="41">
        <f t="shared" si="10"/>
        <v>9361.92</v>
      </c>
      <c r="G57" s="206">
        <v>0.78</v>
      </c>
      <c r="H57" s="41">
        <f t="shared" si="11"/>
        <v>7302.2975999999999</v>
      </c>
    </row>
    <row r="58" spans="1:8" x14ac:dyDescent="0.35">
      <c r="A58" s="1" t="s">
        <v>409</v>
      </c>
      <c r="B58" s="36">
        <f>1691.64+8</f>
        <v>1699.64</v>
      </c>
      <c r="C58" s="36">
        <v>0</v>
      </c>
      <c r="D58" s="40">
        <f t="shared" si="8"/>
        <v>0</v>
      </c>
      <c r="E58" s="40">
        <f t="shared" si="9"/>
        <v>1</v>
      </c>
      <c r="F58" s="41">
        <f t="shared" si="10"/>
        <v>20395.68</v>
      </c>
      <c r="G58" s="206">
        <v>0.67</v>
      </c>
      <c r="H58" s="41">
        <f t="shared" si="11"/>
        <v>13665.105600000001</v>
      </c>
    </row>
    <row r="59" spans="1:8" x14ac:dyDescent="0.35">
      <c r="B59" s="261"/>
      <c r="C59" s="112"/>
      <c r="D59" s="40"/>
      <c r="E59" s="40"/>
      <c r="F59" s="259"/>
      <c r="G59" s="206"/>
      <c r="H59" s="259"/>
    </row>
    <row r="60" spans="1:8" x14ac:dyDescent="0.35">
      <c r="A60" s="1" t="s">
        <v>52</v>
      </c>
      <c r="B60" s="41">
        <f>SUM(B46:B59)</f>
        <v>16508.759999999998</v>
      </c>
      <c r="C60" s="12"/>
      <c r="D60" s="40"/>
      <c r="E60" s="40"/>
      <c r="F60" s="41">
        <f>SUM(F46:F59)</f>
        <v>198105.12</v>
      </c>
      <c r="H60" s="41">
        <f>SUM(H46:H59)</f>
        <v>139093.20000000001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34C12-8B08-4347-8810-FE79CDF4480C}">
  <sheetPr>
    <tabColor rgb="FF92D050"/>
    <pageSetUpPr fitToPage="1"/>
  </sheetPr>
  <dimension ref="A1:O50"/>
  <sheetViews>
    <sheetView showGridLines="0" workbookViewId="0">
      <selection activeCell="Q15" sqref="Q15"/>
    </sheetView>
  </sheetViews>
  <sheetFormatPr defaultRowHeight="15.5" x14ac:dyDescent="0.35"/>
  <cols>
    <col min="1" max="1" width="2" customWidth="1"/>
    <col min="2" max="2" width="1.84375" customWidth="1"/>
    <col min="3" max="3" width="1.765625" customWidth="1"/>
    <col min="4" max="4" width="27.4609375" customWidth="1"/>
    <col min="5" max="5" width="8.3046875" customWidth="1"/>
    <col min="6" max="6" width="11.69140625" customWidth="1"/>
    <col min="7" max="7" width="6.07421875" customWidth="1"/>
    <col min="8" max="8" width="9.3046875" customWidth="1"/>
    <col min="9" max="9" width="6.07421875" customWidth="1"/>
    <col min="10" max="10" width="9.3046875" customWidth="1"/>
    <col min="11" max="11" width="10.69140625" customWidth="1"/>
    <col min="12" max="12" width="1.84375" customWidth="1"/>
    <col min="13" max="13" width="2.4609375" customWidth="1"/>
  </cols>
  <sheetData>
    <row r="1" spans="1:13" x14ac:dyDescent="0.35">
      <c r="A1" s="1"/>
      <c r="B1" s="1"/>
      <c r="C1" s="125"/>
      <c r="D1" s="125"/>
      <c r="E1" s="125"/>
      <c r="F1" s="125"/>
      <c r="G1" s="126"/>
      <c r="H1" s="125"/>
      <c r="I1" s="126"/>
      <c r="J1" s="125"/>
      <c r="K1" s="125"/>
      <c r="L1" s="125"/>
      <c r="M1" s="125"/>
    </row>
    <row r="2" spans="1:13" x14ac:dyDescent="0.35">
      <c r="A2" s="1"/>
      <c r="B2" s="77"/>
      <c r="C2" s="127"/>
      <c r="D2" s="127"/>
      <c r="E2" s="127"/>
      <c r="F2" s="127"/>
      <c r="G2" s="128"/>
      <c r="H2" s="127"/>
      <c r="I2" s="128"/>
      <c r="J2" s="127"/>
      <c r="K2" s="127"/>
      <c r="L2" s="129"/>
      <c r="M2" s="130"/>
    </row>
    <row r="3" spans="1:13" ht="18.5" x14ac:dyDescent="0.45">
      <c r="A3" s="1"/>
      <c r="B3" s="44"/>
      <c r="C3" s="444" t="s">
        <v>27</v>
      </c>
      <c r="D3" s="444"/>
      <c r="E3" s="444"/>
      <c r="F3" s="444"/>
      <c r="G3" s="444"/>
      <c r="H3" s="444"/>
      <c r="I3" s="444"/>
      <c r="J3" s="444"/>
      <c r="K3" s="444"/>
      <c r="L3" s="131"/>
      <c r="M3" s="130"/>
    </row>
    <row r="4" spans="1:13" ht="18.5" x14ac:dyDescent="0.45">
      <c r="A4" s="1"/>
      <c r="B4" s="44"/>
      <c r="C4" s="440" t="s">
        <v>40</v>
      </c>
      <c r="D4" s="440"/>
      <c r="E4" s="440"/>
      <c r="F4" s="440"/>
      <c r="G4" s="440"/>
      <c r="H4" s="440"/>
      <c r="I4" s="440"/>
      <c r="J4" s="440"/>
      <c r="K4" s="440"/>
      <c r="L4" s="131"/>
      <c r="M4" s="130"/>
    </row>
    <row r="5" spans="1:13" ht="18.5" x14ac:dyDescent="0.45">
      <c r="A5" s="1"/>
      <c r="B5" s="44"/>
      <c r="C5" s="440" t="str">
        <f>SAO!A2</f>
        <v>RATTLESNAKE RIDGE WATER DISTRICT</v>
      </c>
      <c r="D5" s="439"/>
      <c r="E5" s="439"/>
      <c r="F5" s="439"/>
      <c r="G5" s="439"/>
      <c r="H5" s="439"/>
      <c r="I5" s="439"/>
      <c r="J5" s="439"/>
      <c r="K5" s="439"/>
      <c r="L5" s="131"/>
      <c r="M5" s="130"/>
    </row>
    <row r="6" spans="1:13" x14ac:dyDescent="0.35">
      <c r="A6" s="1"/>
      <c r="B6" s="44"/>
      <c r="C6" s="441" t="s">
        <v>311</v>
      </c>
      <c r="D6" s="441"/>
      <c r="E6" s="441"/>
      <c r="F6" s="441"/>
      <c r="G6" s="441"/>
      <c r="H6" s="441"/>
      <c r="I6" s="441"/>
      <c r="J6" s="441"/>
      <c r="K6" s="441"/>
      <c r="L6" s="131"/>
      <c r="M6" s="130"/>
    </row>
    <row r="7" spans="1:13" x14ac:dyDescent="0.35">
      <c r="A7" s="1"/>
      <c r="B7" s="44"/>
      <c r="C7" s="125"/>
      <c r="D7" s="125"/>
      <c r="E7" s="125"/>
      <c r="F7" s="125"/>
      <c r="G7" s="132"/>
      <c r="H7" s="125"/>
      <c r="I7" s="132"/>
      <c r="J7" s="125"/>
      <c r="K7" s="133" t="s">
        <v>41</v>
      </c>
      <c r="L7" s="131"/>
      <c r="M7" s="130"/>
    </row>
    <row r="8" spans="1:13" x14ac:dyDescent="0.35">
      <c r="A8" s="1"/>
      <c r="B8" s="44"/>
      <c r="C8" s="134"/>
      <c r="D8" s="134"/>
      <c r="E8" s="134" t="s">
        <v>42</v>
      </c>
      <c r="F8" s="134" t="s">
        <v>43</v>
      </c>
      <c r="G8" s="135" t="s">
        <v>123</v>
      </c>
      <c r="H8" s="136"/>
      <c r="I8" s="135" t="s">
        <v>32</v>
      </c>
      <c r="J8" s="136"/>
      <c r="K8" s="133" t="s">
        <v>44</v>
      </c>
      <c r="L8" s="131"/>
      <c r="M8" s="130"/>
    </row>
    <row r="9" spans="1:13" ht="17" x14ac:dyDescent="0.5">
      <c r="A9" s="1"/>
      <c r="B9" s="44"/>
      <c r="C9" s="133"/>
      <c r="D9" s="137" t="s">
        <v>124</v>
      </c>
      <c r="E9" s="133" t="s">
        <v>45</v>
      </c>
      <c r="F9" s="133" t="s">
        <v>125</v>
      </c>
      <c r="G9" s="22" t="s">
        <v>46</v>
      </c>
      <c r="H9" s="133" t="s">
        <v>47</v>
      </c>
      <c r="I9" s="22" t="s">
        <v>46</v>
      </c>
      <c r="J9" s="133" t="s">
        <v>47</v>
      </c>
      <c r="K9" s="133" t="s">
        <v>37</v>
      </c>
      <c r="L9" s="131"/>
      <c r="M9" s="130"/>
    </row>
    <row r="10" spans="1:13" x14ac:dyDescent="0.35">
      <c r="A10" s="1"/>
      <c r="B10" s="44"/>
      <c r="C10" s="133"/>
      <c r="D10" s="133"/>
      <c r="E10" s="133"/>
      <c r="F10" s="133"/>
      <c r="G10" s="22"/>
      <c r="H10" s="133"/>
      <c r="I10" s="22"/>
      <c r="J10" s="133"/>
      <c r="K10" s="133"/>
      <c r="L10" s="131"/>
      <c r="M10" s="130"/>
    </row>
    <row r="11" spans="1:13" x14ac:dyDescent="0.35">
      <c r="A11" s="1"/>
      <c r="B11" s="44"/>
      <c r="C11" s="138" t="s">
        <v>126</v>
      </c>
      <c r="D11" s="125"/>
      <c r="E11" s="139"/>
      <c r="F11" s="85"/>
      <c r="G11" s="132"/>
      <c r="H11" s="85"/>
      <c r="I11" s="132"/>
      <c r="J11" s="85"/>
      <c r="K11" s="85"/>
      <c r="L11" s="131"/>
      <c r="M11" s="130"/>
    </row>
    <row r="12" spans="1:13" x14ac:dyDescent="0.35">
      <c r="A12" s="1"/>
      <c r="B12" s="44"/>
      <c r="C12" s="138"/>
      <c r="D12" s="125" t="s">
        <v>127</v>
      </c>
      <c r="E12" s="139" t="s">
        <v>64</v>
      </c>
      <c r="F12" s="208">
        <v>83846</v>
      </c>
      <c r="G12" s="62" t="s">
        <v>128</v>
      </c>
      <c r="H12" s="208">
        <v>2661.78</v>
      </c>
      <c r="I12" s="132">
        <v>37.5</v>
      </c>
      <c r="J12" s="208">
        <f>F12/I12</f>
        <v>2235.8933333333334</v>
      </c>
      <c r="K12" s="208">
        <f>J12-H12</f>
        <v>-425.88666666666677</v>
      </c>
      <c r="L12" s="131"/>
      <c r="M12" s="130"/>
    </row>
    <row r="13" spans="1:13" x14ac:dyDescent="0.35">
      <c r="A13" s="1"/>
      <c r="B13" s="44"/>
      <c r="C13" s="138"/>
      <c r="D13" s="125" t="s">
        <v>129</v>
      </c>
      <c r="E13" s="139" t="s">
        <v>64</v>
      </c>
      <c r="F13" s="19">
        <v>11228</v>
      </c>
      <c r="G13" s="62" t="s">
        <v>128</v>
      </c>
      <c r="H13" s="19">
        <v>1604</v>
      </c>
      <c r="I13" s="132">
        <v>10</v>
      </c>
      <c r="J13" s="19">
        <f>F13/I13</f>
        <v>1122.8</v>
      </c>
      <c r="K13" s="19">
        <f>J13-H13</f>
        <v>-481.20000000000005</v>
      </c>
      <c r="L13" s="131"/>
      <c r="M13" s="130"/>
    </row>
    <row r="14" spans="1:13" x14ac:dyDescent="0.35">
      <c r="A14" s="1"/>
      <c r="B14" s="44"/>
      <c r="C14" s="125"/>
      <c r="D14" s="125" t="s">
        <v>130</v>
      </c>
      <c r="E14" s="139" t="s">
        <v>64</v>
      </c>
      <c r="F14" s="19"/>
      <c r="G14" s="62" t="s">
        <v>128</v>
      </c>
      <c r="H14" s="19"/>
      <c r="I14" s="132">
        <v>22.5</v>
      </c>
      <c r="J14" s="19">
        <f>F14/I14</f>
        <v>0</v>
      </c>
      <c r="K14" s="19">
        <f>J14-H14</f>
        <v>0</v>
      </c>
      <c r="L14" s="131"/>
      <c r="M14" s="130"/>
    </row>
    <row r="15" spans="1:13" x14ac:dyDescent="0.35">
      <c r="A15" s="1"/>
      <c r="B15" s="44"/>
      <c r="C15" s="125"/>
      <c r="D15" s="125" t="s">
        <v>131</v>
      </c>
      <c r="E15" s="139" t="s">
        <v>64</v>
      </c>
      <c r="F15" s="19">
        <v>60357</v>
      </c>
      <c r="G15" s="62" t="s">
        <v>128</v>
      </c>
      <c r="H15" s="19">
        <v>10590.66</v>
      </c>
      <c r="I15" s="132">
        <v>12.5</v>
      </c>
      <c r="J15" s="19">
        <f t="shared" ref="J15:J17" si="0">F15/I15</f>
        <v>4828.5600000000004</v>
      </c>
      <c r="K15" s="19">
        <f t="shared" ref="K15:K17" si="1">J15-H15</f>
        <v>-5762.0999999999995</v>
      </c>
      <c r="L15" s="131"/>
      <c r="M15" s="130"/>
    </row>
    <row r="16" spans="1:13" x14ac:dyDescent="0.35">
      <c r="A16" s="1"/>
      <c r="B16" s="44"/>
      <c r="C16" s="125"/>
      <c r="D16" s="125" t="s">
        <v>132</v>
      </c>
      <c r="E16" s="139" t="s">
        <v>64</v>
      </c>
      <c r="F16" s="19">
        <v>6649</v>
      </c>
      <c r="G16" s="62" t="s">
        <v>128</v>
      </c>
      <c r="H16" s="19">
        <v>332.45</v>
      </c>
      <c r="I16" s="132">
        <v>17.5</v>
      </c>
      <c r="J16" s="19">
        <f t="shared" si="0"/>
        <v>379.94285714285712</v>
      </c>
      <c r="K16" s="19">
        <f t="shared" si="1"/>
        <v>47.492857142857133</v>
      </c>
      <c r="L16" s="131"/>
      <c r="M16" s="130"/>
    </row>
    <row r="17" spans="1:13" x14ac:dyDescent="0.35">
      <c r="A17" s="1"/>
      <c r="B17" s="44"/>
      <c r="C17" s="125"/>
      <c r="D17" s="125" t="s">
        <v>133</v>
      </c>
      <c r="E17" s="139" t="s">
        <v>64</v>
      </c>
      <c r="F17" s="19">
        <v>29010</v>
      </c>
      <c r="G17" s="62" t="s">
        <v>128</v>
      </c>
      <c r="H17" s="19">
        <v>1259.03</v>
      </c>
      <c r="I17" s="132">
        <v>15</v>
      </c>
      <c r="J17" s="19">
        <f t="shared" si="0"/>
        <v>1934</v>
      </c>
      <c r="K17" s="19">
        <f t="shared" si="1"/>
        <v>674.97</v>
      </c>
      <c r="L17" s="131"/>
      <c r="M17" s="130"/>
    </row>
    <row r="18" spans="1:13" x14ac:dyDescent="0.35">
      <c r="A18" s="1"/>
      <c r="B18" s="44"/>
      <c r="C18" s="133"/>
      <c r="D18" s="133"/>
      <c r="E18" s="133"/>
      <c r="F18" s="133"/>
      <c r="G18" s="22"/>
      <c r="H18" s="133"/>
      <c r="I18" s="22"/>
      <c r="J18" s="133"/>
      <c r="K18" s="133"/>
      <c r="L18" s="131"/>
      <c r="M18" s="130"/>
    </row>
    <row r="19" spans="1:13" x14ac:dyDescent="0.35">
      <c r="A19" s="1"/>
      <c r="B19" s="44"/>
      <c r="C19" s="138" t="s">
        <v>134</v>
      </c>
      <c r="D19" s="125"/>
      <c r="E19" s="139"/>
      <c r="F19" s="85"/>
      <c r="G19" s="140"/>
      <c r="H19" s="85"/>
      <c r="I19" s="140"/>
      <c r="J19" s="85"/>
      <c r="K19" s="85"/>
      <c r="L19" s="131"/>
      <c r="M19" s="130"/>
    </row>
    <row r="20" spans="1:13" x14ac:dyDescent="0.35">
      <c r="A20" s="1"/>
      <c r="B20" s="44"/>
      <c r="C20" s="138"/>
      <c r="D20" s="125" t="s">
        <v>127</v>
      </c>
      <c r="E20" s="139" t="s">
        <v>64</v>
      </c>
      <c r="F20" s="19"/>
      <c r="G20" s="62" t="s">
        <v>128</v>
      </c>
      <c r="H20" s="19"/>
      <c r="I20" s="132">
        <v>37.5</v>
      </c>
      <c r="J20" s="19">
        <f>F20/I20</f>
        <v>0</v>
      </c>
      <c r="K20" s="19">
        <f>J20-H20</f>
        <v>0</v>
      </c>
      <c r="L20" s="131"/>
      <c r="M20" s="130"/>
    </row>
    <row r="21" spans="1:13" x14ac:dyDescent="0.35">
      <c r="A21" s="1"/>
      <c r="B21" s="44"/>
      <c r="C21" s="125"/>
      <c r="D21" s="125" t="s">
        <v>135</v>
      </c>
      <c r="E21" s="139" t="s">
        <v>64</v>
      </c>
      <c r="F21" s="85">
        <v>1784</v>
      </c>
      <c r="G21" s="62" t="s">
        <v>128</v>
      </c>
      <c r="H21" s="19">
        <v>89.2</v>
      </c>
      <c r="I21" s="132">
        <v>10</v>
      </c>
      <c r="J21" s="85">
        <f>F21/I21</f>
        <v>178.4</v>
      </c>
      <c r="K21" s="19">
        <f>J21-H21</f>
        <v>89.2</v>
      </c>
      <c r="L21" s="131"/>
      <c r="M21" s="130"/>
    </row>
    <row r="22" spans="1:13" x14ac:dyDescent="0.35">
      <c r="A22" s="1"/>
      <c r="B22" s="44"/>
      <c r="C22" s="125"/>
      <c r="D22" s="125" t="s">
        <v>136</v>
      </c>
      <c r="E22" s="139" t="s">
        <v>64</v>
      </c>
      <c r="F22" s="85">
        <v>43288</v>
      </c>
      <c r="G22" s="62" t="s">
        <v>128</v>
      </c>
      <c r="H22" s="19">
        <v>4298.8</v>
      </c>
      <c r="I22" s="132">
        <v>20</v>
      </c>
      <c r="J22" s="85">
        <f>F22/I22</f>
        <v>2164.4</v>
      </c>
      <c r="K22" s="19">
        <f>J22-H22</f>
        <v>-2134.4</v>
      </c>
      <c r="L22" s="131"/>
      <c r="M22" s="130"/>
    </row>
    <row r="23" spans="1:13" x14ac:dyDescent="0.35">
      <c r="A23" s="1"/>
      <c r="B23" s="44"/>
      <c r="C23" s="133"/>
      <c r="D23" s="133"/>
      <c r="E23" s="133"/>
      <c r="F23" s="85"/>
      <c r="G23" s="140"/>
      <c r="H23" s="85"/>
      <c r="I23" s="140"/>
      <c r="J23" s="85"/>
      <c r="K23" s="85"/>
      <c r="L23" s="131"/>
      <c r="M23" s="130"/>
    </row>
    <row r="24" spans="1:13" x14ac:dyDescent="0.35">
      <c r="A24" s="1"/>
      <c r="B24" s="44"/>
      <c r="C24" s="138" t="s">
        <v>137</v>
      </c>
      <c r="D24" s="125"/>
      <c r="E24" s="139"/>
      <c r="F24" s="85"/>
      <c r="G24" s="132"/>
      <c r="H24" s="85"/>
      <c r="I24" s="132"/>
      <c r="J24" s="85"/>
      <c r="K24" s="85"/>
      <c r="L24" s="131"/>
      <c r="M24" s="130"/>
    </row>
    <row r="25" spans="1:13" x14ac:dyDescent="0.35">
      <c r="A25" s="1"/>
      <c r="B25" s="44"/>
      <c r="C25" s="138"/>
      <c r="D25" s="125" t="s">
        <v>138</v>
      </c>
      <c r="E25" s="139" t="s">
        <v>64</v>
      </c>
      <c r="F25" s="19"/>
      <c r="G25" s="62" t="s">
        <v>128</v>
      </c>
      <c r="H25" s="19"/>
      <c r="I25" s="132">
        <v>50</v>
      </c>
      <c r="J25" s="19">
        <f>H25</f>
        <v>0</v>
      </c>
      <c r="K25" s="19">
        <f>J25-H25</f>
        <v>0</v>
      </c>
      <c r="L25" s="131"/>
      <c r="M25" s="130"/>
    </row>
    <row r="26" spans="1:13" x14ac:dyDescent="0.35">
      <c r="A26" s="1"/>
      <c r="B26" s="44"/>
      <c r="C26" s="138"/>
      <c r="D26" s="125" t="s">
        <v>139</v>
      </c>
      <c r="E26" s="139" t="s">
        <v>64</v>
      </c>
      <c r="F26" s="19">
        <v>25556625</v>
      </c>
      <c r="G26" s="62" t="s">
        <v>128</v>
      </c>
      <c r="H26" s="19">
        <v>638915.69999999995</v>
      </c>
      <c r="I26" s="132">
        <v>62.5</v>
      </c>
      <c r="J26" s="19">
        <f t="shared" ref="J26:J33" si="2">F26/I26</f>
        <v>408906</v>
      </c>
      <c r="K26" s="19">
        <f t="shared" ref="K26:K33" si="3">J26-H26</f>
        <v>-230009.69999999995</v>
      </c>
      <c r="L26" s="131"/>
      <c r="M26" s="130"/>
    </row>
    <row r="27" spans="1:13" x14ac:dyDescent="0.35">
      <c r="A27" s="1"/>
      <c r="B27" s="44"/>
      <c r="C27" s="138"/>
      <c r="D27" s="125" t="s">
        <v>140</v>
      </c>
      <c r="E27" s="139" t="s">
        <v>64</v>
      </c>
      <c r="F27" s="19"/>
      <c r="G27" s="62" t="s">
        <v>128</v>
      </c>
      <c r="H27" s="19"/>
      <c r="I27" s="132">
        <v>45</v>
      </c>
      <c r="J27" s="19">
        <f t="shared" si="2"/>
        <v>0</v>
      </c>
      <c r="K27" s="19">
        <f t="shared" si="3"/>
        <v>0</v>
      </c>
      <c r="L27" s="131"/>
      <c r="M27" s="130"/>
    </row>
    <row r="28" spans="1:13" x14ac:dyDescent="0.35">
      <c r="A28" s="1"/>
      <c r="B28" s="44"/>
      <c r="C28" s="138"/>
      <c r="D28" s="125" t="s">
        <v>141</v>
      </c>
      <c r="E28" s="139" t="s">
        <v>64</v>
      </c>
      <c r="F28" s="19">
        <v>23762</v>
      </c>
      <c r="G28" s="62" t="s">
        <v>128</v>
      </c>
      <c r="H28" s="19">
        <v>1188.0999999999999</v>
      </c>
      <c r="I28" s="132">
        <v>15</v>
      </c>
      <c r="J28" s="19">
        <f t="shared" si="2"/>
        <v>1584.1333333333334</v>
      </c>
      <c r="K28" s="19">
        <f t="shared" si="3"/>
        <v>396.03333333333353</v>
      </c>
      <c r="L28" s="131"/>
      <c r="M28" s="130"/>
    </row>
    <row r="29" spans="1:13" x14ac:dyDescent="0.35">
      <c r="A29" s="1"/>
      <c r="B29" s="44"/>
      <c r="C29" s="138"/>
      <c r="D29" s="125" t="s">
        <v>142</v>
      </c>
      <c r="E29" s="139" t="s">
        <v>64</v>
      </c>
      <c r="F29" s="19"/>
      <c r="G29" s="62" t="s">
        <v>128</v>
      </c>
      <c r="H29" s="19"/>
      <c r="I29" s="132">
        <v>20</v>
      </c>
      <c r="J29" s="19">
        <f t="shared" si="2"/>
        <v>0</v>
      </c>
      <c r="K29" s="19">
        <f t="shared" si="3"/>
        <v>0</v>
      </c>
      <c r="L29" s="131"/>
      <c r="M29" s="130"/>
    </row>
    <row r="30" spans="1:13" x14ac:dyDescent="0.35">
      <c r="A30" s="1"/>
      <c r="B30" s="44"/>
      <c r="C30" s="138"/>
      <c r="D30" s="125" t="s">
        <v>143</v>
      </c>
      <c r="E30" s="139" t="s">
        <v>64</v>
      </c>
      <c r="F30" s="19"/>
      <c r="G30" s="62" t="s">
        <v>128</v>
      </c>
      <c r="H30" s="19"/>
      <c r="I30" s="132">
        <v>37.5</v>
      </c>
      <c r="J30" s="19">
        <f t="shared" si="2"/>
        <v>0</v>
      </c>
      <c r="K30" s="19">
        <f t="shared" si="3"/>
        <v>0</v>
      </c>
      <c r="L30" s="131"/>
      <c r="M30" s="130"/>
    </row>
    <row r="31" spans="1:13" x14ac:dyDescent="0.35">
      <c r="A31" s="1"/>
      <c r="B31" s="44"/>
      <c r="C31" s="138"/>
      <c r="D31" s="125" t="s">
        <v>144</v>
      </c>
      <c r="E31" s="139" t="s">
        <v>64</v>
      </c>
      <c r="F31" s="19"/>
      <c r="G31" s="62" t="s">
        <v>128</v>
      </c>
      <c r="H31" s="19"/>
      <c r="I31" s="132">
        <v>40</v>
      </c>
      <c r="J31" s="19">
        <f t="shared" si="2"/>
        <v>0</v>
      </c>
      <c r="K31" s="19">
        <f t="shared" si="3"/>
        <v>0</v>
      </c>
      <c r="L31" s="131"/>
      <c r="M31" s="130"/>
    </row>
    <row r="32" spans="1:13" x14ac:dyDescent="0.35">
      <c r="A32" s="1"/>
      <c r="B32" s="44"/>
      <c r="C32" s="138"/>
      <c r="D32" s="125" t="s">
        <v>145</v>
      </c>
      <c r="E32" s="139" t="s">
        <v>64</v>
      </c>
      <c r="F32" s="19">
        <v>1874892</v>
      </c>
      <c r="G32" s="62" t="s">
        <v>128</v>
      </c>
      <c r="H32" s="19">
        <v>44920.03</v>
      </c>
      <c r="I32" s="132">
        <v>45</v>
      </c>
      <c r="J32" s="19">
        <f t="shared" si="2"/>
        <v>41664.26666666667</v>
      </c>
      <c r="K32" s="19">
        <f t="shared" si="3"/>
        <v>-3255.7633333333288</v>
      </c>
      <c r="L32" s="131"/>
      <c r="M32" s="130"/>
    </row>
    <row r="33" spans="1:14" x14ac:dyDescent="0.35">
      <c r="A33" s="1"/>
      <c r="B33" s="44"/>
      <c r="C33" s="138"/>
      <c r="D33" s="125" t="s">
        <v>330</v>
      </c>
      <c r="E33" s="139" t="s">
        <v>64</v>
      </c>
      <c r="F33" s="19"/>
      <c r="G33" s="62" t="s">
        <v>128</v>
      </c>
      <c r="H33" s="19"/>
      <c r="I33" s="132">
        <v>15</v>
      </c>
      <c r="J33" s="19">
        <f t="shared" si="2"/>
        <v>0</v>
      </c>
      <c r="K33" s="19">
        <f t="shared" si="3"/>
        <v>0</v>
      </c>
      <c r="L33" s="131"/>
      <c r="M33" s="130"/>
    </row>
    <row r="34" spans="1:14" x14ac:dyDescent="0.35">
      <c r="A34" s="1"/>
      <c r="B34" s="44"/>
      <c r="C34" s="138"/>
      <c r="D34" s="1"/>
      <c r="E34" s="139"/>
      <c r="F34" s="85"/>
      <c r="G34" s="140"/>
      <c r="H34" s="85"/>
      <c r="I34" s="140"/>
      <c r="J34" s="85"/>
      <c r="K34" s="19"/>
      <c r="L34" s="131"/>
      <c r="M34" s="130"/>
    </row>
    <row r="35" spans="1:14" x14ac:dyDescent="0.35">
      <c r="A35" s="1"/>
      <c r="B35" s="44"/>
      <c r="C35" s="138" t="s">
        <v>146</v>
      </c>
      <c r="D35" s="1"/>
      <c r="E35" s="139"/>
      <c r="F35" s="85"/>
      <c r="G35" s="132"/>
      <c r="H35" s="85"/>
      <c r="I35" s="141"/>
      <c r="J35" s="85"/>
      <c r="K35" s="85"/>
      <c r="L35" s="131"/>
      <c r="M35" s="130"/>
    </row>
    <row r="36" spans="1:14" x14ac:dyDescent="0.35">
      <c r="A36" s="1"/>
      <c r="B36" s="44"/>
      <c r="C36" s="125"/>
      <c r="D36" s="1" t="s">
        <v>147</v>
      </c>
      <c r="E36" s="139" t="s">
        <v>64</v>
      </c>
      <c r="F36" s="85">
        <v>104664</v>
      </c>
      <c r="G36" s="62" t="s">
        <v>128</v>
      </c>
      <c r="H36" s="85">
        <v>20933</v>
      </c>
      <c r="I36" s="141">
        <v>7</v>
      </c>
      <c r="J36" s="85">
        <f>F36/I36</f>
        <v>14952</v>
      </c>
      <c r="K36" s="85">
        <f>J36-H36</f>
        <v>-5981</v>
      </c>
      <c r="L36" s="131"/>
      <c r="M36" s="130"/>
    </row>
    <row r="37" spans="1:14" x14ac:dyDescent="0.35">
      <c r="A37" s="1"/>
      <c r="B37" s="44"/>
      <c r="C37" s="133"/>
      <c r="D37" s="133"/>
      <c r="E37" s="133"/>
      <c r="F37" s="85"/>
      <c r="G37" s="140"/>
      <c r="H37" s="85"/>
      <c r="I37" s="140"/>
      <c r="J37" s="85"/>
      <c r="K37" s="85"/>
      <c r="L37" s="131"/>
      <c r="M37" s="130"/>
    </row>
    <row r="38" spans="1:14" x14ac:dyDescent="0.35">
      <c r="A38" s="1"/>
      <c r="B38" s="44"/>
      <c r="C38" s="138" t="s">
        <v>148</v>
      </c>
      <c r="D38" s="125"/>
      <c r="E38" s="139"/>
      <c r="F38" s="85"/>
      <c r="G38" s="142"/>
      <c r="H38" s="85"/>
      <c r="I38" s="132"/>
      <c r="J38" s="85"/>
      <c r="K38" s="85"/>
      <c r="L38" s="131"/>
      <c r="M38" s="130"/>
    </row>
    <row r="39" spans="1:14" x14ac:dyDescent="0.35">
      <c r="A39" s="1"/>
      <c r="B39" s="44"/>
      <c r="C39" s="138"/>
      <c r="D39" s="125" t="s">
        <v>127</v>
      </c>
      <c r="E39" s="139" t="s">
        <v>64</v>
      </c>
      <c r="F39" s="85">
        <v>2157452</v>
      </c>
      <c r="G39" s="62" t="s">
        <v>128</v>
      </c>
      <c r="H39" s="85">
        <v>53936.31</v>
      </c>
      <c r="I39" s="132"/>
      <c r="J39" s="85"/>
      <c r="K39" s="85"/>
      <c r="L39" s="131"/>
      <c r="M39" s="130"/>
    </row>
    <row r="40" spans="1:14" x14ac:dyDescent="0.35">
      <c r="A40" s="1"/>
      <c r="B40" s="44"/>
      <c r="C40" s="138"/>
      <c r="D40" s="1" t="s">
        <v>310</v>
      </c>
      <c r="E40" s="139" t="s">
        <v>64</v>
      </c>
      <c r="F40" s="85">
        <v>8686408</v>
      </c>
      <c r="G40" s="62" t="s">
        <v>128</v>
      </c>
      <c r="H40" s="85">
        <v>190161.5</v>
      </c>
      <c r="I40" s="141">
        <v>62.5</v>
      </c>
      <c r="J40" s="85">
        <f>F40/I40</f>
        <v>138982.52799999999</v>
      </c>
      <c r="K40" s="85">
        <f>J40-H40</f>
        <v>-51178.972000000009</v>
      </c>
      <c r="L40" s="131"/>
      <c r="M40" s="130"/>
    </row>
    <row r="41" spans="1:14" x14ac:dyDescent="0.35">
      <c r="A41" s="1"/>
      <c r="B41" s="44"/>
      <c r="C41" s="125"/>
      <c r="D41" s="125"/>
      <c r="E41" s="125"/>
      <c r="F41" s="139"/>
      <c r="G41" s="85"/>
      <c r="H41" s="143"/>
      <c r="I41" s="85"/>
      <c r="J41" s="132"/>
      <c r="K41" s="85"/>
      <c r="L41" s="131"/>
      <c r="M41" s="130"/>
    </row>
    <row r="42" spans="1:14" x14ac:dyDescent="0.35">
      <c r="A42" s="1"/>
      <c r="B42" s="44"/>
      <c r="C42" s="144" t="s">
        <v>312</v>
      </c>
      <c r="D42" s="1"/>
      <c r="E42" s="1"/>
      <c r="F42" s="146">
        <f>SUM(F12:F41)</f>
        <v>38639965</v>
      </c>
      <c r="G42" s="145"/>
      <c r="H42" s="146">
        <f>SUM(H12:H41)</f>
        <v>970890.56</v>
      </c>
      <c r="I42" s="146"/>
      <c r="J42" s="146">
        <f>SUM(J12:J41)</f>
        <v>618932.92419047619</v>
      </c>
      <c r="K42" s="146">
        <f>SUM(K12:K41)</f>
        <v>-298021.32580952381</v>
      </c>
      <c r="L42" s="131"/>
      <c r="M42" s="130"/>
      <c r="N42" s="17"/>
    </row>
    <row r="43" spans="1:14" x14ac:dyDescent="0.35">
      <c r="A43" s="1"/>
      <c r="B43" s="44"/>
      <c r="C43" s="144"/>
      <c r="D43" s="1"/>
      <c r="E43" s="1"/>
      <c r="F43" s="146"/>
      <c r="G43" s="145"/>
      <c r="H43" s="146"/>
      <c r="I43" s="146"/>
      <c r="J43" s="146"/>
      <c r="K43" s="146"/>
      <c r="L43" s="131"/>
      <c r="M43" s="130"/>
      <c r="N43" s="17"/>
    </row>
    <row r="44" spans="1:14" x14ac:dyDescent="0.35">
      <c r="A44" s="1"/>
      <c r="B44" s="44"/>
      <c r="C44" s="144"/>
      <c r="D44" s="1" t="s">
        <v>331</v>
      </c>
      <c r="E44" s="1"/>
      <c r="F44" s="146"/>
      <c r="G44" s="145"/>
      <c r="H44" s="146">
        <f>SAO!D49</f>
        <v>840000</v>
      </c>
      <c r="I44" s="146"/>
      <c r="J44" s="146">
        <f>J42</f>
        <v>618932.92419047619</v>
      </c>
      <c r="K44" s="146">
        <f>J44-H44</f>
        <v>-221067.07580952381</v>
      </c>
      <c r="L44" s="131"/>
      <c r="M44" s="130"/>
      <c r="N44" s="17"/>
    </row>
    <row r="45" spans="1:14" x14ac:dyDescent="0.35">
      <c r="A45" s="1"/>
      <c r="B45" s="44"/>
      <c r="C45" s="144"/>
      <c r="D45" s="1"/>
      <c r="E45" s="1"/>
      <c r="F45" s="146"/>
      <c r="G45" s="145"/>
      <c r="H45" s="146"/>
      <c r="I45" s="146"/>
      <c r="J45" s="146"/>
      <c r="K45" s="146"/>
      <c r="L45" s="131"/>
      <c r="M45" s="130"/>
      <c r="N45" s="17"/>
    </row>
    <row r="46" spans="1:14" x14ac:dyDescent="0.35">
      <c r="A46" s="1"/>
      <c r="B46" s="79"/>
      <c r="C46" s="147"/>
      <c r="D46" s="147"/>
      <c r="E46" s="147"/>
      <c r="F46" s="147"/>
      <c r="G46" s="147"/>
      <c r="H46" s="148"/>
      <c r="I46" s="147"/>
      <c r="J46" s="148"/>
      <c r="K46" s="147"/>
      <c r="L46" s="149"/>
      <c r="M46" s="150"/>
    </row>
    <row r="47" spans="1:14" x14ac:dyDescent="0.35">
      <c r="A47" s="1"/>
      <c r="B47" s="1"/>
      <c r="C47" s="125"/>
      <c r="D47" s="125"/>
      <c r="E47" s="125"/>
      <c r="F47" s="125"/>
      <c r="G47" s="125"/>
      <c r="H47" s="21"/>
      <c r="I47" s="125"/>
      <c r="J47" s="21"/>
      <c r="K47" s="125"/>
      <c r="L47" s="125"/>
      <c r="M47" s="125"/>
    </row>
    <row r="48" spans="1:14" x14ac:dyDescent="0.35">
      <c r="D48" s="125" t="s">
        <v>149</v>
      </c>
    </row>
    <row r="49" spans="4:15" x14ac:dyDescent="0.35">
      <c r="D49" s="125" t="s">
        <v>332</v>
      </c>
      <c r="O49" t="s">
        <v>333</v>
      </c>
    </row>
    <row r="50" spans="4:15" x14ac:dyDescent="0.35">
      <c r="D50" s="1"/>
    </row>
  </sheetData>
  <mergeCells count="4">
    <mergeCell ref="C3:K3"/>
    <mergeCell ref="C4:K4"/>
    <mergeCell ref="C6:K6"/>
    <mergeCell ref="C5:K5"/>
  </mergeCells>
  <pageMargins left="0.7" right="0.7" top="0.75" bottom="0.75" header="0.3" footer="0.3"/>
  <pageSetup scale="76"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SAO</vt:lpstr>
      <vt:lpstr>References</vt:lpstr>
      <vt:lpstr>Misc. service revenues</vt:lpstr>
      <vt:lpstr>Revenue Requirements</vt:lpstr>
      <vt:lpstr>Water Loss</vt:lpstr>
      <vt:lpstr>Wages</vt:lpstr>
      <vt:lpstr>Rates</vt:lpstr>
      <vt:lpstr>Medical</vt:lpstr>
      <vt:lpstr>Depreciation</vt:lpstr>
      <vt:lpstr>Debt Service</vt:lpstr>
      <vt:lpstr>Capital</vt:lpstr>
      <vt:lpstr>Bills</vt:lpstr>
      <vt:lpstr>ExBA</vt:lpstr>
      <vt:lpstr>PrBA</vt:lpstr>
      <vt:lpstr>Bills!Print_Area</vt:lpstr>
      <vt:lpstr>'Debt Service'!Print_Area</vt:lpstr>
      <vt:lpstr>ExBA!Print_Area</vt:lpstr>
      <vt:lpstr>PrBA!Print_Area</vt:lpstr>
      <vt:lpstr>Rates!Print_Area</vt:lpstr>
      <vt:lpstr>'Revenue Requirements'!Print_Area</vt:lpstr>
      <vt:lpstr>SAO!Print_Area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Alan;Sam Reid</dc:creator>
  <cp:lastModifiedBy>Janet Reid</cp:lastModifiedBy>
  <cp:lastPrinted>2022-06-27T18:39:08Z</cp:lastPrinted>
  <dcterms:created xsi:type="dcterms:W3CDTF">2016-05-18T14:12:06Z</dcterms:created>
  <dcterms:modified xsi:type="dcterms:W3CDTF">2023-11-20T15:16:54Z</dcterms:modified>
</cp:coreProperties>
</file>