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32760" tabRatio="963" firstSheet="1" activeTab="3"/>
  </bookViews>
  <sheets>
    <sheet name="Table of Contents" sheetId="1" r:id="rId1"/>
    <sheet name="1.0 SMRP Rider Calc " sheetId="2" r:id="rId2"/>
    <sheet name="1.1 Projected Volumes" sheetId="3" r:id="rId3"/>
    <sheet name="2.0 Revenue Req." sheetId="4" r:id="rId4"/>
    <sheet name="2.1 ROR " sheetId="5" r:id="rId5"/>
    <sheet name="2.2 Conversion Factor " sheetId="6" r:id="rId6"/>
    <sheet name="3.0 Plant in Service" sheetId="7" r:id="rId7"/>
    <sheet name="4.0 Accumulated Depr" sheetId="8" r:id="rId8"/>
    <sheet name="5.0 Depr Expense" sheetId="9" r:id="rId9"/>
    <sheet name="6.0 ADIT Normalized " sheetId="10" r:id="rId10"/>
    <sheet name="6.1 ADIT Calculated p.1" sheetId="11" r:id="rId11"/>
    <sheet name="6.1 ADIT Calcluated p.2" sheetId="12" r:id="rId12"/>
    <sheet name="6.1 ADIT Calcluated p.3" sheetId="13" r:id="rId13"/>
    <sheet name="7.0 Property Tax" sheetId="14" r:id="rId14"/>
    <sheet name="8.0 O&amp;M Savings " sheetId="15" r:id="rId15"/>
  </sheets>
  <externalReferences>
    <externalReference r:id="rId18"/>
  </externalReferences>
  <definedNames>
    <definedName name="_xlfn.ANCHORARRAY" hidden="1">#NAME?</definedName>
    <definedName name="_xlfn.SINGLE" hidden="1">#NAME?</definedName>
    <definedName name="case">'[1]Sch 14a pg 1 Rev Req'!#REF!</definedName>
    <definedName name="co">'[1]Sch 14b Acct 376 Rate Base'!#REF!</definedName>
    <definedName name="f">'[1]Sch 14a pg 1 Rev Req'!#REF!</definedName>
    <definedName name="_xlnm.Print_Area" localSheetId="1">'1.0 SMRP Rider Calc '!$A$1:$H$29</definedName>
    <definedName name="_xlnm.Print_Area" localSheetId="2">'1.1 Projected Volumes'!$A$1:$D$25</definedName>
    <definedName name="_xlnm.Print_Area" localSheetId="3">'2.0 Revenue Req.'!$A$1:$K$32</definedName>
    <definedName name="_xlnm.Print_Area" localSheetId="6">'3.0 Plant in Service'!$A$1:$Q$114</definedName>
    <definedName name="_xlnm.Print_Area" localSheetId="7">'4.0 Accumulated Depr'!$A$1:$Q$131</definedName>
    <definedName name="_xlnm.Print_Area" localSheetId="8">'5.0 Depr Expense'!$A$1:$Q$140</definedName>
    <definedName name="_xlnm.Print_Area" localSheetId="9">'6.0 ADIT Normalized '!$A$1:$Q$28</definedName>
    <definedName name="_xlnm.Print_Area" localSheetId="11">'6.1 ADIT Calcluated p.2'!$A$1:$AK$56</definedName>
    <definedName name="_xlnm.Print_Area" localSheetId="12">'6.1 ADIT Calcluated p.3'!$A$1:$AK$56</definedName>
    <definedName name="_xlnm.Print_Area" localSheetId="10">'6.1 ADIT Calculated p.1'!$A$1:$AK$47</definedName>
    <definedName name="_xlnm.Print_Area" localSheetId="14">'8.0 O&amp;M Savings '!$A$1:$G$17</definedName>
    <definedName name="_xlnm.Print_Area" localSheetId="0">'Table of Contents'!$A$1:$F$25</definedName>
    <definedName name="_xlnm.Print_Titles" localSheetId="11">'6.1 ADIT Calcluated p.2'!$A:$B</definedName>
    <definedName name="_xlnm.Print_Titles" localSheetId="12">'6.1 ADIT Calcluated p.3'!$A:$B</definedName>
    <definedName name="_xlnm.Print_Titles" localSheetId="10">'6.1 ADIT Calculated p.1'!$A:$B</definedName>
  </definedNames>
  <calcPr fullCalcOnLoad="1"/>
</workbook>
</file>

<file path=xl/sharedStrings.xml><?xml version="1.0" encoding="utf-8"?>
<sst xmlns="http://schemas.openxmlformats.org/spreadsheetml/2006/main" count="1023" uniqueCount="292">
  <si>
    <t>Year</t>
  </si>
  <si>
    <t>Ln.</t>
  </si>
  <si>
    <t>No.</t>
  </si>
  <si>
    <t>Capital Structure</t>
  </si>
  <si>
    <t>Equity</t>
  </si>
  <si>
    <t>Long term Debt</t>
  </si>
  <si>
    <t>Short term Debt</t>
  </si>
  <si>
    <t>Ratio</t>
  </si>
  <si>
    <t>Cost</t>
  </si>
  <si>
    <t>Total</t>
  </si>
  <si>
    <t xml:space="preserve">Weighted </t>
  </si>
  <si>
    <t>Pre-Tax @</t>
  </si>
  <si>
    <t>Columbia Gas of Kentucky, Inc.</t>
  </si>
  <si>
    <t>($)</t>
  </si>
  <si>
    <t xml:space="preserve">Annual </t>
  </si>
  <si>
    <t xml:space="preserve">Book </t>
  </si>
  <si>
    <t>Accumulated</t>
  </si>
  <si>
    <t>Year 9</t>
  </si>
  <si>
    <t>Year 10</t>
  </si>
  <si>
    <t>Tax</t>
  </si>
  <si>
    <t>Tax @</t>
  </si>
  <si>
    <t xml:space="preserve">Deferred </t>
  </si>
  <si>
    <t>Additions</t>
  </si>
  <si>
    <t>Depreciation</t>
  </si>
  <si>
    <t>Difference</t>
  </si>
  <si>
    <t>Inc. Taxes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</si>
  <si>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</si>
  <si>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</si>
  <si>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</si>
  <si>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</si>
  <si>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</si>
  <si>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</si>
  <si>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</si>
  <si>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</si>
  <si>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</si>
  <si>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</si>
  <si>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Effect tax of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</si>
  <si>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</si>
  <si>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</si>
  <si>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</si>
  <si>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</si>
  <si>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</si>
  <si>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</si>
  <si>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</si>
  <si>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</si>
  <si>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</si>
  <si>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</si>
  <si>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Deferred</t>
  </si>
  <si>
    <t>Description</t>
  </si>
  <si>
    <t>Line</t>
  </si>
  <si>
    <t xml:space="preserve">No. </t>
  </si>
  <si>
    <t>Reference</t>
  </si>
  <si>
    <t>Cost of Removal</t>
  </si>
  <si>
    <t>Rate Schedule</t>
  </si>
  <si>
    <t>Allocation</t>
  </si>
  <si>
    <t>Revenue</t>
  </si>
  <si>
    <t>Requirement</t>
  </si>
  <si>
    <t>Billing</t>
  </si>
  <si>
    <t>Determinant</t>
  </si>
  <si>
    <t>Rider</t>
  </si>
  <si>
    <t>Monthly</t>
  </si>
  <si>
    <t>TOTAL</t>
  </si>
  <si>
    <t>Retirements</t>
  </si>
  <si>
    <t>Rate GSR, Rate SVGTS - Residential Service</t>
  </si>
  <si>
    <t>Rate GSO, Rate GDS, Rate SVGTS - Com. or Ind. Service</t>
  </si>
  <si>
    <t>Rate IUS, Rate IUDS</t>
  </si>
  <si>
    <t>Columbia Gas of Kentucky</t>
  </si>
  <si>
    <t>IUS, IUDS</t>
  </si>
  <si>
    <t>IS, DS</t>
  </si>
  <si>
    <t>Cost of</t>
  </si>
  <si>
    <t>Removal</t>
  </si>
  <si>
    <t>Notes:</t>
  </si>
  <si>
    <t>Tax Depr Rates</t>
  </si>
  <si>
    <t>MACRS 20 Year</t>
  </si>
  <si>
    <t>Repairs %</t>
  </si>
  <si>
    <t>263a %</t>
  </si>
  <si>
    <t>Calculation of Accumulated Deferred Income Tax</t>
  </si>
  <si>
    <t>Projected O&amp;M Savings</t>
  </si>
  <si>
    <t>Calculation of O&amp;M Savings</t>
  </si>
  <si>
    <t>FERC Account 887</t>
  </si>
  <si>
    <t>Line No.</t>
  </si>
  <si>
    <t>May</t>
  </si>
  <si>
    <t>Table of Contents</t>
  </si>
  <si>
    <t>1.0</t>
  </si>
  <si>
    <t>1.1</t>
  </si>
  <si>
    <t>Form Number</t>
  </si>
  <si>
    <t>Cost of Capital</t>
  </si>
  <si>
    <t>2.0</t>
  </si>
  <si>
    <t>Revenue Requirement</t>
  </si>
  <si>
    <t>3.0</t>
  </si>
  <si>
    <t>O&amp;M Savings</t>
  </si>
  <si>
    <t>4.0</t>
  </si>
  <si>
    <t>Cumulative</t>
  </si>
  <si>
    <t>[1] Plant additions eligible for repairs tax deduction.</t>
  </si>
  <si>
    <t>Adjustment</t>
  </si>
  <si>
    <t>Total Plant Additions</t>
  </si>
  <si>
    <t>Plant Additions [1]</t>
  </si>
  <si>
    <t>Composite Tax Rate [2]</t>
  </si>
  <si>
    <t>[1] Plant additions not eligible for repairs tax deduction.</t>
  </si>
  <si>
    <t>Bonus Tax</t>
  </si>
  <si>
    <t>24.95% [3]</t>
  </si>
  <si>
    <t>Balancing</t>
  </si>
  <si>
    <r>
      <t xml:space="preserve">Percent </t>
    </r>
    <r>
      <rPr>
        <b/>
        <u val="single"/>
        <vertAlign val="superscript"/>
        <sz val="12"/>
        <rFont val="Arial"/>
        <family val="2"/>
      </rPr>
      <t>(1)</t>
    </r>
  </si>
  <si>
    <r>
      <rPr>
        <vertAlign val="superscript"/>
        <sz val="12"/>
        <rFont val="Arial"/>
        <family val="2"/>
      </rPr>
      <t>(3)</t>
    </r>
    <r>
      <rPr>
        <sz val="10"/>
        <rFont val="Arial"/>
        <family val="2"/>
      </rPr>
      <t xml:space="preserve"> Excluding customers subject to the Flex Provisions of Rate Schedule DS.</t>
    </r>
  </si>
  <si>
    <t>SMRP Rates by Rate Schedule</t>
  </si>
  <si>
    <t>SMRP</t>
  </si>
  <si>
    <t>SMRP Rider by Rate Schedule</t>
  </si>
  <si>
    <t>SMRP Rider</t>
  </si>
  <si>
    <t>SMRP Form 1.0</t>
  </si>
  <si>
    <t>Annual Adjustment to the Safety Modification and Replacement Program ("SMRP")</t>
  </si>
  <si>
    <t>Required Return on SMRP Related Investment</t>
  </si>
  <si>
    <t>SMRP Investment</t>
  </si>
  <si>
    <t>Annual Adjustment to the Safety Modification and Replacement Program</t>
  </si>
  <si>
    <t>SMRP Form 2.1</t>
  </si>
  <si>
    <t>Accumulated Deferred Income Tax</t>
  </si>
  <si>
    <t>Net Rate Base (Line 1 + Line 2 + Line 3)</t>
  </si>
  <si>
    <t>Rate of Return</t>
  </si>
  <si>
    <t>Calculation</t>
  </si>
  <si>
    <t>Depreciation Expense</t>
  </si>
  <si>
    <t>Return on Rate Base</t>
  </si>
  <si>
    <t>Property Tax</t>
  </si>
  <si>
    <t>PERCENTAGE OF</t>
  </si>
  <si>
    <t>INCREMENTAL</t>
  </si>
  <si>
    <t>DESCRIPTION</t>
  </si>
  <si>
    <t>GROSS REVENUE</t>
  </si>
  <si>
    <t>OPERATING REVENUE</t>
  </si>
  <si>
    <t>LESS: PSC FEES</t>
  </si>
  <si>
    <t>NET REVENUES</t>
  </si>
  <si>
    <t>GROSS REVENUE CONVERSION FACTOR</t>
  </si>
  <si>
    <t>PSC Assessment &amp; Uncollectible Conversion Factor</t>
  </si>
  <si>
    <t>Line 4 * Line 5</t>
  </si>
  <si>
    <t>Line 1 + Line 2 + Line 3</t>
  </si>
  <si>
    <t>Revenue Requirement Before PSC  Assessment/Uncollectible</t>
  </si>
  <si>
    <t>376 Mains</t>
  </si>
  <si>
    <t>378 Plant Regulators</t>
  </si>
  <si>
    <t>380 Service Lines</t>
  </si>
  <si>
    <t>382 Meter Installations</t>
  </si>
  <si>
    <t>383 House Regulators</t>
  </si>
  <si>
    <t>Plant In Service</t>
  </si>
  <si>
    <t>Total Plant In Service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</si>
  <si>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</si>
  <si>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</si>
  <si>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</si>
  <si>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</si>
  <si>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</si>
  <si>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</si>
  <si>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</si>
  <si>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</si>
  <si>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</si>
  <si>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</si>
  <si>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</si>
  <si>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Cumulative Total</t>
  </si>
  <si>
    <t>13 Month Average</t>
  </si>
  <si>
    <t xml:space="preserve">   Total Monthly Additions</t>
  </si>
  <si>
    <t xml:space="preserve">   Total Cumulative Additions</t>
  </si>
  <si>
    <t xml:space="preserve">   Total Monthly Retirements</t>
  </si>
  <si>
    <t xml:space="preserve">   Total Cumulative Retirements</t>
  </si>
  <si>
    <t xml:space="preserve">   Total Plant In Service Monthly Activity</t>
  </si>
  <si>
    <t xml:space="preserve">   Total Depreciation Monthly</t>
  </si>
  <si>
    <t xml:space="preserve">   Total Cumulative Depreciation</t>
  </si>
  <si>
    <t xml:space="preserve">   Total Monthly Cost of Removal</t>
  </si>
  <si>
    <t xml:space="preserve">   Total Cumulative Cost of Removal</t>
  </si>
  <si>
    <t>Rate by GPA</t>
  </si>
  <si>
    <t xml:space="preserve">    Cumulative Balance</t>
  </si>
  <si>
    <t>Depreciation on Prior Month Balance</t>
  </si>
  <si>
    <t>1/2 Month Depreciation on Current Month Activity</t>
  </si>
  <si>
    <t xml:space="preserve">  Additions</t>
  </si>
  <si>
    <t xml:space="preserve">  Retirements</t>
  </si>
  <si>
    <t>Total Depreciation - Monthly</t>
  </si>
  <si>
    <t>Total Cumulative Depreciation</t>
  </si>
  <si>
    <t>Total Accumulated Depreciation</t>
  </si>
  <si>
    <t xml:space="preserve">   Total Accumulated Depreciation Activity</t>
  </si>
  <si>
    <t xml:space="preserve">   Total Accumulated Depreciation Cumulative</t>
  </si>
  <si>
    <t>Accumulated Depreciation</t>
  </si>
  <si>
    <t>Mains &amp; Services</t>
  </si>
  <si>
    <t>[2] Composite rate including mixed services 263A (4.01%)</t>
  </si>
  <si>
    <t>[3] Deferred Taxes calculated using 21% Corporate Tax Rate and 5% State Tax Rate.</t>
  </si>
  <si>
    <t>Activity</t>
  </si>
  <si>
    <t>13 Month Ave.</t>
  </si>
  <si>
    <t>SMRP Form 2.0</t>
  </si>
  <si>
    <t>SMRP Form 2.2</t>
  </si>
  <si>
    <t>5.0</t>
  </si>
  <si>
    <t>6.0</t>
  </si>
  <si>
    <t>6.1</t>
  </si>
  <si>
    <t>ADIT - Normalized</t>
  </si>
  <si>
    <t>ADIT - Calculation</t>
  </si>
  <si>
    <t>7.0</t>
  </si>
  <si>
    <t>Property Tax Expense</t>
  </si>
  <si>
    <t>8.0</t>
  </si>
  <si>
    <t>SMRP Form 8.0</t>
  </si>
  <si>
    <t>Subtotal Depreciation, Property Tax and O&amp;M Savings</t>
  </si>
  <si>
    <t>SMRP Rider Billing Determinants by Rate Schedule - Estimated Billing Volumes</t>
  </si>
  <si>
    <t>Form 2.1</t>
  </si>
  <si>
    <t>Form 2.2</t>
  </si>
  <si>
    <r>
      <t xml:space="preserve">Volumes </t>
    </r>
    <r>
      <rPr>
        <b/>
        <u val="single"/>
        <vertAlign val="superscript"/>
        <sz val="12"/>
        <rFont val="Arial"/>
        <family val="2"/>
      </rPr>
      <t>(2)</t>
    </r>
  </si>
  <si>
    <t>SMRP Form 3.0</t>
  </si>
  <si>
    <t>SMRP Form 7.0</t>
  </si>
  <si>
    <t>Property Tax Calculation</t>
  </si>
  <si>
    <t>Operating Expenses</t>
  </si>
  <si>
    <r>
      <t xml:space="preserve">Property Tax </t>
    </r>
    <r>
      <rPr>
        <vertAlign val="superscript"/>
        <sz val="12"/>
        <rFont val="Arial"/>
        <family val="2"/>
      </rPr>
      <t>(1)</t>
    </r>
  </si>
  <si>
    <t>Net SMRP Investment-Property, Plant and Equipment</t>
  </si>
  <si>
    <t>Estimate</t>
  </si>
  <si>
    <t>SMRP Form 4.0</t>
  </si>
  <si>
    <t>Page 1 of 2</t>
  </si>
  <si>
    <t>Page 2 of 2</t>
  </si>
  <si>
    <t>2023 Accumulated Depreciation</t>
  </si>
  <si>
    <t>SMRP Form 5.0</t>
  </si>
  <si>
    <t>2023 Depreciation Expense</t>
  </si>
  <si>
    <t>Calculation of Accumulated Deferred Income Tax (Normalized)</t>
  </si>
  <si>
    <t>SMRP Form 6.0</t>
  </si>
  <si>
    <t>ADIT Balance - Form 6.1</t>
  </si>
  <si>
    <t>2023 Normalized ADIT</t>
  </si>
  <si>
    <t>Monthly Activity</t>
  </si>
  <si>
    <t>Line 1 * 1.418%</t>
  </si>
  <si>
    <t>2022 O&amp;M Account 887 per Case No. 2021-00183</t>
  </si>
  <si>
    <t>SMRP Form 6.1</t>
  </si>
  <si>
    <t>Page 3 of 3</t>
  </si>
  <si>
    <t>Page 2 of 3</t>
  </si>
  <si>
    <t>Page 1 of 3</t>
  </si>
  <si>
    <t xml:space="preserve">    Monthly Activity</t>
  </si>
  <si>
    <t xml:space="preserve">   Total Cumulative Plant In Service</t>
  </si>
  <si>
    <t>Line 6 + Line 10</t>
  </si>
  <si>
    <t>Line 11 * Line 12</t>
  </si>
  <si>
    <t xml:space="preserve">Tax @ [1] </t>
  </si>
  <si>
    <t>Summary of Form 6.1,  Pages 2 and 3</t>
  </si>
  <si>
    <r>
      <rPr>
        <vertAlign val="superscript"/>
        <sz val="12"/>
        <rFont val="Arial"/>
        <family val="2"/>
      </rPr>
      <t>(4)</t>
    </r>
    <r>
      <rPr>
        <sz val="10"/>
        <rFont val="Arial"/>
        <family val="2"/>
      </rPr>
      <t xml:space="preserve"> Balancing Adjustment will have no rate until BA filing in 2024.</t>
    </r>
  </si>
  <si>
    <t xml:space="preserve">380 Service Lines </t>
  </si>
  <si>
    <t>( A )</t>
  </si>
  <si>
    <t>( B )</t>
  </si>
  <si>
    <t>( C )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</si>
  <si>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</si>
  <si>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</si>
  <si>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</si>
  <si>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</si>
  <si>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</si>
  <si>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</si>
  <si>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</si>
  <si>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</si>
  <si>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( L )</t>
  </si>
  <si>
    <t>( M )</t>
  </si>
  <si>
    <t>( N )</t>
  </si>
  <si>
    <t>( B)</t>
  </si>
  <si>
    <t xml:space="preserve">( C ) </t>
  </si>
  <si>
    <t xml:space="preserve">( L ) </t>
  </si>
  <si>
    <t>(N= M-A)</t>
  </si>
  <si>
    <t>( O )</t>
  </si>
  <si>
    <t>(O=N/12)</t>
  </si>
  <si>
    <t>( P )</t>
  </si>
  <si>
    <t>Form 3.0 and 4.0</t>
  </si>
  <si>
    <t xml:space="preserve">376 Mains </t>
  </si>
  <si>
    <t xml:space="preserve">378 Plant Regulators </t>
  </si>
  <si>
    <r>
      <rPr>
        <vertAlign val="superscript"/>
        <sz val="12"/>
        <rFont val="Arial"/>
        <family val="2"/>
      </rPr>
      <t>(1)</t>
    </r>
    <r>
      <rPr>
        <sz val="10"/>
        <rFont val="Arial"/>
        <family val="2"/>
      </rPr>
      <t xml:space="preserve"> Allocation percent is based on the overall base revenue distribution approved in PSC Case No. 2021-00183 </t>
    </r>
  </si>
  <si>
    <t>Volumetric</t>
  </si>
  <si>
    <t>GSR /GTR - Residential</t>
  </si>
  <si>
    <t>GSO/GTO/GDS - Commercial or Industrial</t>
  </si>
  <si>
    <t>Total Mcf</t>
  </si>
  <si>
    <t xml:space="preserve">     Total</t>
  </si>
  <si>
    <t>PSC Assessment Conversion Factor</t>
  </si>
  <si>
    <t>Conversion Factor - PSC fees</t>
  </si>
  <si>
    <t>Forecasted Period Ending December 31, 2024</t>
  </si>
  <si>
    <t>Forecasted SMRP Revenue Requirement For the Thirteen Months Ending December 31, 2024</t>
  </si>
  <si>
    <t>For the Twelve Months Ending December 31, 2024</t>
  </si>
  <si>
    <t xml:space="preserve">2023 Plant In Service </t>
  </si>
  <si>
    <t>2024 Plant In Service</t>
  </si>
  <si>
    <t>2024 Accumulated Depreciation</t>
  </si>
  <si>
    <t>2024 Depreciation Expense</t>
  </si>
  <si>
    <t>Form 3.0</t>
  </si>
  <si>
    <t>Form 4.0</t>
  </si>
  <si>
    <t>From 6.0</t>
  </si>
  <si>
    <t>Projected Volumes</t>
  </si>
  <si>
    <t>Actual</t>
  </si>
  <si>
    <t>SMRP Table of Contents</t>
  </si>
  <si>
    <t>SMRP Form 1.1</t>
  </si>
  <si>
    <t>Line 7 + Line 8 + Line 9</t>
  </si>
  <si>
    <t xml:space="preserve">    Total Depreciation - 376 Mains</t>
  </si>
  <si>
    <t xml:space="preserve">    Total Depreciation - 378 Plant Regulators</t>
  </si>
  <si>
    <t xml:space="preserve">    Total Depreciation - 380 Service Lines</t>
  </si>
  <si>
    <t xml:space="preserve">    Total Depreciation - 382 Meter Installations</t>
  </si>
  <si>
    <t xml:space="preserve">    Total Depreciation - 383 House Regulators</t>
  </si>
  <si>
    <r>
      <rPr>
        <vertAlign val="superscript"/>
        <sz val="12"/>
        <rFont val="Arial"/>
        <family val="2"/>
      </rPr>
      <t>(2)</t>
    </r>
    <r>
      <rPr>
        <sz val="10"/>
        <rFont val="Arial"/>
        <family val="2"/>
      </rPr>
      <t xml:space="preserve"> Billing Determinants based on projected 2024 volumes</t>
    </r>
  </si>
  <si>
    <t>2024 Normalized ADIT</t>
  </si>
  <si>
    <t>[1] Deferred Taxes calculated using 21% Corporate Tax Rate and 5% State Tax Rate.</t>
  </si>
  <si>
    <t>[2] Composite rate including repairs (31.21%) and mixed services 263A (4.01%)</t>
  </si>
  <si>
    <t>Investment subject to Property Tax</t>
  </si>
  <si>
    <r>
      <t xml:space="preserve">SMRP Rider </t>
    </r>
    <r>
      <rPr>
        <b/>
        <u val="single"/>
        <vertAlign val="superscript"/>
        <sz val="12"/>
        <rFont val="Arial"/>
        <family val="2"/>
      </rPr>
      <t>[4]</t>
    </r>
  </si>
  <si>
    <r>
      <t xml:space="preserve">Rate IS, Rate DS </t>
    </r>
    <r>
      <rPr>
        <vertAlign val="superscript"/>
        <sz val="12"/>
        <rFont val="Arial"/>
        <family val="2"/>
      </rPr>
      <t>(3)</t>
    </r>
    <r>
      <rPr>
        <sz val="12"/>
        <rFont val="Arial"/>
        <family val="2"/>
      </rPr>
      <t>, Rate SAS</t>
    </r>
  </si>
  <si>
    <r>
      <t xml:space="preserve">Annual Adjustment to the Safety Modification and Replacement Program </t>
    </r>
    <r>
      <rPr>
        <b/>
        <vertAlign val="superscript"/>
        <sz val="12"/>
        <rFont val="Arial"/>
        <family val="2"/>
      </rPr>
      <t>[1]</t>
    </r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</si>
  <si>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Property taxes rate is filed for rate in 2021-00183 that was unchanged by Settlement</t>
    </r>
  </si>
  <si>
    <r>
      <t xml:space="preserve">2022 O&amp;M Account 887 Costs </t>
    </r>
    <r>
      <rPr>
        <vertAlign val="superscript"/>
        <sz val="12"/>
        <rFont val="Arial"/>
        <family val="2"/>
      </rPr>
      <t>[1]</t>
    </r>
  </si>
  <si>
    <r>
      <rPr>
        <vertAlign val="superscript"/>
        <sz val="12"/>
        <rFont val="Arial"/>
        <family val="2"/>
      </rPr>
      <t>[1]</t>
    </r>
    <r>
      <rPr>
        <sz val="12"/>
        <rFont val="Arial"/>
        <family val="2"/>
      </rPr>
      <t xml:space="preserve"> 2022 O&amp;M reflects the base rate costs per case. </t>
    </r>
  </si>
  <si>
    <t xml:space="preserve">  This will be updated to actual O&amp;M costs in SMRP BA filing (filed March 2024)</t>
  </si>
  <si>
    <t>Case No. 2023-0335  PSC_Staff Set 2 No 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</si>
</sst>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  <numFmt numFmtId="167" formatCode="0.000%"/>
    <numFmt numFmtId="168" formatCode="_(&quot;$&quot;* #,##0_);_(&quot;$&quot;* \(#,##0\);_(&quot;$&quot;* &quot;-&quot;??_);_(@_)"/>
    <numFmt numFmtId="169" formatCode="_(* #,##0.00000_);_(* \(#,##0.00000\);_(* &quot;-&quot;??_);_(@_)"/>
    <numFmt numFmtId="170" formatCode="[$-409]mmmm\ d\,\ yyyy;@"/>
    <numFmt numFmtId="171" formatCode="[$-409]m/d/yy\ h:mm\ AM/PM;@"/>
    <numFmt numFmtId="172" formatCode="&quot;$&quot;#,##0.00"/>
    <numFmt numFmtId="173" formatCode="0.000000%"/>
    <numFmt numFmtId="174" formatCode="0.0000%"/>
    <numFmt numFmtId="175" formatCode="0.000000_)"/>
    <numFmt numFmtId="176" formatCode="[$-409]mmmm;@"/>
    <numFmt numFmtId="177" formatCode="[$-409]mmm;@"/>
    <numFmt numFmtId="178" formatCode="0.00000"/>
    <numFmt numFmtId="179" formatCode="#,##0.00000_);[Red]\(#,##0.00000\)"/>
    <numFmt numFmtId="180" formatCode="#,##0.0000_);[Red]\(#,##0.0000\)"/>
    <numFmt numFmtId="181" formatCode="#,##0.0_);\(#,##0.0\)"/>
    <numFmt numFmtId="182" formatCode="0_);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_);_(@_)"/>
    <numFmt numFmtId="188" formatCode="_(* #,##0.0_);_(* \(#,##0.0\);_(* &quot;-&quot;??_);_(@_)"/>
    <numFmt numFmtId="189" formatCode="0.0000"/>
    <numFmt numFmtId="190" formatCode="_(* #,##0.0_);_(* \(#,##0.0\);_(* &quot;-&quot;?_);_(@_)"/>
    <numFmt numFmtId="191" formatCode="_(* #,##0.000000_);_(* \(#,##0.000000\);_(* &quot;-&quot;??_);_(@_)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Arial"/>
      <family val="2"/>
    </font>
    <font>
      <b/>
      <u val="single"/>
      <vertAlign val="superscript"/>
      <sz val="12"/>
      <name val="Arial"/>
      <family val="2"/>
    </font>
    <font>
      <sz val="8"/>
      <name val="Helv"/>
      <family val="0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doubleAccounting"/>
      <sz val="12"/>
      <name val="Arial"/>
      <family val="2"/>
    </font>
    <font>
      <u val="single"/>
      <sz val="12"/>
      <name val="Arial"/>
      <family val="2"/>
    </font>
    <font>
      <u val="double"/>
      <sz val="12"/>
      <name val="Arial"/>
      <family val="2"/>
    </font>
    <font>
      <b/>
      <u val="singleAccounting"/>
      <sz val="12"/>
      <name val="Arial"/>
      <family val="2"/>
    </font>
    <font>
      <b/>
      <vertAlign val="superscript"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30"/>
      <name val="Arial"/>
      <family val="2"/>
    </font>
    <font>
      <b/>
      <u val="single"/>
      <sz val="12"/>
      <color indexed="12"/>
      <name val="Arial"/>
      <family val="2"/>
    </font>
    <font>
      <u val="singleAccounting"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b/>
      <u val="single"/>
      <sz val="12"/>
      <color rgb="FF0000FF"/>
      <name val="Arial"/>
      <family val="2"/>
    </font>
    <font>
      <u val="singleAccounting"/>
      <sz val="12"/>
      <color rgb="FF0000FF"/>
      <name val="Arial"/>
      <family val="2"/>
    </font>
    <font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7" fillId="0" borderId="0" applyFill="0" applyBorder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164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5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174" fontId="0" fillId="0" borderId="0" xfId="63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37" fontId="9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 horizontal="left"/>
    </xf>
    <xf numFmtId="188" fontId="9" fillId="0" borderId="10" xfId="42" applyNumberFormat="1" applyFont="1" applyFill="1" applyBorder="1" applyAlignment="1">
      <alignment/>
    </xf>
    <xf numFmtId="188" fontId="9" fillId="0" borderId="0" xfId="42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9" fillId="0" borderId="0" xfId="0" applyNumberFormat="1" applyFont="1" applyAlignment="1" quotePrefix="1">
      <alignment horizontal="center"/>
    </xf>
    <xf numFmtId="170" fontId="11" fillId="0" borderId="0" xfId="0" applyNumberFormat="1" applyFont="1" applyFill="1" applyAlignment="1">
      <alignment horizontal="center"/>
    </xf>
    <xf numFmtId="37" fontId="10" fillId="0" borderId="0" xfId="0" applyNumberFormat="1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67" fontId="9" fillId="0" borderId="0" xfId="63" applyNumberFormat="1" applyFont="1" applyFill="1" applyBorder="1" applyAlignment="1">
      <alignment/>
    </xf>
    <xf numFmtId="5" fontId="9" fillId="0" borderId="0" xfId="42" applyNumberFormat="1" applyFont="1" applyFill="1" applyAlignment="1">
      <alignment/>
    </xf>
    <xf numFmtId="189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9" fontId="9" fillId="0" borderId="0" xfId="0" applyNumberFormat="1" applyFont="1" applyFill="1" applyBorder="1" applyAlignment="1">
      <alignment horizontal="center"/>
    </xf>
    <xf numFmtId="167" fontId="9" fillId="0" borderId="11" xfId="63" applyNumberFormat="1" applyFont="1" applyFill="1" applyBorder="1" applyAlignment="1">
      <alignment/>
    </xf>
    <xf numFmtId="5" fontId="9" fillId="0" borderId="11" xfId="42" applyNumberFormat="1" applyFont="1" applyFill="1" applyBorder="1" applyAlignment="1">
      <alignment/>
    </xf>
    <xf numFmtId="188" fontId="9" fillId="0" borderId="11" xfId="42" applyNumberFormat="1" applyFont="1" applyFill="1" applyBorder="1" applyAlignment="1">
      <alignment/>
    </xf>
    <xf numFmtId="5" fontId="9" fillId="0" borderId="0" xfId="42" applyNumberFormat="1" applyFont="1" applyFill="1" applyBorder="1" applyAlignment="1">
      <alignment/>
    </xf>
    <xf numFmtId="188" fontId="9" fillId="0" borderId="0" xfId="42" applyNumberFormat="1" applyFont="1" applyFill="1" applyBorder="1" applyAlignment="1">
      <alignment/>
    </xf>
    <xf numFmtId="167" fontId="9" fillId="0" borderId="12" xfId="0" applyNumberFormat="1" applyFont="1" applyFill="1" applyBorder="1" applyAlignment="1">
      <alignment horizontal="center"/>
    </xf>
    <xf numFmtId="5" fontId="9" fillId="0" borderId="12" xfId="42" applyNumberFormat="1" applyFont="1" applyFill="1" applyBorder="1" applyAlignment="1">
      <alignment/>
    </xf>
    <xf numFmtId="188" fontId="9" fillId="0" borderId="12" xfId="42" applyNumberFormat="1" applyFont="1" applyFill="1" applyBorder="1" applyAlignment="1">
      <alignment/>
    </xf>
    <xf numFmtId="37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 inden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70" fontId="11" fillId="0" borderId="0" xfId="0" applyNumberFormat="1" applyFont="1" applyFill="1" applyBorder="1" applyAlignment="1" quotePrefix="1">
      <alignment horizontal="center"/>
    </xf>
    <xf numFmtId="170" fontId="11" fillId="0" borderId="0" xfId="0" applyNumberFormat="1" applyFont="1" applyFill="1" applyAlignment="1" quotePrefix="1">
      <alignment horizontal="center"/>
    </xf>
    <xf numFmtId="37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164" fontId="9" fillId="0" borderId="0" xfId="42" applyNumberFormat="1" applyFont="1" applyFill="1" applyBorder="1" applyAlignment="1">
      <alignment/>
    </xf>
    <xf numFmtId="164" fontId="9" fillId="0" borderId="0" xfId="42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9" fillId="0" borderId="11" xfId="42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0" fontId="9" fillId="0" borderId="0" xfId="0" applyNumberFormat="1" applyFont="1" applyFill="1" applyAlignment="1">
      <alignment/>
    </xf>
    <xf numFmtId="164" fontId="9" fillId="0" borderId="13" xfId="42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191" fontId="9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/>
    </xf>
    <xf numFmtId="164" fontId="12" fillId="0" borderId="0" xfId="42" applyNumberFormat="1" applyFont="1" applyFill="1" applyBorder="1" applyAlignment="1">
      <alignment/>
    </xf>
    <xf numFmtId="168" fontId="10" fillId="0" borderId="10" xfId="45" applyNumberFormat="1" applyFont="1" applyFill="1" applyBorder="1" applyAlignment="1">
      <alignment/>
    </xf>
    <xf numFmtId="168" fontId="10" fillId="0" borderId="0" xfId="45" applyNumberFormat="1" applyFont="1" applyFill="1" applyBorder="1" applyAlignment="1">
      <alignment/>
    </xf>
    <xf numFmtId="43" fontId="9" fillId="0" borderId="0" xfId="0" applyNumberFormat="1" applyFont="1" applyFill="1" applyAlignment="1">
      <alignment/>
    </xf>
    <xf numFmtId="171" fontId="9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 horizontal="center"/>
    </xf>
    <xf numFmtId="10" fontId="9" fillId="0" borderId="0" xfId="63" applyNumberFormat="1" applyFont="1" applyFill="1" applyAlignment="1">
      <alignment/>
    </xf>
    <xf numFmtId="10" fontId="13" fillId="0" borderId="0" xfId="54" applyNumberFormat="1" applyFont="1" applyFill="1" applyAlignment="1" applyProtection="1">
      <alignment/>
      <protection/>
    </xf>
    <xf numFmtId="10" fontId="11" fillId="0" borderId="0" xfId="0" applyNumberFormat="1" applyFont="1" applyFill="1" applyAlignment="1">
      <alignment horizontal="center"/>
    </xf>
    <xf numFmtId="37" fontId="1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0" fontId="9" fillId="0" borderId="0" xfId="0" applyNumberFormat="1" applyFont="1" applyAlignment="1">
      <alignment/>
    </xf>
    <xf numFmtId="10" fontId="9" fillId="0" borderId="0" xfId="60" applyNumberFormat="1" applyFont="1" applyFill="1">
      <alignment/>
      <protection/>
    </xf>
    <xf numFmtId="10" fontId="9" fillId="0" borderId="11" xfId="0" applyNumberFormat="1" applyFont="1" applyBorder="1" applyAlignment="1">
      <alignment/>
    </xf>
    <xf numFmtId="10" fontId="9" fillId="0" borderId="11" xfId="63" applyNumberFormat="1" applyFont="1" applyFill="1" applyBorder="1" applyAlignment="1">
      <alignment/>
    </xf>
    <xf numFmtId="167" fontId="13" fillId="0" borderId="0" xfId="63" applyNumberFormat="1" applyFont="1" applyFill="1" applyAlignment="1">
      <alignment/>
    </xf>
    <xf numFmtId="10" fontId="13" fillId="0" borderId="0" xfId="63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180" fontId="9" fillId="0" borderId="0" xfId="0" applyNumberFormat="1" applyFont="1" applyFill="1" applyAlignment="1">
      <alignment/>
    </xf>
    <xf numFmtId="40" fontId="9" fillId="0" borderId="0" xfId="0" applyNumberFormat="1" applyFont="1" applyFill="1" applyAlignment="1">
      <alignment/>
    </xf>
    <xf numFmtId="0" fontId="9" fillId="0" borderId="0" xfId="59" applyFont="1" applyBorder="1" applyAlignment="1">
      <alignment horizontal="center"/>
      <protection/>
    </xf>
    <xf numFmtId="0" fontId="9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 applyAlignment="1">
      <alignment horizontal="right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left"/>
      <protection/>
    </xf>
    <xf numFmtId="173" fontId="9" fillId="0" borderId="0" xfId="59" applyNumberFormat="1" applyFont="1">
      <alignment/>
      <protection/>
    </xf>
    <xf numFmtId="173" fontId="9" fillId="0" borderId="14" xfId="59" applyNumberFormat="1" applyFont="1" applyBorder="1">
      <alignment/>
      <protection/>
    </xf>
    <xf numFmtId="175" fontId="14" fillId="0" borderId="0" xfId="59" applyNumberFormat="1" applyFont="1">
      <alignment/>
      <protection/>
    </xf>
    <xf numFmtId="43" fontId="9" fillId="0" borderId="0" xfId="42" applyFont="1" applyFill="1" applyAlignment="1">
      <alignment/>
    </xf>
    <xf numFmtId="168" fontId="9" fillId="0" borderId="0" xfId="45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187" fontId="9" fillId="0" borderId="0" xfId="42" applyNumberFormat="1" applyFont="1" applyFill="1" applyAlignment="1">
      <alignment/>
    </xf>
    <xf numFmtId="164" fontId="59" fillId="0" borderId="0" xfId="42" applyNumberFormat="1" applyFont="1" applyFill="1" applyAlignment="1">
      <alignment/>
    </xf>
    <xf numFmtId="0" fontId="9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174" fontId="9" fillId="0" borderId="13" xfId="63" applyNumberFormat="1" applyFont="1" applyFill="1" applyBorder="1" applyAlignment="1">
      <alignment/>
    </xf>
    <xf numFmtId="164" fontId="60" fillId="0" borderId="13" xfId="42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174" fontId="9" fillId="0" borderId="0" xfId="63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4" fontId="9" fillId="0" borderId="11" xfId="63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164" fontId="60" fillId="0" borderId="11" xfId="42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Alignment="1">
      <alignment horizontal="center"/>
    </xf>
    <xf numFmtId="182" fontId="9" fillId="0" borderId="0" xfId="42" applyNumberFormat="1" applyFont="1" applyAlignment="1">
      <alignment horizontal="center"/>
    </xf>
    <xf numFmtId="164" fontId="9" fillId="0" borderId="0" xfId="42" applyNumberFormat="1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164" fontId="9" fillId="0" borderId="0" xfId="42" applyNumberFormat="1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42" applyNumberFormat="1" applyFont="1" applyAlignment="1">
      <alignment horizontal="center"/>
    </xf>
    <xf numFmtId="0" fontId="9" fillId="0" borderId="0" xfId="0" applyFont="1" applyFill="1" applyAlignment="1">
      <alignment horizontal="right"/>
    </xf>
    <xf numFmtId="168" fontId="15" fillId="0" borderId="0" xfId="45" applyNumberFormat="1" applyFont="1" applyFill="1" applyBorder="1" applyAlignment="1">
      <alignment horizontal="center"/>
    </xf>
    <xf numFmtId="10" fontId="11" fillId="0" borderId="0" xfId="63" applyNumberFormat="1" applyFont="1" applyFill="1" applyAlignment="1">
      <alignment horizontal="center"/>
    </xf>
    <xf numFmtId="37" fontId="10" fillId="0" borderId="0" xfId="45" applyNumberFormat="1" applyFont="1" applyFill="1" applyBorder="1" applyAlignment="1" quotePrefix="1">
      <alignment horizontal="center"/>
    </xf>
    <xf numFmtId="0" fontId="10" fillId="0" borderId="0" xfId="0" applyFont="1" applyFill="1" applyAlignment="1" quotePrefix="1">
      <alignment horizontal="center"/>
    </xf>
    <xf numFmtId="168" fontId="10" fillId="0" borderId="0" xfId="45" applyNumberFormat="1" applyFont="1" applyFill="1" applyBorder="1" applyAlignment="1">
      <alignment horizontal="center"/>
    </xf>
    <xf numFmtId="168" fontId="9" fillId="0" borderId="0" xfId="45" applyNumberFormat="1" applyFont="1" applyFill="1" applyBorder="1" applyAlignment="1">
      <alignment/>
    </xf>
    <xf numFmtId="168" fontId="9" fillId="0" borderId="0" xfId="45" applyNumberFormat="1" applyFont="1" applyFill="1" applyBorder="1" applyAlignment="1">
      <alignment horizontal="left"/>
    </xf>
    <xf numFmtId="164" fontId="12" fillId="0" borderId="0" xfId="42" applyNumberFormat="1" applyFont="1" applyFill="1" applyAlignment="1">
      <alignment/>
    </xf>
    <xf numFmtId="167" fontId="10" fillId="0" borderId="0" xfId="63" applyNumberFormat="1" applyFont="1" applyFill="1" applyAlignment="1">
      <alignment/>
    </xf>
    <xf numFmtId="169" fontId="9" fillId="0" borderId="0" xfId="42" applyNumberFormat="1" applyFont="1" applyFill="1" applyAlignment="1">
      <alignment/>
    </xf>
    <xf numFmtId="166" fontId="9" fillId="0" borderId="0" xfId="42" applyNumberFormat="1" applyFont="1" applyFill="1" applyAlignment="1">
      <alignment/>
    </xf>
    <xf numFmtId="10" fontId="10" fillId="0" borderId="0" xfId="63" applyNumberFormat="1" applyFont="1" applyFill="1" applyAlignment="1">
      <alignment/>
    </xf>
    <xf numFmtId="165" fontId="11" fillId="0" borderId="0" xfId="63" applyNumberFormat="1" applyFont="1" applyFill="1" applyAlignment="1" quotePrefix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10" fontId="10" fillId="0" borderId="21" xfId="63" applyNumberFormat="1" applyFont="1" applyFill="1" applyBorder="1" applyAlignment="1" quotePrefix="1">
      <alignment horizontal="center"/>
    </xf>
    <xf numFmtId="10" fontId="10" fillId="0" borderId="21" xfId="63" applyNumberFormat="1" applyFont="1" applyFill="1" applyBorder="1" applyAlignment="1">
      <alignment/>
    </xf>
    <xf numFmtId="10" fontId="10" fillId="0" borderId="0" xfId="63" applyNumberFormat="1" applyFont="1" applyFill="1" applyBorder="1" applyAlignment="1">
      <alignment/>
    </xf>
    <xf numFmtId="0" fontId="13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10" fontId="18" fillId="0" borderId="21" xfId="63" applyNumberFormat="1" applyFont="1" applyFill="1" applyBorder="1" applyAlignment="1">
      <alignment/>
    </xf>
    <xf numFmtId="0" fontId="18" fillId="0" borderId="22" xfId="0" applyFont="1" applyFill="1" applyBorder="1" applyAlignment="1">
      <alignment/>
    </xf>
    <xf numFmtId="10" fontId="18" fillId="0" borderId="0" xfId="63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70" fontId="61" fillId="0" borderId="0" xfId="0" applyNumberFormat="1" applyFont="1" applyAlignment="1" quotePrefix="1">
      <alignment horizontal="center"/>
    </xf>
    <xf numFmtId="170" fontId="11" fillId="0" borderId="0" xfId="0" applyNumberFormat="1" applyFont="1" applyAlignment="1" quotePrefix="1">
      <alignment horizontal="center"/>
    </xf>
    <xf numFmtId="37" fontId="10" fillId="0" borderId="0" xfId="0" applyNumberFormat="1" applyFont="1" applyAlignment="1" quotePrefix="1">
      <alignment horizontal="center"/>
    </xf>
    <xf numFmtId="164" fontId="62" fillId="0" borderId="0" xfId="42" applyNumberFormat="1" applyFont="1" applyFill="1" applyAlignment="1">
      <alignment/>
    </xf>
    <xf numFmtId="43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37" fontId="10" fillId="0" borderId="0" xfId="42" applyNumberFormat="1" applyFont="1" applyFill="1" applyBorder="1" applyAlignment="1">
      <alignment/>
    </xf>
    <xf numFmtId="43" fontId="9" fillId="0" borderId="0" xfId="42" applyFont="1" applyAlignment="1">
      <alignment/>
    </xf>
    <xf numFmtId="37" fontId="63" fillId="0" borderId="0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164" fontId="63" fillId="0" borderId="0" xfId="42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168" fontId="9" fillId="0" borderId="0" xfId="4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H-1 GR Conversion Factor" xfId="59"/>
    <cellStyle name="Normal_Schedule J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122934\AppData\Local\Temp\notesC9812B\2015%20SAVE%20IRRA%20-%20Schedule%2014a%20-%20k%20Jur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Plant Data"/>
      <sheetName val="Sch 14a pg 1 Rev Req"/>
      <sheetName val="Sch 14b Acct 376 Rate Base"/>
      <sheetName val="Sch 14c Acct 378 Rate Base"/>
      <sheetName val="Sch 14d Acct 379 Rate Base"/>
      <sheetName val="Sch 14e Acct 380 Rate Base"/>
      <sheetName val="Sch 14f Rate Case Plant"/>
      <sheetName val="Sch 14g CCOS "/>
      <sheetName val="Sch 14h Billing Det and Rate"/>
      <sheetName val="Sch 14i ADIT (total)"/>
      <sheetName val="Sch 14i-2 (repairs eligible)"/>
      <sheetName val="Sch 14i-3(non eligible repairs)"/>
      <sheetName val="Sch 14j ADIT Allocation"/>
      <sheetName val="Sch 14k Property Ta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96" zoomScalePageLayoutView="0" workbookViewId="0" topLeftCell="A1">
      <selection activeCell="F2" sqref="F2"/>
    </sheetView>
  </sheetViews>
  <sheetFormatPr defaultColWidth="9.140625" defaultRowHeight="12.75"/>
  <cols>
    <col min="1" max="1" width="15.7109375" style="0" customWidth="1"/>
    <col min="2" max="2" width="12.7109375" style="0" customWidth="1"/>
    <col min="3" max="3" width="32.8515625" style="0" customWidth="1"/>
    <col min="4" max="4" width="15.57421875" style="0" bestFit="1" customWidth="1"/>
    <col min="5" max="8" width="14.140625" style="0" customWidth="1"/>
  </cols>
  <sheetData>
    <row r="1" spans="1:8" ht="15">
      <c r="A1" s="22"/>
      <c r="B1" s="22"/>
      <c r="C1" s="22"/>
      <c r="D1" s="11"/>
      <c r="E1" s="11"/>
      <c r="F1" s="12" t="s">
        <v>291</v>
      </c>
      <c r="G1" s="10"/>
      <c r="H1" s="10"/>
    </row>
    <row r="2" spans="1:6" ht="15">
      <c r="A2" s="22"/>
      <c r="B2" s="22"/>
      <c r="C2" s="22"/>
      <c r="D2" s="22"/>
      <c r="E2" s="22"/>
      <c r="F2" s="23" t="s">
        <v>271</v>
      </c>
    </row>
    <row r="3" spans="1:6" ht="15">
      <c r="A3" s="22"/>
      <c r="B3" s="22"/>
      <c r="C3" s="22"/>
      <c r="D3" s="22"/>
      <c r="E3" s="22"/>
      <c r="F3" s="23"/>
    </row>
    <row r="4" spans="1:6" ht="15">
      <c r="A4" s="22"/>
      <c r="B4" s="22"/>
      <c r="C4" s="22"/>
      <c r="D4" s="22"/>
      <c r="E4" s="22"/>
      <c r="F4" s="22"/>
    </row>
    <row r="5" spans="1:8" ht="15">
      <c r="A5" s="165" t="s">
        <v>12</v>
      </c>
      <c r="B5" s="165"/>
      <c r="C5" s="165"/>
      <c r="D5" s="165"/>
      <c r="E5" s="165"/>
      <c r="F5" s="165"/>
      <c r="G5" s="1"/>
      <c r="H5" s="1"/>
    </row>
    <row r="6" spans="1:8" ht="15">
      <c r="A6" s="166" t="s">
        <v>109</v>
      </c>
      <c r="B6" s="166"/>
      <c r="C6" s="166"/>
      <c r="D6" s="166"/>
      <c r="E6" s="166"/>
      <c r="F6" s="166"/>
      <c r="G6" s="1"/>
      <c r="H6" s="1"/>
    </row>
    <row r="7" spans="1:8" ht="15">
      <c r="A7" s="165" t="s">
        <v>259</v>
      </c>
      <c r="B7" s="165"/>
      <c r="C7" s="165"/>
      <c r="D7" s="165"/>
      <c r="E7" s="165"/>
      <c r="F7" s="165"/>
      <c r="G7" s="1"/>
      <c r="H7" s="1"/>
    </row>
    <row r="8" spans="1:8" ht="15">
      <c r="A8" s="165" t="s">
        <v>82</v>
      </c>
      <c r="B8" s="165"/>
      <c r="C8" s="165"/>
      <c r="D8" s="165"/>
      <c r="E8" s="165"/>
      <c r="F8" s="165"/>
      <c r="G8" s="1"/>
      <c r="H8" s="1"/>
    </row>
    <row r="9" spans="1:8" ht="15">
      <c r="A9" s="24"/>
      <c r="B9" s="24"/>
      <c r="C9" s="24"/>
      <c r="D9" s="24"/>
      <c r="E9" s="25"/>
      <c r="F9" s="25"/>
      <c r="G9" s="1"/>
      <c r="H9" s="1"/>
    </row>
    <row r="10" spans="1:6" ht="15">
      <c r="A10" s="22"/>
      <c r="B10" s="22"/>
      <c r="C10" s="22"/>
      <c r="D10" s="22"/>
      <c r="E10" s="22"/>
      <c r="F10" s="22"/>
    </row>
    <row r="11" spans="1:6" ht="15">
      <c r="A11" s="22"/>
      <c r="B11" s="22"/>
      <c r="C11" s="22"/>
      <c r="D11" s="22"/>
      <c r="E11" s="22"/>
      <c r="F11" s="22"/>
    </row>
    <row r="12" spans="1:6" ht="15">
      <c r="A12" s="22"/>
      <c r="B12" s="22"/>
      <c r="C12" s="22"/>
      <c r="D12" s="22"/>
      <c r="E12" s="22"/>
      <c r="F12" s="22"/>
    </row>
    <row r="13" spans="1:6" ht="15">
      <c r="A13" s="26" t="s">
        <v>85</v>
      </c>
      <c r="B13" s="22"/>
      <c r="C13" s="27" t="s">
        <v>48</v>
      </c>
      <c r="D13" s="22"/>
      <c r="E13" s="22"/>
      <c r="F13" s="22"/>
    </row>
    <row r="14" spans="1:6" ht="15">
      <c r="A14" s="28" t="s">
        <v>83</v>
      </c>
      <c r="B14" s="22"/>
      <c r="C14" s="22" t="s">
        <v>104</v>
      </c>
      <c r="D14" s="22"/>
      <c r="E14" s="22"/>
      <c r="F14" s="22"/>
    </row>
    <row r="15" spans="1:6" ht="15">
      <c r="A15" s="28" t="s">
        <v>84</v>
      </c>
      <c r="B15" s="22"/>
      <c r="C15" s="11" t="s">
        <v>269</v>
      </c>
      <c r="D15" s="22"/>
      <c r="E15" s="22"/>
      <c r="F15" s="22"/>
    </row>
    <row r="16" spans="1:6" ht="15">
      <c r="A16" s="28" t="s">
        <v>87</v>
      </c>
      <c r="B16" s="22"/>
      <c r="C16" s="22" t="s">
        <v>88</v>
      </c>
      <c r="D16" s="22"/>
      <c r="E16" s="22"/>
      <c r="F16" s="22"/>
    </row>
    <row r="17" spans="1:6" ht="15">
      <c r="A17" s="28">
        <v>2.1</v>
      </c>
      <c r="B17" s="22"/>
      <c r="C17" s="22" t="s">
        <v>86</v>
      </c>
      <c r="D17" s="22"/>
      <c r="E17" s="22"/>
      <c r="F17" s="22"/>
    </row>
    <row r="18" spans="1:6" ht="15">
      <c r="A18" s="28">
        <v>2.2</v>
      </c>
      <c r="B18" s="22"/>
      <c r="C18" s="22" t="s">
        <v>257</v>
      </c>
      <c r="D18" s="22"/>
      <c r="E18" s="22"/>
      <c r="F18" s="22"/>
    </row>
    <row r="19" spans="1:6" ht="15">
      <c r="A19" s="29" t="s">
        <v>89</v>
      </c>
      <c r="B19" s="22"/>
      <c r="C19" s="22" t="s">
        <v>138</v>
      </c>
      <c r="D19" s="22"/>
      <c r="E19" s="22"/>
      <c r="F19" s="22"/>
    </row>
    <row r="20" spans="1:6" ht="15">
      <c r="A20" s="29" t="s">
        <v>91</v>
      </c>
      <c r="B20" s="22"/>
      <c r="C20" s="22" t="s">
        <v>173</v>
      </c>
      <c r="D20" s="22"/>
      <c r="E20" s="22"/>
      <c r="F20" s="22"/>
    </row>
    <row r="21" spans="1:6" ht="15">
      <c r="A21" s="29" t="s">
        <v>181</v>
      </c>
      <c r="B21" s="22"/>
      <c r="C21" s="22" t="s">
        <v>118</v>
      </c>
      <c r="D21" s="22"/>
      <c r="E21" s="22"/>
      <c r="F21" s="22"/>
    </row>
    <row r="22" spans="1:6" ht="15">
      <c r="A22" s="29" t="s">
        <v>182</v>
      </c>
      <c r="B22" s="22"/>
      <c r="C22" s="22" t="s">
        <v>184</v>
      </c>
      <c r="D22" s="22"/>
      <c r="E22" s="22"/>
      <c r="F22" s="22"/>
    </row>
    <row r="23" spans="1:6" ht="15">
      <c r="A23" s="29" t="s">
        <v>183</v>
      </c>
      <c r="B23" s="22"/>
      <c r="C23" s="22" t="s">
        <v>185</v>
      </c>
      <c r="D23" s="22"/>
      <c r="E23" s="22"/>
      <c r="F23" s="22"/>
    </row>
    <row r="24" spans="1:6" ht="15">
      <c r="A24" s="29" t="s">
        <v>186</v>
      </c>
      <c r="B24" s="22"/>
      <c r="C24" s="22" t="s">
        <v>187</v>
      </c>
      <c r="D24" s="22"/>
      <c r="E24" s="22"/>
      <c r="F24" s="22"/>
    </row>
    <row r="25" spans="1:6" ht="15">
      <c r="A25" s="29" t="s">
        <v>188</v>
      </c>
      <c r="B25" s="22"/>
      <c r="C25" s="22" t="s">
        <v>90</v>
      </c>
      <c r="D25" s="22"/>
      <c r="E25" s="22"/>
      <c r="F25" s="22"/>
    </row>
    <row r="26" spans="1:3" ht="12">
      <c r="A26" s="4"/>
      <c r="C26" s="3"/>
    </row>
    <row r="27" spans="1:3" ht="12">
      <c r="A27" s="4"/>
      <c r="C27" s="3"/>
    </row>
    <row r="28" spans="1:3" ht="12">
      <c r="A28" s="4"/>
      <c r="C28" s="3"/>
    </row>
    <row r="29" spans="1:3" ht="12">
      <c r="A29" s="4"/>
      <c r="C29" s="3"/>
    </row>
    <row r="30" spans="1:3" ht="12">
      <c r="A30" s="4"/>
      <c r="C30" s="3"/>
    </row>
    <row r="31" spans="1:3" ht="12">
      <c r="A31" s="4"/>
      <c r="C31" s="3"/>
    </row>
  </sheetData>
  <sheetProtection/>
  <mergeCells count="4">
    <mergeCell ref="A5:F5"/>
    <mergeCell ref="A6:F6"/>
    <mergeCell ref="A7:F7"/>
    <mergeCell ref="A8:F8"/>
  </mergeCells>
  <printOptions horizontalCentered="1"/>
  <pageMargins left="1" right="1" top="1" bottom="1" header="0.3" footer="0.3"/>
  <pageSetup fitToHeight="1" fitToWidth="1" horizontalDpi="600" verticalDpi="600" orientation="landscape" r:id="rId1"/>
  <ignoredErrors>
    <ignoredError sqref="A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F1">
      <selection activeCell="N24" sqref="N24"/>
    </sheetView>
  </sheetViews>
  <sheetFormatPr defaultColWidth="9.140625" defaultRowHeight="12.75"/>
  <cols>
    <col min="1" max="1" width="26.421875" style="22" bestFit="1" customWidth="1"/>
    <col min="2" max="15" width="13.7109375" style="22" bestFit="1" customWidth="1"/>
    <col min="16" max="16" width="18.8515625" style="22" bestFit="1" customWidth="1"/>
    <col min="17" max="17" width="23.140625" style="22" bestFit="1" customWidth="1"/>
    <col min="18" max="16384" width="9.140625" style="22" customWidth="1"/>
  </cols>
  <sheetData>
    <row r="1" ht="15">
      <c r="Q1" s="23" t="str">
        <f>+'5.0 Depr Expense'!Q1</f>
        <v>Case No. 2023-0335  PSC_Staff Set 2 No 1</v>
      </c>
    </row>
    <row r="2" ht="15">
      <c r="Q2" s="23" t="s">
        <v>209</v>
      </c>
    </row>
    <row r="3" spans="1:17" ht="15">
      <c r="A3" s="165" t="s">
        <v>12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ht="15">
      <c r="A4" s="165" t="s">
        <v>208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5">
      <c r="A5" s="165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7" spans="2:16" ht="15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2:17" ht="15">
      <c r="B9" s="24">
        <v>2022</v>
      </c>
      <c r="C9" s="24">
        <f>+B9+1</f>
        <v>2023</v>
      </c>
      <c r="D9" s="24">
        <f>+C9</f>
        <v>2023</v>
      </c>
      <c r="E9" s="24">
        <f aca="true" t="shared" si="0" ref="E9:M9">+D9</f>
        <v>2023</v>
      </c>
      <c r="F9" s="24">
        <f t="shared" si="0"/>
        <v>2023</v>
      </c>
      <c r="G9" s="24">
        <f t="shared" si="0"/>
        <v>2023</v>
      </c>
      <c r="H9" s="24">
        <f t="shared" si="0"/>
        <v>2023</v>
      </c>
      <c r="I9" s="24">
        <f t="shared" si="0"/>
        <v>2023</v>
      </c>
      <c r="J9" s="24">
        <f t="shared" si="0"/>
        <v>2023</v>
      </c>
      <c r="K9" s="24">
        <f t="shared" si="0"/>
        <v>2023</v>
      </c>
      <c r="L9" s="24">
        <f t="shared" si="0"/>
        <v>2023</v>
      </c>
      <c r="M9" s="24">
        <f t="shared" si="0"/>
        <v>2023</v>
      </c>
      <c r="N9" s="24">
        <f>+M9</f>
        <v>2023</v>
      </c>
      <c r="O9" s="24">
        <f>+N9</f>
        <v>2023</v>
      </c>
      <c r="P9" s="24">
        <f>+O9</f>
        <v>2023</v>
      </c>
      <c r="Q9" s="24">
        <f>+P9</f>
        <v>2023</v>
      </c>
    </row>
    <row r="10" spans="2:17" ht="15"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144</v>
      </c>
      <c r="G10" s="24" t="s">
        <v>81</v>
      </c>
      <c r="H10" s="24" t="s">
        <v>145</v>
      </c>
      <c r="I10" s="24" t="s">
        <v>146</v>
      </c>
      <c r="J10" s="24" t="s">
        <v>147</v>
      </c>
      <c r="K10" s="24" t="s">
        <v>148</v>
      </c>
      <c r="L10" s="24" t="s">
        <v>149</v>
      </c>
      <c r="M10" s="24" t="s">
        <v>150</v>
      </c>
      <c r="N10" s="24" t="s">
        <v>140</v>
      </c>
      <c r="O10" s="24" t="s">
        <v>177</v>
      </c>
      <c r="P10" s="24" t="s">
        <v>212</v>
      </c>
      <c r="Q10" s="24" t="s">
        <v>178</v>
      </c>
    </row>
    <row r="11" spans="2:17" ht="15"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2:17" ht="15">
      <c r="B12" s="119" t="s">
        <v>227</v>
      </c>
      <c r="C12" s="119" t="s">
        <v>241</v>
      </c>
      <c r="D12" s="119" t="s">
        <v>242</v>
      </c>
      <c r="E12" s="119" t="s">
        <v>230</v>
      </c>
      <c r="F12" s="119" t="s">
        <v>231</v>
      </c>
      <c r="G12" s="119" t="s">
        <v>232</v>
      </c>
      <c r="H12" s="119" t="s">
        <v>233</v>
      </c>
      <c r="I12" s="119" t="s">
        <v>234</v>
      </c>
      <c r="J12" s="119" t="s">
        <v>235</v>
      </c>
      <c r="K12" s="119" t="s">
        <v>236</v>
      </c>
      <c r="L12" s="119" t="s">
        <v>237</v>
      </c>
      <c r="M12" s="119" t="s">
        <v>243</v>
      </c>
      <c r="N12" s="119" t="s">
        <v>239</v>
      </c>
      <c r="O12" s="119" t="s">
        <v>240</v>
      </c>
      <c r="P12" s="119" t="s">
        <v>245</v>
      </c>
      <c r="Q12" s="118" t="s">
        <v>247</v>
      </c>
    </row>
    <row r="13" spans="2:16" ht="15"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244</v>
      </c>
      <c r="P13" s="122" t="s">
        <v>246</v>
      </c>
    </row>
    <row r="15" spans="1:16" ht="15">
      <c r="A15" s="22" t="s">
        <v>210</v>
      </c>
      <c r="B15" s="123">
        <v>0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>
        <f>-'6.1 ADIT Calculated p.1'!AK19</f>
        <v>-3170434</v>
      </c>
      <c r="O15" s="123">
        <f>+N15-B15</f>
        <v>-3170434</v>
      </c>
      <c r="P15" s="123">
        <f>ROUND(O15/12,0)</f>
        <v>-264203</v>
      </c>
    </row>
    <row r="16" spans="2:16" ht="15"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1:17" ht="15">
      <c r="A17" s="22" t="s">
        <v>211</v>
      </c>
      <c r="B17" s="123">
        <f>+B15</f>
        <v>0</v>
      </c>
      <c r="C17" s="123">
        <f aca="true" t="shared" si="1" ref="C17:M17">+B17+$P$15</f>
        <v>-264203</v>
      </c>
      <c r="D17" s="123">
        <f t="shared" si="1"/>
        <v>-528406</v>
      </c>
      <c r="E17" s="123">
        <f t="shared" si="1"/>
        <v>-792609</v>
      </c>
      <c r="F17" s="123">
        <f t="shared" si="1"/>
        <v>-1056812</v>
      </c>
      <c r="G17" s="123">
        <f t="shared" si="1"/>
        <v>-1321015</v>
      </c>
      <c r="H17" s="123">
        <f t="shared" si="1"/>
        <v>-1585218</v>
      </c>
      <c r="I17" s="123">
        <f t="shared" si="1"/>
        <v>-1849421</v>
      </c>
      <c r="J17" s="123">
        <f t="shared" si="1"/>
        <v>-2113624</v>
      </c>
      <c r="K17" s="123">
        <f t="shared" si="1"/>
        <v>-2377827</v>
      </c>
      <c r="L17" s="123">
        <f t="shared" si="1"/>
        <v>-2642030</v>
      </c>
      <c r="M17" s="123">
        <f t="shared" si="1"/>
        <v>-2906233</v>
      </c>
      <c r="N17" s="123">
        <f>+N15</f>
        <v>-3170434</v>
      </c>
      <c r="O17" s="123"/>
      <c r="P17" s="123"/>
      <c r="Q17" s="124">
        <f>AVERAGE(B17:N17)</f>
        <v>-1585217.8461538462</v>
      </c>
    </row>
    <row r="18" spans="2:16" ht="15"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2:16" ht="15"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2:17" ht="15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18"/>
    </row>
    <row r="21" spans="2:17" ht="15">
      <c r="B21" s="24">
        <f>+N9</f>
        <v>2023</v>
      </c>
      <c r="C21" s="24">
        <f>+B21+1</f>
        <v>2024</v>
      </c>
      <c r="D21" s="24">
        <f>+C21</f>
        <v>2024</v>
      </c>
      <c r="E21" s="24">
        <f aca="true" t="shared" si="2" ref="E21:N21">+D21</f>
        <v>2024</v>
      </c>
      <c r="F21" s="24">
        <f t="shared" si="2"/>
        <v>2024</v>
      </c>
      <c r="G21" s="24">
        <f t="shared" si="2"/>
        <v>2024</v>
      </c>
      <c r="H21" s="24">
        <f t="shared" si="2"/>
        <v>2024</v>
      </c>
      <c r="I21" s="24">
        <f t="shared" si="2"/>
        <v>2024</v>
      </c>
      <c r="J21" s="24">
        <f t="shared" si="2"/>
        <v>2024</v>
      </c>
      <c r="K21" s="24">
        <f t="shared" si="2"/>
        <v>2024</v>
      </c>
      <c r="L21" s="24">
        <f t="shared" si="2"/>
        <v>2024</v>
      </c>
      <c r="M21" s="24">
        <f t="shared" si="2"/>
        <v>2024</v>
      </c>
      <c r="N21" s="24">
        <f t="shared" si="2"/>
        <v>2024</v>
      </c>
      <c r="O21" s="24">
        <f>+N21</f>
        <v>2024</v>
      </c>
      <c r="P21" s="24">
        <f>+O21</f>
        <v>2024</v>
      </c>
      <c r="Q21" s="24">
        <f>+P21</f>
        <v>2024</v>
      </c>
    </row>
    <row r="22" spans="2:17" ht="15">
      <c r="B22" s="24" t="s">
        <v>140</v>
      </c>
      <c r="C22" s="24" t="s">
        <v>141</v>
      </c>
      <c r="D22" s="24" t="s">
        <v>142</v>
      </c>
      <c r="E22" s="24" t="s">
        <v>143</v>
      </c>
      <c r="F22" s="24" t="s">
        <v>144</v>
      </c>
      <c r="G22" s="24" t="s">
        <v>81</v>
      </c>
      <c r="H22" s="24" t="s">
        <v>145</v>
      </c>
      <c r="I22" s="24" t="s">
        <v>146</v>
      </c>
      <c r="J22" s="24" t="s">
        <v>147</v>
      </c>
      <c r="K22" s="24" t="s">
        <v>148</v>
      </c>
      <c r="L22" s="24" t="s">
        <v>149</v>
      </c>
      <c r="M22" s="24" t="s">
        <v>150</v>
      </c>
      <c r="N22" s="24" t="s">
        <v>140</v>
      </c>
      <c r="O22" s="24" t="s">
        <v>177</v>
      </c>
      <c r="P22" s="24" t="s">
        <v>212</v>
      </c>
      <c r="Q22" s="24" t="s">
        <v>178</v>
      </c>
    </row>
    <row r="24" spans="1:16" ht="15">
      <c r="A24" s="22" t="s">
        <v>210</v>
      </c>
      <c r="B24" s="123">
        <f>+N17</f>
        <v>-3170434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>
        <f>+'6.1 ADIT Calculated p.1'!AK20*-1</f>
        <v>-7678391</v>
      </c>
      <c r="O24" s="123">
        <f>+N24-B24</f>
        <v>-4507957</v>
      </c>
      <c r="P24" s="123">
        <f>ROUND(O24/12,0)</f>
        <v>-375663</v>
      </c>
    </row>
    <row r="25" spans="2:16" ht="15"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7" ht="15">
      <c r="A26" s="22" t="s">
        <v>280</v>
      </c>
      <c r="B26" s="123">
        <f>+B24</f>
        <v>-3170434</v>
      </c>
      <c r="C26" s="57">
        <f>+B26+P24</f>
        <v>-3546097</v>
      </c>
      <c r="D26" s="57">
        <f aca="true" t="shared" si="3" ref="D26:M26">+C26+$P$24</f>
        <v>-3921760</v>
      </c>
      <c r="E26" s="57">
        <f t="shared" si="3"/>
        <v>-4297423</v>
      </c>
      <c r="F26" s="57">
        <f t="shared" si="3"/>
        <v>-4673086</v>
      </c>
      <c r="G26" s="57">
        <f t="shared" si="3"/>
        <v>-5048749</v>
      </c>
      <c r="H26" s="57">
        <f t="shared" si="3"/>
        <v>-5424412</v>
      </c>
      <c r="I26" s="57">
        <f t="shared" si="3"/>
        <v>-5800075</v>
      </c>
      <c r="J26" s="57">
        <f t="shared" si="3"/>
        <v>-6175738</v>
      </c>
      <c r="K26" s="57">
        <f t="shared" si="3"/>
        <v>-6551401</v>
      </c>
      <c r="L26" s="57">
        <f t="shared" si="3"/>
        <v>-6927064</v>
      </c>
      <c r="M26" s="57">
        <f t="shared" si="3"/>
        <v>-7302727</v>
      </c>
      <c r="N26" s="57">
        <f>+M26+$P$24+3</f>
        <v>-7678387</v>
      </c>
      <c r="O26" s="57"/>
      <c r="P26" s="57"/>
      <c r="Q26" s="124">
        <f>AVERAGE(B26:N26)</f>
        <v>-5424411.769230769</v>
      </c>
    </row>
    <row r="27" spans="2:16" ht="15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</sheetData>
  <sheetProtection/>
  <mergeCells count="3">
    <mergeCell ref="A3:Q3"/>
    <mergeCell ref="A4:Q4"/>
    <mergeCell ref="A5:Q5"/>
  </mergeCells>
  <printOptions/>
  <pageMargins left="0.7" right="0.7" top="0.75" bottom="0.75" header="0.3" footer="0.3"/>
  <pageSetup fitToHeight="1" fitToWidth="1" horizontalDpi="1200" verticalDpi="1200" orientation="landscape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72"/>
  <sheetViews>
    <sheetView zoomScale="90" zoomScaleNormal="90" zoomScaleSheetLayoutView="96" zoomScalePageLayoutView="0" workbookViewId="0" topLeftCell="A25">
      <selection activeCell="AG19" sqref="AG19"/>
    </sheetView>
  </sheetViews>
  <sheetFormatPr defaultColWidth="9.140625" defaultRowHeight="12.75"/>
  <cols>
    <col min="1" max="1" width="3.8515625" style="32" customWidth="1"/>
    <col min="2" max="2" width="23.8515625" style="11" bestFit="1" customWidth="1"/>
    <col min="3" max="3" width="6.28125" style="11" bestFit="1" customWidth="1"/>
    <col min="4" max="5" width="14.28125" style="11" bestFit="1" customWidth="1"/>
    <col min="6" max="6" width="11.00390625" style="11" customWidth="1"/>
    <col min="7" max="7" width="11.8515625" style="11" customWidth="1"/>
    <col min="8" max="8" width="12.140625" style="11" customWidth="1"/>
    <col min="9" max="9" width="11.140625" style="11" customWidth="1"/>
    <col min="10" max="10" width="11.00390625" style="11" hidden="1" customWidth="1"/>
    <col min="11" max="11" width="11.28125" style="11" hidden="1" customWidth="1"/>
    <col min="12" max="30" width="12.8515625" style="11" hidden="1" customWidth="1"/>
    <col min="31" max="31" width="9.57421875" style="11" hidden="1" customWidth="1"/>
    <col min="32" max="32" width="15.57421875" style="11" bestFit="1" customWidth="1"/>
    <col min="33" max="33" width="12.8515625" style="11" bestFit="1" customWidth="1"/>
    <col min="34" max="34" width="15.57421875" style="11" bestFit="1" customWidth="1"/>
    <col min="35" max="35" width="14.28125" style="11" bestFit="1" customWidth="1"/>
    <col min="36" max="36" width="12.8515625" style="11" bestFit="1" customWidth="1"/>
    <col min="37" max="37" width="20.57421875" style="11" customWidth="1"/>
    <col min="38" max="16384" width="9.140625" style="11" customWidth="1"/>
  </cols>
  <sheetData>
    <row r="1" spans="2:37" ht="15">
      <c r="B1" s="51"/>
      <c r="S1" s="12"/>
      <c r="AK1" s="12" t="str">
        <f>+'6.0 ADIT Normalized '!Q1</f>
        <v>Case No. 2023-0335  PSC_Staff Set 2 No 1</v>
      </c>
    </row>
    <row r="2" spans="2:37" ht="15">
      <c r="B2" s="51"/>
      <c r="S2" s="12"/>
      <c r="AK2" s="23" t="s">
        <v>215</v>
      </c>
    </row>
    <row r="3" spans="8:37" ht="15">
      <c r="H3" s="12"/>
      <c r="R3" s="126"/>
      <c r="S3" s="126"/>
      <c r="AK3" s="12" t="s">
        <v>218</v>
      </c>
    </row>
    <row r="4" spans="1:37" ht="1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</row>
    <row r="5" spans="1:37" ht="15">
      <c r="A5" s="166" t="s">
        <v>76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</row>
    <row r="6" spans="1:37" ht="15">
      <c r="A6" s="166" t="s">
        <v>112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</row>
    <row r="7" spans="2:8" ht="15">
      <c r="B7" s="16"/>
      <c r="H7" s="13" t="s">
        <v>224</v>
      </c>
    </row>
    <row r="8" spans="2:37" ht="12.75" customHeight="1">
      <c r="B8" s="50"/>
      <c r="AJ8" s="13"/>
      <c r="AK8" s="13"/>
    </row>
    <row r="9" spans="9:37" ht="15">
      <c r="I9" s="13"/>
      <c r="J9" s="13">
        <v>2022</v>
      </c>
      <c r="K9" s="13">
        <f aca="true" t="shared" si="0" ref="K9:AE9">+J9+1</f>
        <v>2023</v>
      </c>
      <c r="L9" s="13">
        <f t="shared" si="0"/>
        <v>2024</v>
      </c>
      <c r="M9" s="13">
        <f t="shared" si="0"/>
        <v>2025</v>
      </c>
      <c r="N9" s="13">
        <f t="shared" si="0"/>
        <v>2026</v>
      </c>
      <c r="O9" s="13">
        <f t="shared" si="0"/>
        <v>2027</v>
      </c>
      <c r="P9" s="13">
        <f t="shared" si="0"/>
        <v>2028</v>
      </c>
      <c r="Q9" s="13">
        <f t="shared" si="0"/>
        <v>2029</v>
      </c>
      <c r="R9" s="13">
        <f>+Q9+1</f>
        <v>2030</v>
      </c>
      <c r="S9" s="13">
        <f t="shared" si="0"/>
        <v>2031</v>
      </c>
      <c r="T9" s="13">
        <f t="shared" si="0"/>
        <v>2032</v>
      </c>
      <c r="U9" s="13">
        <f t="shared" si="0"/>
        <v>2033</v>
      </c>
      <c r="V9" s="13">
        <f t="shared" si="0"/>
        <v>2034</v>
      </c>
      <c r="W9" s="13">
        <f t="shared" si="0"/>
        <v>2035</v>
      </c>
      <c r="X9" s="13">
        <f t="shared" si="0"/>
        <v>2036</v>
      </c>
      <c r="Y9" s="13">
        <f t="shared" si="0"/>
        <v>2037</v>
      </c>
      <c r="Z9" s="13">
        <f t="shared" si="0"/>
        <v>2038</v>
      </c>
      <c r="AA9" s="13">
        <f t="shared" si="0"/>
        <v>2039</v>
      </c>
      <c r="AB9" s="13">
        <f t="shared" si="0"/>
        <v>2040</v>
      </c>
      <c r="AC9" s="13">
        <f t="shared" si="0"/>
        <v>2041</v>
      </c>
      <c r="AD9" s="13">
        <f t="shared" si="0"/>
        <v>2042</v>
      </c>
      <c r="AE9" s="13">
        <f t="shared" si="0"/>
        <v>2043</v>
      </c>
      <c r="AF9" s="13" t="s">
        <v>14</v>
      </c>
      <c r="AG9" s="13"/>
      <c r="AI9" s="13"/>
      <c r="AJ9" s="13" t="s">
        <v>47</v>
      </c>
      <c r="AK9" s="13" t="s">
        <v>16</v>
      </c>
    </row>
    <row r="10" spans="1:37" ht="15">
      <c r="A10" s="13" t="s">
        <v>1</v>
      </c>
      <c r="B10" s="50" t="s">
        <v>73</v>
      </c>
      <c r="D10" s="13">
        <v>2023</v>
      </c>
      <c r="E10" s="13">
        <f>+D10+1</f>
        <v>2024</v>
      </c>
      <c r="F10" s="13">
        <f>+E10+1</f>
        <v>2025</v>
      </c>
      <c r="G10" s="13">
        <f>+F10+1</f>
        <v>2026</v>
      </c>
      <c r="H10" s="13">
        <f>+G10+1</f>
        <v>2027</v>
      </c>
      <c r="I10" s="13">
        <f>+H10+1</f>
        <v>2028</v>
      </c>
      <c r="J10" s="13" t="s">
        <v>17</v>
      </c>
      <c r="K10" s="13" t="s">
        <v>18</v>
      </c>
      <c r="L10" s="13" t="s">
        <v>26</v>
      </c>
      <c r="M10" s="13" t="s">
        <v>27</v>
      </c>
      <c r="N10" s="13" t="s">
        <v>28</v>
      </c>
      <c r="O10" s="13" t="s">
        <v>29</v>
      </c>
      <c r="P10" s="13" t="s">
        <v>30</v>
      </c>
      <c r="Q10" s="13" t="s">
        <v>31</v>
      </c>
      <c r="R10" s="13" t="s">
        <v>32</v>
      </c>
      <c r="S10" s="13" t="s">
        <v>33</v>
      </c>
      <c r="T10" s="13" t="s">
        <v>34</v>
      </c>
      <c r="U10" s="13" t="s">
        <v>35</v>
      </c>
      <c r="V10" s="13" t="s">
        <v>37</v>
      </c>
      <c r="W10" s="13" t="s">
        <v>38</v>
      </c>
      <c r="X10" s="13" t="s">
        <v>39</v>
      </c>
      <c r="Y10" s="13" t="s">
        <v>40</v>
      </c>
      <c r="Z10" s="13" t="s">
        <v>41</v>
      </c>
      <c r="AA10" s="13" t="s">
        <v>42</v>
      </c>
      <c r="AB10" s="13" t="s">
        <v>43</v>
      </c>
      <c r="AC10" s="13" t="s">
        <v>44</v>
      </c>
      <c r="AD10" s="13" t="s">
        <v>45</v>
      </c>
      <c r="AE10" s="13" t="s">
        <v>46</v>
      </c>
      <c r="AF10" s="13" t="s">
        <v>19</v>
      </c>
      <c r="AG10" s="13" t="s">
        <v>69</v>
      </c>
      <c r="AH10" s="13" t="s">
        <v>15</v>
      </c>
      <c r="AI10" s="13"/>
      <c r="AJ10" s="13" t="s">
        <v>223</v>
      </c>
      <c r="AK10" s="13" t="s">
        <v>21</v>
      </c>
    </row>
    <row r="11" spans="1:37" ht="19.5">
      <c r="A11" s="16" t="s">
        <v>2</v>
      </c>
      <c r="B11" s="127" t="s">
        <v>72</v>
      </c>
      <c r="C11" s="16" t="s">
        <v>0</v>
      </c>
      <c r="D11" s="16" t="s">
        <v>22</v>
      </c>
      <c r="E11" s="16" t="s">
        <v>22</v>
      </c>
      <c r="F11" s="16" t="s">
        <v>22</v>
      </c>
      <c r="G11" s="16" t="s">
        <v>22</v>
      </c>
      <c r="H11" s="16" t="s">
        <v>22</v>
      </c>
      <c r="I11" s="16" t="s">
        <v>22</v>
      </c>
      <c r="J11" s="16" t="s">
        <v>22</v>
      </c>
      <c r="K11" s="16" t="s">
        <v>22</v>
      </c>
      <c r="L11" s="16" t="s">
        <v>22</v>
      </c>
      <c r="M11" s="16" t="s">
        <v>22</v>
      </c>
      <c r="N11" s="16" t="s">
        <v>22</v>
      </c>
      <c r="O11" s="16" t="s">
        <v>22</v>
      </c>
      <c r="P11" s="16" t="s">
        <v>22</v>
      </c>
      <c r="Q11" s="16" t="s">
        <v>22</v>
      </c>
      <c r="R11" s="16" t="s">
        <v>22</v>
      </c>
      <c r="S11" s="16" t="s">
        <v>22</v>
      </c>
      <c r="T11" s="16" t="s">
        <v>22</v>
      </c>
      <c r="U11" s="16" t="s">
        <v>22</v>
      </c>
      <c r="V11" s="16" t="s">
        <v>22</v>
      </c>
      <c r="W11" s="16" t="s">
        <v>22</v>
      </c>
      <c r="X11" s="16" t="s">
        <v>22</v>
      </c>
      <c r="Y11" s="16" t="s">
        <v>22</v>
      </c>
      <c r="Z11" s="16" t="s">
        <v>22</v>
      </c>
      <c r="AA11" s="16" t="s">
        <v>22</v>
      </c>
      <c r="AB11" s="16" t="s">
        <v>22</v>
      </c>
      <c r="AC11" s="16" t="s">
        <v>22</v>
      </c>
      <c r="AD11" s="16" t="s">
        <v>22</v>
      </c>
      <c r="AE11" s="16" t="s">
        <v>22</v>
      </c>
      <c r="AF11" s="16" t="s">
        <v>23</v>
      </c>
      <c r="AG11" s="16" t="s">
        <v>70</v>
      </c>
      <c r="AH11" s="16" t="s">
        <v>23</v>
      </c>
      <c r="AI11" s="16" t="s">
        <v>24</v>
      </c>
      <c r="AJ11" s="128">
        <f>0.2495</f>
        <v>0.2495</v>
      </c>
      <c r="AK11" s="16" t="s">
        <v>25</v>
      </c>
    </row>
    <row r="12" spans="1:37" ht="15">
      <c r="A12" s="16"/>
      <c r="B12" s="129" t="s">
        <v>227</v>
      </c>
      <c r="C12" s="13" t="s">
        <v>228</v>
      </c>
      <c r="D12" s="129" t="s">
        <v>229</v>
      </c>
      <c r="E12" s="129" t="s">
        <v>230</v>
      </c>
      <c r="F12" s="129" t="s">
        <v>231</v>
      </c>
      <c r="G12" s="129" t="s">
        <v>232</v>
      </c>
      <c r="H12" s="129" t="s">
        <v>233</v>
      </c>
      <c r="I12" s="129" t="s">
        <v>234</v>
      </c>
      <c r="J12" s="129" t="e">
        <f aca="true" t="shared" si="1" ref="J12:AE12">+I12-1</f>
        <v>#VALUE!</v>
      </c>
      <c r="K12" s="129" t="e">
        <f t="shared" si="1"/>
        <v>#VALUE!</v>
      </c>
      <c r="L12" s="129" t="e">
        <f t="shared" si="1"/>
        <v>#VALUE!</v>
      </c>
      <c r="M12" s="129" t="e">
        <f t="shared" si="1"/>
        <v>#VALUE!</v>
      </c>
      <c r="N12" s="129" t="e">
        <f t="shared" si="1"/>
        <v>#VALUE!</v>
      </c>
      <c r="O12" s="129" t="e">
        <f t="shared" si="1"/>
        <v>#VALUE!</v>
      </c>
      <c r="P12" s="129" t="e">
        <f t="shared" si="1"/>
        <v>#VALUE!</v>
      </c>
      <c r="Q12" s="129" t="e">
        <f t="shared" si="1"/>
        <v>#VALUE!</v>
      </c>
      <c r="R12" s="129" t="e">
        <f>+Q12-1</f>
        <v>#VALUE!</v>
      </c>
      <c r="S12" s="129" t="e">
        <f t="shared" si="1"/>
        <v>#VALUE!</v>
      </c>
      <c r="T12" s="129" t="e">
        <f t="shared" si="1"/>
        <v>#VALUE!</v>
      </c>
      <c r="U12" s="129" t="e">
        <f t="shared" si="1"/>
        <v>#VALUE!</v>
      </c>
      <c r="V12" s="129" t="e">
        <f t="shared" si="1"/>
        <v>#VALUE!</v>
      </c>
      <c r="W12" s="129" t="e">
        <f t="shared" si="1"/>
        <v>#VALUE!</v>
      </c>
      <c r="X12" s="129" t="e">
        <f t="shared" si="1"/>
        <v>#VALUE!</v>
      </c>
      <c r="Y12" s="129" t="e">
        <f t="shared" si="1"/>
        <v>#VALUE!</v>
      </c>
      <c r="Z12" s="129" t="e">
        <f t="shared" si="1"/>
        <v>#VALUE!</v>
      </c>
      <c r="AA12" s="129" t="e">
        <f t="shared" si="1"/>
        <v>#VALUE!</v>
      </c>
      <c r="AB12" s="129" t="e">
        <f t="shared" si="1"/>
        <v>#VALUE!</v>
      </c>
      <c r="AC12" s="129" t="e">
        <f t="shared" si="1"/>
        <v>#VALUE!</v>
      </c>
      <c r="AD12" s="129" t="e">
        <f t="shared" si="1"/>
        <v>#VALUE!</v>
      </c>
      <c r="AE12" s="129" t="e">
        <f t="shared" si="1"/>
        <v>#VALUE!</v>
      </c>
      <c r="AF12" s="129" t="s">
        <v>235</v>
      </c>
      <c r="AG12" s="129" t="s">
        <v>236</v>
      </c>
      <c r="AH12" s="129" t="s">
        <v>237</v>
      </c>
      <c r="AI12" s="129" t="s">
        <v>238</v>
      </c>
      <c r="AJ12" s="129" t="s">
        <v>239</v>
      </c>
      <c r="AK12" s="129" t="s">
        <v>240</v>
      </c>
    </row>
    <row r="13" spans="1:37" ht="15">
      <c r="A13" s="16"/>
      <c r="B13" s="98"/>
      <c r="C13" s="13"/>
      <c r="D13" s="130" t="s">
        <v>13</v>
      </c>
      <c r="E13" s="130" t="s">
        <v>13</v>
      </c>
      <c r="F13" s="130" t="s">
        <v>13</v>
      </c>
      <c r="G13" s="130" t="s">
        <v>13</v>
      </c>
      <c r="H13" s="130" t="s">
        <v>13</v>
      </c>
      <c r="I13" s="130" t="s">
        <v>13</v>
      </c>
      <c r="J13" s="130" t="s">
        <v>13</v>
      </c>
      <c r="K13" s="130" t="s">
        <v>13</v>
      </c>
      <c r="L13" s="130" t="s">
        <v>13</v>
      </c>
      <c r="M13" s="130" t="s">
        <v>13</v>
      </c>
      <c r="N13" s="130" t="s">
        <v>13</v>
      </c>
      <c r="O13" s="130" t="s">
        <v>13</v>
      </c>
      <c r="P13" s="130" t="s">
        <v>13</v>
      </c>
      <c r="Q13" s="130" t="s">
        <v>13</v>
      </c>
      <c r="R13" s="130" t="s">
        <v>13</v>
      </c>
      <c r="S13" s="130" t="s">
        <v>13</v>
      </c>
      <c r="T13" s="130" t="s">
        <v>13</v>
      </c>
      <c r="U13" s="130" t="s">
        <v>13</v>
      </c>
      <c r="V13" s="130" t="s">
        <v>13</v>
      </c>
      <c r="W13" s="130" t="s">
        <v>13</v>
      </c>
      <c r="X13" s="130" t="s">
        <v>13</v>
      </c>
      <c r="Y13" s="130" t="s">
        <v>13</v>
      </c>
      <c r="Z13" s="130" t="s">
        <v>13</v>
      </c>
      <c r="AA13" s="130" t="s">
        <v>13</v>
      </c>
      <c r="AB13" s="130" t="s">
        <v>13</v>
      </c>
      <c r="AC13" s="130" t="s">
        <v>13</v>
      </c>
      <c r="AD13" s="130" t="s">
        <v>13</v>
      </c>
      <c r="AE13" s="130" t="s">
        <v>13</v>
      </c>
      <c r="AF13" s="130" t="s">
        <v>13</v>
      </c>
      <c r="AG13" s="13" t="s">
        <v>13</v>
      </c>
      <c r="AH13" s="130" t="s">
        <v>13</v>
      </c>
      <c r="AI13" s="130" t="s">
        <v>13</v>
      </c>
      <c r="AJ13" s="130" t="s">
        <v>13</v>
      </c>
      <c r="AK13" s="130" t="s">
        <v>13</v>
      </c>
    </row>
    <row r="14" spans="1:31" ht="15">
      <c r="A14" s="16"/>
      <c r="B14" s="131"/>
      <c r="C14" s="132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4" ht="16.5">
      <c r="A15" s="32">
        <v>1</v>
      </c>
      <c r="B15" s="133" t="s">
        <v>95</v>
      </c>
      <c r="C15" s="132"/>
      <c r="D15" s="134">
        <f>'6.1 ADIT Calcluated p.2'!D14+'6.1 ADIT Calcluated p.3'!D14</f>
        <v>41642524.00000001</v>
      </c>
      <c r="E15" s="134">
        <f>'6.1 ADIT Calcluated p.2'!E14+'6.1 ADIT Calcluated p.3'!E14</f>
        <v>40243164</v>
      </c>
      <c r="F15" s="134">
        <f>'6.1 ADIT Calcluated p.2'!F14+'6.1 ADIT Calcluated p.3'!F14</f>
        <v>0</v>
      </c>
      <c r="G15" s="134">
        <f>'6.1 ADIT Calcluated p.2'!G14+'6.1 ADIT Calcluated p.3'!G14</f>
        <v>0</v>
      </c>
      <c r="H15" s="134">
        <f>'6.1 ADIT Calcluated p.2'!H14+'6.1 ADIT Calcluated p.3'!H14</f>
        <v>0</v>
      </c>
      <c r="I15" s="134">
        <f>'6.1 ADIT Calcluated p.2'!I14+'6.1 ADIT Calcluated p.3'!I14</f>
        <v>0</v>
      </c>
      <c r="J15" s="134" t="e">
        <f>'6.1 ADIT Calcluated p.2'!J14+'6.1 ADIT Calcluated p.3'!J14</f>
        <v>#REF!</v>
      </c>
      <c r="K15" s="134" t="e">
        <f>'6.1 ADIT Calcluated p.2'!K14+'6.1 ADIT Calcluated p.3'!K14</f>
        <v>#REF!</v>
      </c>
      <c r="L15" s="134" t="e">
        <f>'6.1 ADIT Calcluated p.2'!L14+'6.1 ADIT Calcluated p.3'!L14</f>
        <v>#REF!</v>
      </c>
      <c r="M15" s="134" t="e">
        <f>'6.1 ADIT Calcluated p.2'!M14+'6.1 ADIT Calcluated p.3'!M14</f>
        <v>#REF!</v>
      </c>
      <c r="N15" s="134" t="e">
        <f>'6.1 ADIT Calcluated p.2'!N14+'6.1 ADIT Calcluated p.3'!N14</f>
        <v>#REF!</v>
      </c>
      <c r="O15" s="134" t="e">
        <f>'6.1 ADIT Calcluated p.2'!O14+'6.1 ADIT Calcluated p.3'!O14</f>
        <v>#REF!</v>
      </c>
      <c r="P15" s="134" t="e">
        <f>'6.1 ADIT Calcluated p.2'!P14+'6.1 ADIT Calcluated p.3'!P14</f>
        <v>#REF!</v>
      </c>
      <c r="Q15" s="134" t="e">
        <f>'6.1 ADIT Calcluated p.2'!Q14+'6.1 ADIT Calcluated p.3'!Q14</f>
        <v>#REF!</v>
      </c>
      <c r="R15" s="134" t="e">
        <f>'6.1 ADIT Calcluated p.2'!R14+'6.1 ADIT Calcluated p.3'!R14</f>
        <v>#REF!</v>
      </c>
      <c r="S15" s="134" t="e">
        <f>'6.1 ADIT Calcluated p.2'!S14+'6.1 ADIT Calcluated p.3'!S14</f>
        <v>#REF!</v>
      </c>
      <c r="T15" s="134" t="e">
        <f>'6.1 ADIT Calcluated p.2'!T14+'6.1 ADIT Calcluated p.3'!T14</f>
        <v>#REF!</v>
      </c>
      <c r="U15" s="134" t="e">
        <f>'6.1 ADIT Calcluated p.2'!U14+'6.1 ADIT Calcluated p.3'!U14</f>
        <v>#REF!</v>
      </c>
      <c r="V15" s="134" t="e">
        <f>'6.1 ADIT Calcluated p.2'!V14+'6.1 ADIT Calcluated p.3'!V14</f>
        <v>#REF!</v>
      </c>
      <c r="W15" s="134" t="e">
        <f>'6.1 ADIT Calcluated p.2'!W14+'6.1 ADIT Calcluated p.3'!W14</f>
        <v>#REF!</v>
      </c>
      <c r="X15" s="134" t="e">
        <f>'6.1 ADIT Calcluated p.2'!X14+'6.1 ADIT Calcluated p.3'!X14</f>
        <v>#REF!</v>
      </c>
      <c r="Y15" s="134" t="e">
        <f>'6.1 ADIT Calcluated p.2'!Y14+'6.1 ADIT Calcluated p.3'!Y14</f>
        <v>#REF!</v>
      </c>
      <c r="Z15" s="134" t="e">
        <f>'6.1 ADIT Calcluated p.2'!Z14+'6.1 ADIT Calcluated p.3'!Z14</f>
        <v>#REF!</v>
      </c>
      <c r="AA15" s="134" t="e">
        <f>'6.1 ADIT Calcluated p.2'!AA14+'6.1 ADIT Calcluated p.3'!AA14</f>
        <v>#REF!</v>
      </c>
      <c r="AB15" s="134" t="e">
        <f>'6.1 ADIT Calcluated p.2'!AB14+'6.1 ADIT Calcluated p.3'!AB14</f>
        <v>#REF!</v>
      </c>
      <c r="AC15" s="134" t="e">
        <f>'6.1 ADIT Calcluated p.2'!AC14+'6.1 ADIT Calcluated p.3'!AC14</f>
        <v>#REF!</v>
      </c>
      <c r="AD15" s="134" t="e">
        <f>'6.1 ADIT Calcluated p.2'!AD14+'6.1 ADIT Calcluated p.3'!AD14</f>
        <v>#REF!</v>
      </c>
      <c r="AE15" s="134" t="e">
        <f>'6.1 ADIT Calcluated p.2'!AE14+'6.1 ADIT Calcluated p.3'!AE14</f>
        <v>#REF!</v>
      </c>
      <c r="AH15" s="58"/>
    </row>
    <row r="16" spans="1:33" ht="13.5" customHeight="1">
      <c r="A16" s="16"/>
      <c r="B16" s="131"/>
      <c r="C16" s="132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</row>
    <row r="17" spans="1:35" ht="13.5" customHeight="1">
      <c r="A17" s="32">
        <f>A15+1</f>
        <v>2</v>
      </c>
      <c r="B17" s="133"/>
      <c r="C17" s="132"/>
      <c r="D17" s="135"/>
      <c r="E17" s="135"/>
      <c r="F17" s="135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I17" s="58"/>
    </row>
    <row r="18" spans="2:33" ht="13.5" customHeight="1">
      <c r="B18" s="133"/>
      <c r="C18" s="132"/>
      <c r="D18" s="135"/>
      <c r="E18" s="135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</row>
    <row r="19" spans="1:37" ht="15">
      <c r="A19" s="32">
        <f>A17+1</f>
        <v>3</v>
      </c>
      <c r="B19" s="136">
        <v>0.03750000000000009</v>
      </c>
      <c r="C19" s="32">
        <v>1</v>
      </c>
      <c r="D19" s="57">
        <f>'6.1 ADIT Calcluated p.2'!D18+'6.1 ADIT Calcluated p.3'!D18</f>
        <v>10858136</v>
      </c>
      <c r="E19" s="57"/>
      <c r="AF19" s="57">
        <f>'6.1 ADIT Calcluated p.2'!AF18+'6.1 ADIT Calcluated p.3'!AF18</f>
        <v>10858136</v>
      </c>
      <c r="AG19" s="57">
        <f>'6.1 ADIT Calcluated p.2'!AG18+'6.1 ADIT Calcluated p.3'!AG18</f>
        <v>2144338.0000000005</v>
      </c>
      <c r="AH19" s="57">
        <f>'6.1 ADIT Calcluated p.2'!AH18+'6.1 ADIT Calcluated p.3'!AH18</f>
        <v>295323.47500000003</v>
      </c>
      <c r="AI19" s="57">
        <f>'6.1 ADIT Calcluated p.2'!AI18+'6.1 ADIT Calcluated p.3'!AI18</f>
        <v>12707150.525</v>
      </c>
      <c r="AJ19" s="57">
        <f>+'6.1 ADIT Calcluated p.2'!AJ18+'6.1 ADIT Calcluated p.3'!AJ18</f>
        <v>3170434</v>
      </c>
      <c r="AK19" s="57">
        <f>+'6.1 ADIT Calcluated p.2'!AK18+'6.1 ADIT Calcluated p.3'!AK18</f>
        <v>3170434</v>
      </c>
    </row>
    <row r="20" spans="1:37" ht="15">
      <c r="A20" s="32">
        <f>A19+1</f>
        <v>4</v>
      </c>
      <c r="B20" s="136">
        <v>0.07219</v>
      </c>
      <c r="C20" s="32">
        <f>+C19+1</f>
        <v>2</v>
      </c>
      <c r="D20" s="57">
        <f>'6.1 ADIT Calcluated p.2'!D19+'6.1 ADIT Calcluated p.3'!D19</f>
        <v>2308909</v>
      </c>
      <c r="E20" s="57">
        <f>'6.1 ADIT Calcluated p.2'!E19+'6.1 ADIT Calcluated p.3'!E19</f>
        <v>14176635</v>
      </c>
      <c r="F20" s="57">
        <f>'6.1 ADIT Calcluated p.2'!F19+'6.1 ADIT Calcluated p.3'!F20</f>
        <v>0</v>
      </c>
      <c r="AF20" s="57">
        <f>'6.1 ADIT Calcluated p.2'!AF19+'6.1 ADIT Calcluated p.3'!AF19</f>
        <v>16485544</v>
      </c>
      <c r="AG20" s="57">
        <f>'6.1 ADIT Calcluated p.2'!AG19+'6.1 ADIT Calcluated p.3'!AG19</f>
        <v>2860507.0000000005</v>
      </c>
      <c r="AH20" s="57">
        <f>'6.1 ADIT Calcluated p.2'!AH19+'6.1 ADIT Calcluated p.3'!AH19</f>
        <v>1278087.4820000003</v>
      </c>
      <c r="AI20" s="57">
        <f>'6.1 ADIT Calcluated p.2'!AI19+'6.1 ADIT Calcluated p.3'!AI19</f>
        <v>18067963.518</v>
      </c>
      <c r="AJ20" s="57">
        <f>+'6.1 ADIT Calcluated p.2'!AJ19+'6.1 ADIT Calcluated p.3'!AJ19</f>
        <v>4507957</v>
      </c>
      <c r="AK20" s="57">
        <f>+'6.1 ADIT Calcluated p.2'!AK19+'6.1 ADIT Calcluated p.3'!AK19</f>
        <v>7678391</v>
      </c>
    </row>
    <row r="21" spans="1:37" ht="15">
      <c r="A21" s="32">
        <f aca="true" t="shared" si="2" ref="A21:A44">A20+1</f>
        <v>5</v>
      </c>
      <c r="B21" s="136">
        <v>0.06677</v>
      </c>
      <c r="C21" s="32">
        <f aca="true" t="shared" si="3" ref="C21:C42">+C20+1</f>
        <v>3</v>
      </c>
      <c r="D21" s="57">
        <f>'6.1 ADIT Calcluated p.2'!D20+'6.1 ADIT Calcluated p.3'!D20</f>
        <v>2135557</v>
      </c>
      <c r="E21" s="57">
        <f>'6.1 ADIT Calcluated p.2'!E20+'6.1 ADIT Calcluated p.3'!E20</f>
        <v>1955058</v>
      </c>
      <c r="F21" s="57">
        <f>'6.1 ADIT Calcluated p.2'!F20+'6.1 ADIT Calcluated p.3'!F21</f>
        <v>0</v>
      </c>
      <c r="G21" s="57">
        <f>'6.1 ADIT Calcluated p.2'!G20+'6.1 ADIT Calcluated p.3'!G20</f>
        <v>0</v>
      </c>
      <c r="AF21" s="57">
        <f>'6.1 ADIT Calcluated p.2'!AF20+'6.1 ADIT Calcluated p.3'!AF20</f>
        <v>4090615</v>
      </c>
      <c r="AG21" s="57">
        <f>'6.1 ADIT Calcluated p.2'!AG20+'6.1 ADIT Calcluated p.3'!AG20</f>
        <v>0</v>
      </c>
      <c r="AH21" s="57">
        <f>'6.1 ADIT Calcluated p.2'!AH20+'6.1 ADIT Calcluated p.3'!AH20</f>
        <v>0</v>
      </c>
      <c r="AI21" s="57">
        <f>'6.1 ADIT Calcluated p.2'!AI20+'6.1 ADIT Calcluated p.3'!AI20</f>
        <v>0</v>
      </c>
      <c r="AJ21" s="57">
        <f>+'6.1 ADIT Calcluated p.2'!AJ20+'6.1 ADIT Calcluated p.3'!AJ20</f>
        <v>0</v>
      </c>
      <c r="AK21" s="57">
        <f>+'6.1 ADIT Calcluated p.2'!AK20+'6.1 ADIT Calcluated p.3'!AK20</f>
        <v>0</v>
      </c>
    </row>
    <row r="22" spans="1:37" ht="15">
      <c r="A22" s="32">
        <f t="shared" si="2"/>
        <v>6</v>
      </c>
      <c r="B22" s="136">
        <v>0.06177</v>
      </c>
      <c r="C22" s="32">
        <f t="shared" si="3"/>
        <v>4</v>
      </c>
      <c r="D22" s="57">
        <f>'6.1 ADIT Calcluated p.2'!D21+'6.1 ADIT Calcluated p.3'!D21</f>
        <v>1975638</v>
      </c>
      <c r="E22" s="57">
        <f>'6.1 ADIT Calcluated p.2'!E21+'6.1 ADIT Calcluated p.3'!E21</f>
        <v>1808273</v>
      </c>
      <c r="F22" s="57">
        <f>'6.1 ADIT Calcluated p.2'!F21+'6.1 ADIT Calcluated p.3'!F22</f>
        <v>0</v>
      </c>
      <c r="G22" s="57">
        <f>'6.1 ADIT Calcluated p.2'!G21+'6.1 ADIT Calcluated p.3'!G21</f>
        <v>0</v>
      </c>
      <c r="H22" s="57">
        <f>'6.1 ADIT Calcluated p.2'!H21+'6.1 ADIT Calcluated p.3'!H21</f>
        <v>0</v>
      </c>
      <c r="AF22" s="57">
        <f>'6.1 ADIT Calcluated p.2'!AF21+'6.1 ADIT Calcluated p.3'!AF21</f>
        <v>3783911</v>
      </c>
      <c r="AG22" s="57">
        <f>'6.1 ADIT Calcluated p.2'!AG21+'6.1 ADIT Calcluated p.3'!AG21</f>
        <v>0</v>
      </c>
      <c r="AH22" s="57">
        <f>'6.1 ADIT Calcluated p.2'!AH21+'6.1 ADIT Calcluated p.3'!AH21</f>
        <v>0</v>
      </c>
      <c r="AI22" s="57">
        <f>'6.1 ADIT Calcluated p.2'!AI21+'6.1 ADIT Calcluated p.3'!AI21</f>
        <v>0</v>
      </c>
      <c r="AJ22" s="57">
        <f>+'6.1 ADIT Calcluated p.2'!AJ21+'6.1 ADIT Calcluated p.3'!AJ21</f>
        <v>0</v>
      </c>
      <c r="AK22" s="57">
        <f>+'6.1 ADIT Calcluated p.2'!AK21+'6.1 ADIT Calcluated p.3'!AK21</f>
        <v>0</v>
      </c>
    </row>
    <row r="23" spans="1:37" ht="15">
      <c r="A23" s="32">
        <f t="shared" si="2"/>
        <v>7</v>
      </c>
      <c r="B23" s="136">
        <v>0.05713</v>
      </c>
      <c r="C23" s="32">
        <f t="shared" si="3"/>
        <v>5</v>
      </c>
      <c r="D23" s="57">
        <f>'6.1 ADIT Calcluated p.2'!D22+'6.1 ADIT Calcluated p.3'!D22</f>
        <v>1827233</v>
      </c>
      <c r="E23" s="57">
        <f>'6.1 ADIT Calcluated p.2'!E22+'6.1 ADIT Calcluated p.3'!E22</f>
        <v>1672862</v>
      </c>
      <c r="F23" s="57">
        <f>'6.1 ADIT Calcluated p.2'!F22+'6.1 ADIT Calcluated p.3'!F23</f>
        <v>0</v>
      </c>
      <c r="G23" s="57">
        <f>'6.1 ADIT Calcluated p.2'!G22+'6.1 ADIT Calcluated p.3'!G22</f>
        <v>0</v>
      </c>
      <c r="H23" s="57">
        <f>'6.1 ADIT Calcluated p.2'!H22+'6.1 ADIT Calcluated p.3'!H22</f>
        <v>0</v>
      </c>
      <c r="I23" s="57">
        <f>'6.1 ADIT Calcluated p.2'!I22+'6.1 ADIT Calcluated p.3'!I22</f>
        <v>0</v>
      </c>
      <c r="AF23" s="57">
        <f>'6.1 ADIT Calcluated p.2'!AF22+'6.1 ADIT Calcluated p.3'!AF22</f>
        <v>3500095</v>
      </c>
      <c r="AG23" s="57">
        <f>'6.1 ADIT Calcluated p.2'!AG22+'6.1 ADIT Calcluated p.3'!AG22</f>
        <v>0</v>
      </c>
      <c r="AH23" s="57">
        <f>'6.1 ADIT Calcluated p.2'!AH22+'6.1 ADIT Calcluated p.3'!AH22</f>
        <v>0</v>
      </c>
      <c r="AI23" s="57">
        <f>'6.1 ADIT Calcluated p.2'!AI22+'6.1 ADIT Calcluated p.3'!AI22</f>
        <v>0</v>
      </c>
      <c r="AJ23" s="57">
        <f>+'6.1 ADIT Calcluated p.2'!AJ22+'6.1 ADIT Calcluated p.3'!AJ22</f>
        <v>0</v>
      </c>
      <c r="AK23" s="57">
        <f>+'6.1 ADIT Calcluated p.2'!AK22+'6.1 ADIT Calcluated p.3'!AK22</f>
        <v>0</v>
      </c>
    </row>
    <row r="24" spans="1:37" ht="15">
      <c r="A24" s="32">
        <f t="shared" si="2"/>
        <v>8</v>
      </c>
      <c r="B24" s="136">
        <v>0.05285</v>
      </c>
      <c r="C24" s="32">
        <f t="shared" si="3"/>
        <v>6</v>
      </c>
      <c r="D24" s="57">
        <f>'6.1 ADIT Calcluated p.2'!D23+'6.1 ADIT Calcluated p.3'!D23</f>
        <v>1690343</v>
      </c>
      <c r="E24" s="57">
        <f>'6.1 ADIT Calcluated p.2'!E23+'6.1 ADIT Calcluated p.3'!E23</f>
        <v>1547201</v>
      </c>
      <c r="F24" s="57">
        <f>'6.1 ADIT Calcluated p.2'!F23+'6.1 ADIT Calcluated p.3'!F24</f>
        <v>0</v>
      </c>
      <c r="G24" s="57">
        <f>'6.1 ADIT Calcluated p.2'!G23+'6.1 ADIT Calcluated p.3'!G23</f>
        <v>0</v>
      </c>
      <c r="H24" s="57">
        <f>'6.1 ADIT Calcluated p.2'!H23+'6.1 ADIT Calcluated p.3'!H23</f>
        <v>0</v>
      </c>
      <c r="I24" s="57">
        <f>'6.1 ADIT Calcluated p.2'!I23+'6.1 ADIT Calcluated p.3'!I23</f>
        <v>0</v>
      </c>
      <c r="AF24" s="57">
        <f>'6.1 ADIT Calcluated p.2'!AF23+'6.1 ADIT Calcluated p.3'!AF23</f>
        <v>3237544</v>
      </c>
      <c r="AG24" s="57"/>
      <c r="AH24" s="57">
        <v>0</v>
      </c>
      <c r="AI24" s="57">
        <f>'6.1 ADIT Calcluated p.2'!AI23+'6.1 ADIT Calcluated p.3'!AI23</f>
        <v>0</v>
      </c>
      <c r="AJ24" s="57">
        <f>+'6.1 ADIT Calcluated p.2'!AJ23+'6.1 ADIT Calcluated p.3'!AJ23</f>
        <v>0</v>
      </c>
      <c r="AK24" s="57">
        <f>+'6.1 ADIT Calcluated p.2'!AK23+'6.1 ADIT Calcluated p.3'!AK23</f>
        <v>0</v>
      </c>
    </row>
    <row r="25" spans="1:37" ht="15">
      <c r="A25" s="32">
        <f t="shared" si="2"/>
        <v>9</v>
      </c>
      <c r="B25" s="136">
        <v>0.04888</v>
      </c>
      <c r="C25" s="32">
        <f t="shared" si="3"/>
        <v>7</v>
      </c>
      <c r="D25" s="57">
        <f>'6.1 ADIT Calcluated p.2'!D24+'6.1 ADIT Calcluated p.3'!D24</f>
        <v>1563368</v>
      </c>
      <c r="E25" s="57">
        <f>'6.1 ADIT Calcluated p.2'!E24+'6.1 ADIT Calcluated p.3'!E24</f>
        <v>1431289</v>
      </c>
      <c r="F25" s="57">
        <f>'6.1 ADIT Calcluated p.2'!F24+'6.1 ADIT Calcluated p.3'!F25</f>
        <v>0</v>
      </c>
      <c r="G25" s="57">
        <f>'6.1 ADIT Calcluated p.2'!G24+'6.1 ADIT Calcluated p.3'!G24</f>
        <v>0</v>
      </c>
      <c r="H25" s="57">
        <f>'6.1 ADIT Calcluated p.2'!H24+'6.1 ADIT Calcluated p.3'!H24</f>
        <v>0</v>
      </c>
      <c r="I25" s="57">
        <f>'6.1 ADIT Calcluated p.2'!I24+'6.1 ADIT Calcluated p.3'!I24</f>
        <v>0</v>
      </c>
      <c r="AF25" s="57">
        <f>'6.1 ADIT Calcluated p.2'!AF24+'6.1 ADIT Calcluated p.3'!AF24</f>
        <v>2994657</v>
      </c>
      <c r="AG25" s="57"/>
      <c r="AH25" s="57">
        <v>0</v>
      </c>
      <c r="AI25" s="57">
        <f>'6.1 ADIT Calcluated p.2'!AI24+'6.1 ADIT Calcluated p.3'!AI24</f>
        <v>0</v>
      </c>
      <c r="AJ25" s="57">
        <f>+'6.1 ADIT Calcluated p.2'!AJ24+'6.1 ADIT Calcluated p.3'!AJ24</f>
        <v>0</v>
      </c>
      <c r="AK25" s="57">
        <f>+'6.1 ADIT Calcluated p.2'!AK24+'6.1 ADIT Calcluated p.3'!AK24</f>
        <v>0</v>
      </c>
    </row>
    <row r="26" spans="1:37" ht="15">
      <c r="A26" s="32">
        <f t="shared" si="2"/>
        <v>10</v>
      </c>
      <c r="B26" s="136">
        <v>0.04522</v>
      </c>
      <c r="C26" s="32">
        <f t="shared" si="3"/>
        <v>8</v>
      </c>
      <c r="D26" s="57">
        <f>'6.1 ADIT Calcluated p.2'!D25+'6.1 ADIT Calcluated p.3'!D25</f>
        <v>1446307</v>
      </c>
      <c r="E26" s="57">
        <f>'6.1 ADIT Calcluated p.2'!E25+'6.1 ADIT Calcluated p.3'!E25</f>
        <v>1323774</v>
      </c>
      <c r="F26" s="57">
        <f>'6.1 ADIT Calcluated p.2'!F25+'6.1 ADIT Calcluated p.3'!F26</f>
        <v>0</v>
      </c>
      <c r="G26" s="57">
        <f>'6.1 ADIT Calcluated p.2'!G25+'6.1 ADIT Calcluated p.3'!G25</f>
        <v>0</v>
      </c>
      <c r="H26" s="57">
        <f>'6.1 ADIT Calcluated p.2'!H25+'6.1 ADIT Calcluated p.3'!H25</f>
        <v>0</v>
      </c>
      <c r="I26" s="57">
        <f>'6.1 ADIT Calcluated p.2'!I25+'6.1 ADIT Calcluated p.3'!I25</f>
        <v>0</v>
      </c>
      <c r="AF26" s="57">
        <f>'6.1 ADIT Calcluated p.2'!AF25+'6.1 ADIT Calcluated p.3'!AF25</f>
        <v>2770081</v>
      </c>
      <c r="AG26" s="57"/>
      <c r="AH26" s="57">
        <v>0</v>
      </c>
      <c r="AI26" s="57">
        <f>'6.1 ADIT Calcluated p.2'!AI25+'6.1 ADIT Calcluated p.3'!AI25</f>
        <v>0</v>
      </c>
      <c r="AJ26" s="57">
        <f>+'6.1 ADIT Calcluated p.2'!AJ25+'6.1 ADIT Calcluated p.3'!AJ25</f>
        <v>0</v>
      </c>
      <c r="AK26" s="57">
        <f>+'6.1 ADIT Calcluated p.2'!AK25+'6.1 ADIT Calcluated p.3'!AK25</f>
        <v>0</v>
      </c>
    </row>
    <row r="27" spans="1:37" ht="15">
      <c r="A27" s="32">
        <f t="shared" si="2"/>
        <v>11</v>
      </c>
      <c r="B27" s="136">
        <v>0.04462</v>
      </c>
      <c r="C27" s="32">
        <f t="shared" si="3"/>
        <v>9</v>
      </c>
      <c r="D27" s="57">
        <f>'6.1 ADIT Calcluated p.2'!D26+'6.1 ADIT Calcluated p.3'!D26</f>
        <v>1427116</v>
      </c>
      <c r="E27" s="57">
        <f>'6.1 ADIT Calcluated p.2'!E26+'6.1 ADIT Calcluated p.3'!E26</f>
        <v>1224653</v>
      </c>
      <c r="F27" s="57">
        <f>'6.1 ADIT Calcluated p.2'!F26+'6.1 ADIT Calcluated p.3'!F27</f>
        <v>0</v>
      </c>
      <c r="G27" s="57">
        <f>'6.1 ADIT Calcluated p.2'!G26+'6.1 ADIT Calcluated p.3'!G26</f>
        <v>0</v>
      </c>
      <c r="H27" s="57">
        <f>'6.1 ADIT Calcluated p.2'!H26+'6.1 ADIT Calcluated p.3'!H26</f>
        <v>0</v>
      </c>
      <c r="I27" s="57">
        <f>'6.1 ADIT Calcluated p.2'!I26+'6.1 ADIT Calcluated p.3'!I26</f>
        <v>0</v>
      </c>
      <c r="J27" s="57"/>
      <c r="AF27" s="57">
        <f>'6.1 ADIT Calcluated p.2'!AF26+'6.1 ADIT Calcluated p.3'!AF26</f>
        <v>2651769</v>
      </c>
      <c r="AG27" s="57"/>
      <c r="AH27" s="57">
        <v>0</v>
      </c>
      <c r="AI27" s="57">
        <f>'6.1 ADIT Calcluated p.2'!AI26+'6.1 ADIT Calcluated p.3'!AI26</f>
        <v>0</v>
      </c>
      <c r="AJ27" s="57">
        <f>+'6.1 ADIT Calcluated p.2'!AJ26+'6.1 ADIT Calcluated p.3'!AJ26</f>
        <v>0</v>
      </c>
      <c r="AK27" s="57">
        <f>+'6.1 ADIT Calcluated p.2'!AK26+'6.1 ADIT Calcluated p.3'!AK26</f>
        <v>0</v>
      </c>
    </row>
    <row r="28" spans="1:37" ht="15">
      <c r="A28" s="32">
        <f t="shared" si="2"/>
        <v>12</v>
      </c>
      <c r="B28" s="136">
        <v>0.04461</v>
      </c>
      <c r="C28" s="32">
        <f t="shared" si="3"/>
        <v>10</v>
      </c>
      <c r="D28" s="57">
        <f>'6.1 ADIT Calcluated p.2'!D27+'6.1 ADIT Calcluated p.3'!D27</f>
        <v>1426797</v>
      </c>
      <c r="E28" s="57">
        <f>'6.1 ADIT Calcluated p.2'!E27+'6.1 ADIT Calcluated p.3'!E27</f>
        <v>1208404</v>
      </c>
      <c r="F28" s="57">
        <f>'6.1 ADIT Calcluated p.2'!F27+'6.1 ADIT Calcluated p.3'!F28</f>
        <v>0</v>
      </c>
      <c r="G28" s="57">
        <f>'6.1 ADIT Calcluated p.2'!G27+'6.1 ADIT Calcluated p.3'!G27</f>
        <v>0</v>
      </c>
      <c r="H28" s="57">
        <f>'6.1 ADIT Calcluated p.2'!H27+'6.1 ADIT Calcluated p.3'!H27</f>
        <v>0</v>
      </c>
      <c r="I28" s="57">
        <f>'6.1 ADIT Calcluated p.2'!I27+'6.1 ADIT Calcluated p.3'!I27</f>
        <v>0</v>
      </c>
      <c r="J28" s="57"/>
      <c r="K28" s="57"/>
      <c r="AF28" s="57">
        <f>'6.1 ADIT Calcluated p.2'!AF27+'6.1 ADIT Calcluated p.3'!AF27</f>
        <v>2635201</v>
      </c>
      <c r="AG28" s="57"/>
      <c r="AH28" s="57">
        <v>0</v>
      </c>
      <c r="AI28" s="57">
        <f>'6.1 ADIT Calcluated p.2'!AI27+'6.1 ADIT Calcluated p.3'!AI27</f>
        <v>0</v>
      </c>
      <c r="AJ28" s="57">
        <f>+'6.1 ADIT Calcluated p.2'!AJ27+'6.1 ADIT Calcluated p.3'!AJ27</f>
        <v>0</v>
      </c>
      <c r="AK28" s="57">
        <f>+'6.1 ADIT Calcluated p.2'!AK27+'6.1 ADIT Calcluated p.3'!AK27</f>
        <v>0</v>
      </c>
    </row>
    <row r="29" spans="1:37" ht="15">
      <c r="A29" s="32">
        <f t="shared" si="2"/>
        <v>13</v>
      </c>
      <c r="B29" s="136">
        <v>0.04462</v>
      </c>
      <c r="C29" s="32">
        <f t="shared" si="3"/>
        <v>11</v>
      </c>
      <c r="D29" s="57">
        <f>'6.1 ADIT Calcluated p.2'!D28+'6.1 ADIT Calcluated p.3'!D28</f>
        <v>1427116</v>
      </c>
      <c r="E29" s="57">
        <f>'6.1 ADIT Calcluated p.2'!E28+'6.1 ADIT Calcluated p.3'!E28</f>
        <v>1208133</v>
      </c>
      <c r="F29" s="57">
        <f>'6.1 ADIT Calcluated p.2'!F28+'6.1 ADIT Calcluated p.3'!F29</f>
        <v>0</v>
      </c>
      <c r="G29" s="57">
        <f>'6.1 ADIT Calcluated p.2'!G28+'6.1 ADIT Calcluated p.3'!G28</f>
        <v>0</v>
      </c>
      <c r="H29" s="57">
        <f>'6.1 ADIT Calcluated p.2'!H28+'6.1 ADIT Calcluated p.3'!H28</f>
        <v>0</v>
      </c>
      <c r="I29" s="57">
        <f>'6.1 ADIT Calcluated p.2'!I28+'6.1 ADIT Calcluated p.3'!I28</f>
        <v>0</v>
      </c>
      <c r="J29" s="57"/>
      <c r="K29" s="57"/>
      <c r="L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>
        <f>'6.1 ADIT Calcluated p.2'!AF28+'6.1 ADIT Calcluated p.3'!AF28</f>
        <v>2635249</v>
      </c>
      <c r="AG29" s="57"/>
      <c r="AH29" s="57">
        <v>0</v>
      </c>
      <c r="AI29" s="57">
        <f>'6.1 ADIT Calcluated p.2'!AI28+'6.1 ADIT Calcluated p.3'!AI28</f>
        <v>0</v>
      </c>
      <c r="AJ29" s="57">
        <f>+'6.1 ADIT Calcluated p.2'!AJ28+'6.1 ADIT Calcluated p.3'!AJ28</f>
        <v>0</v>
      </c>
      <c r="AK29" s="57">
        <f>+'6.1 ADIT Calcluated p.2'!AK28+'6.1 ADIT Calcluated p.3'!AK28</f>
        <v>0</v>
      </c>
    </row>
    <row r="30" spans="1:37" ht="15">
      <c r="A30" s="32">
        <f t="shared" si="2"/>
        <v>14</v>
      </c>
      <c r="B30" s="136">
        <v>0.04461</v>
      </c>
      <c r="C30" s="32">
        <f t="shared" si="3"/>
        <v>12</v>
      </c>
      <c r="D30" s="57">
        <f>'6.1 ADIT Calcluated p.2'!D29+'6.1 ADIT Calcluated p.3'!D29</f>
        <v>1426797</v>
      </c>
      <c r="E30" s="57">
        <f>'6.1 ADIT Calcluated p.2'!E29+'6.1 ADIT Calcluated p.3'!E29</f>
        <v>1208404</v>
      </c>
      <c r="F30" s="57">
        <f>'6.1 ADIT Calcluated p.2'!F29+'6.1 ADIT Calcluated p.3'!F30</f>
        <v>0</v>
      </c>
      <c r="G30" s="57">
        <f>'6.1 ADIT Calcluated p.2'!G29+'6.1 ADIT Calcluated p.3'!G29</f>
        <v>0</v>
      </c>
      <c r="H30" s="57">
        <f>'6.1 ADIT Calcluated p.2'!H29+'6.1 ADIT Calcluated p.3'!H29</f>
        <v>0</v>
      </c>
      <c r="I30" s="57">
        <f>'6.1 ADIT Calcluated p.2'!I29+'6.1 ADIT Calcluated p.3'!I29</f>
        <v>0</v>
      </c>
      <c r="J30" s="57"/>
      <c r="K30" s="57"/>
      <c r="L30" s="57"/>
      <c r="M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>
        <f>'6.1 ADIT Calcluated p.2'!AF29+'6.1 ADIT Calcluated p.3'!AF29</f>
        <v>2635201</v>
      </c>
      <c r="AG30" s="57"/>
      <c r="AH30" s="57">
        <v>0</v>
      </c>
      <c r="AI30" s="57">
        <f>'6.1 ADIT Calcluated p.2'!AI29+'6.1 ADIT Calcluated p.3'!AI29</f>
        <v>0</v>
      </c>
      <c r="AJ30" s="57">
        <f>+'6.1 ADIT Calcluated p.2'!AJ29+'6.1 ADIT Calcluated p.3'!AJ29</f>
        <v>0</v>
      </c>
      <c r="AK30" s="57">
        <f>+'6.1 ADIT Calcluated p.2'!AK29+'6.1 ADIT Calcluated p.3'!AK29</f>
        <v>0</v>
      </c>
    </row>
    <row r="31" spans="1:37" ht="15">
      <c r="A31" s="32">
        <f t="shared" si="2"/>
        <v>15</v>
      </c>
      <c r="B31" s="136">
        <v>0.04462</v>
      </c>
      <c r="C31" s="32">
        <f t="shared" si="3"/>
        <v>13</v>
      </c>
      <c r="D31" s="57">
        <f>'6.1 ADIT Calcluated p.2'!D30+'6.1 ADIT Calcluated p.3'!D30</f>
        <v>1427116</v>
      </c>
      <c r="E31" s="57">
        <f>'6.1 ADIT Calcluated p.2'!E30+'6.1 ADIT Calcluated p.3'!E30</f>
        <v>1208133</v>
      </c>
      <c r="F31" s="57">
        <f>'6.1 ADIT Calcluated p.2'!F30+'6.1 ADIT Calcluated p.3'!F31</f>
        <v>0</v>
      </c>
      <c r="G31" s="57">
        <f>'6.1 ADIT Calcluated p.2'!G30+'6.1 ADIT Calcluated p.3'!G30</f>
        <v>0</v>
      </c>
      <c r="H31" s="57">
        <f>'6.1 ADIT Calcluated p.2'!H30+'6.1 ADIT Calcluated p.3'!H30</f>
        <v>0</v>
      </c>
      <c r="I31" s="57">
        <f>'6.1 ADIT Calcluated p.2'!I30+'6.1 ADIT Calcluated p.3'!I30</f>
        <v>0</v>
      </c>
      <c r="J31" s="57"/>
      <c r="K31" s="57"/>
      <c r="L31" s="57"/>
      <c r="M31" s="57"/>
      <c r="N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>
        <f>'6.1 ADIT Calcluated p.2'!AF30+'6.1 ADIT Calcluated p.3'!AF30</f>
        <v>2635249</v>
      </c>
      <c r="AG31" s="57"/>
      <c r="AH31" s="57">
        <v>0</v>
      </c>
      <c r="AI31" s="57">
        <f>'6.1 ADIT Calcluated p.2'!AI30+'6.1 ADIT Calcluated p.3'!AI30</f>
        <v>0</v>
      </c>
      <c r="AJ31" s="57">
        <f>+'6.1 ADIT Calcluated p.2'!AJ30+'6.1 ADIT Calcluated p.3'!AJ30</f>
        <v>0</v>
      </c>
      <c r="AK31" s="57">
        <f>+'6.1 ADIT Calcluated p.2'!AK30+'6.1 ADIT Calcluated p.3'!AK30</f>
        <v>0</v>
      </c>
    </row>
    <row r="32" spans="1:37" ht="15">
      <c r="A32" s="32">
        <f t="shared" si="2"/>
        <v>16</v>
      </c>
      <c r="B32" s="136">
        <v>0.04461</v>
      </c>
      <c r="C32" s="32">
        <f t="shared" si="3"/>
        <v>14</v>
      </c>
      <c r="D32" s="57">
        <f>'6.1 ADIT Calcluated p.2'!D31+'6.1 ADIT Calcluated p.3'!D31</f>
        <v>1426797</v>
      </c>
      <c r="E32" s="57">
        <f>'6.1 ADIT Calcluated p.2'!E31+'6.1 ADIT Calcluated p.3'!E31</f>
        <v>1208404</v>
      </c>
      <c r="F32" s="57">
        <f>'6.1 ADIT Calcluated p.2'!F31+'6.1 ADIT Calcluated p.3'!F32</f>
        <v>0</v>
      </c>
      <c r="G32" s="57">
        <f>'6.1 ADIT Calcluated p.2'!G31+'6.1 ADIT Calcluated p.3'!G31</f>
        <v>0</v>
      </c>
      <c r="H32" s="57">
        <f>'6.1 ADIT Calcluated p.2'!H31+'6.1 ADIT Calcluated p.3'!H31</f>
        <v>0</v>
      </c>
      <c r="I32" s="57">
        <f>'6.1 ADIT Calcluated p.2'!I31+'6.1 ADIT Calcluated p.3'!I31</f>
        <v>0</v>
      </c>
      <c r="J32" s="57"/>
      <c r="K32" s="57"/>
      <c r="L32" s="57"/>
      <c r="M32" s="57"/>
      <c r="N32" s="57"/>
      <c r="O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>
        <f>'6.1 ADIT Calcluated p.2'!AF31+'6.1 ADIT Calcluated p.3'!AF31</f>
        <v>2635201</v>
      </c>
      <c r="AG32" s="57"/>
      <c r="AH32" s="57">
        <v>0</v>
      </c>
      <c r="AI32" s="57">
        <f>'6.1 ADIT Calcluated p.2'!AI31+'6.1 ADIT Calcluated p.3'!AI31</f>
        <v>0</v>
      </c>
      <c r="AJ32" s="57">
        <f>+'6.1 ADIT Calcluated p.2'!AJ31+'6.1 ADIT Calcluated p.3'!AJ31</f>
        <v>0</v>
      </c>
      <c r="AK32" s="57">
        <f>+'6.1 ADIT Calcluated p.2'!AK31+'6.1 ADIT Calcluated p.3'!AK31</f>
        <v>0</v>
      </c>
    </row>
    <row r="33" spans="1:37" ht="15">
      <c r="A33" s="32">
        <f t="shared" si="2"/>
        <v>17</v>
      </c>
      <c r="B33" s="136">
        <v>0.04462</v>
      </c>
      <c r="C33" s="32">
        <f t="shared" si="3"/>
        <v>15</v>
      </c>
      <c r="D33" s="57">
        <f>'6.1 ADIT Calcluated p.2'!D32+'6.1 ADIT Calcluated p.3'!D32</f>
        <v>1427116</v>
      </c>
      <c r="E33" s="57">
        <f>'6.1 ADIT Calcluated p.2'!E32+'6.1 ADIT Calcluated p.3'!E32</f>
        <v>1208133</v>
      </c>
      <c r="F33" s="57">
        <f>'6.1 ADIT Calcluated p.2'!F32+'6.1 ADIT Calcluated p.3'!F33</f>
        <v>0</v>
      </c>
      <c r="G33" s="57">
        <f>'6.1 ADIT Calcluated p.2'!G32+'6.1 ADIT Calcluated p.3'!G32</f>
        <v>0</v>
      </c>
      <c r="H33" s="57">
        <f>'6.1 ADIT Calcluated p.2'!H32+'6.1 ADIT Calcluated p.3'!H32</f>
        <v>0</v>
      </c>
      <c r="I33" s="57">
        <f>'6.1 ADIT Calcluated p.2'!I32+'6.1 ADIT Calcluated p.3'!I32</f>
        <v>0</v>
      </c>
      <c r="J33" s="57"/>
      <c r="K33" s="57"/>
      <c r="L33" s="57"/>
      <c r="M33" s="57"/>
      <c r="N33" s="57"/>
      <c r="O33" s="57"/>
      <c r="P33" s="57"/>
      <c r="AF33" s="57">
        <f>'6.1 ADIT Calcluated p.2'!AF32+'6.1 ADIT Calcluated p.3'!AF32</f>
        <v>2635249</v>
      </c>
      <c r="AG33" s="57"/>
      <c r="AH33" s="57">
        <v>0</v>
      </c>
      <c r="AI33" s="57">
        <f>'6.1 ADIT Calcluated p.2'!AI32+'6.1 ADIT Calcluated p.3'!AI32</f>
        <v>0</v>
      </c>
      <c r="AJ33" s="57">
        <f>+'6.1 ADIT Calcluated p.2'!AJ32+'6.1 ADIT Calcluated p.3'!AJ32</f>
        <v>0</v>
      </c>
      <c r="AK33" s="57">
        <f>+'6.1 ADIT Calcluated p.2'!AK32+'6.1 ADIT Calcluated p.3'!AK32</f>
        <v>0</v>
      </c>
    </row>
    <row r="34" spans="1:37" ht="15">
      <c r="A34" s="32">
        <f t="shared" si="2"/>
        <v>18</v>
      </c>
      <c r="B34" s="136">
        <v>0.04461</v>
      </c>
      <c r="C34" s="32">
        <f t="shared" si="3"/>
        <v>16</v>
      </c>
      <c r="D34" s="57">
        <f>'6.1 ADIT Calcluated p.2'!D33+'6.1 ADIT Calcluated p.3'!D33</f>
        <v>1426797</v>
      </c>
      <c r="E34" s="57">
        <f>'6.1 ADIT Calcluated p.2'!E33+'6.1 ADIT Calcluated p.3'!E33</f>
        <v>1208404</v>
      </c>
      <c r="F34" s="57">
        <f>'6.1 ADIT Calcluated p.2'!F33+'6.1 ADIT Calcluated p.3'!F34</f>
        <v>0</v>
      </c>
      <c r="G34" s="57">
        <f>'6.1 ADIT Calcluated p.2'!G33+'6.1 ADIT Calcluated p.3'!G33</f>
        <v>0</v>
      </c>
      <c r="H34" s="57">
        <f>'6.1 ADIT Calcluated p.2'!H33+'6.1 ADIT Calcluated p.3'!H33</f>
        <v>0</v>
      </c>
      <c r="I34" s="57">
        <f>'6.1 ADIT Calcluated p.2'!I33+'6.1 ADIT Calcluated p.3'!I33</f>
        <v>0</v>
      </c>
      <c r="J34" s="57"/>
      <c r="K34" s="57"/>
      <c r="L34" s="57"/>
      <c r="M34" s="57"/>
      <c r="N34" s="57"/>
      <c r="O34" s="57"/>
      <c r="P34" s="57"/>
      <c r="Q34" s="57"/>
      <c r="AF34" s="57">
        <f>'6.1 ADIT Calcluated p.2'!AF33+'6.1 ADIT Calcluated p.3'!AF33</f>
        <v>2635201</v>
      </c>
      <c r="AG34" s="57"/>
      <c r="AH34" s="57">
        <v>0</v>
      </c>
      <c r="AI34" s="57">
        <f>'6.1 ADIT Calcluated p.2'!AI33+'6.1 ADIT Calcluated p.3'!AI33</f>
        <v>0</v>
      </c>
      <c r="AJ34" s="57">
        <f>+'6.1 ADIT Calcluated p.2'!AJ33+'6.1 ADIT Calcluated p.3'!AJ33</f>
        <v>0</v>
      </c>
      <c r="AK34" s="57">
        <f>+'6.1 ADIT Calcluated p.2'!AK33+'6.1 ADIT Calcluated p.3'!AK33</f>
        <v>0</v>
      </c>
    </row>
    <row r="35" spans="1:37" ht="15">
      <c r="A35" s="32">
        <f t="shared" si="2"/>
        <v>19</v>
      </c>
      <c r="B35" s="136">
        <v>0.04462</v>
      </c>
      <c r="C35" s="32">
        <f t="shared" si="3"/>
        <v>17</v>
      </c>
      <c r="D35" s="57">
        <f>'6.1 ADIT Calcluated p.2'!D34+'6.1 ADIT Calcluated p.3'!D34</f>
        <v>1427116</v>
      </c>
      <c r="E35" s="57">
        <f>'6.1 ADIT Calcluated p.2'!E34+'6.1 ADIT Calcluated p.3'!E34</f>
        <v>1208133</v>
      </c>
      <c r="F35" s="57">
        <f>'6.1 ADIT Calcluated p.2'!F34+'6.1 ADIT Calcluated p.3'!F35</f>
        <v>0</v>
      </c>
      <c r="G35" s="57">
        <f>'6.1 ADIT Calcluated p.2'!G34+'6.1 ADIT Calcluated p.3'!G34</f>
        <v>0</v>
      </c>
      <c r="H35" s="57">
        <f>'6.1 ADIT Calcluated p.2'!H34+'6.1 ADIT Calcluated p.3'!H34</f>
        <v>0</v>
      </c>
      <c r="I35" s="57">
        <f>'6.1 ADIT Calcluated p.2'!I34+'6.1 ADIT Calcluated p.3'!I34</f>
        <v>0</v>
      </c>
      <c r="J35" s="57"/>
      <c r="K35" s="57"/>
      <c r="L35" s="57"/>
      <c r="M35" s="57"/>
      <c r="N35" s="57"/>
      <c r="O35" s="57"/>
      <c r="P35" s="57"/>
      <c r="Q35" s="57"/>
      <c r="R35" s="57"/>
      <c r="AF35" s="57">
        <f>'6.1 ADIT Calcluated p.2'!AF34+'6.1 ADIT Calcluated p.3'!AF34</f>
        <v>2635249</v>
      </c>
      <c r="AG35" s="57"/>
      <c r="AH35" s="57">
        <v>0</v>
      </c>
      <c r="AI35" s="57">
        <f>'6.1 ADIT Calcluated p.2'!AI34+'6.1 ADIT Calcluated p.3'!AI34</f>
        <v>0</v>
      </c>
      <c r="AJ35" s="57">
        <f>+'6.1 ADIT Calcluated p.2'!AJ34+'6.1 ADIT Calcluated p.3'!AJ34</f>
        <v>0</v>
      </c>
      <c r="AK35" s="57">
        <f>+'6.1 ADIT Calcluated p.2'!AK34+'6.1 ADIT Calcluated p.3'!AK34</f>
        <v>0</v>
      </c>
    </row>
    <row r="36" spans="1:37" ht="15">
      <c r="A36" s="32">
        <f t="shared" si="2"/>
        <v>20</v>
      </c>
      <c r="B36" s="136">
        <v>0.04461</v>
      </c>
      <c r="C36" s="32">
        <f t="shared" si="3"/>
        <v>18</v>
      </c>
      <c r="D36" s="57">
        <f>'6.1 ADIT Calcluated p.2'!D35+'6.1 ADIT Calcluated p.3'!D35</f>
        <v>1426797</v>
      </c>
      <c r="E36" s="57">
        <f>'6.1 ADIT Calcluated p.2'!E35+'6.1 ADIT Calcluated p.3'!E35</f>
        <v>1208404</v>
      </c>
      <c r="F36" s="57">
        <f>'6.1 ADIT Calcluated p.2'!F35+'6.1 ADIT Calcluated p.3'!F36</f>
        <v>0</v>
      </c>
      <c r="G36" s="57">
        <f>'6.1 ADIT Calcluated p.2'!G35+'6.1 ADIT Calcluated p.3'!G35</f>
        <v>0</v>
      </c>
      <c r="H36" s="57">
        <f>'6.1 ADIT Calcluated p.2'!H35+'6.1 ADIT Calcluated p.3'!H35</f>
        <v>0</v>
      </c>
      <c r="I36" s="57">
        <f>'6.1 ADIT Calcluated p.2'!I35+'6.1 ADIT Calcluated p.3'!I35</f>
        <v>0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AF36" s="57">
        <f>'6.1 ADIT Calcluated p.2'!AF35+'6.1 ADIT Calcluated p.3'!AF35</f>
        <v>2635201</v>
      </c>
      <c r="AG36" s="57"/>
      <c r="AH36" s="57">
        <v>0</v>
      </c>
      <c r="AI36" s="57">
        <f>'6.1 ADIT Calcluated p.2'!AI35+'6.1 ADIT Calcluated p.3'!AI35</f>
        <v>0</v>
      </c>
      <c r="AJ36" s="57">
        <f>+'6.1 ADIT Calcluated p.2'!AJ35+'6.1 ADIT Calcluated p.3'!AJ35</f>
        <v>0</v>
      </c>
      <c r="AK36" s="57">
        <f>+'6.1 ADIT Calcluated p.2'!AK35+'6.1 ADIT Calcluated p.3'!AK35</f>
        <v>0</v>
      </c>
    </row>
    <row r="37" spans="1:37" ht="15">
      <c r="A37" s="32">
        <f t="shared" si="2"/>
        <v>21</v>
      </c>
      <c r="B37" s="136">
        <v>0.04462</v>
      </c>
      <c r="C37" s="32">
        <f t="shared" si="3"/>
        <v>19</v>
      </c>
      <c r="D37" s="57">
        <f>'6.1 ADIT Calcluated p.2'!D36+'6.1 ADIT Calcluated p.3'!D36</f>
        <v>1427116</v>
      </c>
      <c r="E37" s="57">
        <f>'6.1 ADIT Calcluated p.2'!E36+'6.1 ADIT Calcluated p.3'!E36</f>
        <v>1208133</v>
      </c>
      <c r="F37" s="57">
        <f>'6.1 ADIT Calcluated p.2'!F36+'6.1 ADIT Calcluated p.3'!F37</f>
        <v>0</v>
      </c>
      <c r="G37" s="57">
        <f>'6.1 ADIT Calcluated p.2'!G36+'6.1 ADIT Calcluated p.3'!G36</f>
        <v>0</v>
      </c>
      <c r="H37" s="57">
        <f>'6.1 ADIT Calcluated p.2'!H36+'6.1 ADIT Calcluated p.3'!H36</f>
        <v>0</v>
      </c>
      <c r="I37" s="57">
        <f>'6.1 ADIT Calcluated p.2'!I36+'6.1 ADIT Calcluated p.3'!I36</f>
        <v>0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F37" s="57">
        <f>'6.1 ADIT Calcluated p.2'!AF36+'6.1 ADIT Calcluated p.3'!AF36</f>
        <v>2635249</v>
      </c>
      <c r="AG37" s="57"/>
      <c r="AH37" s="57">
        <v>0</v>
      </c>
      <c r="AI37" s="57">
        <f>'6.1 ADIT Calcluated p.2'!AI36+'6.1 ADIT Calcluated p.3'!AI36</f>
        <v>0</v>
      </c>
      <c r="AJ37" s="57">
        <f>+'6.1 ADIT Calcluated p.2'!AJ36+'6.1 ADIT Calcluated p.3'!AJ36</f>
        <v>0</v>
      </c>
      <c r="AK37" s="57">
        <f>+'6.1 ADIT Calcluated p.2'!AK36+'6.1 ADIT Calcluated p.3'!AK36</f>
        <v>0</v>
      </c>
    </row>
    <row r="38" spans="1:37" ht="15">
      <c r="A38" s="32">
        <f t="shared" si="2"/>
        <v>22</v>
      </c>
      <c r="B38" s="136">
        <v>0.04461</v>
      </c>
      <c r="C38" s="32">
        <f t="shared" si="3"/>
        <v>20</v>
      </c>
      <c r="D38" s="57">
        <f>'6.1 ADIT Calcluated p.2'!D37+'6.1 ADIT Calcluated p.3'!D37</f>
        <v>1426797</v>
      </c>
      <c r="E38" s="57">
        <f>'6.1 ADIT Calcluated p.2'!E37+'6.1 ADIT Calcluated p.3'!E37</f>
        <v>1208404</v>
      </c>
      <c r="F38" s="57">
        <f>'6.1 ADIT Calcluated p.2'!F37+'6.1 ADIT Calcluated p.3'!F38</f>
        <v>0</v>
      </c>
      <c r="G38" s="57">
        <f>'6.1 ADIT Calcluated p.2'!G37+'6.1 ADIT Calcluated p.3'!G37</f>
        <v>0</v>
      </c>
      <c r="H38" s="57">
        <f>'6.1 ADIT Calcluated p.2'!H37+'6.1 ADIT Calcluated p.3'!H37</f>
        <v>0</v>
      </c>
      <c r="I38" s="57">
        <f>'6.1 ADIT Calcluated p.2'!I37+'6.1 ADIT Calcluated p.3'!I37</f>
        <v>0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>
        <f>'6.1 ADIT Calcluated p.2'!AF37+'6.1 ADIT Calcluated p.3'!AF37</f>
        <v>2635201</v>
      </c>
      <c r="AG38" s="57"/>
      <c r="AH38" s="57">
        <v>0</v>
      </c>
      <c r="AI38" s="57">
        <f>'6.1 ADIT Calcluated p.2'!AI37+'6.1 ADIT Calcluated p.3'!AI37</f>
        <v>0</v>
      </c>
      <c r="AJ38" s="57">
        <f>+'6.1 ADIT Calcluated p.2'!AJ37+'6.1 ADIT Calcluated p.3'!AJ37</f>
        <v>0</v>
      </c>
      <c r="AK38" s="57">
        <f>+'6.1 ADIT Calcluated p.2'!AK37+'6.1 ADIT Calcluated p.3'!AK37</f>
        <v>0</v>
      </c>
    </row>
    <row r="39" spans="1:37" ht="15">
      <c r="A39" s="32">
        <f t="shared" si="2"/>
        <v>23</v>
      </c>
      <c r="B39" s="136">
        <v>0.02231</v>
      </c>
      <c r="C39" s="32">
        <f t="shared" si="3"/>
        <v>21</v>
      </c>
      <c r="D39" s="57">
        <f>'6.1 ADIT Calcluated p.2'!D38+'6.1 ADIT Calcluated p.3'!D38</f>
        <v>713559</v>
      </c>
      <c r="E39" s="57">
        <f>'6.1 ADIT Calcluated p.2'!E38+'6.1 ADIT Calcluated p.3'!E38</f>
        <v>1208133</v>
      </c>
      <c r="F39" s="57">
        <f>'6.1 ADIT Calcluated p.2'!F38+'6.1 ADIT Calcluated p.3'!F39</f>
        <v>0</v>
      </c>
      <c r="G39" s="57">
        <f>'6.1 ADIT Calcluated p.2'!G38+'6.1 ADIT Calcluated p.3'!G38</f>
        <v>0</v>
      </c>
      <c r="H39" s="57">
        <f>'6.1 ADIT Calcluated p.2'!H38+'6.1 ADIT Calcluated p.3'!H38</f>
        <v>0</v>
      </c>
      <c r="I39" s="57">
        <f>'6.1 ADIT Calcluated p.2'!I38+'6.1 ADIT Calcluated p.3'!I38</f>
        <v>0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>
        <f>'6.1 ADIT Calcluated p.2'!AF38+'6.1 ADIT Calcluated p.3'!AF38</f>
        <v>1921692</v>
      </c>
      <c r="AG39" s="57"/>
      <c r="AH39" s="57">
        <v>0</v>
      </c>
      <c r="AI39" s="57">
        <f>'6.1 ADIT Calcluated p.2'!AI38+'6.1 ADIT Calcluated p.3'!AI38</f>
        <v>0</v>
      </c>
      <c r="AJ39" s="57">
        <f>+'6.1 ADIT Calcluated p.2'!AJ38+'6.1 ADIT Calcluated p.3'!AJ38</f>
        <v>0</v>
      </c>
      <c r="AK39" s="57">
        <f>+'6.1 ADIT Calcluated p.2'!AK38+'6.1 ADIT Calcluated p.3'!AK38</f>
        <v>0</v>
      </c>
    </row>
    <row r="40" spans="1:37" ht="15">
      <c r="A40" s="32">
        <f t="shared" si="2"/>
        <v>24</v>
      </c>
      <c r="B40" s="136"/>
      <c r="C40" s="32">
        <f t="shared" si="3"/>
        <v>22</v>
      </c>
      <c r="D40" s="57"/>
      <c r="E40" s="57">
        <f>'6.1 ADIT Calcluated p.2'!E39+'6.1 ADIT Calcluated p.3'!E39</f>
        <v>604208</v>
      </c>
      <c r="F40" s="57">
        <f>'6.1 ADIT Calcluated p.2'!F39+'6.1 ADIT Calcluated p.3'!F40</f>
        <v>0</v>
      </c>
      <c r="G40" s="57">
        <f>'6.1 ADIT Calcluated p.2'!G39+'6.1 ADIT Calcluated p.3'!G39</f>
        <v>0</v>
      </c>
      <c r="H40" s="57">
        <f>'6.1 ADIT Calcluated p.2'!H39+'6.1 ADIT Calcluated p.3'!H39</f>
        <v>0</v>
      </c>
      <c r="I40" s="57">
        <f>'6.1 ADIT Calcluated p.2'!I39+'6.1 ADIT Calcluated p.3'!I39</f>
        <v>0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>
        <f>'6.1 ADIT Calcluated p.2'!AF39+'6.1 ADIT Calcluated p.3'!AF39</f>
        <v>604208</v>
      </c>
      <c r="AH40" s="57">
        <v>0</v>
      </c>
      <c r="AI40" s="57">
        <f>'6.1 ADIT Calcluated p.2'!AI39+'6.1 ADIT Calcluated p.3'!AI39</f>
        <v>0</v>
      </c>
      <c r="AJ40" s="57">
        <f>+'6.1 ADIT Calcluated p.2'!AJ39+'6.1 ADIT Calcluated p.3'!AJ39</f>
        <v>0</v>
      </c>
      <c r="AK40" s="57">
        <f>+'6.1 ADIT Calcluated p.2'!AK39+'6.1 ADIT Calcluated p.3'!AK39</f>
        <v>0</v>
      </c>
    </row>
    <row r="41" spans="1:37" ht="15">
      <c r="A41" s="32">
        <f t="shared" si="2"/>
        <v>25</v>
      </c>
      <c r="B41" s="136"/>
      <c r="C41" s="32">
        <f t="shared" si="3"/>
        <v>23</v>
      </c>
      <c r="E41" s="57">
        <f>'6.1 ADIT Calcluated p.2'!E40+'6.1 ADIT Calcluated p.3'!E41</f>
        <v>0</v>
      </c>
      <c r="F41" s="57"/>
      <c r="G41" s="57">
        <f>'6.1 ADIT Calcluated p.2'!G40+'6.1 ADIT Calcluated p.3'!G40</f>
        <v>0</v>
      </c>
      <c r="H41" s="57">
        <f>'6.1 ADIT Calcluated p.2'!H40+'6.1 ADIT Calcluated p.3'!H40</f>
        <v>0</v>
      </c>
      <c r="I41" s="57">
        <f>'6.1 ADIT Calcluated p.2'!I40+'6.1 ADIT Calcluated p.3'!I40</f>
        <v>0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>
        <f>'6.1 ADIT Calcluated p.2'!AF40+'6.1 ADIT Calcluated p.3'!AF40</f>
        <v>0</v>
      </c>
      <c r="AH41" s="57">
        <v>0</v>
      </c>
      <c r="AI41" s="57">
        <f>'6.1 ADIT Calcluated p.2'!AI40+'6.1 ADIT Calcluated p.3'!AI40</f>
        <v>0</v>
      </c>
      <c r="AJ41" s="57">
        <f>+'6.1 ADIT Calcluated p.2'!AJ40+'6.1 ADIT Calcluated p.3'!AJ40</f>
        <v>0</v>
      </c>
      <c r="AK41" s="57">
        <f>+'6.1 ADIT Calcluated p.2'!AK40+'6.1 ADIT Calcluated p.3'!AK40</f>
        <v>0</v>
      </c>
    </row>
    <row r="42" spans="1:37" ht="15">
      <c r="A42" s="32">
        <f t="shared" si="2"/>
        <v>26</v>
      </c>
      <c r="B42" s="136"/>
      <c r="C42" s="32">
        <f t="shared" si="3"/>
        <v>24</v>
      </c>
      <c r="E42" s="57">
        <f>'6.1 ADIT Calcluated p.2'!E41+'6.1 ADIT Calcluated p.3'!E42</f>
        <v>0</v>
      </c>
      <c r="F42" s="57"/>
      <c r="G42" s="57"/>
      <c r="H42" s="57">
        <f>'6.1 ADIT Calcluated p.2'!H41+'6.1 ADIT Calcluated p.3'!H41</f>
        <v>0</v>
      </c>
      <c r="I42" s="57">
        <f>'6.1 ADIT Calcluated p.2'!I41+'6.1 ADIT Calcluated p.3'!I41</f>
        <v>0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>
        <f>'6.1 ADIT Calcluated p.2'!AF41+'6.1 ADIT Calcluated p.3'!AF41</f>
        <v>0</v>
      </c>
      <c r="AH42" s="57">
        <v>0</v>
      </c>
      <c r="AI42" s="57">
        <f>'6.1 ADIT Calcluated p.2'!AI43+'6.1 ADIT Calcluated p.3'!AI43</f>
        <v>0</v>
      </c>
      <c r="AJ42" s="57">
        <f>+'6.1 ADIT Calcluated p.2'!AJ41+'6.1 ADIT Calcluated p.3'!AJ41</f>
        <v>0</v>
      </c>
      <c r="AK42" s="57">
        <f>+'6.1 ADIT Calcluated p.2'!AJ41+'6.1 ADIT Calcluated p.3'!AJ41</f>
        <v>0</v>
      </c>
    </row>
    <row r="43" spans="1:37" ht="15">
      <c r="A43" s="32">
        <f t="shared" si="2"/>
        <v>27</v>
      </c>
      <c r="B43" s="136"/>
      <c r="C43" s="32"/>
      <c r="G43" s="57"/>
      <c r="H43" s="57"/>
      <c r="I43" s="57">
        <f>'6.1 ADIT Calcluated p.2'!I42+'6.1 ADIT Calcluated p.3'!I42</f>
        <v>0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>
        <f>'6.1 ADIT Calcluated p.2'!AF42+'6.1 ADIT Calcluated p.3'!AF42</f>
        <v>0</v>
      </c>
      <c r="AH43" s="57"/>
      <c r="AI43" s="57"/>
      <c r="AJ43" s="57"/>
      <c r="AK43" s="57"/>
    </row>
    <row r="44" spans="1:37" ht="15">
      <c r="A44" s="32">
        <f t="shared" si="2"/>
        <v>28</v>
      </c>
      <c r="D44" s="58">
        <f>SUM(D19:D41)</f>
        <v>41642528</v>
      </c>
      <c r="E44" s="58">
        <f>SUM(E19:E41)</f>
        <v>40243175</v>
      </c>
      <c r="F44" s="58">
        <f>SUM(F19:F41)</f>
        <v>0</v>
      </c>
      <c r="G44" s="58">
        <f>SUM(G19:G41)</f>
        <v>0</v>
      </c>
      <c r="H44" s="58">
        <f>SUM(H19:H43)</f>
        <v>0</v>
      </c>
      <c r="I44" s="58">
        <f>SUM(I19:I43)</f>
        <v>0</v>
      </c>
      <c r="J44" s="58">
        <f aca="true" t="shared" si="4" ref="J44:AF44">SUM(J19:J43)</f>
        <v>0</v>
      </c>
      <c r="K44" s="58">
        <f t="shared" si="4"/>
        <v>0</v>
      </c>
      <c r="L44" s="58">
        <f t="shared" si="4"/>
        <v>0</v>
      </c>
      <c r="M44" s="58">
        <f t="shared" si="4"/>
        <v>0</v>
      </c>
      <c r="N44" s="58">
        <f t="shared" si="4"/>
        <v>0</v>
      </c>
      <c r="O44" s="58">
        <f t="shared" si="4"/>
        <v>0</v>
      </c>
      <c r="P44" s="58">
        <f t="shared" si="4"/>
        <v>0</v>
      </c>
      <c r="Q44" s="58">
        <f t="shared" si="4"/>
        <v>0</v>
      </c>
      <c r="R44" s="58">
        <f t="shared" si="4"/>
        <v>0</v>
      </c>
      <c r="S44" s="58">
        <f t="shared" si="4"/>
        <v>0</v>
      </c>
      <c r="T44" s="58">
        <f t="shared" si="4"/>
        <v>0</v>
      </c>
      <c r="U44" s="58">
        <f t="shared" si="4"/>
        <v>0</v>
      </c>
      <c r="V44" s="58">
        <f t="shared" si="4"/>
        <v>0</v>
      </c>
      <c r="W44" s="58">
        <f t="shared" si="4"/>
        <v>0</v>
      </c>
      <c r="X44" s="58">
        <f t="shared" si="4"/>
        <v>0</v>
      </c>
      <c r="Y44" s="58">
        <f t="shared" si="4"/>
        <v>0</v>
      </c>
      <c r="Z44" s="58">
        <f t="shared" si="4"/>
        <v>0</v>
      </c>
      <c r="AA44" s="58">
        <f t="shared" si="4"/>
        <v>0</v>
      </c>
      <c r="AB44" s="58">
        <f t="shared" si="4"/>
        <v>0</v>
      </c>
      <c r="AC44" s="58">
        <f t="shared" si="4"/>
        <v>0</v>
      </c>
      <c r="AD44" s="58">
        <f t="shared" si="4"/>
        <v>0</v>
      </c>
      <c r="AE44" s="58">
        <f t="shared" si="4"/>
        <v>0</v>
      </c>
      <c r="AF44" s="58">
        <f t="shared" si="4"/>
        <v>81885703</v>
      </c>
      <c r="AG44" s="58">
        <f>SUM(AG19:AG42)</f>
        <v>5004845.000000001</v>
      </c>
      <c r="AH44" s="58">
        <f>SUM(AH19:AH42)</f>
        <v>1573410.9570000004</v>
      </c>
      <c r="AI44" s="57"/>
      <c r="AJ44" s="57"/>
      <c r="AK44" s="57"/>
    </row>
    <row r="45" spans="4:37" ht="15"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7"/>
      <c r="AG45" s="58"/>
      <c r="AH45" s="57"/>
      <c r="AI45" s="57"/>
      <c r="AJ45" s="57"/>
      <c r="AK45" s="57"/>
    </row>
    <row r="46" spans="1:37" ht="15">
      <c r="A46" s="33" t="s">
        <v>71</v>
      </c>
      <c r="F46" s="58"/>
      <c r="AF46" s="58"/>
      <c r="AG46" s="58"/>
      <c r="AH46" s="57"/>
      <c r="AI46" s="57"/>
      <c r="AJ46" s="137"/>
      <c r="AK46" s="137"/>
    </row>
    <row r="47" spans="1:37" ht="15">
      <c r="A47" s="33" t="s">
        <v>281</v>
      </c>
      <c r="AH47" s="58"/>
      <c r="AI47" s="57"/>
      <c r="AJ47" s="57"/>
      <c r="AK47" s="57"/>
    </row>
    <row r="48" spans="4:6" ht="15">
      <c r="D48" s="138"/>
      <c r="E48" s="138"/>
      <c r="F48" s="138"/>
    </row>
    <row r="49" spans="4:6" ht="15">
      <c r="D49" s="138"/>
      <c r="E49" s="138"/>
      <c r="F49" s="138"/>
    </row>
    <row r="54" ht="15">
      <c r="AF54" s="58"/>
    </row>
    <row r="55" ht="15">
      <c r="AF55" s="58"/>
    </row>
    <row r="56" ht="15">
      <c r="AF56" s="58"/>
    </row>
    <row r="57" ht="15">
      <c r="AF57" s="58"/>
    </row>
    <row r="58" spans="7:32" ht="15">
      <c r="G58" s="57"/>
      <c r="AF58" s="58"/>
    </row>
    <row r="59" spans="7:32" ht="15">
      <c r="G59" s="57"/>
      <c r="H59" s="57"/>
      <c r="AF59" s="58"/>
    </row>
    <row r="60" spans="7:32" ht="15">
      <c r="G60" s="57"/>
      <c r="H60" s="57"/>
      <c r="I60" s="57"/>
      <c r="AF60" s="58"/>
    </row>
    <row r="61" spans="7:32" ht="15">
      <c r="G61" s="57"/>
      <c r="H61" s="57"/>
      <c r="I61" s="57"/>
      <c r="J61" s="57"/>
      <c r="AF61" s="58"/>
    </row>
    <row r="62" spans="7:32" ht="15">
      <c r="G62" s="57"/>
      <c r="H62" s="57"/>
      <c r="I62" s="57"/>
      <c r="J62" s="57"/>
      <c r="K62" s="57"/>
      <c r="AF62" s="58"/>
    </row>
    <row r="63" spans="7:32" ht="15"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8"/>
    </row>
    <row r="64" spans="7:33" ht="15"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8"/>
      <c r="AG64" s="58"/>
    </row>
    <row r="65" spans="7:33" ht="15"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8"/>
      <c r="AG65" s="58"/>
    </row>
    <row r="66" spans="7:33" ht="15"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8"/>
      <c r="AG66" s="58"/>
    </row>
    <row r="67" spans="7:31" ht="15"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pans="8:31" ht="15"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</row>
    <row r="69" spans="9:31" ht="15"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</row>
    <row r="70" spans="10:31" ht="15"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11:31" ht="15"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</row>
    <row r="72" spans="12:31" ht="15"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</row>
  </sheetData>
  <sheetProtection/>
  <mergeCells count="4">
    <mergeCell ref="A4:AK4"/>
    <mergeCell ref="A6:AK6"/>
    <mergeCell ref="D16:AG16"/>
    <mergeCell ref="A5:AK5"/>
  </mergeCells>
  <printOptions horizontalCentered="1"/>
  <pageMargins left="0" right="0" top="0.5" bottom="0" header="0.5" footer="0.5"/>
  <pageSetup horizontalDpi="600" verticalDpi="600" orientation="landscape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5"/>
  <sheetViews>
    <sheetView zoomScale="98" zoomScaleNormal="98" zoomScaleSheetLayoutView="100" zoomScalePageLayoutView="0" workbookViewId="0" topLeftCell="A33">
      <selection activeCell="F48" sqref="F48"/>
    </sheetView>
  </sheetViews>
  <sheetFormatPr defaultColWidth="9.140625" defaultRowHeight="12.75"/>
  <cols>
    <col min="1" max="1" width="4.8515625" style="32" customWidth="1"/>
    <col min="2" max="2" width="27.28125" style="11" bestFit="1" customWidth="1"/>
    <col min="3" max="3" width="6.28125" style="11" bestFit="1" customWidth="1"/>
    <col min="4" max="5" width="14.57421875" style="11" bestFit="1" customWidth="1"/>
    <col min="6" max="6" width="11.00390625" style="11" customWidth="1"/>
    <col min="7" max="7" width="12.00390625" style="11" customWidth="1"/>
    <col min="8" max="8" width="12.140625" style="11" customWidth="1"/>
    <col min="9" max="9" width="11.140625" style="11" customWidth="1"/>
    <col min="10" max="10" width="11.00390625" style="11" hidden="1" customWidth="1"/>
    <col min="11" max="11" width="11.28125" style="11" hidden="1" customWidth="1"/>
    <col min="12" max="31" width="12.8515625" style="11" hidden="1" customWidth="1"/>
    <col min="32" max="32" width="14.57421875" style="11" bestFit="1" customWidth="1"/>
    <col min="33" max="34" width="13.140625" style="11" bestFit="1" customWidth="1"/>
    <col min="35" max="35" width="14.57421875" style="11" bestFit="1" customWidth="1"/>
    <col min="36" max="36" width="13.140625" style="11" bestFit="1" customWidth="1"/>
    <col min="37" max="37" width="14.7109375" style="11" customWidth="1"/>
    <col min="38" max="16384" width="9.140625" style="11" customWidth="1"/>
  </cols>
  <sheetData>
    <row r="1" spans="2:37" ht="15">
      <c r="B1" s="51"/>
      <c r="S1" s="12"/>
      <c r="AK1" s="12" t="str">
        <f>+'6.1 ADIT Calculated p.1'!AK1</f>
        <v>Case No. 2023-0335  PSC_Staff Set 2 No 1</v>
      </c>
    </row>
    <row r="2" spans="2:37" ht="15">
      <c r="B2" s="51"/>
      <c r="S2" s="12"/>
      <c r="AK2" s="12" t="str">
        <f>+'6.1 ADIT Calculated p.1'!AK2</f>
        <v>SMRP Form 6.1</v>
      </c>
    </row>
    <row r="3" spans="8:37" ht="15">
      <c r="H3" s="12"/>
      <c r="R3" s="126"/>
      <c r="S3" s="126"/>
      <c r="AK3" s="12" t="s">
        <v>217</v>
      </c>
    </row>
    <row r="4" spans="1:37" ht="1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</row>
    <row r="5" spans="1:37" ht="15">
      <c r="A5" s="166" t="s">
        <v>76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</row>
    <row r="6" spans="1:37" ht="17.25">
      <c r="A6" s="166" t="s">
        <v>286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</row>
    <row r="7" ht="15">
      <c r="B7" s="16"/>
    </row>
    <row r="8" spans="9:37" ht="15">
      <c r="I8" s="13"/>
      <c r="J8" s="13">
        <f aca="true" t="shared" si="0" ref="J8:AE8">+I8+1</f>
        <v>1</v>
      </c>
      <c r="K8" s="13">
        <f t="shared" si="0"/>
        <v>2</v>
      </c>
      <c r="L8" s="13">
        <f t="shared" si="0"/>
        <v>3</v>
      </c>
      <c r="M8" s="13">
        <f t="shared" si="0"/>
        <v>4</v>
      </c>
      <c r="N8" s="13">
        <f t="shared" si="0"/>
        <v>5</v>
      </c>
      <c r="O8" s="13">
        <f t="shared" si="0"/>
        <v>6</v>
      </c>
      <c r="P8" s="13">
        <f t="shared" si="0"/>
        <v>7</v>
      </c>
      <c r="Q8" s="13">
        <f t="shared" si="0"/>
        <v>8</v>
      </c>
      <c r="R8" s="13">
        <f>+Q8+1</f>
        <v>9</v>
      </c>
      <c r="S8" s="13">
        <f t="shared" si="0"/>
        <v>10</v>
      </c>
      <c r="T8" s="13">
        <f t="shared" si="0"/>
        <v>11</v>
      </c>
      <c r="U8" s="13">
        <f t="shared" si="0"/>
        <v>12</v>
      </c>
      <c r="V8" s="13">
        <f t="shared" si="0"/>
        <v>13</v>
      </c>
      <c r="W8" s="13">
        <f t="shared" si="0"/>
        <v>14</v>
      </c>
      <c r="X8" s="13">
        <f t="shared" si="0"/>
        <v>15</v>
      </c>
      <c r="Y8" s="13">
        <f t="shared" si="0"/>
        <v>16</v>
      </c>
      <c r="Z8" s="13">
        <f t="shared" si="0"/>
        <v>17</v>
      </c>
      <c r="AA8" s="13">
        <f t="shared" si="0"/>
        <v>18</v>
      </c>
      <c r="AB8" s="13">
        <f t="shared" si="0"/>
        <v>19</v>
      </c>
      <c r="AC8" s="13">
        <f t="shared" si="0"/>
        <v>20</v>
      </c>
      <c r="AD8" s="13">
        <f t="shared" si="0"/>
        <v>21</v>
      </c>
      <c r="AE8" s="13">
        <f t="shared" si="0"/>
        <v>22</v>
      </c>
      <c r="AF8" s="13" t="s">
        <v>14</v>
      </c>
      <c r="AG8" s="13"/>
      <c r="AI8" s="13"/>
      <c r="AJ8" s="13" t="s">
        <v>47</v>
      </c>
      <c r="AK8" s="13" t="s">
        <v>16</v>
      </c>
    </row>
    <row r="9" spans="1:37" ht="15">
      <c r="A9" s="13" t="s">
        <v>1</v>
      </c>
      <c r="B9" s="50" t="s">
        <v>73</v>
      </c>
      <c r="D9" s="13">
        <f>+'6.1 ADIT Calculated p.1'!D10</f>
        <v>2023</v>
      </c>
      <c r="E9" s="13">
        <f>+'6.1 ADIT Calculated p.1'!E10</f>
        <v>2024</v>
      </c>
      <c r="F9" s="13">
        <f>+'6.1 ADIT Calculated p.1'!F10</f>
        <v>2025</v>
      </c>
      <c r="G9" s="13">
        <f>+'6.1 ADIT Calculated p.1'!G10</f>
        <v>2026</v>
      </c>
      <c r="H9" s="13">
        <f>+'6.1 ADIT Calculated p.1'!H10</f>
        <v>2027</v>
      </c>
      <c r="I9" s="13">
        <f>+'6.1 ADIT Calculated p.1'!I10</f>
        <v>2028</v>
      </c>
      <c r="J9" s="13" t="s">
        <v>17</v>
      </c>
      <c r="K9" s="13" t="s">
        <v>18</v>
      </c>
      <c r="L9" s="13" t="s">
        <v>26</v>
      </c>
      <c r="M9" s="13" t="s">
        <v>27</v>
      </c>
      <c r="N9" s="13" t="s">
        <v>28</v>
      </c>
      <c r="O9" s="13" t="s">
        <v>29</v>
      </c>
      <c r="P9" s="13" t="s">
        <v>30</v>
      </c>
      <c r="Q9" s="13" t="s">
        <v>31</v>
      </c>
      <c r="R9" s="13" t="s">
        <v>32</v>
      </c>
      <c r="S9" s="13" t="s">
        <v>33</v>
      </c>
      <c r="T9" s="13" t="s">
        <v>34</v>
      </c>
      <c r="U9" s="13" t="s">
        <v>35</v>
      </c>
      <c r="V9" s="13" t="s">
        <v>37</v>
      </c>
      <c r="W9" s="13" t="s">
        <v>38</v>
      </c>
      <c r="X9" s="13" t="s">
        <v>39</v>
      </c>
      <c r="Y9" s="13" t="s">
        <v>40</v>
      </c>
      <c r="Z9" s="13" t="s">
        <v>41</v>
      </c>
      <c r="AA9" s="13" t="s">
        <v>42</v>
      </c>
      <c r="AB9" s="13" t="s">
        <v>43</v>
      </c>
      <c r="AC9" s="13" t="s">
        <v>44</v>
      </c>
      <c r="AD9" s="13" t="s">
        <v>45</v>
      </c>
      <c r="AE9" s="13" t="s">
        <v>46</v>
      </c>
      <c r="AF9" s="13" t="s">
        <v>19</v>
      </c>
      <c r="AG9" s="13" t="s">
        <v>69</v>
      </c>
      <c r="AH9" s="13" t="s">
        <v>15</v>
      </c>
      <c r="AI9" s="13"/>
      <c r="AJ9" s="13" t="s">
        <v>20</v>
      </c>
      <c r="AK9" s="13" t="s">
        <v>21</v>
      </c>
    </row>
    <row r="10" spans="1:37" ht="19.5">
      <c r="A10" s="16" t="s">
        <v>2</v>
      </c>
      <c r="B10" s="127" t="s">
        <v>72</v>
      </c>
      <c r="C10" s="16" t="s">
        <v>0</v>
      </c>
      <c r="D10" s="16" t="s">
        <v>22</v>
      </c>
      <c r="E10" s="16" t="s">
        <v>22</v>
      </c>
      <c r="F10" s="16" t="s">
        <v>22</v>
      </c>
      <c r="G10" s="16" t="s">
        <v>22</v>
      </c>
      <c r="H10" s="16" t="s">
        <v>22</v>
      </c>
      <c r="I10" s="16" t="s">
        <v>22</v>
      </c>
      <c r="J10" s="16" t="s">
        <v>22</v>
      </c>
      <c r="K10" s="16" t="s">
        <v>22</v>
      </c>
      <c r="L10" s="16" t="s">
        <v>22</v>
      </c>
      <c r="M10" s="16" t="s">
        <v>22</v>
      </c>
      <c r="N10" s="16" t="s">
        <v>22</v>
      </c>
      <c r="O10" s="16" t="s">
        <v>22</v>
      </c>
      <c r="P10" s="16" t="s">
        <v>22</v>
      </c>
      <c r="Q10" s="16" t="s">
        <v>22</v>
      </c>
      <c r="R10" s="16" t="s">
        <v>22</v>
      </c>
      <c r="S10" s="16" t="s">
        <v>22</v>
      </c>
      <c r="T10" s="16" t="s">
        <v>22</v>
      </c>
      <c r="U10" s="16" t="s">
        <v>22</v>
      </c>
      <c r="V10" s="16" t="s">
        <v>22</v>
      </c>
      <c r="W10" s="16" t="s">
        <v>22</v>
      </c>
      <c r="X10" s="16" t="s">
        <v>22</v>
      </c>
      <c r="Y10" s="16" t="s">
        <v>22</v>
      </c>
      <c r="Z10" s="16" t="s">
        <v>22</v>
      </c>
      <c r="AA10" s="16" t="s">
        <v>22</v>
      </c>
      <c r="AB10" s="16" t="s">
        <v>22</v>
      </c>
      <c r="AC10" s="16" t="s">
        <v>22</v>
      </c>
      <c r="AD10" s="16" t="s">
        <v>22</v>
      </c>
      <c r="AE10" s="16" t="s">
        <v>22</v>
      </c>
      <c r="AF10" s="16" t="s">
        <v>23</v>
      </c>
      <c r="AG10" s="16" t="s">
        <v>70</v>
      </c>
      <c r="AH10" s="16" t="s">
        <v>23</v>
      </c>
      <c r="AI10" s="16" t="s">
        <v>24</v>
      </c>
      <c r="AJ10" s="139" t="s">
        <v>100</v>
      </c>
      <c r="AK10" s="16" t="s">
        <v>25</v>
      </c>
    </row>
    <row r="11" spans="1:37" ht="15">
      <c r="A11" s="16"/>
      <c r="B11" s="129" t="s">
        <v>227</v>
      </c>
      <c r="C11" s="13" t="s">
        <v>228</v>
      </c>
      <c r="D11" s="129" t="s">
        <v>229</v>
      </c>
      <c r="E11" s="129" t="s">
        <v>230</v>
      </c>
      <c r="F11" s="129" t="s">
        <v>231</v>
      </c>
      <c r="G11" s="129" t="s">
        <v>232</v>
      </c>
      <c r="H11" s="129" t="s">
        <v>233</v>
      </c>
      <c r="I11" s="129" t="s">
        <v>234</v>
      </c>
      <c r="J11" s="129" t="e">
        <f aca="true" t="shared" si="1" ref="J11:AE11">+I11-1</f>
        <v>#VALUE!</v>
      </c>
      <c r="K11" s="129" t="e">
        <f t="shared" si="1"/>
        <v>#VALUE!</v>
      </c>
      <c r="L11" s="129" t="e">
        <f t="shared" si="1"/>
        <v>#VALUE!</v>
      </c>
      <c r="M11" s="129" t="e">
        <f t="shared" si="1"/>
        <v>#VALUE!</v>
      </c>
      <c r="N11" s="129" t="e">
        <f t="shared" si="1"/>
        <v>#VALUE!</v>
      </c>
      <c r="O11" s="129" t="e">
        <f t="shared" si="1"/>
        <v>#VALUE!</v>
      </c>
      <c r="P11" s="129" t="e">
        <f t="shared" si="1"/>
        <v>#VALUE!</v>
      </c>
      <c r="Q11" s="129" t="e">
        <f t="shared" si="1"/>
        <v>#VALUE!</v>
      </c>
      <c r="R11" s="129" t="e">
        <f>+Q11-1</f>
        <v>#VALUE!</v>
      </c>
      <c r="S11" s="129" t="e">
        <f t="shared" si="1"/>
        <v>#VALUE!</v>
      </c>
      <c r="T11" s="129" t="e">
        <f t="shared" si="1"/>
        <v>#VALUE!</v>
      </c>
      <c r="U11" s="129" t="e">
        <f t="shared" si="1"/>
        <v>#VALUE!</v>
      </c>
      <c r="V11" s="129" t="e">
        <f t="shared" si="1"/>
        <v>#VALUE!</v>
      </c>
      <c r="W11" s="129" t="e">
        <f t="shared" si="1"/>
        <v>#VALUE!</v>
      </c>
      <c r="X11" s="129" t="e">
        <f t="shared" si="1"/>
        <v>#VALUE!</v>
      </c>
      <c r="Y11" s="129" t="e">
        <f t="shared" si="1"/>
        <v>#VALUE!</v>
      </c>
      <c r="Z11" s="129" t="e">
        <f t="shared" si="1"/>
        <v>#VALUE!</v>
      </c>
      <c r="AA11" s="129" t="e">
        <f t="shared" si="1"/>
        <v>#VALUE!</v>
      </c>
      <c r="AB11" s="129" t="e">
        <f t="shared" si="1"/>
        <v>#VALUE!</v>
      </c>
      <c r="AC11" s="129" t="e">
        <f t="shared" si="1"/>
        <v>#VALUE!</v>
      </c>
      <c r="AD11" s="129" t="e">
        <f t="shared" si="1"/>
        <v>#VALUE!</v>
      </c>
      <c r="AE11" s="129" t="e">
        <f t="shared" si="1"/>
        <v>#VALUE!</v>
      </c>
      <c r="AF11" s="129" t="s">
        <v>235</v>
      </c>
      <c r="AG11" s="129" t="s">
        <v>236</v>
      </c>
      <c r="AH11" s="129" t="s">
        <v>237</v>
      </c>
      <c r="AI11" s="129" t="s">
        <v>238</v>
      </c>
      <c r="AJ11" s="129" t="s">
        <v>239</v>
      </c>
      <c r="AK11" s="129" t="s">
        <v>240</v>
      </c>
    </row>
    <row r="12" spans="1:37" ht="15">
      <c r="A12" s="16"/>
      <c r="B12" s="98"/>
      <c r="C12" s="13"/>
      <c r="D12" s="130" t="s">
        <v>13</v>
      </c>
      <c r="E12" s="130" t="s">
        <v>13</v>
      </c>
      <c r="F12" s="130" t="s">
        <v>13</v>
      </c>
      <c r="G12" s="130" t="s">
        <v>13</v>
      </c>
      <c r="H12" s="130" t="s">
        <v>13</v>
      </c>
      <c r="I12" s="130" t="s">
        <v>13</v>
      </c>
      <c r="J12" s="130" t="s">
        <v>13</v>
      </c>
      <c r="K12" s="130" t="s">
        <v>13</v>
      </c>
      <c r="L12" s="130" t="s">
        <v>13</v>
      </c>
      <c r="M12" s="130" t="s">
        <v>13</v>
      </c>
      <c r="N12" s="130" t="s">
        <v>13</v>
      </c>
      <c r="O12" s="130" t="s">
        <v>13</v>
      </c>
      <c r="P12" s="130" t="s">
        <v>13</v>
      </c>
      <c r="Q12" s="130" t="s">
        <v>13</v>
      </c>
      <c r="R12" s="130" t="s">
        <v>13</v>
      </c>
      <c r="S12" s="130" t="s">
        <v>13</v>
      </c>
      <c r="T12" s="130" t="s">
        <v>13</v>
      </c>
      <c r="U12" s="130" t="s">
        <v>13</v>
      </c>
      <c r="V12" s="130" t="s">
        <v>13</v>
      </c>
      <c r="W12" s="130" t="s">
        <v>13</v>
      </c>
      <c r="X12" s="130" t="s">
        <v>13</v>
      </c>
      <c r="Y12" s="130" t="s">
        <v>13</v>
      </c>
      <c r="Z12" s="130" t="s">
        <v>13</v>
      </c>
      <c r="AA12" s="130" t="s">
        <v>13</v>
      </c>
      <c r="AB12" s="130" t="s">
        <v>13</v>
      </c>
      <c r="AC12" s="130" t="s">
        <v>13</v>
      </c>
      <c r="AD12" s="130" t="s">
        <v>13</v>
      </c>
      <c r="AE12" s="130" t="s">
        <v>13</v>
      </c>
      <c r="AF12" s="130" t="s">
        <v>13</v>
      </c>
      <c r="AG12" s="13" t="s">
        <v>13</v>
      </c>
      <c r="AH12" s="130" t="s">
        <v>13</v>
      </c>
      <c r="AI12" s="130" t="s">
        <v>13</v>
      </c>
      <c r="AJ12" s="130" t="s">
        <v>13</v>
      </c>
      <c r="AK12" s="130" t="s">
        <v>13</v>
      </c>
    </row>
    <row r="13" spans="1:31" ht="15">
      <c r="A13" s="16"/>
      <c r="B13" s="131"/>
      <c r="C13" s="132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4" ht="16.5">
      <c r="A14" s="32">
        <v>1</v>
      </c>
      <c r="B14" s="11" t="s">
        <v>174</v>
      </c>
      <c r="C14" s="132"/>
      <c r="D14" s="134">
        <f>+'5.0 Depr Expense'!Q13+'5.0 Depr Expense'!Q33</f>
        <v>40147687.00000001</v>
      </c>
      <c r="E14" s="134">
        <f>+'5.0 Depr Expense'!Q89+'5.0 Depr Expense'!Q109</f>
        <v>38544361.37313884</v>
      </c>
      <c r="F14" s="134">
        <v>0</v>
      </c>
      <c r="G14" s="134">
        <v>0</v>
      </c>
      <c r="H14" s="134">
        <v>0</v>
      </c>
      <c r="I14" s="134">
        <v>0</v>
      </c>
      <c r="J14" s="134" t="e">
        <f>#REF!+#REF!</f>
        <v>#REF!</v>
      </c>
      <c r="K14" s="134" t="e">
        <f>#REF!+#REF!</f>
        <v>#REF!</v>
      </c>
      <c r="L14" s="134" t="e">
        <f>#REF!+#REF!</f>
        <v>#REF!</v>
      </c>
      <c r="M14" s="134" t="e">
        <f>#REF!+#REF!</f>
        <v>#REF!</v>
      </c>
      <c r="N14" s="134" t="e">
        <f>#REF!+#REF!</f>
        <v>#REF!</v>
      </c>
      <c r="O14" s="134" t="e">
        <f>#REF!+#REF!</f>
        <v>#REF!</v>
      </c>
      <c r="P14" s="134" t="e">
        <f>#REF!+#REF!</f>
        <v>#REF!</v>
      </c>
      <c r="Q14" s="134" t="e">
        <f>#REF!+#REF!</f>
        <v>#REF!</v>
      </c>
      <c r="R14" s="134" t="e">
        <f>#REF!+#REF!</f>
        <v>#REF!</v>
      </c>
      <c r="S14" s="134" t="e">
        <f>#REF!+#REF!</f>
        <v>#REF!</v>
      </c>
      <c r="T14" s="134" t="e">
        <f>#REF!+#REF!</f>
        <v>#REF!</v>
      </c>
      <c r="U14" s="134" t="e">
        <f>#REF!+#REF!</f>
        <v>#REF!</v>
      </c>
      <c r="V14" s="134" t="e">
        <f>#REF!+#REF!</f>
        <v>#REF!</v>
      </c>
      <c r="W14" s="134" t="e">
        <f>#REF!+#REF!</f>
        <v>#REF!</v>
      </c>
      <c r="X14" s="134" t="e">
        <f>#REF!+#REF!</f>
        <v>#REF!</v>
      </c>
      <c r="Y14" s="134" t="e">
        <f>#REF!+#REF!</f>
        <v>#REF!</v>
      </c>
      <c r="Z14" s="134" t="e">
        <f>#REF!+#REF!</f>
        <v>#REF!</v>
      </c>
      <c r="AA14" s="134" t="e">
        <f>#REF!+#REF!</f>
        <v>#REF!</v>
      </c>
      <c r="AB14" s="134" t="e">
        <f>#REF!+#REF!</f>
        <v>#REF!</v>
      </c>
      <c r="AC14" s="134" t="e">
        <f>#REF!+#REF!</f>
        <v>#REF!</v>
      </c>
      <c r="AD14" s="134" t="e">
        <f>#REF!+#REF!</f>
        <v>#REF!</v>
      </c>
      <c r="AE14" s="134" t="e">
        <f>#REF!+#REF!</f>
        <v>#REF!</v>
      </c>
      <c r="AH14" s="58"/>
    </row>
    <row r="15" spans="1:33" ht="13.5" customHeight="1">
      <c r="A15" s="16"/>
      <c r="B15" s="131"/>
      <c r="C15" s="132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spans="1:33" ht="13.5" customHeight="1">
      <c r="A16" s="32">
        <f>A14+1</f>
        <v>2</v>
      </c>
      <c r="B16" s="133" t="s">
        <v>97</v>
      </c>
      <c r="C16" s="132"/>
      <c r="D16" s="135">
        <f aca="true" t="shared" si="2" ref="D16:I16">D55+D54</f>
        <v>0.23908727000000002</v>
      </c>
      <c r="E16" s="135">
        <f t="shared" si="2"/>
        <v>0.33968478999999996</v>
      </c>
      <c r="F16" s="135">
        <f t="shared" si="2"/>
        <v>0.33968478999999996</v>
      </c>
      <c r="G16" s="135">
        <f t="shared" si="2"/>
        <v>0.33968478999999996</v>
      </c>
      <c r="H16" s="135">
        <f t="shared" si="2"/>
        <v>0.33968478999999996</v>
      </c>
      <c r="I16" s="135">
        <f t="shared" si="2"/>
        <v>0.33968478999999996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</row>
    <row r="17" spans="2:33" ht="13.5" customHeight="1">
      <c r="B17" s="133"/>
      <c r="C17" s="132"/>
      <c r="D17" s="135"/>
      <c r="E17" s="135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</row>
    <row r="18" spans="1:37" ht="15">
      <c r="A18" s="32">
        <f>A16+1</f>
        <v>3</v>
      </c>
      <c r="B18" s="136">
        <v>0.03750000000000009</v>
      </c>
      <c r="C18" s="32">
        <v>1</v>
      </c>
      <c r="D18" s="57">
        <f>ROUND((D$14)*$D$16,0)+ROUND(($D$14-($D$14*$D$16))*B18,0)</f>
        <v>10744384</v>
      </c>
      <c r="E18" s="57"/>
      <c r="AF18" s="57">
        <f>SUM(D18:G18)</f>
        <v>10744384</v>
      </c>
      <c r="AG18" s="57">
        <f>SUM('4.0 Accumulated Depr'!D34:O34)+SUM('4.0 Accumulated Depr'!D36:O36)</f>
        <v>2119991.0000000005</v>
      </c>
      <c r="AH18" s="57">
        <f>+'5.0 Depr Expense'!Q20+'5.0 Depr Expense'!Q40</f>
        <v>283680.552</v>
      </c>
      <c r="AI18" s="58">
        <f>AF18+AG18-AH18</f>
        <v>12580694.448</v>
      </c>
      <c r="AJ18" s="57">
        <f>ROUND(0.2495*AI18,0)</f>
        <v>3138883</v>
      </c>
      <c r="AK18" s="57">
        <f>+AJ18</f>
        <v>3138883</v>
      </c>
    </row>
    <row r="19" spans="1:37" ht="15">
      <c r="A19" s="32">
        <f>A18+1</f>
        <v>4</v>
      </c>
      <c r="B19" s="136">
        <v>0.07219</v>
      </c>
      <c r="C19" s="32">
        <f>+C18+1</f>
        <v>2</v>
      </c>
      <c r="D19" s="57">
        <f aca="true" t="shared" si="3" ref="D19:D37">ROUND(($D$14-($D$14*$D$16))*B19,0)</f>
        <v>2205324</v>
      </c>
      <c r="E19" s="57">
        <f>ROUND((E$14)*E$16,0)+ROUND((E$14-(E$14*E$16))*$B18,0)</f>
        <v>14047362</v>
      </c>
      <c r="F19" s="57"/>
      <c r="AF19" s="57">
        <f>SUM(D19:G19)</f>
        <v>16252686</v>
      </c>
      <c r="AG19" s="57">
        <f>SUM('4.0 Accumulated Depr'!D114:O114)+SUM('4.0 Accumulated Depr'!D116:O116)</f>
        <v>2693028.0000000005</v>
      </c>
      <c r="AH19" s="57">
        <f>+'5.0 Depr Expense'!Q96+'5.0 Depr Expense'!Q116</f>
        <v>1228174.2740000002</v>
      </c>
      <c r="AI19" s="58">
        <f>AF19+AG19-AH19</f>
        <v>17717539.726</v>
      </c>
      <c r="AJ19" s="57">
        <f>ROUND(0.2495*AI19,0)</f>
        <v>4420526</v>
      </c>
      <c r="AK19" s="57">
        <f>+AK18+AJ19</f>
        <v>7559409</v>
      </c>
    </row>
    <row r="20" spans="1:37" ht="15">
      <c r="A20" s="32">
        <f aca="true" t="shared" si="4" ref="A20:A43">A19+1</f>
        <v>5</v>
      </c>
      <c r="B20" s="136">
        <v>0.06677</v>
      </c>
      <c r="C20" s="32">
        <f aca="true" t="shared" si="5" ref="C20:C41">+C19+1</f>
        <v>3</v>
      </c>
      <c r="D20" s="57">
        <f t="shared" si="3"/>
        <v>2039749</v>
      </c>
      <c r="E20" s="57">
        <f>ROUND((E$14-(E$14*E$16))*$B19,0)</f>
        <v>1837339</v>
      </c>
      <c r="F20" s="57">
        <f>ROUND((F$14)*F$16,0)+ROUND((F$14-(F$14*F$16))*$B18,0)</f>
        <v>0</v>
      </c>
      <c r="G20" s="57">
        <f>ROUND((G$14)*G$16,0)+ROUND((G$14-(G$14*G$16))*$B18,0)</f>
        <v>0</v>
      </c>
      <c r="AF20" s="57">
        <f>SUM(D20:G20)</f>
        <v>3877088</v>
      </c>
      <c r="AG20" s="57"/>
      <c r="AH20" s="57"/>
      <c r="AI20" s="58"/>
      <c r="AJ20" s="57"/>
      <c r="AK20" s="57"/>
    </row>
    <row r="21" spans="1:37" ht="15">
      <c r="A21" s="32">
        <f t="shared" si="4"/>
        <v>6</v>
      </c>
      <c r="B21" s="136">
        <v>0.06177</v>
      </c>
      <c r="C21" s="32">
        <f t="shared" si="5"/>
        <v>4</v>
      </c>
      <c r="D21" s="57">
        <f t="shared" si="3"/>
        <v>1887005</v>
      </c>
      <c r="E21" s="57">
        <f aca="true" t="shared" si="6" ref="E21:E38">ROUND(($E$14-($E$14*$E$16))*B20,0)</f>
        <v>1699392</v>
      </c>
      <c r="F21" s="57">
        <f>ROUND((F$14-(F$14*F$16))*$B19,0)</f>
        <v>0</v>
      </c>
      <c r="G21" s="57">
        <f>ROUND((G$14-(G$14*G$16))*$B19,0)</f>
        <v>0</v>
      </c>
      <c r="H21" s="57">
        <f>ROUND((H$14)*H$16,0)+ROUND((H$14-(H$14*H$16))*$B18,0)</f>
        <v>0</v>
      </c>
      <c r="AF21" s="57">
        <f>SUM(D21:H21)</f>
        <v>3586397</v>
      </c>
      <c r="AG21" s="57">
        <v>0</v>
      </c>
      <c r="AH21" s="57"/>
      <c r="AI21" s="58"/>
      <c r="AJ21" s="57"/>
      <c r="AK21" s="57"/>
    </row>
    <row r="22" spans="1:37" ht="15">
      <c r="A22" s="32">
        <f t="shared" si="4"/>
        <v>7</v>
      </c>
      <c r="B22" s="136">
        <v>0.05713</v>
      </c>
      <c r="C22" s="32">
        <f t="shared" si="5"/>
        <v>5</v>
      </c>
      <c r="D22" s="57">
        <f t="shared" si="3"/>
        <v>1745258</v>
      </c>
      <c r="E22" s="57">
        <f t="shared" si="6"/>
        <v>1572135</v>
      </c>
      <c r="F22" s="57">
        <f aca="true" t="shared" si="7" ref="F22:F39">ROUND((F$14-(F$14*F$16))*$B20,0)</f>
        <v>0</v>
      </c>
      <c r="G22" s="57">
        <f aca="true" t="shared" si="8" ref="G22:G40">ROUND((G$14-(G$14*G$16))*$B20,0)</f>
        <v>0</v>
      </c>
      <c r="H22" s="57">
        <f>ROUND((H$14-(H$14*H$16))*$B19,0)</f>
        <v>0</v>
      </c>
      <c r="I22" s="57">
        <f>ROUND((I$14)*I$16,0)+ROUND((I$14-(I$14*I$16))*$B18,0)</f>
        <v>0</v>
      </c>
      <c r="AF22" s="57">
        <f>SUM(D22:I22)</f>
        <v>3317393</v>
      </c>
      <c r="AG22" s="57">
        <v>0</v>
      </c>
      <c r="AH22" s="57"/>
      <c r="AI22" s="58"/>
      <c r="AJ22" s="57"/>
      <c r="AK22" s="57"/>
    </row>
    <row r="23" spans="1:37" ht="15">
      <c r="A23" s="32">
        <f t="shared" si="4"/>
        <v>8</v>
      </c>
      <c r="B23" s="136">
        <v>0.05285</v>
      </c>
      <c r="C23" s="32">
        <f t="shared" si="5"/>
        <v>6</v>
      </c>
      <c r="D23" s="57">
        <f t="shared" si="3"/>
        <v>1614509</v>
      </c>
      <c r="E23" s="57">
        <f t="shared" si="6"/>
        <v>1454040</v>
      </c>
      <c r="F23" s="57">
        <f t="shared" si="7"/>
        <v>0</v>
      </c>
      <c r="G23" s="57">
        <f t="shared" si="8"/>
        <v>0</v>
      </c>
      <c r="H23" s="57">
        <f aca="true" t="shared" si="9" ref="H23:H41">ROUND((H$14-(H$14*H$16))*$B20,0)</f>
        <v>0</v>
      </c>
      <c r="I23" s="57">
        <f>ROUND((I$14-(I$14*I$16))*$B19,0)</f>
        <v>0</v>
      </c>
      <c r="AF23" s="57">
        <f aca="true" t="shared" si="10" ref="AF23:AF42">SUM(D23:I23)</f>
        <v>3068549</v>
      </c>
      <c r="AG23" s="57"/>
      <c r="AH23" s="57"/>
      <c r="AI23" s="58"/>
      <c r="AJ23" s="57"/>
      <c r="AK23" s="57"/>
    </row>
    <row r="24" spans="1:37" ht="15">
      <c r="A24" s="32">
        <f t="shared" si="4"/>
        <v>9</v>
      </c>
      <c r="B24" s="136">
        <v>0.04888</v>
      </c>
      <c r="C24" s="32">
        <f t="shared" si="5"/>
        <v>7</v>
      </c>
      <c r="D24" s="57">
        <f t="shared" si="3"/>
        <v>1493230</v>
      </c>
      <c r="E24" s="57">
        <f t="shared" si="6"/>
        <v>1345108</v>
      </c>
      <c r="F24" s="57">
        <f t="shared" si="7"/>
        <v>0</v>
      </c>
      <c r="G24" s="57">
        <f t="shared" si="8"/>
        <v>0</v>
      </c>
      <c r="H24" s="57">
        <f t="shared" si="9"/>
        <v>0</v>
      </c>
      <c r="I24" s="57">
        <f aca="true" t="shared" si="11" ref="I24:I42">ROUND((I$14-(I$14*I$16))*$B20,0)</f>
        <v>0</v>
      </c>
      <c r="AF24" s="57">
        <f t="shared" si="10"/>
        <v>2838338</v>
      </c>
      <c r="AG24" s="57"/>
      <c r="AH24" s="57"/>
      <c r="AI24" s="58"/>
      <c r="AJ24" s="57"/>
      <c r="AK24" s="57"/>
    </row>
    <row r="25" spans="1:37" ht="15">
      <c r="A25" s="32">
        <f t="shared" si="4"/>
        <v>10</v>
      </c>
      <c r="B25" s="136">
        <v>0.04522</v>
      </c>
      <c r="C25" s="32">
        <f t="shared" si="5"/>
        <v>8</v>
      </c>
      <c r="D25" s="57">
        <f t="shared" si="3"/>
        <v>1381421</v>
      </c>
      <c r="E25" s="57">
        <f t="shared" si="6"/>
        <v>1244066</v>
      </c>
      <c r="F25" s="57">
        <f t="shared" si="7"/>
        <v>0</v>
      </c>
      <c r="G25" s="57">
        <f t="shared" si="8"/>
        <v>0</v>
      </c>
      <c r="H25" s="57">
        <f t="shared" si="9"/>
        <v>0</v>
      </c>
      <c r="I25" s="57">
        <f t="shared" si="11"/>
        <v>0</v>
      </c>
      <c r="AF25" s="57">
        <f t="shared" si="10"/>
        <v>2625487</v>
      </c>
      <c r="AG25" s="57"/>
      <c r="AH25" s="57"/>
      <c r="AI25" s="58"/>
      <c r="AJ25" s="57"/>
      <c r="AK25" s="57"/>
    </row>
    <row r="26" spans="1:37" ht="15">
      <c r="A26" s="32">
        <f t="shared" si="4"/>
        <v>11</v>
      </c>
      <c r="B26" s="136">
        <v>0.04462</v>
      </c>
      <c r="C26" s="32">
        <f t="shared" si="5"/>
        <v>9</v>
      </c>
      <c r="D26" s="57">
        <f t="shared" si="3"/>
        <v>1363091</v>
      </c>
      <c r="E26" s="57">
        <f t="shared" si="6"/>
        <v>1150914</v>
      </c>
      <c r="F26" s="57">
        <f t="shared" si="7"/>
        <v>0</v>
      </c>
      <c r="G26" s="57">
        <f t="shared" si="8"/>
        <v>0</v>
      </c>
      <c r="H26" s="57">
        <f t="shared" si="9"/>
        <v>0</v>
      </c>
      <c r="I26" s="57">
        <f t="shared" si="11"/>
        <v>0</v>
      </c>
      <c r="J26" s="57"/>
      <c r="AF26" s="57">
        <f t="shared" si="10"/>
        <v>2514005</v>
      </c>
      <c r="AG26" s="57"/>
      <c r="AH26" s="57"/>
      <c r="AI26" s="58"/>
      <c r="AJ26" s="57"/>
      <c r="AK26" s="57"/>
    </row>
    <row r="27" spans="1:37" ht="15">
      <c r="A27" s="32">
        <f t="shared" si="4"/>
        <v>12</v>
      </c>
      <c r="B27" s="136">
        <v>0.04461</v>
      </c>
      <c r="C27" s="32">
        <f t="shared" si="5"/>
        <v>10</v>
      </c>
      <c r="D27" s="57">
        <f t="shared" si="3"/>
        <v>1362786</v>
      </c>
      <c r="E27" s="57">
        <f t="shared" si="6"/>
        <v>1135643</v>
      </c>
      <c r="F27" s="57">
        <f t="shared" si="7"/>
        <v>0</v>
      </c>
      <c r="G27" s="57">
        <f t="shared" si="8"/>
        <v>0</v>
      </c>
      <c r="H27" s="57">
        <f t="shared" si="9"/>
        <v>0</v>
      </c>
      <c r="I27" s="57">
        <f t="shared" si="11"/>
        <v>0</v>
      </c>
      <c r="J27" s="57"/>
      <c r="K27" s="57"/>
      <c r="AF27" s="57">
        <f t="shared" si="10"/>
        <v>2498429</v>
      </c>
      <c r="AG27" s="57"/>
      <c r="AH27" s="57"/>
      <c r="AI27" s="58"/>
      <c r="AJ27" s="57"/>
      <c r="AK27" s="57"/>
    </row>
    <row r="28" spans="1:37" ht="15">
      <c r="A28" s="32">
        <f t="shared" si="4"/>
        <v>13</v>
      </c>
      <c r="B28" s="136">
        <v>0.04462</v>
      </c>
      <c r="C28" s="32">
        <f t="shared" si="5"/>
        <v>11</v>
      </c>
      <c r="D28" s="57">
        <f t="shared" si="3"/>
        <v>1363091</v>
      </c>
      <c r="E28" s="57">
        <f t="shared" si="6"/>
        <v>1135388</v>
      </c>
      <c r="F28" s="57">
        <f t="shared" si="7"/>
        <v>0</v>
      </c>
      <c r="G28" s="57">
        <f t="shared" si="8"/>
        <v>0</v>
      </c>
      <c r="H28" s="57">
        <f t="shared" si="9"/>
        <v>0</v>
      </c>
      <c r="I28" s="57">
        <f t="shared" si="11"/>
        <v>0</v>
      </c>
      <c r="J28" s="57"/>
      <c r="K28" s="57"/>
      <c r="L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>
        <f t="shared" si="10"/>
        <v>2498479</v>
      </c>
      <c r="AG28" s="57"/>
      <c r="AH28" s="57"/>
      <c r="AI28" s="58"/>
      <c r="AJ28" s="57"/>
      <c r="AK28" s="57"/>
    </row>
    <row r="29" spans="1:37" ht="15">
      <c r="A29" s="32">
        <f t="shared" si="4"/>
        <v>14</v>
      </c>
      <c r="B29" s="136">
        <v>0.04461</v>
      </c>
      <c r="C29" s="32">
        <f t="shared" si="5"/>
        <v>12</v>
      </c>
      <c r="D29" s="57">
        <f t="shared" si="3"/>
        <v>1362786</v>
      </c>
      <c r="E29" s="57">
        <f t="shared" si="6"/>
        <v>1135643</v>
      </c>
      <c r="F29" s="57">
        <f t="shared" si="7"/>
        <v>0</v>
      </c>
      <c r="G29" s="57">
        <f t="shared" si="8"/>
        <v>0</v>
      </c>
      <c r="H29" s="57">
        <f t="shared" si="9"/>
        <v>0</v>
      </c>
      <c r="I29" s="57">
        <f t="shared" si="11"/>
        <v>0</v>
      </c>
      <c r="J29" s="57"/>
      <c r="K29" s="57"/>
      <c r="L29" s="57"/>
      <c r="M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>
        <f t="shared" si="10"/>
        <v>2498429</v>
      </c>
      <c r="AG29" s="57"/>
      <c r="AH29" s="57"/>
      <c r="AI29" s="58"/>
      <c r="AJ29" s="57"/>
      <c r="AK29" s="57"/>
    </row>
    <row r="30" spans="1:37" ht="15">
      <c r="A30" s="32">
        <f t="shared" si="4"/>
        <v>15</v>
      </c>
      <c r="B30" s="136">
        <v>0.04462</v>
      </c>
      <c r="C30" s="32">
        <f t="shared" si="5"/>
        <v>13</v>
      </c>
      <c r="D30" s="57">
        <f t="shared" si="3"/>
        <v>1363091</v>
      </c>
      <c r="E30" s="57">
        <f t="shared" si="6"/>
        <v>1135388</v>
      </c>
      <c r="F30" s="57">
        <f t="shared" si="7"/>
        <v>0</v>
      </c>
      <c r="G30" s="57">
        <f t="shared" si="8"/>
        <v>0</v>
      </c>
      <c r="H30" s="57">
        <f t="shared" si="9"/>
        <v>0</v>
      </c>
      <c r="I30" s="57">
        <f t="shared" si="11"/>
        <v>0</v>
      </c>
      <c r="J30" s="57"/>
      <c r="K30" s="57"/>
      <c r="L30" s="57"/>
      <c r="M30" s="57"/>
      <c r="N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>
        <f t="shared" si="10"/>
        <v>2498479</v>
      </c>
      <c r="AG30" s="57"/>
      <c r="AH30" s="57"/>
      <c r="AI30" s="58"/>
      <c r="AJ30" s="57"/>
      <c r="AK30" s="57"/>
    </row>
    <row r="31" spans="1:37" ht="15">
      <c r="A31" s="32">
        <f t="shared" si="4"/>
        <v>16</v>
      </c>
      <c r="B31" s="136">
        <v>0.04461</v>
      </c>
      <c r="C31" s="32">
        <f t="shared" si="5"/>
        <v>14</v>
      </c>
      <c r="D31" s="57">
        <f t="shared" si="3"/>
        <v>1362786</v>
      </c>
      <c r="E31" s="57">
        <f t="shared" si="6"/>
        <v>1135643</v>
      </c>
      <c r="F31" s="57">
        <f t="shared" si="7"/>
        <v>0</v>
      </c>
      <c r="G31" s="57">
        <f t="shared" si="8"/>
        <v>0</v>
      </c>
      <c r="H31" s="57">
        <f t="shared" si="9"/>
        <v>0</v>
      </c>
      <c r="I31" s="57">
        <f t="shared" si="11"/>
        <v>0</v>
      </c>
      <c r="J31" s="57"/>
      <c r="K31" s="57"/>
      <c r="L31" s="57"/>
      <c r="M31" s="57"/>
      <c r="N31" s="57"/>
      <c r="O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>
        <f t="shared" si="10"/>
        <v>2498429</v>
      </c>
      <c r="AG31" s="57"/>
      <c r="AH31" s="57"/>
      <c r="AI31" s="58"/>
      <c r="AJ31" s="57"/>
      <c r="AK31" s="57"/>
    </row>
    <row r="32" spans="1:37" ht="15">
      <c r="A32" s="32">
        <f t="shared" si="4"/>
        <v>17</v>
      </c>
      <c r="B32" s="136">
        <v>0.04462</v>
      </c>
      <c r="C32" s="32">
        <f t="shared" si="5"/>
        <v>15</v>
      </c>
      <c r="D32" s="57">
        <f t="shared" si="3"/>
        <v>1363091</v>
      </c>
      <c r="E32" s="57">
        <f t="shared" si="6"/>
        <v>1135388</v>
      </c>
      <c r="F32" s="57">
        <f t="shared" si="7"/>
        <v>0</v>
      </c>
      <c r="G32" s="57">
        <f t="shared" si="8"/>
        <v>0</v>
      </c>
      <c r="H32" s="57">
        <f t="shared" si="9"/>
        <v>0</v>
      </c>
      <c r="I32" s="57">
        <f t="shared" si="11"/>
        <v>0</v>
      </c>
      <c r="J32" s="57"/>
      <c r="K32" s="57"/>
      <c r="L32" s="57"/>
      <c r="M32" s="57"/>
      <c r="N32" s="57"/>
      <c r="O32" s="57"/>
      <c r="P32" s="57"/>
      <c r="AF32" s="57">
        <f t="shared" si="10"/>
        <v>2498479</v>
      </c>
      <c r="AG32" s="57"/>
      <c r="AH32" s="57"/>
      <c r="AI32" s="58"/>
      <c r="AJ32" s="57"/>
      <c r="AK32" s="57"/>
    </row>
    <row r="33" spans="1:37" ht="15">
      <c r="A33" s="32">
        <f t="shared" si="4"/>
        <v>18</v>
      </c>
      <c r="B33" s="136">
        <v>0.04461</v>
      </c>
      <c r="C33" s="32">
        <f t="shared" si="5"/>
        <v>16</v>
      </c>
      <c r="D33" s="57">
        <f t="shared" si="3"/>
        <v>1362786</v>
      </c>
      <c r="E33" s="57">
        <f t="shared" si="6"/>
        <v>1135643</v>
      </c>
      <c r="F33" s="57">
        <f t="shared" si="7"/>
        <v>0</v>
      </c>
      <c r="G33" s="57">
        <f t="shared" si="8"/>
        <v>0</v>
      </c>
      <c r="H33" s="57">
        <f t="shared" si="9"/>
        <v>0</v>
      </c>
      <c r="I33" s="57">
        <f t="shared" si="11"/>
        <v>0</v>
      </c>
      <c r="J33" s="57"/>
      <c r="K33" s="57"/>
      <c r="L33" s="57"/>
      <c r="M33" s="57"/>
      <c r="N33" s="57"/>
      <c r="O33" s="57"/>
      <c r="P33" s="57"/>
      <c r="Q33" s="57"/>
      <c r="AF33" s="57">
        <f t="shared" si="10"/>
        <v>2498429</v>
      </c>
      <c r="AG33" s="57"/>
      <c r="AH33" s="57"/>
      <c r="AI33" s="58"/>
      <c r="AJ33" s="57"/>
      <c r="AK33" s="57"/>
    </row>
    <row r="34" spans="1:37" ht="15">
      <c r="A34" s="32">
        <f t="shared" si="4"/>
        <v>19</v>
      </c>
      <c r="B34" s="136">
        <v>0.04462</v>
      </c>
      <c r="C34" s="32">
        <f t="shared" si="5"/>
        <v>17</v>
      </c>
      <c r="D34" s="57">
        <f t="shared" si="3"/>
        <v>1363091</v>
      </c>
      <c r="E34" s="57">
        <f t="shared" si="6"/>
        <v>1135388</v>
      </c>
      <c r="F34" s="57">
        <f t="shared" si="7"/>
        <v>0</v>
      </c>
      <c r="G34" s="57">
        <f t="shared" si="8"/>
        <v>0</v>
      </c>
      <c r="H34" s="57">
        <f t="shared" si="9"/>
        <v>0</v>
      </c>
      <c r="I34" s="57">
        <f t="shared" si="11"/>
        <v>0</v>
      </c>
      <c r="J34" s="57"/>
      <c r="K34" s="57"/>
      <c r="L34" s="57"/>
      <c r="M34" s="57"/>
      <c r="N34" s="57"/>
      <c r="O34" s="57"/>
      <c r="P34" s="57"/>
      <c r="Q34" s="57"/>
      <c r="R34" s="57"/>
      <c r="AF34" s="57">
        <f t="shared" si="10"/>
        <v>2498479</v>
      </c>
      <c r="AG34" s="57"/>
      <c r="AH34" s="57"/>
      <c r="AI34" s="58"/>
      <c r="AJ34" s="57"/>
      <c r="AK34" s="57"/>
    </row>
    <row r="35" spans="1:37" ht="15">
      <c r="A35" s="32">
        <f t="shared" si="4"/>
        <v>20</v>
      </c>
      <c r="B35" s="136">
        <v>0.04461</v>
      </c>
      <c r="C35" s="32">
        <f t="shared" si="5"/>
        <v>18</v>
      </c>
      <c r="D35" s="57">
        <f t="shared" si="3"/>
        <v>1362786</v>
      </c>
      <c r="E35" s="57">
        <f t="shared" si="6"/>
        <v>1135643</v>
      </c>
      <c r="F35" s="57">
        <f t="shared" si="7"/>
        <v>0</v>
      </c>
      <c r="G35" s="57">
        <f t="shared" si="8"/>
        <v>0</v>
      </c>
      <c r="H35" s="57">
        <f t="shared" si="9"/>
        <v>0</v>
      </c>
      <c r="I35" s="57">
        <f t="shared" si="11"/>
        <v>0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AF35" s="57">
        <f t="shared" si="10"/>
        <v>2498429</v>
      </c>
      <c r="AG35" s="57"/>
      <c r="AH35" s="57"/>
      <c r="AI35" s="58"/>
      <c r="AJ35" s="57"/>
      <c r="AK35" s="57"/>
    </row>
    <row r="36" spans="1:37" ht="15">
      <c r="A36" s="32">
        <f t="shared" si="4"/>
        <v>21</v>
      </c>
      <c r="B36" s="136">
        <v>0.04462</v>
      </c>
      <c r="C36" s="32">
        <f t="shared" si="5"/>
        <v>19</v>
      </c>
      <c r="D36" s="57">
        <f t="shared" si="3"/>
        <v>1363091</v>
      </c>
      <c r="E36" s="57">
        <f t="shared" si="6"/>
        <v>1135388</v>
      </c>
      <c r="F36" s="57">
        <f t="shared" si="7"/>
        <v>0</v>
      </c>
      <c r="G36" s="57">
        <f t="shared" si="8"/>
        <v>0</v>
      </c>
      <c r="H36" s="57">
        <f t="shared" si="9"/>
        <v>0</v>
      </c>
      <c r="I36" s="57">
        <f t="shared" si="11"/>
        <v>0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F36" s="57">
        <f t="shared" si="10"/>
        <v>2498479</v>
      </c>
      <c r="AG36" s="57"/>
      <c r="AH36" s="57"/>
      <c r="AI36" s="58"/>
      <c r="AJ36" s="57"/>
      <c r="AK36" s="57"/>
    </row>
    <row r="37" spans="1:37" ht="15">
      <c r="A37" s="32">
        <f t="shared" si="4"/>
        <v>22</v>
      </c>
      <c r="B37" s="136">
        <v>0.04461</v>
      </c>
      <c r="C37" s="32">
        <f t="shared" si="5"/>
        <v>20</v>
      </c>
      <c r="D37" s="57">
        <f t="shared" si="3"/>
        <v>1362786</v>
      </c>
      <c r="E37" s="57">
        <f t="shared" si="6"/>
        <v>1135643</v>
      </c>
      <c r="F37" s="57">
        <f t="shared" si="7"/>
        <v>0</v>
      </c>
      <c r="G37" s="57">
        <f t="shared" si="8"/>
        <v>0</v>
      </c>
      <c r="H37" s="57">
        <f t="shared" si="9"/>
        <v>0</v>
      </c>
      <c r="I37" s="57">
        <f t="shared" si="11"/>
        <v>0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>
        <f t="shared" si="10"/>
        <v>2498429</v>
      </c>
      <c r="AG37" s="57"/>
      <c r="AH37" s="57"/>
      <c r="AI37" s="58"/>
      <c r="AJ37" s="57"/>
      <c r="AK37" s="57"/>
    </row>
    <row r="38" spans="1:37" ht="15">
      <c r="A38" s="32">
        <f t="shared" si="4"/>
        <v>23</v>
      </c>
      <c r="B38" s="136">
        <v>0.02231</v>
      </c>
      <c r="C38" s="32">
        <f t="shared" si="5"/>
        <v>21</v>
      </c>
      <c r="D38" s="57">
        <f>ROUND(($D$14-($D$14*$D$16))*B38,0)+1</f>
        <v>681547</v>
      </c>
      <c r="E38" s="57">
        <f t="shared" si="6"/>
        <v>1135388</v>
      </c>
      <c r="F38" s="57">
        <f t="shared" si="7"/>
        <v>0</v>
      </c>
      <c r="G38" s="57">
        <f t="shared" si="8"/>
        <v>0</v>
      </c>
      <c r="H38" s="57">
        <f t="shared" si="9"/>
        <v>0</v>
      </c>
      <c r="I38" s="57">
        <f t="shared" si="11"/>
        <v>0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>
        <f t="shared" si="10"/>
        <v>1816935</v>
      </c>
      <c r="AG38" s="57"/>
      <c r="AH38" s="57"/>
      <c r="AI38" s="58"/>
      <c r="AJ38" s="57"/>
      <c r="AK38" s="57"/>
    </row>
    <row r="39" spans="1:37" ht="15">
      <c r="A39" s="32">
        <f t="shared" si="4"/>
        <v>24</v>
      </c>
      <c r="B39" s="136"/>
      <c r="C39" s="32">
        <f t="shared" si="5"/>
        <v>22</v>
      </c>
      <c r="E39" s="57">
        <f>ROUND(($E$14-($E$14*$E$16))*B38,0)+6</f>
        <v>567827</v>
      </c>
      <c r="F39" s="57">
        <f t="shared" si="7"/>
        <v>0</v>
      </c>
      <c r="G39" s="57">
        <f t="shared" si="8"/>
        <v>0</v>
      </c>
      <c r="H39" s="57">
        <f t="shared" si="9"/>
        <v>0</v>
      </c>
      <c r="I39" s="57">
        <f t="shared" si="11"/>
        <v>0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>
        <f t="shared" si="10"/>
        <v>567827</v>
      </c>
      <c r="AH39" s="57"/>
      <c r="AI39" s="58"/>
      <c r="AJ39" s="57"/>
      <c r="AK39" s="57"/>
    </row>
    <row r="40" spans="1:37" ht="15">
      <c r="A40" s="32">
        <f t="shared" si="4"/>
        <v>25</v>
      </c>
      <c r="B40" s="136"/>
      <c r="C40" s="32">
        <f t="shared" si="5"/>
        <v>23</v>
      </c>
      <c r="F40" s="57">
        <f>ROUND((F$14-(F$14*F$16))*$B38,0)</f>
        <v>0</v>
      </c>
      <c r="G40" s="57">
        <f t="shared" si="8"/>
        <v>0</v>
      </c>
      <c r="H40" s="57">
        <f t="shared" si="9"/>
        <v>0</v>
      </c>
      <c r="I40" s="57">
        <f t="shared" si="11"/>
        <v>0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>
        <f t="shared" si="10"/>
        <v>0</v>
      </c>
      <c r="AH40" s="57"/>
      <c r="AI40" s="58"/>
      <c r="AJ40" s="57"/>
      <c r="AK40" s="57"/>
    </row>
    <row r="41" spans="1:37" ht="15">
      <c r="A41" s="32">
        <f t="shared" si="4"/>
        <v>26</v>
      </c>
      <c r="B41" s="136"/>
      <c r="C41" s="32">
        <f t="shared" si="5"/>
        <v>24</v>
      </c>
      <c r="F41" s="57"/>
      <c r="G41" s="57"/>
      <c r="H41" s="57">
        <f t="shared" si="9"/>
        <v>0</v>
      </c>
      <c r="I41" s="57">
        <f t="shared" si="11"/>
        <v>0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>
        <f t="shared" si="10"/>
        <v>0</v>
      </c>
      <c r="AH41" s="57">
        <f>AH40</f>
        <v>0</v>
      </c>
      <c r="AI41" s="58">
        <f>AF41+AG41-AH41</f>
        <v>0</v>
      </c>
      <c r="AJ41" s="57">
        <f>ROUND(0.2495*AH41,0)</f>
        <v>0</v>
      </c>
      <c r="AK41" s="57">
        <f>ROUND(0.2495*AI41,0)</f>
        <v>0</v>
      </c>
    </row>
    <row r="42" spans="1:37" ht="15">
      <c r="A42" s="32">
        <f t="shared" si="4"/>
        <v>27</v>
      </c>
      <c r="B42" s="136"/>
      <c r="C42" s="32"/>
      <c r="F42" s="57"/>
      <c r="G42" s="57"/>
      <c r="H42" s="57"/>
      <c r="I42" s="57">
        <f t="shared" si="11"/>
        <v>0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>
        <f t="shared" si="10"/>
        <v>0</v>
      </c>
      <c r="AH42" s="57"/>
      <c r="AI42" s="58"/>
      <c r="AJ42" s="57"/>
      <c r="AK42" s="57"/>
    </row>
    <row r="43" spans="1:37" ht="15">
      <c r="A43" s="32">
        <f t="shared" si="4"/>
        <v>28</v>
      </c>
      <c r="D43" s="58">
        <f>SUM(D18:D39)</f>
        <v>40147689</v>
      </c>
      <c r="E43" s="58">
        <f>SUM(E18:E39)-2</f>
        <v>38544367</v>
      </c>
      <c r="F43" s="58">
        <f>SUM(F18:F39)</f>
        <v>0</v>
      </c>
      <c r="G43" s="58">
        <f>SUM(G18:G40)</f>
        <v>0</v>
      </c>
      <c r="H43" s="58">
        <f>SUM(H18:H42)</f>
        <v>0</v>
      </c>
      <c r="I43" s="58">
        <f>SUM(I18:I42)</f>
        <v>0</v>
      </c>
      <c r="J43" s="58">
        <f aca="true" t="shared" si="12" ref="J43:AE43">SUM(J18:J40)</f>
        <v>0</v>
      </c>
      <c r="K43" s="58">
        <f t="shared" si="12"/>
        <v>0</v>
      </c>
      <c r="L43" s="58">
        <f t="shared" si="12"/>
        <v>0</v>
      </c>
      <c r="M43" s="58">
        <f t="shared" si="12"/>
        <v>0</v>
      </c>
      <c r="N43" s="58">
        <f t="shared" si="12"/>
        <v>0</v>
      </c>
      <c r="O43" s="58">
        <f t="shared" si="12"/>
        <v>0</v>
      </c>
      <c r="P43" s="58">
        <f t="shared" si="12"/>
        <v>0</v>
      </c>
      <c r="Q43" s="58">
        <f t="shared" si="12"/>
        <v>0</v>
      </c>
      <c r="R43" s="58">
        <f t="shared" si="12"/>
        <v>0</v>
      </c>
      <c r="S43" s="58">
        <f t="shared" si="12"/>
        <v>0</v>
      </c>
      <c r="T43" s="58">
        <f t="shared" si="12"/>
        <v>0</v>
      </c>
      <c r="U43" s="58">
        <f t="shared" si="12"/>
        <v>0</v>
      </c>
      <c r="V43" s="58">
        <f t="shared" si="12"/>
        <v>0</v>
      </c>
      <c r="W43" s="58">
        <f t="shared" si="12"/>
        <v>0</v>
      </c>
      <c r="X43" s="58">
        <f t="shared" si="12"/>
        <v>0</v>
      </c>
      <c r="Y43" s="58">
        <f t="shared" si="12"/>
        <v>0</v>
      </c>
      <c r="Z43" s="58">
        <f t="shared" si="12"/>
        <v>0</v>
      </c>
      <c r="AA43" s="58">
        <f t="shared" si="12"/>
        <v>0</v>
      </c>
      <c r="AB43" s="58">
        <f t="shared" si="12"/>
        <v>0</v>
      </c>
      <c r="AC43" s="58">
        <f t="shared" si="12"/>
        <v>0</v>
      </c>
      <c r="AD43" s="58">
        <f t="shared" si="12"/>
        <v>0</v>
      </c>
      <c r="AE43" s="58">
        <f t="shared" si="12"/>
        <v>0</v>
      </c>
      <c r="AF43" s="58">
        <f>SUM(AF18:AF41)</f>
        <v>78692058</v>
      </c>
      <c r="AG43" s="58">
        <f>SUM(AG18:AG41)</f>
        <v>4813019.000000001</v>
      </c>
      <c r="AH43" s="58">
        <f>SUM(AH18:AH41)</f>
        <v>1511854.8260000004</v>
      </c>
      <c r="AI43" s="57"/>
      <c r="AJ43" s="57"/>
      <c r="AK43" s="57"/>
    </row>
    <row r="44" spans="4:37" ht="15"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7"/>
      <c r="AG44" s="58"/>
      <c r="AH44" s="57"/>
      <c r="AI44" s="57"/>
      <c r="AJ44" s="57"/>
      <c r="AK44" s="57"/>
    </row>
    <row r="45" spans="1:37" ht="15">
      <c r="A45" s="33" t="s">
        <v>71</v>
      </c>
      <c r="F45" s="58"/>
      <c r="AF45" s="58"/>
      <c r="AG45" s="58"/>
      <c r="AH45" s="57"/>
      <c r="AI45" s="57"/>
      <c r="AJ45" s="137"/>
      <c r="AK45" s="137"/>
    </row>
    <row r="46" spans="1:37" ht="15">
      <c r="A46" s="33" t="s">
        <v>93</v>
      </c>
      <c r="AH46" s="58"/>
      <c r="AI46" s="57"/>
      <c r="AJ46" s="57"/>
      <c r="AK46" s="57"/>
    </row>
    <row r="47" spans="1:37" ht="15">
      <c r="A47" s="33" t="s">
        <v>282</v>
      </c>
      <c r="AH47" s="58"/>
      <c r="AI47" s="57"/>
      <c r="AJ47" s="57"/>
      <c r="AK47" s="57"/>
    </row>
    <row r="48" spans="1:37" ht="15">
      <c r="A48" s="33" t="s">
        <v>176</v>
      </c>
      <c r="AH48" s="58"/>
      <c r="AI48" s="57"/>
      <c r="AJ48" s="57"/>
      <c r="AK48" s="57"/>
    </row>
    <row r="49" spans="1:37" ht="15">
      <c r="A49" s="33"/>
      <c r="AH49" s="58"/>
      <c r="AI49" s="57"/>
      <c r="AJ49" s="57"/>
      <c r="AK49" s="57"/>
    </row>
    <row r="50" spans="4:37" ht="15">
      <c r="D50" s="140">
        <v>2023</v>
      </c>
      <c r="E50" s="140">
        <f>+D50+1</f>
        <v>2024</v>
      </c>
      <c r="F50" s="140">
        <f>+E50+1</f>
        <v>2025</v>
      </c>
      <c r="G50" s="140">
        <f>+F50+1</f>
        <v>2026</v>
      </c>
      <c r="H50" s="140">
        <f>+G50+1</f>
        <v>2027</v>
      </c>
      <c r="I50" s="140">
        <f>+H50+1</f>
        <v>2028</v>
      </c>
      <c r="AH50" s="58"/>
      <c r="AI50" s="57"/>
      <c r="AJ50" s="57"/>
      <c r="AK50" s="57"/>
    </row>
    <row r="51" spans="2:37" ht="15">
      <c r="B51" s="141" t="s">
        <v>74</v>
      </c>
      <c r="D51" s="142">
        <v>0.2073</v>
      </c>
      <c r="E51" s="142">
        <v>0.3121</v>
      </c>
      <c r="F51" s="142">
        <f>+E51</f>
        <v>0.3121</v>
      </c>
      <c r="G51" s="142">
        <f>+F51</f>
        <v>0.3121</v>
      </c>
      <c r="H51" s="142">
        <f>+G51</f>
        <v>0.3121</v>
      </c>
      <c r="I51" s="142">
        <f>+H51</f>
        <v>0.3121</v>
      </c>
      <c r="AH51" s="58"/>
      <c r="AI51" s="57"/>
      <c r="AJ51" s="57"/>
      <c r="AK51" s="57"/>
    </row>
    <row r="52" spans="2:33" ht="15">
      <c r="B52" s="141" t="s">
        <v>75</v>
      </c>
      <c r="D52" s="142">
        <v>0.0401</v>
      </c>
      <c r="E52" s="142">
        <v>0.0401</v>
      </c>
      <c r="F52" s="142">
        <v>0.0401</v>
      </c>
      <c r="G52" s="142">
        <v>0.0401</v>
      </c>
      <c r="H52" s="142">
        <v>0.0401</v>
      </c>
      <c r="I52" s="142">
        <v>0.0401</v>
      </c>
      <c r="AG52" s="51"/>
    </row>
    <row r="53" spans="4:37" ht="15">
      <c r="D53" s="143">
        <f>(1-D51)*D52</f>
        <v>0.03178726999999999</v>
      </c>
      <c r="E53" s="143">
        <f>(1-E51)*E52</f>
        <v>0.027584789999999994</v>
      </c>
      <c r="F53" s="143">
        <f aca="true" t="shared" si="13" ref="F53:AE53">(1-F51)*F52</f>
        <v>0.027584789999999994</v>
      </c>
      <c r="G53" s="143">
        <f t="shared" si="13"/>
        <v>0.027584789999999994</v>
      </c>
      <c r="H53" s="143">
        <f>(1-H51)*H52</f>
        <v>0.027584789999999994</v>
      </c>
      <c r="I53" s="143">
        <f>(1-I51)*I52</f>
        <v>0.027584789999999994</v>
      </c>
      <c r="J53" s="143">
        <f t="shared" si="13"/>
        <v>0</v>
      </c>
      <c r="K53" s="143">
        <f t="shared" si="13"/>
        <v>0</v>
      </c>
      <c r="L53" s="143">
        <f t="shared" si="13"/>
        <v>0</v>
      </c>
      <c r="M53" s="143">
        <f t="shared" si="13"/>
        <v>0</v>
      </c>
      <c r="N53" s="143">
        <f t="shared" si="13"/>
        <v>0</v>
      </c>
      <c r="O53" s="143">
        <f t="shared" si="13"/>
        <v>0</v>
      </c>
      <c r="P53" s="143">
        <f t="shared" si="13"/>
        <v>0</v>
      </c>
      <c r="Q53" s="143">
        <f t="shared" si="13"/>
        <v>0</v>
      </c>
      <c r="R53" s="143">
        <f t="shared" si="13"/>
        <v>0</v>
      </c>
      <c r="S53" s="143">
        <f t="shared" si="13"/>
        <v>0</v>
      </c>
      <c r="T53" s="143">
        <f t="shared" si="13"/>
        <v>0</v>
      </c>
      <c r="U53" s="143">
        <f t="shared" si="13"/>
        <v>0</v>
      </c>
      <c r="V53" s="143">
        <f t="shared" si="13"/>
        <v>0</v>
      </c>
      <c r="W53" s="143">
        <f t="shared" si="13"/>
        <v>0</v>
      </c>
      <c r="X53" s="143">
        <f t="shared" si="13"/>
        <v>0</v>
      </c>
      <c r="Y53" s="143">
        <f t="shared" si="13"/>
        <v>0</v>
      </c>
      <c r="Z53" s="143">
        <f t="shared" si="13"/>
        <v>0</v>
      </c>
      <c r="AA53" s="143">
        <f t="shared" si="13"/>
        <v>0</v>
      </c>
      <c r="AB53" s="143">
        <f t="shared" si="13"/>
        <v>0</v>
      </c>
      <c r="AC53" s="143">
        <f t="shared" si="13"/>
        <v>0</v>
      </c>
      <c r="AD53" s="143">
        <f t="shared" si="13"/>
        <v>0</v>
      </c>
      <c r="AE53" s="143">
        <f t="shared" si="13"/>
        <v>0</v>
      </c>
      <c r="AJ53" s="32"/>
      <c r="AK53" s="32"/>
    </row>
    <row r="54" spans="2:37" ht="15">
      <c r="B54" s="141" t="s">
        <v>99</v>
      </c>
      <c r="D54" s="143">
        <v>0</v>
      </c>
      <c r="E54" s="143">
        <f>+D54</f>
        <v>0</v>
      </c>
      <c r="F54" s="143">
        <f>(1-F51-F53)*0</f>
        <v>0</v>
      </c>
      <c r="G54" s="143">
        <f>(1-G51-G53)*0</f>
        <v>0</v>
      </c>
      <c r="H54" s="143">
        <f>(1-H51-H53)*0</f>
        <v>0</v>
      </c>
      <c r="I54" s="143">
        <f>(1-I51-I53)*0</f>
        <v>0</v>
      </c>
      <c r="AG54" s="32"/>
      <c r="AH54" s="32"/>
      <c r="AI54" s="32"/>
      <c r="AJ54" s="32"/>
      <c r="AK54" s="32"/>
    </row>
    <row r="55" spans="2:37" ht="15">
      <c r="B55" s="144"/>
      <c r="D55" s="143">
        <f aca="true" t="shared" si="14" ref="D55:I55">D51+D53</f>
        <v>0.23908727000000002</v>
      </c>
      <c r="E55" s="143">
        <f t="shared" si="14"/>
        <v>0.33968478999999996</v>
      </c>
      <c r="F55" s="143">
        <f t="shared" si="14"/>
        <v>0.33968478999999996</v>
      </c>
      <c r="G55" s="143">
        <f t="shared" si="14"/>
        <v>0.33968478999999996</v>
      </c>
      <c r="H55" s="143">
        <f t="shared" si="14"/>
        <v>0.33968478999999996</v>
      </c>
      <c r="I55" s="143">
        <f t="shared" si="14"/>
        <v>0.33968478999999996</v>
      </c>
      <c r="AG55" s="145"/>
      <c r="AH55" s="145"/>
      <c r="AI55" s="145"/>
      <c r="AJ55" s="145"/>
      <c r="AK55" s="145"/>
    </row>
    <row r="56" spans="4:37" ht="15">
      <c r="D56" s="138"/>
      <c r="E56" s="138"/>
      <c r="F56" s="138"/>
      <c r="AH56" s="57"/>
      <c r="AI56" s="58"/>
      <c r="AJ56" s="57"/>
      <c r="AK56" s="57"/>
    </row>
    <row r="57" spans="4:37" ht="15">
      <c r="D57" s="138"/>
      <c r="E57" s="138"/>
      <c r="F57" s="138"/>
      <c r="AH57" s="57"/>
      <c r="AI57" s="58"/>
      <c r="AJ57" s="57"/>
      <c r="AK57" s="57"/>
    </row>
    <row r="58" spans="34:37" ht="15">
      <c r="AH58" s="57"/>
      <c r="AI58" s="58"/>
      <c r="AJ58" s="57"/>
      <c r="AK58" s="57"/>
    </row>
    <row r="59" spans="34:37" ht="15">
      <c r="AH59" s="57"/>
      <c r="AI59" s="58"/>
      <c r="AJ59" s="57"/>
      <c r="AK59" s="57"/>
    </row>
    <row r="60" spans="34:37" ht="15">
      <c r="AH60" s="57"/>
      <c r="AI60" s="58"/>
      <c r="AJ60" s="57"/>
      <c r="AK60" s="57"/>
    </row>
    <row r="61" spans="34:37" ht="15">
      <c r="AH61" s="57"/>
      <c r="AI61" s="58"/>
      <c r="AJ61" s="57"/>
      <c r="AK61" s="57"/>
    </row>
    <row r="62" spans="32:37" ht="15">
      <c r="AF62" s="58"/>
      <c r="AH62" s="57"/>
      <c r="AI62" s="58"/>
      <c r="AJ62" s="57"/>
      <c r="AK62" s="57"/>
    </row>
    <row r="63" spans="32:37" ht="15">
      <c r="AF63" s="58"/>
      <c r="AH63" s="57"/>
      <c r="AI63" s="58"/>
      <c r="AJ63" s="57"/>
      <c r="AK63" s="57"/>
    </row>
    <row r="64" spans="32:37" ht="15">
      <c r="AF64" s="58"/>
      <c r="AH64" s="57"/>
      <c r="AI64" s="58"/>
      <c r="AJ64" s="57"/>
      <c r="AK64" s="57"/>
    </row>
    <row r="65" spans="32:37" ht="15">
      <c r="AF65" s="58"/>
      <c r="AH65" s="57"/>
      <c r="AI65" s="58"/>
      <c r="AJ65" s="57"/>
      <c r="AK65" s="57"/>
    </row>
    <row r="66" spans="7:37" ht="15">
      <c r="G66" s="57"/>
      <c r="AF66" s="58"/>
      <c r="AH66" s="57"/>
      <c r="AI66" s="58"/>
      <c r="AJ66" s="57"/>
      <c r="AK66" s="57"/>
    </row>
    <row r="67" spans="7:37" ht="15">
      <c r="G67" s="57"/>
      <c r="H67" s="57"/>
      <c r="AF67" s="58"/>
      <c r="AH67" s="57"/>
      <c r="AI67" s="58"/>
      <c r="AJ67" s="57"/>
      <c r="AK67" s="57"/>
    </row>
    <row r="68" spans="7:37" ht="15">
      <c r="G68" s="57"/>
      <c r="H68" s="57"/>
      <c r="I68" s="57"/>
      <c r="AF68" s="58"/>
      <c r="AH68" s="57"/>
      <c r="AI68" s="58"/>
      <c r="AJ68" s="57"/>
      <c r="AK68" s="57"/>
    </row>
    <row r="69" spans="7:37" ht="15">
      <c r="G69" s="57"/>
      <c r="H69" s="57"/>
      <c r="I69" s="57"/>
      <c r="J69" s="57"/>
      <c r="AF69" s="58"/>
      <c r="AH69" s="57"/>
      <c r="AI69" s="58"/>
      <c r="AJ69" s="57"/>
      <c r="AK69" s="57"/>
    </row>
    <row r="70" spans="7:37" ht="15">
      <c r="G70" s="57"/>
      <c r="H70" s="57"/>
      <c r="I70" s="57"/>
      <c r="J70" s="57"/>
      <c r="K70" s="57"/>
      <c r="AF70" s="58"/>
      <c r="AH70" s="57"/>
      <c r="AI70" s="58"/>
      <c r="AJ70" s="57"/>
      <c r="AK70" s="57"/>
    </row>
    <row r="71" spans="7:37" ht="15"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8"/>
      <c r="AH71" s="57"/>
      <c r="AI71" s="58"/>
      <c r="AJ71" s="57"/>
      <c r="AK71" s="57"/>
    </row>
    <row r="72" spans="7:37" ht="15"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8"/>
      <c r="AH72" s="57"/>
      <c r="AI72" s="58"/>
      <c r="AJ72" s="57"/>
      <c r="AK72" s="57"/>
    </row>
    <row r="73" spans="7:37" ht="15"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8"/>
      <c r="AH73" s="57"/>
      <c r="AI73" s="58"/>
      <c r="AJ73" s="57"/>
      <c r="AK73" s="57"/>
    </row>
    <row r="74" spans="7:37" ht="15"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8"/>
      <c r="AH74" s="57"/>
      <c r="AI74" s="58"/>
      <c r="AJ74" s="57"/>
      <c r="AK74" s="57"/>
    </row>
    <row r="75" spans="7:37" ht="15"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H75" s="57"/>
      <c r="AI75" s="58"/>
      <c r="AJ75" s="57"/>
      <c r="AK75" s="57"/>
    </row>
    <row r="76" spans="8:37" ht="15"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H76" s="57"/>
      <c r="AI76" s="58"/>
      <c r="AJ76" s="57"/>
      <c r="AK76" s="57"/>
    </row>
    <row r="77" spans="9:37" ht="15"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H77" s="58"/>
      <c r="AI77" s="58"/>
      <c r="AJ77" s="58"/>
      <c r="AK77" s="58"/>
    </row>
    <row r="78" spans="10:31" ht="15"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</row>
    <row r="79" spans="11:31" ht="15"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</row>
    <row r="80" spans="12:33" ht="15"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G80" s="51"/>
    </row>
    <row r="81" spans="36:37" ht="15">
      <c r="AJ81" s="32"/>
      <c r="AK81" s="32"/>
    </row>
    <row r="82" spans="33:37" ht="15">
      <c r="AG82" s="32"/>
      <c r="AH82" s="32"/>
      <c r="AI82" s="32"/>
      <c r="AJ82" s="32"/>
      <c r="AK82" s="32"/>
    </row>
    <row r="83" spans="33:37" ht="15">
      <c r="AG83" s="145"/>
      <c r="AH83" s="145"/>
      <c r="AI83" s="145"/>
      <c r="AJ83" s="145"/>
      <c r="AK83" s="145"/>
    </row>
    <row r="84" spans="34:37" ht="15">
      <c r="AH84" s="57"/>
      <c r="AI84" s="58"/>
      <c r="AJ84" s="57"/>
      <c r="AK84" s="57"/>
    </row>
    <row r="85" spans="34:37" ht="15">
      <c r="AH85" s="57"/>
      <c r="AI85" s="58"/>
      <c r="AJ85" s="57"/>
      <c r="AK85" s="57"/>
    </row>
    <row r="86" spans="34:37" ht="15">
      <c r="AH86" s="57"/>
      <c r="AI86" s="58"/>
      <c r="AJ86" s="57"/>
      <c r="AK86" s="57"/>
    </row>
    <row r="87" spans="34:37" ht="15">
      <c r="AH87" s="57"/>
      <c r="AI87" s="58"/>
      <c r="AJ87" s="57"/>
      <c r="AK87" s="57"/>
    </row>
    <row r="88" spans="34:37" ht="15">
      <c r="AH88" s="57"/>
      <c r="AI88" s="58"/>
      <c r="AJ88" s="57"/>
      <c r="AK88" s="57"/>
    </row>
    <row r="89" spans="34:37" ht="15">
      <c r="AH89" s="57"/>
      <c r="AI89" s="58"/>
      <c r="AJ89" s="57"/>
      <c r="AK89" s="57"/>
    </row>
    <row r="90" spans="34:37" ht="15">
      <c r="AH90" s="57"/>
      <c r="AI90" s="58"/>
      <c r="AJ90" s="57"/>
      <c r="AK90" s="57"/>
    </row>
    <row r="91" spans="34:37" ht="15">
      <c r="AH91" s="57"/>
      <c r="AI91" s="58"/>
      <c r="AJ91" s="57"/>
      <c r="AK91" s="57"/>
    </row>
    <row r="92" spans="34:37" ht="15">
      <c r="AH92" s="57"/>
      <c r="AI92" s="58"/>
      <c r="AJ92" s="57"/>
      <c r="AK92" s="57"/>
    </row>
    <row r="93" spans="34:37" ht="15">
      <c r="AH93" s="57"/>
      <c r="AI93" s="58"/>
      <c r="AJ93" s="57"/>
      <c r="AK93" s="57"/>
    </row>
    <row r="94" spans="34:37" ht="15">
      <c r="AH94" s="57"/>
      <c r="AI94" s="58"/>
      <c r="AJ94" s="57"/>
      <c r="AK94" s="57"/>
    </row>
    <row r="95" spans="34:37" ht="15">
      <c r="AH95" s="57"/>
      <c r="AI95" s="58"/>
      <c r="AJ95" s="57"/>
      <c r="AK95" s="57"/>
    </row>
    <row r="96" spans="34:37" ht="15">
      <c r="AH96" s="57"/>
      <c r="AI96" s="58"/>
      <c r="AJ96" s="57"/>
      <c r="AK96" s="57"/>
    </row>
    <row r="97" spans="34:37" ht="15">
      <c r="AH97" s="57"/>
      <c r="AI97" s="58"/>
      <c r="AJ97" s="57"/>
      <c r="AK97" s="57"/>
    </row>
    <row r="98" spans="34:37" ht="15">
      <c r="AH98" s="57"/>
      <c r="AI98" s="58"/>
      <c r="AJ98" s="57"/>
      <c r="AK98" s="57"/>
    </row>
    <row r="99" spans="34:37" ht="15">
      <c r="AH99" s="57"/>
      <c r="AI99" s="58"/>
      <c r="AJ99" s="57"/>
      <c r="AK99" s="57"/>
    </row>
    <row r="100" spans="34:37" ht="15">
      <c r="AH100" s="57"/>
      <c r="AI100" s="58"/>
      <c r="AJ100" s="57"/>
      <c r="AK100" s="57"/>
    </row>
    <row r="101" spans="34:37" ht="15">
      <c r="AH101" s="57"/>
      <c r="AI101" s="58"/>
      <c r="AJ101" s="57"/>
      <c r="AK101" s="57"/>
    </row>
    <row r="102" spans="34:37" ht="15">
      <c r="AH102" s="57"/>
      <c r="AI102" s="58"/>
      <c r="AJ102" s="57"/>
      <c r="AK102" s="57"/>
    </row>
    <row r="103" spans="34:37" ht="15">
      <c r="AH103" s="57"/>
      <c r="AI103" s="58"/>
      <c r="AJ103" s="57"/>
      <c r="AK103" s="57"/>
    </row>
    <row r="104" spans="34:37" ht="15">
      <c r="AH104" s="57"/>
      <c r="AI104" s="58"/>
      <c r="AJ104" s="57"/>
      <c r="AK104" s="57"/>
    </row>
    <row r="105" spans="34:37" ht="15">
      <c r="AH105" s="58"/>
      <c r="AI105" s="58"/>
      <c r="AJ105" s="58"/>
      <c r="AK105" s="58"/>
    </row>
  </sheetData>
  <sheetProtection/>
  <mergeCells count="4">
    <mergeCell ref="A4:AK4"/>
    <mergeCell ref="A5:AK5"/>
    <mergeCell ref="A6:AK6"/>
    <mergeCell ref="D15:AG15"/>
  </mergeCells>
  <printOptions horizontalCentered="1"/>
  <pageMargins left="0" right="0" top="0.5" bottom="0" header="0.5" footer="0.5"/>
  <pageSetup fitToHeight="1" fitToWidth="1" horizontalDpi="600" verticalDpi="6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5"/>
  <sheetViews>
    <sheetView zoomScale="90" zoomScaleNormal="90" zoomScaleSheetLayoutView="118" zoomScalePageLayoutView="0" workbookViewId="0" topLeftCell="A14">
      <selection activeCell="C12" sqref="C12"/>
    </sheetView>
  </sheetViews>
  <sheetFormatPr defaultColWidth="9.140625" defaultRowHeight="12.75"/>
  <cols>
    <col min="1" max="1" width="5.00390625" style="32" customWidth="1"/>
    <col min="2" max="2" width="17.28125" style="11" customWidth="1"/>
    <col min="3" max="3" width="5.7109375" style="11" customWidth="1"/>
    <col min="4" max="4" width="13.140625" style="11" bestFit="1" customWidth="1"/>
    <col min="5" max="5" width="12.8515625" style="11" bestFit="1" customWidth="1"/>
    <col min="6" max="6" width="11.00390625" style="11" customWidth="1"/>
    <col min="7" max="7" width="12.00390625" style="11" customWidth="1"/>
    <col min="8" max="8" width="12.140625" style="11" customWidth="1"/>
    <col min="9" max="9" width="11.140625" style="11" customWidth="1"/>
    <col min="10" max="10" width="11.00390625" style="11" hidden="1" customWidth="1"/>
    <col min="11" max="11" width="11.28125" style="11" hidden="1" customWidth="1"/>
    <col min="12" max="31" width="12.8515625" style="11" hidden="1" customWidth="1"/>
    <col min="32" max="32" width="15.57421875" style="11" bestFit="1" customWidth="1"/>
    <col min="33" max="33" width="11.00390625" style="11" bestFit="1" customWidth="1"/>
    <col min="34" max="34" width="15.57421875" style="11" bestFit="1" customWidth="1"/>
    <col min="35" max="35" width="12.57421875" style="11" customWidth="1"/>
    <col min="36" max="36" width="12.57421875" style="11" bestFit="1" customWidth="1"/>
    <col min="37" max="37" width="15.421875" style="11" customWidth="1"/>
    <col min="38" max="16384" width="9.140625" style="11" customWidth="1"/>
  </cols>
  <sheetData>
    <row r="1" spans="2:37" ht="15">
      <c r="B1" s="51"/>
      <c r="S1" s="12"/>
      <c r="AK1" s="12" t="str">
        <f>+'6.1 ADIT Calcluated p.2'!AK1</f>
        <v>Case No. 2023-0335  PSC_Staff Set 2 No 1</v>
      </c>
    </row>
    <row r="2" spans="2:37" ht="15">
      <c r="B2" s="51"/>
      <c r="S2" s="12"/>
      <c r="AK2" s="12" t="str">
        <f>+'6.1 ADIT Calcluated p.2'!AK2</f>
        <v>SMRP Form 6.1</v>
      </c>
    </row>
    <row r="3" spans="8:37" ht="15">
      <c r="H3" s="12"/>
      <c r="R3" s="126"/>
      <c r="S3" s="126"/>
      <c r="AK3" s="12" t="s">
        <v>216</v>
      </c>
    </row>
    <row r="4" spans="1:37" ht="1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</row>
    <row r="5" spans="1:37" ht="15">
      <c r="A5" s="166" t="s">
        <v>76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</row>
    <row r="6" spans="1:37" ht="17.25">
      <c r="A6" s="166" t="s">
        <v>286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</row>
    <row r="7" ht="15">
      <c r="B7" s="16"/>
    </row>
    <row r="8" spans="9:37" ht="15">
      <c r="I8" s="13"/>
      <c r="J8" s="13">
        <v>2022</v>
      </c>
      <c r="K8" s="13">
        <f aca="true" t="shared" si="0" ref="K8:AE8">+J8+1</f>
        <v>2023</v>
      </c>
      <c r="L8" s="13">
        <f t="shared" si="0"/>
        <v>2024</v>
      </c>
      <c r="M8" s="13">
        <f t="shared" si="0"/>
        <v>2025</v>
      </c>
      <c r="N8" s="13">
        <f t="shared" si="0"/>
        <v>2026</v>
      </c>
      <c r="O8" s="13">
        <f t="shared" si="0"/>
        <v>2027</v>
      </c>
      <c r="P8" s="13">
        <f t="shared" si="0"/>
        <v>2028</v>
      </c>
      <c r="Q8" s="13">
        <f t="shared" si="0"/>
        <v>2029</v>
      </c>
      <c r="R8" s="13">
        <f>+Q8+1</f>
        <v>2030</v>
      </c>
      <c r="S8" s="13">
        <f t="shared" si="0"/>
        <v>2031</v>
      </c>
      <c r="T8" s="13">
        <f t="shared" si="0"/>
        <v>2032</v>
      </c>
      <c r="U8" s="13">
        <f t="shared" si="0"/>
        <v>2033</v>
      </c>
      <c r="V8" s="13">
        <f t="shared" si="0"/>
        <v>2034</v>
      </c>
      <c r="W8" s="13">
        <f t="shared" si="0"/>
        <v>2035</v>
      </c>
      <c r="X8" s="13">
        <f t="shared" si="0"/>
        <v>2036</v>
      </c>
      <c r="Y8" s="13">
        <f t="shared" si="0"/>
        <v>2037</v>
      </c>
      <c r="Z8" s="13">
        <f t="shared" si="0"/>
        <v>2038</v>
      </c>
      <c r="AA8" s="13">
        <f t="shared" si="0"/>
        <v>2039</v>
      </c>
      <c r="AB8" s="13">
        <f t="shared" si="0"/>
        <v>2040</v>
      </c>
      <c r="AC8" s="13">
        <f t="shared" si="0"/>
        <v>2041</v>
      </c>
      <c r="AD8" s="13">
        <f t="shared" si="0"/>
        <v>2042</v>
      </c>
      <c r="AE8" s="13">
        <f t="shared" si="0"/>
        <v>2043</v>
      </c>
      <c r="AF8" s="13" t="s">
        <v>14</v>
      </c>
      <c r="AG8" s="13"/>
      <c r="AI8" s="13"/>
      <c r="AJ8" s="13" t="s">
        <v>47</v>
      </c>
      <c r="AK8" s="13" t="s">
        <v>16</v>
      </c>
    </row>
    <row r="9" spans="1:37" ht="15">
      <c r="A9" s="13" t="s">
        <v>1</v>
      </c>
      <c r="B9" s="50" t="s">
        <v>73</v>
      </c>
      <c r="D9" s="13">
        <f>+'6.1 ADIT Calcluated p.2'!D9</f>
        <v>2023</v>
      </c>
      <c r="E9" s="13">
        <f>+'6.1 ADIT Calcluated p.2'!E9</f>
        <v>2024</v>
      </c>
      <c r="F9" s="13">
        <f>+'6.1 ADIT Calcluated p.2'!F9</f>
        <v>2025</v>
      </c>
      <c r="G9" s="13">
        <f>+'6.1 ADIT Calcluated p.2'!G9</f>
        <v>2026</v>
      </c>
      <c r="H9" s="13">
        <f>+'6.1 ADIT Calcluated p.2'!H9</f>
        <v>2027</v>
      </c>
      <c r="I9" s="13">
        <f>+'6.1 ADIT Calcluated p.2'!I9</f>
        <v>2028</v>
      </c>
      <c r="J9" s="13" t="s">
        <v>17</v>
      </c>
      <c r="K9" s="13" t="s">
        <v>18</v>
      </c>
      <c r="L9" s="13" t="s">
        <v>26</v>
      </c>
      <c r="M9" s="13" t="s">
        <v>27</v>
      </c>
      <c r="N9" s="13" t="s">
        <v>28</v>
      </c>
      <c r="O9" s="13" t="s">
        <v>29</v>
      </c>
      <c r="P9" s="13" t="s">
        <v>30</v>
      </c>
      <c r="Q9" s="13" t="s">
        <v>31</v>
      </c>
      <c r="R9" s="13" t="s">
        <v>32</v>
      </c>
      <c r="S9" s="13" t="s">
        <v>33</v>
      </c>
      <c r="T9" s="13" t="s">
        <v>34</v>
      </c>
      <c r="U9" s="13" t="s">
        <v>35</v>
      </c>
      <c r="V9" s="13" t="s">
        <v>37</v>
      </c>
      <c r="W9" s="13" t="s">
        <v>38</v>
      </c>
      <c r="X9" s="13" t="s">
        <v>39</v>
      </c>
      <c r="Y9" s="13" t="s">
        <v>40</v>
      </c>
      <c r="Z9" s="13" t="s">
        <v>41</v>
      </c>
      <c r="AA9" s="13" t="s">
        <v>42</v>
      </c>
      <c r="AB9" s="13" t="s">
        <v>43</v>
      </c>
      <c r="AC9" s="13" t="s">
        <v>44</v>
      </c>
      <c r="AD9" s="13" t="s">
        <v>45</v>
      </c>
      <c r="AE9" s="13" t="s">
        <v>46</v>
      </c>
      <c r="AF9" s="13" t="s">
        <v>19</v>
      </c>
      <c r="AG9" s="13" t="s">
        <v>69</v>
      </c>
      <c r="AH9" s="13" t="s">
        <v>15</v>
      </c>
      <c r="AI9" s="13"/>
      <c r="AJ9" s="13" t="s">
        <v>20</v>
      </c>
      <c r="AK9" s="13" t="s">
        <v>21</v>
      </c>
    </row>
    <row r="10" spans="1:37" ht="19.5">
      <c r="A10" s="16" t="s">
        <v>2</v>
      </c>
      <c r="B10" s="127" t="s">
        <v>72</v>
      </c>
      <c r="C10" s="16" t="s">
        <v>0</v>
      </c>
      <c r="D10" s="16" t="s">
        <v>22</v>
      </c>
      <c r="E10" s="16" t="s">
        <v>22</v>
      </c>
      <c r="F10" s="16" t="s">
        <v>22</v>
      </c>
      <c r="G10" s="16" t="s">
        <v>22</v>
      </c>
      <c r="H10" s="16" t="s">
        <v>22</v>
      </c>
      <c r="I10" s="16" t="s">
        <v>22</v>
      </c>
      <c r="J10" s="16" t="s">
        <v>22</v>
      </c>
      <c r="K10" s="16" t="s">
        <v>22</v>
      </c>
      <c r="L10" s="16" t="s">
        <v>22</v>
      </c>
      <c r="M10" s="16" t="s">
        <v>22</v>
      </c>
      <c r="N10" s="16" t="s">
        <v>22</v>
      </c>
      <c r="O10" s="16" t="s">
        <v>22</v>
      </c>
      <c r="P10" s="16" t="s">
        <v>22</v>
      </c>
      <c r="Q10" s="16" t="s">
        <v>22</v>
      </c>
      <c r="R10" s="16" t="s">
        <v>22</v>
      </c>
      <c r="S10" s="16" t="s">
        <v>22</v>
      </c>
      <c r="T10" s="16" t="s">
        <v>22</v>
      </c>
      <c r="U10" s="16" t="s">
        <v>22</v>
      </c>
      <c r="V10" s="16" t="s">
        <v>22</v>
      </c>
      <c r="W10" s="16" t="s">
        <v>22</v>
      </c>
      <c r="X10" s="16" t="s">
        <v>22</v>
      </c>
      <c r="Y10" s="16" t="s">
        <v>22</v>
      </c>
      <c r="Z10" s="16" t="s">
        <v>22</v>
      </c>
      <c r="AA10" s="16" t="s">
        <v>22</v>
      </c>
      <c r="AB10" s="16" t="s">
        <v>22</v>
      </c>
      <c r="AC10" s="16" t="s">
        <v>22</v>
      </c>
      <c r="AD10" s="16" t="s">
        <v>22</v>
      </c>
      <c r="AE10" s="16" t="s">
        <v>22</v>
      </c>
      <c r="AF10" s="16" t="s">
        <v>23</v>
      </c>
      <c r="AG10" s="16" t="s">
        <v>70</v>
      </c>
      <c r="AH10" s="16" t="s">
        <v>23</v>
      </c>
      <c r="AI10" s="16" t="s">
        <v>24</v>
      </c>
      <c r="AJ10" s="139" t="s">
        <v>100</v>
      </c>
      <c r="AK10" s="16" t="s">
        <v>25</v>
      </c>
    </row>
    <row r="11" spans="1:37" ht="15">
      <c r="A11" s="16"/>
      <c r="B11" s="129" t="s">
        <v>227</v>
      </c>
      <c r="C11" s="13" t="s">
        <v>228</v>
      </c>
      <c r="D11" s="129" t="s">
        <v>229</v>
      </c>
      <c r="E11" s="129" t="s">
        <v>230</v>
      </c>
      <c r="F11" s="129" t="s">
        <v>231</v>
      </c>
      <c r="G11" s="129" t="s">
        <v>232</v>
      </c>
      <c r="H11" s="129" t="s">
        <v>233</v>
      </c>
      <c r="I11" s="129" t="s">
        <v>234</v>
      </c>
      <c r="J11" s="129" t="e">
        <f aca="true" t="shared" si="1" ref="J11:AE11">+I11-1</f>
        <v>#VALUE!</v>
      </c>
      <c r="K11" s="129" t="e">
        <f t="shared" si="1"/>
        <v>#VALUE!</v>
      </c>
      <c r="L11" s="129" t="e">
        <f t="shared" si="1"/>
        <v>#VALUE!</v>
      </c>
      <c r="M11" s="129" t="e">
        <f t="shared" si="1"/>
        <v>#VALUE!</v>
      </c>
      <c r="N11" s="129" t="e">
        <f t="shared" si="1"/>
        <v>#VALUE!</v>
      </c>
      <c r="O11" s="129" t="e">
        <f t="shared" si="1"/>
        <v>#VALUE!</v>
      </c>
      <c r="P11" s="129" t="e">
        <f t="shared" si="1"/>
        <v>#VALUE!</v>
      </c>
      <c r="Q11" s="129" t="e">
        <f t="shared" si="1"/>
        <v>#VALUE!</v>
      </c>
      <c r="R11" s="129" t="e">
        <f>+Q11-1</f>
        <v>#VALUE!</v>
      </c>
      <c r="S11" s="129" t="e">
        <f t="shared" si="1"/>
        <v>#VALUE!</v>
      </c>
      <c r="T11" s="129" t="e">
        <f t="shared" si="1"/>
        <v>#VALUE!</v>
      </c>
      <c r="U11" s="129" t="e">
        <f t="shared" si="1"/>
        <v>#VALUE!</v>
      </c>
      <c r="V11" s="129" t="e">
        <f t="shared" si="1"/>
        <v>#VALUE!</v>
      </c>
      <c r="W11" s="129" t="e">
        <f t="shared" si="1"/>
        <v>#VALUE!</v>
      </c>
      <c r="X11" s="129" t="e">
        <f t="shared" si="1"/>
        <v>#VALUE!</v>
      </c>
      <c r="Y11" s="129" t="e">
        <f t="shared" si="1"/>
        <v>#VALUE!</v>
      </c>
      <c r="Z11" s="129" t="e">
        <f t="shared" si="1"/>
        <v>#VALUE!</v>
      </c>
      <c r="AA11" s="129" t="e">
        <f t="shared" si="1"/>
        <v>#VALUE!</v>
      </c>
      <c r="AB11" s="129" t="e">
        <f t="shared" si="1"/>
        <v>#VALUE!</v>
      </c>
      <c r="AC11" s="129" t="e">
        <f t="shared" si="1"/>
        <v>#VALUE!</v>
      </c>
      <c r="AD11" s="129" t="e">
        <f t="shared" si="1"/>
        <v>#VALUE!</v>
      </c>
      <c r="AE11" s="129" t="e">
        <f t="shared" si="1"/>
        <v>#VALUE!</v>
      </c>
      <c r="AF11" s="129" t="s">
        <v>235</v>
      </c>
      <c r="AG11" s="129" t="s">
        <v>236</v>
      </c>
      <c r="AH11" s="129" t="s">
        <v>237</v>
      </c>
      <c r="AI11" s="129" t="s">
        <v>238</v>
      </c>
      <c r="AJ11" s="129" t="s">
        <v>239</v>
      </c>
      <c r="AK11" s="129" t="s">
        <v>240</v>
      </c>
    </row>
    <row r="12" spans="1:37" ht="15">
      <c r="A12" s="16"/>
      <c r="B12" s="98"/>
      <c r="C12" s="13"/>
      <c r="D12" s="130" t="s">
        <v>13</v>
      </c>
      <c r="E12" s="130" t="s">
        <v>13</v>
      </c>
      <c r="F12" s="130" t="s">
        <v>13</v>
      </c>
      <c r="G12" s="130" t="s">
        <v>13</v>
      </c>
      <c r="H12" s="130" t="s">
        <v>13</v>
      </c>
      <c r="I12" s="130" t="s">
        <v>13</v>
      </c>
      <c r="J12" s="130" t="s">
        <v>13</v>
      </c>
      <c r="K12" s="130" t="s">
        <v>13</v>
      </c>
      <c r="L12" s="130" t="s">
        <v>13</v>
      </c>
      <c r="M12" s="130" t="s">
        <v>13</v>
      </c>
      <c r="N12" s="130" t="s">
        <v>13</v>
      </c>
      <c r="O12" s="130" t="s">
        <v>13</v>
      </c>
      <c r="P12" s="130" t="s">
        <v>13</v>
      </c>
      <c r="Q12" s="130" t="s">
        <v>13</v>
      </c>
      <c r="R12" s="130" t="s">
        <v>13</v>
      </c>
      <c r="S12" s="130" t="s">
        <v>13</v>
      </c>
      <c r="T12" s="130" t="s">
        <v>13</v>
      </c>
      <c r="U12" s="130" t="s">
        <v>13</v>
      </c>
      <c r="V12" s="130" t="s">
        <v>13</v>
      </c>
      <c r="W12" s="130" t="s">
        <v>13</v>
      </c>
      <c r="X12" s="130" t="s">
        <v>13</v>
      </c>
      <c r="Y12" s="130" t="s">
        <v>13</v>
      </c>
      <c r="Z12" s="130" t="s">
        <v>13</v>
      </c>
      <c r="AA12" s="130" t="s">
        <v>13</v>
      </c>
      <c r="AB12" s="130" t="s">
        <v>13</v>
      </c>
      <c r="AC12" s="130" t="s">
        <v>13</v>
      </c>
      <c r="AD12" s="130" t="s">
        <v>13</v>
      </c>
      <c r="AE12" s="130" t="s">
        <v>13</v>
      </c>
      <c r="AF12" s="130" t="s">
        <v>13</v>
      </c>
      <c r="AG12" s="13" t="s">
        <v>13</v>
      </c>
      <c r="AH12" s="130" t="s">
        <v>13</v>
      </c>
      <c r="AI12" s="130" t="s">
        <v>13</v>
      </c>
      <c r="AJ12" s="130" t="s">
        <v>13</v>
      </c>
      <c r="AK12" s="130" t="s">
        <v>13</v>
      </c>
    </row>
    <row r="13" spans="1:31" ht="15">
      <c r="A13" s="16"/>
      <c r="B13" s="131"/>
      <c r="C13" s="132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4" ht="16.5">
      <c r="A14" s="32">
        <v>1</v>
      </c>
      <c r="B14" s="11" t="s">
        <v>96</v>
      </c>
      <c r="C14" s="132"/>
      <c r="D14" s="134">
        <f>+'5.0 Depr Expense'!Q23+'5.0 Depr Expense'!Q43+'5.0 Depr Expense'!Q53</f>
        <v>1494837</v>
      </c>
      <c r="E14" s="134">
        <f>+'5.0 Depr Expense'!Q99+'5.0 Depr Expense'!Q119+'5.0 Depr Expense'!Q129</f>
        <v>1698802.6268611662</v>
      </c>
      <c r="F14" s="134">
        <v>0</v>
      </c>
      <c r="G14" s="134">
        <v>0</v>
      </c>
      <c r="H14" s="134">
        <v>0</v>
      </c>
      <c r="I14" s="134">
        <v>0</v>
      </c>
      <c r="J14" s="134" t="e">
        <f>#REF!+#REF!</f>
        <v>#REF!</v>
      </c>
      <c r="K14" s="134" t="e">
        <f>#REF!+#REF!</f>
        <v>#REF!</v>
      </c>
      <c r="L14" s="134" t="e">
        <f>#REF!+#REF!</f>
        <v>#REF!</v>
      </c>
      <c r="M14" s="134" t="e">
        <f>#REF!+#REF!</f>
        <v>#REF!</v>
      </c>
      <c r="N14" s="134" t="e">
        <f>#REF!+#REF!</f>
        <v>#REF!</v>
      </c>
      <c r="O14" s="134" t="e">
        <f>#REF!+#REF!</f>
        <v>#REF!</v>
      </c>
      <c r="P14" s="134" t="e">
        <f>#REF!+#REF!</f>
        <v>#REF!</v>
      </c>
      <c r="Q14" s="134" t="e">
        <f>#REF!+#REF!</f>
        <v>#REF!</v>
      </c>
      <c r="R14" s="134" t="e">
        <f>#REF!+#REF!</f>
        <v>#REF!</v>
      </c>
      <c r="S14" s="134" t="e">
        <f>#REF!+#REF!</f>
        <v>#REF!</v>
      </c>
      <c r="T14" s="134" t="e">
        <f>#REF!+#REF!</f>
        <v>#REF!</v>
      </c>
      <c r="U14" s="134" t="e">
        <f>#REF!+#REF!</f>
        <v>#REF!</v>
      </c>
      <c r="V14" s="134" t="e">
        <f>#REF!+#REF!</f>
        <v>#REF!</v>
      </c>
      <c r="W14" s="134" t="e">
        <f>#REF!+#REF!</f>
        <v>#REF!</v>
      </c>
      <c r="X14" s="134" t="e">
        <f>#REF!+#REF!</f>
        <v>#REF!</v>
      </c>
      <c r="Y14" s="134" t="e">
        <f>#REF!+#REF!</f>
        <v>#REF!</v>
      </c>
      <c r="Z14" s="134" t="e">
        <f>#REF!+#REF!</f>
        <v>#REF!</v>
      </c>
      <c r="AA14" s="134" t="e">
        <f>#REF!+#REF!</f>
        <v>#REF!</v>
      </c>
      <c r="AB14" s="134" t="e">
        <f>#REF!+#REF!</f>
        <v>#REF!</v>
      </c>
      <c r="AC14" s="134" t="e">
        <f>#REF!+#REF!</f>
        <v>#REF!</v>
      </c>
      <c r="AD14" s="134" t="e">
        <f>#REF!+#REF!</f>
        <v>#REF!</v>
      </c>
      <c r="AE14" s="134" t="e">
        <f>#REF!+#REF!</f>
        <v>#REF!</v>
      </c>
      <c r="AH14" s="58"/>
    </row>
    <row r="15" spans="1:33" ht="13.5" customHeight="1">
      <c r="A15" s="16"/>
      <c r="B15" s="131"/>
      <c r="C15" s="132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spans="1:33" ht="13.5" customHeight="1">
      <c r="A16" s="32">
        <f>A14+1</f>
        <v>2</v>
      </c>
      <c r="B16" s="133" t="s">
        <v>97</v>
      </c>
      <c r="C16" s="132"/>
      <c r="D16" s="135">
        <f aca="true" t="shared" si="2" ref="D16:I16">D55+D54</f>
        <v>0.0401</v>
      </c>
      <c r="E16" s="135">
        <f t="shared" si="2"/>
        <v>0.0401</v>
      </c>
      <c r="F16" s="135">
        <f t="shared" si="2"/>
        <v>0.0401</v>
      </c>
      <c r="G16" s="135">
        <f t="shared" si="2"/>
        <v>0.0401</v>
      </c>
      <c r="H16" s="135">
        <f t="shared" si="2"/>
        <v>0.0401</v>
      </c>
      <c r="I16" s="135">
        <f t="shared" si="2"/>
        <v>0.0401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</row>
    <row r="17" spans="2:33" ht="13.5" customHeight="1">
      <c r="B17" s="133"/>
      <c r="C17" s="132"/>
      <c r="D17" s="135"/>
      <c r="E17" s="135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</row>
    <row r="18" spans="1:37" ht="15">
      <c r="A18" s="32">
        <f>A16+1</f>
        <v>3</v>
      </c>
      <c r="B18" s="136">
        <v>0.03750000000000009</v>
      </c>
      <c r="C18" s="32">
        <v>1</v>
      </c>
      <c r="D18" s="57">
        <f>ROUND((D$14)*$D$16,0)+ROUND(($D$14-($D$14*$D$16))*B18,0)</f>
        <v>113752</v>
      </c>
      <c r="AF18" s="57">
        <f>SUM(D18:G18)</f>
        <v>113752</v>
      </c>
      <c r="AG18" s="57">
        <f>SUM('4.0 Accumulated Depr'!D35:O35)+_xlfn.SINGLE(SUM('4.0 Accumulated Depr'!D37:O38))</f>
        <v>24347.000000000004</v>
      </c>
      <c r="AH18" s="57">
        <f>+'5.0 Depr Expense'!Q30+'5.0 Depr Expense'!Q50+'5.0 Depr Expense'!Q60</f>
        <v>11642.922999999999</v>
      </c>
      <c r="AI18" s="58">
        <f>AF18+AG18-AH18</f>
        <v>126456.077</v>
      </c>
      <c r="AJ18" s="57">
        <f>ROUND(0.2495*AI18,0)</f>
        <v>31551</v>
      </c>
      <c r="AK18" s="57">
        <f>+AJ18</f>
        <v>31551</v>
      </c>
    </row>
    <row r="19" spans="1:37" ht="15">
      <c r="A19" s="32">
        <f>A18+1</f>
        <v>4</v>
      </c>
      <c r="B19" s="136">
        <v>0.07219</v>
      </c>
      <c r="C19" s="32">
        <f>+C18+1</f>
        <v>2</v>
      </c>
      <c r="D19" s="57">
        <f>ROUND(($D$14-($D$14*$D$16))*B19,0)</f>
        <v>103585</v>
      </c>
      <c r="E19" s="57">
        <f>ROUND((E$14)*$E$16,0)+ROUND(($E$14-($E$14*$E$16))*B18,0)</f>
        <v>129273</v>
      </c>
      <c r="AF19" s="57">
        <f>SUM(D19:G19)</f>
        <v>232858</v>
      </c>
      <c r="AG19" s="57">
        <f>SUM('4.0 Accumulated Depr'!D115:O115)+_xlfn.SINGLE(SUM('4.0 Accumulated Depr'!D117:O118))</f>
        <v>167478.99999999997</v>
      </c>
      <c r="AH19" s="57">
        <f>+'5.0 Depr Expense'!Q106+'5.0 Depr Expense'!Q126+'5.0 Depr Expense'!Q136</f>
        <v>49913.208</v>
      </c>
      <c r="AI19" s="58">
        <f>AF19+AG19-AH19</f>
        <v>350423.792</v>
      </c>
      <c r="AJ19" s="57">
        <f>ROUND(0.2495*AI19,0)</f>
        <v>87431</v>
      </c>
      <c r="AK19" s="57">
        <f>+AK18+AJ19</f>
        <v>118982</v>
      </c>
    </row>
    <row r="20" spans="1:37" ht="15">
      <c r="A20" s="32">
        <f aca="true" t="shared" si="3" ref="A20:A43">A19+1</f>
        <v>5</v>
      </c>
      <c r="B20" s="136">
        <v>0.06677</v>
      </c>
      <c r="C20" s="32">
        <f aca="true" t="shared" si="4" ref="C20:C41">+C19+1</f>
        <v>3</v>
      </c>
      <c r="D20" s="57">
        <f aca="true" t="shared" si="5" ref="D20:D37">ROUND(($D$14-($D$14*$D$16))*B20,0)</f>
        <v>95808</v>
      </c>
      <c r="E20" s="57">
        <f aca="true" t="shared" si="6" ref="E20:E38">ROUND(($E$14-($E$14*$E$16))*B19,0)</f>
        <v>117719</v>
      </c>
      <c r="F20" s="57">
        <f>ROUND((F$14)*F$16,0)+ROUND((F$14-(F$14*F$16))*$B18,0)</f>
        <v>0</v>
      </c>
      <c r="G20" s="57">
        <f>ROUND((G$14)*G$16,0)+ROUND((G$14-(G$14*G$16))*$B18,0)</f>
        <v>0</v>
      </c>
      <c r="AF20" s="57">
        <f>SUM(D20:G20)</f>
        <v>213527</v>
      </c>
      <c r="AG20" s="57"/>
      <c r="AH20" s="57"/>
      <c r="AI20" s="58"/>
      <c r="AJ20" s="57"/>
      <c r="AK20" s="57"/>
    </row>
    <row r="21" spans="1:37" ht="15">
      <c r="A21" s="32">
        <f t="shared" si="3"/>
        <v>6</v>
      </c>
      <c r="B21" s="136">
        <v>0.06177</v>
      </c>
      <c r="C21" s="32">
        <f t="shared" si="4"/>
        <v>4</v>
      </c>
      <c r="D21" s="57">
        <f t="shared" si="5"/>
        <v>88633</v>
      </c>
      <c r="E21" s="57">
        <f t="shared" si="6"/>
        <v>108881</v>
      </c>
      <c r="F21" s="57">
        <f>ROUND((F$14-(F$14*F$16))*$B19,0)</f>
        <v>0</v>
      </c>
      <c r="G21" s="57">
        <f>ROUND((G$14-(G$14*G$16))*$B19,0)</f>
        <v>0</v>
      </c>
      <c r="H21" s="57">
        <f>ROUND((H$14)*H$16,0)+ROUND((H$14-(H$14*H$16))*$B18,0)</f>
        <v>0</v>
      </c>
      <c r="AF21" s="57">
        <f>SUM(D21:H21)</f>
        <v>197514</v>
      </c>
      <c r="AG21" s="57">
        <v>0</v>
      </c>
      <c r="AH21" s="57"/>
      <c r="AI21" s="58"/>
      <c r="AJ21" s="57"/>
      <c r="AK21" s="57"/>
    </row>
    <row r="22" spans="1:37" ht="15">
      <c r="A22" s="32">
        <f t="shared" si="3"/>
        <v>7</v>
      </c>
      <c r="B22" s="136">
        <v>0.05713</v>
      </c>
      <c r="C22" s="32">
        <f t="shared" si="4"/>
        <v>5</v>
      </c>
      <c r="D22" s="57">
        <f t="shared" si="5"/>
        <v>81975</v>
      </c>
      <c r="E22" s="57">
        <f t="shared" si="6"/>
        <v>100727</v>
      </c>
      <c r="F22" s="57">
        <f aca="true" t="shared" si="7" ref="F22:F40">ROUND(($F$14-($F$14*$F$16))*B20,0)</f>
        <v>0</v>
      </c>
      <c r="G22" s="57">
        <f aca="true" t="shared" si="8" ref="G22:G40">ROUND((G$14-(G$14*G$16))*$B20,0)</f>
        <v>0</v>
      </c>
      <c r="H22" s="57">
        <f>ROUND((H$14-(H$14*H$16))*$B19,0)</f>
        <v>0</v>
      </c>
      <c r="I22" s="57">
        <f>ROUND((I$14)*I$16,0)+ROUND((I$14-(I$14*I$16))*$B18,0)</f>
        <v>0</v>
      </c>
      <c r="AF22" s="57">
        <f>SUM(D22:I22)</f>
        <v>182702</v>
      </c>
      <c r="AG22" s="57">
        <v>0</v>
      </c>
      <c r="AH22" s="57"/>
      <c r="AI22" s="58"/>
      <c r="AJ22" s="57"/>
      <c r="AK22" s="57"/>
    </row>
    <row r="23" spans="1:37" ht="15">
      <c r="A23" s="32">
        <f t="shared" si="3"/>
        <v>8</v>
      </c>
      <c r="B23" s="136">
        <v>0.05285</v>
      </c>
      <c r="C23" s="32">
        <f t="shared" si="4"/>
        <v>6</v>
      </c>
      <c r="D23" s="57">
        <f t="shared" si="5"/>
        <v>75834</v>
      </c>
      <c r="E23" s="57">
        <f t="shared" si="6"/>
        <v>93161</v>
      </c>
      <c r="F23" s="57">
        <f t="shared" si="7"/>
        <v>0</v>
      </c>
      <c r="G23" s="57">
        <f t="shared" si="8"/>
        <v>0</v>
      </c>
      <c r="H23" s="57">
        <f aca="true" t="shared" si="9" ref="H23:H41">ROUND((H$14-(H$14*H$16))*$B20,0)</f>
        <v>0</v>
      </c>
      <c r="I23" s="57">
        <f>ROUND((I$14-(I$14*I$16))*$B19,0)</f>
        <v>0</v>
      </c>
      <c r="AF23" s="57">
        <f aca="true" t="shared" si="10" ref="AF23:AF42">SUM(D23:I23)</f>
        <v>168995</v>
      </c>
      <c r="AG23" s="57"/>
      <c r="AH23" s="57"/>
      <c r="AI23" s="58"/>
      <c r="AJ23" s="57"/>
      <c r="AK23" s="57"/>
    </row>
    <row r="24" spans="1:37" ht="15">
      <c r="A24" s="32">
        <f t="shared" si="3"/>
        <v>9</v>
      </c>
      <c r="B24" s="136">
        <v>0.04888</v>
      </c>
      <c r="C24" s="32">
        <f t="shared" si="4"/>
        <v>7</v>
      </c>
      <c r="D24" s="57">
        <f t="shared" si="5"/>
        <v>70138</v>
      </c>
      <c r="E24" s="57">
        <f t="shared" si="6"/>
        <v>86181</v>
      </c>
      <c r="F24" s="57">
        <f t="shared" si="7"/>
        <v>0</v>
      </c>
      <c r="G24" s="57">
        <f t="shared" si="8"/>
        <v>0</v>
      </c>
      <c r="H24" s="57">
        <f t="shared" si="9"/>
        <v>0</v>
      </c>
      <c r="I24" s="57">
        <f aca="true" t="shared" si="11" ref="I24:I42">ROUND((I$14-(I$14*I$16))*$B20,0)</f>
        <v>0</v>
      </c>
      <c r="AF24" s="57">
        <f t="shared" si="10"/>
        <v>156319</v>
      </c>
      <c r="AG24" s="57"/>
      <c r="AH24" s="57"/>
      <c r="AI24" s="58"/>
      <c r="AJ24" s="57"/>
      <c r="AK24" s="57"/>
    </row>
    <row r="25" spans="1:37" ht="15">
      <c r="A25" s="32">
        <f t="shared" si="3"/>
        <v>10</v>
      </c>
      <c r="B25" s="136">
        <v>0.04522</v>
      </c>
      <c r="C25" s="32">
        <f t="shared" si="4"/>
        <v>8</v>
      </c>
      <c r="D25" s="57">
        <f t="shared" si="5"/>
        <v>64886</v>
      </c>
      <c r="E25" s="57">
        <f t="shared" si="6"/>
        <v>79708</v>
      </c>
      <c r="F25" s="57">
        <f t="shared" si="7"/>
        <v>0</v>
      </c>
      <c r="G25" s="57">
        <f t="shared" si="8"/>
        <v>0</v>
      </c>
      <c r="H25" s="57">
        <f t="shared" si="9"/>
        <v>0</v>
      </c>
      <c r="I25" s="57">
        <f t="shared" si="11"/>
        <v>0</v>
      </c>
      <c r="AF25" s="57">
        <f t="shared" si="10"/>
        <v>144594</v>
      </c>
      <c r="AG25" s="57"/>
      <c r="AH25" s="57"/>
      <c r="AI25" s="58"/>
      <c r="AJ25" s="57"/>
      <c r="AK25" s="57"/>
    </row>
    <row r="26" spans="1:37" ht="15">
      <c r="A26" s="32">
        <f t="shared" si="3"/>
        <v>11</v>
      </c>
      <c r="B26" s="136">
        <v>0.04462</v>
      </c>
      <c r="C26" s="32">
        <f t="shared" si="4"/>
        <v>9</v>
      </c>
      <c r="D26" s="57">
        <f t="shared" si="5"/>
        <v>64025</v>
      </c>
      <c r="E26" s="57">
        <f t="shared" si="6"/>
        <v>73739</v>
      </c>
      <c r="F26" s="57">
        <f t="shared" si="7"/>
        <v>0</v>
      </c>
      <c r="G26" s="57">
        <f t="shared" si="8"/>
        <v>0</v>
      </c>
      <c r="H26" s="57">
        <f t="shared" si="9"/>
        <v>0</v>
      </c>
      <c r="I26" s="57">
        <f t="shared" si="11"/>
        <v>0</v>
      </c>
      <c r="J26" s="57"/>
      <c r="AF26" s="57">
        <f t="shared" si="10"/>
        <v>137764</v>
      </c>
      <c r="AG26" s="57"/>
      <c r="AH26" s="57"/>
      <c r="AI26" s="58"/>
      <c r="AJ26" s="57"/>
      <c r="AK26" s="57"/>
    </row>
    <row r="27" spans="1:37" ht="15">
      <c r="A27" s="32">
        <f t="shared" si="3"/>
        <v>12</v>
      </c>
      <c r="B27" s="136">
        <v>0.04461</v>
      </c>
      <c r="C27" s="32">
        <f t="shared" si="4"/>
        <v>10</v>
      </c>
      <c r="D27" s="57">
        <f t="shared" si="5"/>
        <v>64011</v>
      </c>
      <c r="E27" s="57">
        <f t="shared" si="6"/>
        <v>72761</v>
      </c>
      <c r="F27" s="57">
        <f t="shared" si="7"/>
        <v>0</v>
      </c>
      <c r="G27" s="57">
        <f t="shared" si="8"/>
        <v>0</v>
      </c>
      <c r="H27" s="57">
        <f t="shared" si="9"/>
        <v>0</v>
      </c>
      <c r="I27" s="57">
        <f t="shared" si="11"/>
        <v>0</v>
      </c>
      <c r="J27" s="57"/>
      <c r="K27" s="57"/>
      <c r="AF27" s="57">
        <f t="shared" si="10"/>
        <v>136772</v>
      </c>
      <c r="AG27" s="57"/>
      <c r="AH27" s="57"/>
      <c r="AI27" s="58"/>
      <c r="AJ27" s="57"/>
      <c r="AK27" s="57"/>
    </row>
    <row r="28" spans="1:37" ht="15">
      <c r="A28" s="32">
        <f t="shared" si="3"/>
        <v>13</v>
      </c>
      <c r="B28" s="136">
        <v>0.04462</v>
      </c>
      <c r="C28" s="32">
        <f t="shared" si="4"/>
        <v>11</v>
      </c>
      <c r="D28" s="57">
        <f t="shared" si="5"/>
        <v>64025</v>
      </c>
      <c r="E28" s="57">
        <f t="shared" si="6"/>
        <v>72745</v>
      </c>
      <c r="F28" s="57">
        <f t="shared" si="7"/>
        <v>0</v>
      </c>
      <c r="G28" s="57">
        <f t="shared" si="8"/>
        <v>0</v>
      </c>
      <c r="H28" s="57">
        <f t="shared" si="9"/>
        <v>0</v>
      </c>
      <c r="I28" s="57">
        <f t="shared" si="11"/>
        <v>0</v>
      </c>
      <c r="J28" s="57"/>
      <c r="K28" s="57"/>
      <c r="L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>
        <f t="shared" si="10"/>
        <v>136770</v>
      </c>
      <c r="AG28" s="57"/>
      <c r="AH28" s="57"/>
      <c r="AI28" s="58"/>
      <c r="AJ28" s="57"/>
      <c r="AK28" s="57"/>
    </row>
    <row r="29" spans="1:37" ht="15">
      <c r="A29" s="32">
        <f t="shared" si="3"/>
        <v>14</v>
      </c>
      <c r="B29" s="136">
        <v>0.04461</v>
      </c>
      <c r="C29" s="32">
        <f t="shared" si="4"/>
        <v>12</v>
      </c>
      <c r="D29" s="57">
        <f t="shared" si="5"/>
        <v>64011</v>
      </c>
      <c r="E29" s="57">
        <f t="shared" si="6"/>
        <v>72761</v>
      </c>
      <c r="F29" s="57">
        <f t="shared" si="7"/>
        <v>0</v>
      </c>
      <c r="G29" s="57">
        <f t="shared" si="8"/>
        <v>0</v>
      </c>
      <c r="H29" s="57">
        <f t="shared" si="9"/>
        <v>0</v>
      </c>
      <c r="I29" s="57">
        <f t="shared" si="11"/>
        <v>0</v>
      </c>
      <c r="J29" s="57"/>
      <c r="K29" s="57"/>
      <c r="L29" s="57"/>
      <c r="M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>
        <f t="shared" si="10"/>
        <v>136772</v>
      </c>
      <c r="AG29" s="57"/>
      <c r="AH29" s="57"/>
      <c r="AI29" s="58"/>
      <c r="AJ29" s="57"/>
      <c r="AK29" s="57"/>
    </row>
    <row r="30" spans="1:37" ht="15">
      <c r="A30" s="32">
        <f t="shared" si="3"/>
        <v>15</v>
      </c>
      <c r="B30" s="136">
        <v>0.04462</v>
      </c>
      <c r="C30" s="32">
        <f t="shared" si="4"/>
        <v>13</v>
      </c>
      <c r="D30" s="57">
        <f t="shared" si="5"/>
        <v>64025</v>
      </c>
      <c r="E30" s="57">
        <f t="shared" si="6"/>
        <v>72745</v>
      </c>
      <c r="F30" s="57">
        <f t="shared" si="7"/>
        <v>0</v>
      </c>
      <c r="G30" s="57">
        <f t="shared" si="8"/>
        <v>0</v>
      </c>
      <c r="H30" s="57">
        <f t="shared" si="9"/>
        <v>0</v>
      </c>
      <c r="I30" s="57">
        <f t="shared" si="11"/>
        <v>0</v>
      </c>
      <c r="J30" s="57"/>
      <c r="K30" s="57"/>
      <c r="L30" s="57"/>
      <c r="M30" s="57"/>
      <c r="N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>
        <f t="shared" si="10"/>
        <v>136770</v>
      </c>
      <c r="AG30" s="57"/>
      <c r="AH30" s="57"/>
      <c r="AI30" s="58"/>
      <c r="AJ30" s="57"/>
      <c r="AK30" s="57"/>
    </row>
    <row r="31" spans="1:37" ht="15">
      <c r="A31" s="32">
        <f t="shared" si="3"/>
        <v>16</v>
      </c>
      <c r="B31" s="136">
        <v>0.04461</v>
      </c>
      <c r="C31" s="32">
        <f t="shared" si="4"/>
        <v>14</v>
      </c>
      <c r="D31" s="57">
        <f t="shared" si="5"/>
        <v>64011</v>
      </c>
      <c r="E31" s="57">
        <f t="shared" si="6"/>
        <v>72761</v>
      </c>
      <c r="F31" s="57">
        <f t="shared" si="7"/>
        <v>0</v>
      </c>
      <c r="G31" s="57">
        <f t="shared" si="8"/>
        <v>0</v>
      </c>
      <c r="H31" s="57">
        <f t="shared" si="9"/>
        <v>0</v>
      </c>
      <c r="I31" s="57">
        <f t="shared" si="11"/>
        <v>0</v>
      </c>
      <c r="J31" s="57"/>
      <c r="K31" s="57"/>
      <c r="L31" s="57"/>
      <c r="M31" s="57"/>
      <c r="N31" s="57"/>
      <c r="O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>
        <f t="shared" si="10"/>
        <v>136772</v>
      </c>
      <c r="AG31" s="57"/>
      <c r="AH31" s="57"/>
      <c r="AI31" s="58"/>
      <c r="AJ31" s="57"/>
      <c r="AK31" s="57"/>
    </row>
    <row r="32" spans="1:37" ht="15">
      <c r="A32" s="32">
        <f t="shared" si="3"/>
        <v>17</v>
      </c>
      <c r="B32" s="136">
        <v>0.04462</v>
      </c>
      <c r="C32" s="32">
        <f t="shared" si="4"/>
        <v>15</v>
      </c>
      <c r="D32" s="57">
        <f t="shared" si="5"/>
        <v>64025</v>
      </c>
      <c r="E32" s="57">
        <f t="shared" si="6"/>
        <v>72745</v>
      </c>
      <c r="F32" s="57">
        <f t="shared" si="7"/>
        <v>0</v>
      </c>
      <c r="G32" s="57">
        <f t="shared" si="8"/>
        <v>0</v>
      </c>
      <c r="H32" s="57">
        <f t="shared" si="9"/>
        <v>0</v>
      </c>
      <c r="I32" s="57">
        <f t="shared" si="11"/>
        <v>0</v>
      </c>
      <c r="J32" s="57"/>
      <c r="K32" s="57"/>
      <c r="L32" s="57"/>
      <c r="M32" s="57"/>
      <c r="N32" s="57"/>
      <c r="O32" s="57"/>
      <c r="P32" s="57"/>
      <c r="AF32" s="57">
        <f t="shared" si="10"/>
        <v>136770</v>
      </c>
      <c r="AG32" s="57"/>
      <c r="AH32" s="57"/>
      <c r="AI32" s="58"/>
      <c r="AJ32" s="57"/>
      <c r="AK32" s="57"/>
    </row>
    <row r="33" spans="1:37" ht="15">
      <c r="A33" s="32">
        <f t="shared" si="3"/>
        <v>18</v>
      </c>
      <c r="B33" s="136">
        <v>0.04461</v>
      </c>
      <c r="C33" s="32">
        <f t="shared" si="4"/>
        <v>16</v>
      </c>
      <c r="D33" s="57">
        <f t="shared" si="5"/>
        <v>64011</v>
      </c>
      <c r="E33" s="57">
        <f t="shared" si="6"/>
        <v>72761</v>
      </c>
      <c r="F33" s="57">
        <f t="shared" si="7"/>
        <v>0</v>
      </c>
      <c r="G33" s="57">
        <f t="shared" si="8"/>
        <v>0</v>
      </c>
      <c r="H33" s="57">
        <f t="shared" si="9"/>
        <v>0</v>
      </c>
      <c r="I33" s="57">
        <f t="shared" si="11"/>
        <v>0</v>
      </c>
      <c r="J33" s="57"/>
      <c r="K33" s="57"/>
      <c r="L33" s="57"/>
      <c r="M33" s="57"/>
      <c r="N33" s="57"/>
      <c r="O33" s="57"/>
      <c r="P33" s="57"/>
      <c r="Q33" s="57"/>
      <c r="AF33" s="57">
        <f t="shared" si="10"/>
        <v>136772</v>
      </c>
      <c r="AG33" s="57"/>
      <c r="AH33" s="57"/>
      <c r="AI33" s="58"/>
      <c r="AJ33" s="57"/>
      <c r="AK33" s="57"/>
    </row>
    <row r="34" spans="1:37" ht="15">
      <c r="A34" s="32">
        <f t="shared" si="3"/>
        <v>19</v>
      </c>
      <c r="B34" s="136">
        <v>0.04462</v>
      </c>
      <c r="C34" s="32">
        <f t="shared" si="4"/>
        <v>17</v>
      </c>
      <c r="D34" s="57">
        <f t="shared" si="5"/>
        <v>64025</v>
      </c>
      <c r="E34" s="57">
        <f t="shared" si="6"/>
        <v>72745</v>
      </c>
      <c r="F34" s="57">
        <f t="shared" si="7"/>
        <v>0</v>
      </c>
      <c r="G34" s="57">
        <f t="shared" si="8"/>
        <v>0</v>
      </c>
      <c r="H34" s="57">
        <f t="shared" si="9"/>
        <v>0</v>
      </c>
      <c r="I34" s="57">
        <f t="shared" si="11"/>
        <v>0</v>
      </c>
      <c r="J34" s="57"/>
      <c r="K34" s="57"/>
      <c r="L34" s="57"/>
      <c r="M34" s="57"/>
      <c r="N34" s="57"/>
      <c r="O34" s="57"/>
      <c r="P34" s="57"/>
      <c r="Q34" s="57"/>
      <c r="R34" s="57"/>
      <c r="AF34" s="57">
        <f t="shared" si="10"/>
        <v>136770</v>
      </c>
      <c r="AG34" s="57"/>
      <c r="AH34" s="57"/>
      <c r="AI34" s="58"/>
      <c r="AJ34" s="57"/>
      <c r="AK34" s="57"/>
    </row>
    <row r="35" spans="1:37" ht="15">
      <c r="A35" s="32">
        <f t="shared" si="3"/>
        <v>20</v>
      </c>
      <c r="B35" s="136">
        <v>0.04461</v>
      </c>
      <c r="C35" s="32">
        <f t="shared" si="4"/>
        <v>18</v>
      </c>
      <c r="D35" s="57">
        <f t="shared" si="5"/>
        <v>64011</v>
      </c>
      <c r="E35" s="57">
        <f t="shared" si="6"/>
        <v>72761</v>
      </c>
      <c r="F35" s="57">
        <f t="shared" si="7"/>
        <v>0</v>
      </c>
      <c r="G35" s="57">
        <f t="shared" si="8"/>
        <v>0</v>
      </c>
      <c r="H35" s="57">
        <f t="shared" si="9"/>
        <v>0</v>
      </c>
      <c r="I35" s="57">
        <f t="shared" si="11"/>
        <v>0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AF35" s="57">
        <f t="shared" si="10"/>
        <v>136772</v>
      </c>
      <c r="AG35" s="57"/>
      <c r="AH35" s="57"/>
      <c r="AI35" s="58"/>
      <c r="AJ35" s="57"/>
      <c r="AK35" s="57"/>
    </row>
    <row r="36" spans="1:37" ht="15">
      <c r="A36" s="32">
        <f t="shared" si="3"/>
        <v>21</v>
      </c>
      <c r="B36" s="136">
        <v>0.04462</v>
      </c>
      <c r="C36" s="32">
        <f t="shared" si="4"/>
        <v>19</v>
      </c>
      <c r="D36" s="57">
        <f t="shared" si="5"/>
        <v>64025</v>
      </c>
      <c r="E36" s="57">
        <f t="shared" si="6"/>
        <v>72745</v>
      </c>
      <c r="F36" s="57">
        <f t="shared" si="7"/>
        <v>0</v>
      </c>
      <c r="G36" s="57">
        <f t="shared" si="8"/>
        <v>0</v>
      </c>
      <c r="H36" s="57">
        <f t="shared" si="9"/>
        <v>0</v>
      </c>
      <c r="I36" s="57">
        <f t="shared" si="11"/>
        <v>0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F36" s="57">
        <f t="shared" si="10"/>
        <v>136770</v>
      </c>
      <c r="AG36" s="57"/>
      <c r="AH36" s="57"/>
      <c r="AI36" s="58"/>
      <c r="AJ36" s="57"/>
      <c r="AK36" s="57"/>
    </row>
    <row r="37" spans="1:37" ht="15">
      <c r="A37" s="32">
        <f t="shared" si="3"/>
        <v>22</v>
      </c>
      <c r="B37" s="136">
        <v>0.04461</v>
      </c>
      <c r="C37" s="32">
        <f t="shared" si="4"/>
        <v>20</v>
      </c>
      <c r="D37" s="57">
        <f t="shared" si="5"/>
        <v>64011</v>
      </c>
      <c r="E37" s="57">
        <f t="shared" si="6"/>
        <v>72761</v>
      </c>
      <c r="F37" s="57">
        <f t="shared" si="7"/>
        <v>0</v>
      </c>
      <c r="G37" s="57">
        <f t="shared" si="8"/>
        <v>0</v>
      </c>
      <c r="H37" s="57">
        <f t="shared" si="9"/>
        <v>0</v>
      </c>
      <c r="I37" s="57">
        <f t="shared" si="11"/>
        <v>0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>
        <f t="shared" si="10"/>
        <v>136772</v>
      </c>
      <c r="AG37" s="57"/>
      <c r="AH37" s="57"/>
      <c r="AI37" s="58"/>
      <c r="AJ37" s="57"/>
      <c r="AK37" s="57"/>
    </row>
    <row r="38" spans="1:37" ht="15">
      <c r="A38" s="32">
        <f t="shared" si="3"/>
        <v>23</v>
      </c>
      <c r="B38" s="136">
        <v>0.02231</v>
      </c>
      <c r="C38" s="32">
        <f t="shared" si="4"/>
        <v>21</v>
      </c>
      <c r="D38" s="57">
        <f>ROUND(($D$14-($D$14*$D$16))*B38,0)</f>
        <v>32012</v>
      </c>
      <c r="E38" s="57">
        <f t="shared" si="6"/>
        <v>72745</v>
      </c>
      <c r="F38" s="57">
        <f t="shared" si="7"/>
        <v>0</v>
      </c>
      <c r="G38" s="57">
        <f t="shared" si="8"/>
        <v>0</v>
      </c>
      <c r="H38" s="57">
        <f t="shared" si="9"/>
        <v>0</v>
      </c>
      <c r="I38" s="57">
        <f t="shared" si="11"/>
        <v>0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>
        <f t="shared" si="10"/>
        <v>104757</v>
      </c>
      <c r="AG38" s="57"/>
      <c r="AH38" s="57"/>
      <c r="AI38" s="58"/>
      <c r="AJ38" s="57"/>
      <c r="AK38" s="57"/>
    </row>
    <row r="39" spans="1:37" ht="15">
      <c r="A39" s="32">
        <f t="shared" si="3"/>
        <v>24</v>
      </c>
      <c r="B39" s="136"/>
      <c r="C39" s="32">
        <f t="shared" si="4"/>
        <v>22</v>
      </c>
      <c r="E39" s="57">
        <f>ROUND(($E$14-($E$14*$E$16))*B38,0)+1</f>
        <v>36381</v>
      </c>
      <c r="F39" s="57">
        <f t="shared" si="7"/>
        <v>0</v>
      </c>
      <c r="G39" s="57">
        <f t="shared" si="8"/>
        <v>0</v>
      </c>
      <c r="H39" s="57">
        <f t="shared" si="9"/>
        <v>0</v>
      </c>
      <c r="I39" s="57">
        <f t="shared" si="11"/>
        <v>0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>
        <f t="shared" si="10"/>
        <v>36381</v>
      </c>
      <c r="AH39" s="57"/>
      <c r="AI39" s="58"/>
      <c r="AJ39" s="57"/>
      <c r="AK39" s="57"/>
    </row>
    <row r="40" spans="1:37" ht="15">
      <c r="A40" s="32">
        <f t="shared" si="3"/>
        <v>25</v>
      </c>
      <c r="B40" s="136"/>
      <c r="C40" s="32">
        <f t="shared" si="4"/>
        <v>23</v>
      </c>
      <c r="F40" s="57">
        <f t="shared" si="7"/>
        <v>0</v>
      </c>
      <c r="G40" s="57">
        <f t="shared" si="8"/>
        <v>0</v>
      </c>
      <c r="H40" s="57">
        <f t="shared" si="9"/>
        <v>0</v>
      </c>
      <c r="I40" s="57">
        <f t="shared" si="11"/>
        <v>0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>
        <f t="shared" si="10"/>
        <v>0</v>
      </c>
      <c r="AH40" s="57"/>
      <c r="AI40" s="58"/>
      <c r="AJ40" s="57"/>
      <c r="AK40" s="57"/>
    </row>
    <row r="41" spans="1:37" ht="15">
      <c r="A41" s="32">
        <f t="shared" si="3"/>
        <v>26</v>
      </c>
      <c r="B41" s="136"/>
      <c r="C41" s="32">
        <f t="shared" si="4"/>
        <v>24</v>
      </c>
      <c r="F41" s="57"/>
      <c r="G41" s="57"/>
      <c r="H41" s="57">
        <f t="shared" si="9"/>
        <v>0</v>
      </c>
      <c r="I41" s="57">
        <f t="shared" si="11"/>
        <v>0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>
        <f t="shared" si="10"/>
        <v>0</v>
      </c>
      <c r="AH41" s="57"/>
      <c r="AI41" s="58"/>
      <c r="AJ41" s="57"/>
      <c r="AK41" s="57"/>
    </row>
    <row r="42" spans="1:37" ht="15">
      <c r="A42" s="32">
        <f t="shared" si="3"/>
        <v>27</v>
      </c>
      <c r="B42" s="136"/>
      <c r="C42" s="32"/>
      <c r="F42" s="57"/>
      <c r="G42" s="57"/>
      <c r="H42" s="57"/>
      <c r="I42" s="57">
        <f t="shared" si="11"/>
        <v>0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>
        <f t="shared" si="10"/>
        <v>0</v>
      </c>
      <c r="AH42" s="57"/>
      <c r="AI42" s="58"/>
      <c r="AJ42" s="57"/>
      <c r="AK42" s="57"/>
    </row>
    <row r="43" spans="1:37" ht="15">
      <c r="A43" s="32">
        <f t="shared" si="3"/>
        <v>28</v>
      </c>
      <c r="D43" s="58">
        <f>SUM(D18:D39)</f>
        <v>1494839</v>
      </c>
      <c r="E43" s="58">
        <f>SUM(E19:E39)</f>
        <v>1698806</v>
      </c>
      <c r="F43" s="58">
        <f>SUM(F18:F40)</f>
        <v>0</v>
      </c>
      <c r="G43" s="58">
        <f>SUM(G18:G40)</f>
        <v>0</v>
      </c>
      <c r="H43" s="58">
        <f>SUM(H18:H42)</f>
        <v>0</v>
      </c>
      <c r="I43" s="58">
        <f>SUM(I18:I42)</f>
        <v>0</v>
      </c>
      <c r="J43" s="58">
        <f aca="true" t="shared" si="12" ref="J43:AE43">SUM(J18:J39)</f>
        <v>0</v>
      </c>
      <c r="K43" s="58">
        <f t="shared" si="12"/>
        <v>0</v>
      </c>
      <c r="L43" s="58">
        <f t="shared" si="12"/>
        <v>0</v>
      </c>
      <c r="M43" s="58">
        <f t="shared" si="12"/>
        <v>0</v>
      </c>
      <c r="N43" s="58">
        <f t="shared" si="12"/>
        <v>0</v>
      </c>
      <c r="O43" s="58">
        <f t="shared" si="12"/>
        <v>0</v>
      </c>
      <c r="P43" s="58">
        <f t="shared" si="12"/>
        <v>0</v>
      </c>
      <c r="Q43" s="58">
        <f t="shared" si="12"/>
        <v>0</v>
      </c>
      <c r="R43" s="58">
        <f t="shared" si="12"/>
        <v>0</v>
      </c>
      <c r="S43" s="58">
        <f t="shared" si="12"/>
        <v>0</v>
      </c>
      <c r="T43" s="58">
        <f t="shared" si="12"/>
        <v>0</v>
      </c>
      <c r="U43" s="58">
        <f t="shared" si="12"/>
        <v>0</v>
      </c>
      <c r="V43" s="58">
        <f t="shared" si="12"/>
        <v>0</v>
      </c>
      <c r="W43" s="58">
        <f t="shared" si="12"/>
        <v>0</v>
      </c>
      <c r="X43" s="58">
        <f t="shared" si="12"/>
        <v>0</v>
      </c>
      <c r="Y43" s="58">
        <f t="shared" si="12"/>
        <v>0</v>
      </c>
      <c r="Z43" s="58">
        <f t="shared" si="12"/>
        <v>0</v>
      </c>
      <c r="AA43" s="58">
        <f t="shared" si="12"/>
        <v>0</v>
      </c>
      <c r="AB43" s="58">
        <f t="shared" si="12"/>
        <v>0</v>
      </c>
      <c r="AC43" s="58">
        <f t="shared" si="12"/>
        <v>0</v>
      </c>
      <c r="AD43" s="58">
        <f t="shared" si="12"/>
        <v>0</v>
      </c>
      <c r="AE43" s="58">
        <f t="shared" si="12"/>
        <v>0</v>
      </c>
      <c r="AF43" s="58">
        <f>SUM(AF18:AF41)</f>
        <v>3193645</v>
      </c>
      <c r="AG43" s="58">
        <f>SUM(AG18:AG41)</f>
        <v>191825.99999999997</v>
      </c>
      <c r="AH43" s="58">
        <f>SUM(AH18:AH41)</f>
        <v>61556.130999999994</v>
      </c>
      <c r="AI43" s="57"/>
      <c r="AJ43" s="57"/>
      <c r="AK43" s="58"/>
    </row>
    <row r="44" spans="4:37" ht="15"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7"/>
      <c r="AG44" s="58"/>
      <c r="AH44" s="57"/>
      <c r="AI44" s="57"/>
      <c r="AJ44" s="57"/>
      <c r="AK44" s="58"/>
    </row>
    <row r="45" spans="1:37" ht="15">
      <c r="A45" s="33" t="s">
        <v>71</v>
      </c>
      <c r="F45" s="58"/>
      <c r="AF45" s="58"/>
      <c r="AG45" s="58"/>
      <c r="AH45" s="57"/>
      <c r="AI45" s="57"/>
      <c r="AJ45" s="137"/>
      <c r="AK45" s="58"/>
    </row>
    <row r="46" spans="1:36" ht="15">
      <c r="A46" s="33" t="s">
        <v>98</v>
      </c>
      <c r="AH46" s="58"/>
      <c r="AI46" s="57"/>
      <c r="AJ46" s="57"/>
    </row>
    <row r="47" spans="1:36" ht="15">
      <c r="A47" s="33" t="s">
        <v>175</v>
      </c>
      <c r="AH47" s="58"/>
      <c r="AI47" s="57"/>
      <c r="AJ47" s="57"/>
    </row>
    <row r="48" spans="1:36" ht="15">
      <c r="A48" s="33" t="s">
        <v>176</v>
      </c>
      <c r="AH48" s="58"/>
      <c r="AI48" s="57"/>
      <c r="AJ48" s="57"/>
    </row>
    <row r="49" spans="1:36" ht="15">
      <c r="A49" s="33"/>
      <c r="AH49" s="58"/>
      <c r="AI49" s="57"/>
      <c r="AJ49" s="57"/>
    </row>
    <row r="50" spans="4:37" ht="15">
      <c r="D50" s="140">
        <f>+'6.1 ADIT Calcluated p.2'!D50</f>
        <v>2023</v>
      </c>
      <c r="E50" s="140">
        <f>+'6.1 ADIT Calcluated p.2'!E50</f>
        <v>2024</v>
      </c>
      <c r="F50" s="140">
        <f>+'6.1 ADIT Calcluated p.2'!F50</f>
        <v>2025</v>
      </c>
      <c r="G50" s="140">
        <f>+'6.1 ADIT Calcluated p.2'!G50</f>
        <v>2026</v>
      </c>
      <c r="H50" s="140">
        <f>+'6.1 ADIT Calcluated p.2'!H50</f>
        <v>2027</v>
      </c>
      <c r="I50" s="140">
        <f>+'6.1 ADIT Calcluated p.2'!I50</f>
        <v>2028</v>
      </c>
      <c r="AH50" s="58"/>
      <c r="AI50" s="57"/>
      <c r="AJ50" s="57"/>
      <c r="AK50" s="146"/>
    </row>
    <row r="51" spans="2:37" ht="15">
      <c r="B51" s="141" t="s">
        <v>74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AH51" s="58"/>
      <c r="AI51" s="57"/>
      <c r="AJ51" s="57"/>
      <c r="AK51" s="146"/>
    </row>
    <row r="52" spans="2:37" ht="15">
      <c r="B52" s="141" t="s">
        <v>75</v>
      </c>
      <c r="D52" s="142">
        <f>+'6.1 ADIT Calcluated p.2'!D52</f>
        <v>0.0401</v>
      </c>
      <c r="E52" s="142">
        <f>+'6.1 ADIT Calcluated p.2'!E52</f>
        <v>0.0401</v>
      </c>
      <c r="F52" s="142">
        <f>+'6.1 ADIT Calcluated p.2'!F52</f>
        <v>0.0401</v>
      </c>
      <c r="G52" s="142">
        <f>+'6.1 ADIT Calcluated p.2'!G52</f>
        <v>0.0401</v>
      </c>
      <c r="H52" s="142">
        <f>+'6.1 ADIT Calcluated p.2'!H52</f>
        <v>0.0401</v>
      </c>
      <c r="I52" s="142">
        <f>+'6.1 ADIT Calcluated p.2'!I52</f>
        <v>0.0401</v>
      </c>
      <c r="AG52" s="51"/>
      <c r="AK52" s="58"/>
    </row>
    <row r="53" spans="2:37" ht="15">
      <c r="B53" s="147"/>
      <c r="D53" s="148">
        <f>(1-D51)*D52</f>
        <v>0.0401</v>
      </c>
      <c r="E53" s="148">
        <f>(1-E51)*E52</f>
        <v>0.0401</v>
      </c>
      <c r="F53" s="148">
        <f aca="true" t="shared" si="13" ref="F53:AE53">(1-F51)*F52</f>
        <v>0.0401</v>
      </c>
      <c r="G53" s="148">
        <f>(1-G51)*G52</f>
        <v>0.0401</v>
      </c>
      <c r="H53" s="148">
        <f>(1-H51)*H52</f>
        <v>0.0401</v>
      </c>
      <c r="I53" s="148">
        <f>(1-I51)*I52</f>
        <v>0.0401</v>
      </c>
      <c r="J53" s="148">
        <f t="shared" si="13"/>
        <v>0</v>
      </c>
      <c r="K53" s="148">
        <f t="shared" si="13"/>
        <v>0</v>
      </c>
      <c r="L53" s="148">
        <f t="shared" si="13"/>
        <v>0</v>
      </c>
      <c r="M53" s="148">
        <f t="shared" si="13"/>
        <v>0</v>
      </c>
      <c r="N53" s="148">
        <f t="shared" si="13"/>
        <v>0</v>
      </c>
      <c r="O53" s="148">
        <f t="shared" si="13"/>
        <v>0</v>
      </c>
      <c r="P53" s="148">
        <f t="shared" si="13"/>
        <v>0</v>
      </c>
      <c r="Q53" s="148">
        <f t="shared" si="13"/>
        <v>0</v>
      </c>
      <c r="R53" s="148">
        <f t="shared" si="13"/>
        <v>0</v>
      </c>
      <c r="S53" s="148">
        <f t="shared" si="13"/>
        <v>0</v>
      </c>
      <c r="T53" s="148">
        <f t="shared" si="13"/>
        <v>0</v>
      </c>
      <c r="U53" s="148">
        <f t="shared" si="13"/>
        <v>0</v>
      </c>
      <c r="V53" s="148">
        <f t="shared" si="13"/>
        <v>0</v>
      </c>
      <c r="W53" s="148">
        <f t="shared" si="13"/>
        <v>0</v>
      </c>
      <c r="X53" s="148">
        <f t="shared" si="13"/>
        <v>0</v>
      </c>
      <c r="Y53" s="148">
        <f t="shared" si="13"/>
        <v>0</v>
      </c>
      <c r="Z53" s="148">
        <f t="shared" si="13"/>
        <v>0</v>
      </c>
      <c r="AA53" s="148">
        <f t="shared" si="13"/>
        <v>0</v>
      </c>
      <c r="AB53" s="148">
        <f t="shared" si="13"/>
        <v>0</v>
      </c>
      <c r="AC53" s="148">
        <f t="shared" si="13"/>
        <v>0</v>
      </c>
      <c r="AD53" s="148">
        <f t="shared" si="13"/>
        <v>0</v>
      </c>
      <c r="AE53" s="148">
        <f t="shared" si="13"/>
        <v>0</v>
      </c>
      <c r="AJ53" s="32"/>
      <c r="AK53" s="58"/>
    </row>
    <row r="54" spans="2:37" ht="15">
      <c r="B54" s="149" t="s">
        <v>99</v>
      </c>
      <c r="D54" s="142">
        <f>+'6.1 ADIT Calcluated p.2'!D54</f>
        <v>0</v>
      </c>
      <c r="E54" s="142">
        <f>+'6.1 ADIT Calcluated p.2'!E54</f>
        <v>0</v>
      </c>
      <c r="F54" s="142">
        <f>+'6.1 ADIT Calcluated p.2'!F54</f>
        <v>0</v>
      </c>
      <c r="G54" s="142">
        <f>+'6.1 ADIT Calcluated p.2'!G54</f>
        <v>0</v>
      </c>
      <c r="H54" s="142">
        <f>+'6.1 ADIT Calcluated p.2'!H54</f>
        <v>0</v>
      </c>
      <c r="I54" s="142">
        <f>+'6.1 ADIT Calcluated p.2'!I54</f>
        <v>0</v>
      </c>
      <c r="AG54" s="32"/>
      <c r="AH54" s="32"/>
      <c r="AI54" s="32"/>
      <c r="AJ54" s="32"/>
      <c r="AK54" s="32"/>
    </row>
    <row r="55" spans="2:37" ht="15">
      <c r="B55" s="150"/>
      <c r="D55" s="148">
        <f aca="true" t="shared" si="14" ref="D55:I55">D51+D53</f>
        <v>0.0401</v>
      </c>
      <c r="E55" s="148">
        <f t="shared" si="14"/>
        <v>0.0401</v>
      </c>
      <c r="F55" s="148">
        <f t="shared" si="14"/>
        <v>0.0401</v>
      </c>
      <c r="G55" s="148">
        <f t="shared" si="14"/>
        <v>0.0401</v>
      </c>
      <c r="H55" s="148">
        <f t="shared" si="14"/>
        <v>0.0401</v>
      </c>
      <c r="I55" s="148">
        <f t="shared" si="14"/>
        <v>0.0401</v>
      </c>
      <c r="AG55" s="145"/>
      <c r="AH55" s="145"/>
      <c r="AI55" s="145"/>
      <c r="AJ55" s="145"/>
      <c r="AK55" s="145"/>
    </row>
    <row r="56" spans="4:37" ht="15">
      <c r="D56" s="138"/>
      <c r="E56" s="138"/>
      <c r="F56" s="138"/>
      <c r="AH56" s="57"/>
      <c r="AI56" s="58"/>
      <c r="AJ56" s="57"/>
      <c r="AK56" s="58"/>
    </row>
    <row r="57" spans="4:37" ht="15">
      <c r="D57" s="138"/>
      <c r="E57" s="138"/>
      <c r="F57" s="138"/>
      <c r="AH57" s="57"/>
      <c r="AI57" s="58"/>
      <c r="AJ57" s="57"/>
      <c r="AK57" s="58"/>
    </row>
    <row r="58" spans="34:37" ht="15">
      <c r="AH58" s="57"/>
      <c r="AI58" s="58"/>
      <c r="AJ58" s="57"/>
      <c r="AK58" s="58"/>
    </row>
    <row r="59" spans="34:37" ht="15">
      <c r="AH59" s="57"/>
      <c r="AI59" s="58"/>
      <c r="AJ59" s="57"/>
      <c r="AK59" s="58"/>
    </row>
    <row r="60" spans="34:37" ht="15">
      <c r="AH60" s="57"/>
      <c r="AI60" s="58"/>
      <c r="AJ60" s="57"/>
      <c r="AK60" s="58"/>
    </row>
    <row r="61" spans="34:37" ht="15">
      <c r="AH61" s="57"/>
      <c r="AI61" s="58"/>
      <c r="AJ61" s="57"/>
      <c r="AK61" s="58"/>
    </row>
    <row r="62" spans="32:37" ht="15">
      <c r="AF62" s="58"/>
      <c r="AH62" s="57"/>
      <c r="AI62" s="58"/>
      <c r="AJ62" s="57"/>
      <c r="AK62" s="58"/>
    </row>
    <row r="63" spans="32:37" ht="15">
      <c r="AF63" s="58"/>
      <c r="AH63" s="57"/>
      <c r="AI63" s="58"/>
      <c r="AJ63" s="57"/>
      <c r="AK63" s="58"/>
    </row>
    <row r="64" spans="32:37" ht="15">
      <c r="AF64" s="58"/>
      <c r="AH64" s="57"/>
      <c r="AI64" s="58"/>
      <c r="AJ64" s="57"/>
      <c r="AK64" s="58"/>
    </row>
    <row r="65" spans="32:37" ht="15">
      <c r="AF65" s="58"/>
      <c r="AH65" s="57"/>
      <c r="AI65" s="58"/>
      <c r="AJ65" s="57"/>
      <c r="AK65" s="58"/>
    </row>
    <row r="66" spans="7:37" ht="15">
      <c r="G66" s="57"/>
      <c r="AF66" s="58"/>
      <c r="AH66" s="57"/>
      <c r="AI66" s="58"/>
      <c r="AJ66" s="57"/>
      <c r="AK66" s="58"/>
    </row>
    <row r="67" spans="7:37" ht="15">
      <c r="G67" s="57"/>
      <c r="H67" s="57"/>
      <c r="AF67" s="58"/>
      <c r="AH67" s="57"/>
      <c r="AI67" s="58"/>
      <c r="AJ67" s="57"/>
      <c r="AK67" s="58"/>
    </row>
    <row r="68" spans="7:37" ht="15">
      <c r="G68" s="57"/>
      <c r="H68" s="57"/>
      <c r="I68" s="57"/>
      <c r="AF68" s="58"/>
      <c r="AH68" s="57"/>
      <c r="AI68" s="58"/>
      <c r="AJ68" s="57"/>
      <c r="AK68" s="58"/>
    </row>
    <row r="69" spans="7:37" ht="15">
      <c r="G69" s="57"/>
      <c r="H69" s="57"/>
      <c r="I69" s="57"/>
      <c r="J69" s="57"/>
      <c r="AF69" s="58"/>
      <c r="AH69" s="57"/>
      <c r="AI69" s="58"/>
      <c r="AJ69" s="57"/>
      <c r="AK69" s="58"/>
    </row>
    <row r="70" spans="7:37" ht="15">
      <c r="G70" s="57"/>
      <c r="H70" s="57"/>
      <c r="I70" s="57"/>
      <c r="J70" s="57"/>
      <c r="K70" s="57"/>
      <c r="AF70" s="58"/>
      <c r="AH70" s="57"/>
      <c r="AI70" s="58"/>
      <c r="AJ70" s="57"/>
      <c r="AK70" s="58"/>
    </row>
    <row r="71" spans="7:37" ht="15"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8"/>
      <c r="AH71" s="57"/>
      <c r="AI71" s="58"/>
      <c r="AJ71" s="57"/>
      <c r="AK71" s="58"/>
    </row>
    <row r="72" spans="7:37" ht="15"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8"/>
      <c r="AH72" s="57"/>
      <c r="AI72" s="58"/>
      <c r="AJ72" s="57"/>
      <c r="AK72" s="58"/>
    </row>
    <row r="73" spans="7:37" ht="15"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8"/>
      <c r="AH73" s="57"/>
      <c r="AI73" s="58"/>
      <c r="AJ73" s="57"/>
      <c r="AK73" s="58"/>
    </row>
    <row r="74" spans="7:37" ht="15"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8"/>
      <c r="AH74" s="57"/>
      <c r="AI74" s="58"/>
      <c r="AJ74" s="57"/>
      <c r="AK74" s="58"/>
    </row>
    <row r="75" spans="7:37" ht="15"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H75" s="57"/>
      <c r="AI75" s="58"/>
      <c r="AJ75" s="57"/>
      <c r="AK75" s="58"/>
    </row>
    <row r="76" spans="8:37" ht="15"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H76" s="57"/>
      <c r="AI76" s="58"/>
      <c r="AJ76" s="57"/>
      <c r="AK76" s="58"/>
    </row>
    <row r="77" spans="9:37" ht="15"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H77" s="58"/>
      <c r="AI77" s="58"/>
      <c r="AJ77" s="58"/>
      <c r="AK77" s="58"/>
    </row>
    <row r="78" spans="10:31" ht="15"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</row>
    <row r="79" spans="11:31" ht="15"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</row>
    <row r="80" spans="12:37" ht="15"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G80" s="51"/>
      <c r="AK80" s="58"/>
    </row>
    <row r="81" spans="36:37" ht="15">
      <c r="AJ81" s="32"/>
      <c r="AK81" s="58"/>
    </row>
    <row r="82" spans="33:37" ht="15">
      <c r="AG82" s="32"/>
      <c r="AH82" s="32"/>
      <c r="AI82" s="32"/>
      <c r="AJ82" s="32"/>
      <c r="AK82" s="32"/>
    </row>
    <row r="83" spans="33:37" ht="15">
      <c r="AG83" s="145"/>
      <c r="AH83" s="145"/>
      <c r="AI83" s="145"/>
      <c r="AJ83" s="145"/>
      <c r="AK83" s="145"/>
    </row>
    <row r="84" spans="34:37" ht="15">
      <c r="AH84" s="57"/>
      <c r="AI84" s="58"/>
      <c r="AJ84" s="57"/>
      <c r="AK84" s="58"/>
    </row>
    <row r="85" spans="34:37" ht="15">
      <c r="AH85" s="57"/>
      <c r="AI85" s="58"/>
      <c r="AJ85" s="57"/>
      <c r="AK85" s="58"/>
    </row>
    <row r="86" spans="34:37" ht="15">
      <c r="AH86" s="57"/>
      <c r="AI86" s="58"/>
      <c r="AJ86" s="57"/>
      <c r="AK86" s="58"/>
    </row>
    <row r="87" spans="34:37" ht="15">
      <c r="AH87" s="57"/>
      <c r="AI87" s="58"/>
      <c r="AJ87" s="57"/>
      <c r="AK87" s="58"/>
    </row>
    <row r="88" spans="34:37" ht="15">
      <c r="AH88" s="57"/>
      <c r="AI88" s="58"/>
      <c r="AJ88" s="57"/>
      <c r="AK88" s="58"/>
    </row>
    <row r="89" spans="34:37" ht="15">
      <c r="AH89" s="57"/>
      <c r="AI89" s="58"/>
      <c r="AJ89" s="57"/>
      <c r="AK89" s="58"/>
    </row>
    <row r="90" spans="34:37" ht="15">
      <c r="AH90" s="57"/>
      <c r="AI90" s="58"/>
      <c r="AJ90" s="57"/>
      <c r="AK90" s="58"/>
    </row>
    <row r="91" spans="34:37" ht="15">
      <c r="AH91" s="57"/>
      <c r="AI91" s="58"/>
      <c r="AJ91" s="57"/>
      <c r="AK91" s="58"/>
    </row>
    <row r="92" spans="34:37" ht="15">
      <c r="AH92" s="57"/>
      <c r="AI92" s="58"/>
      <c r="AJ92" s="57"/>
      <c r="AK92" s="58"/>
    </row>
    <row r="93" spans="34:37" ht="15">
      <c r="AH93" s="57"/>
      <c r="AI93" s="58"/>
      <c r="AJ93" s="57"/>
      <c r="AK93" s="58"/>
    </row>
    <row r="94" spans="34:37" ht="15">
      <c r="AH94" s="57"/>
      <c r="AI94" s="58"/>
      <c r="AJ94" s="57"/>
      <c r="AK94" s="58"/>
    </row>
    <row r="95" spans="34:37" ht="15">
      <c r="AH95" s="57"/>
      <c r="AI95" s="58"/>
      <c r="AJ95" s="57"/>
      <c r="AK95" s="58"/>
    </row>
    <row r="96" spans="34:37" ht="15">
      <c r="AH96" s="57"/>
      <c r="AI96" s="58"/>
      <c r="AJ96" s="57"/>
      <c r="AK96" s="58"/>
    </row>
    <row r="97" spans="34:37" ht="15">
      <c r="AH97" s="57"/>
      <c r="AI97" s="58"/>
      <c r="AJ97" s="57"/>
      <c r="AK97" s="58"/>
    </row>
    <row r="98" spans="34:37" ht="15">
      <c r="AH98" s="57"/>
      <c r="AI98" s="58"/>
      <c r="AJ98" s="57"/>
      <c r="AK98" s="58"/>
    </row>
    <row r="99" spans="34:37" ht="15">
      <c r="AH99" s="57"/>
      <c r="AI99" s="58"/>
      <c r="AJ99" s="57"/>
      <c r="AK99" s="58"/>
    </row>
    <row r="100" spans="34:37" ht="15">
      <c r="AH100" s="57"/>
      <c r="AI100" s="58"/>
      <c r="AJ100" s="57"/>
      <c r="AK100" s="58"/>
    </row>
    <row r="101" spans="34:37" ht="15">
      <c r="AH101" s="57"/>
      <c r="AI101" s="58"/>
      <c r="AJ101" s="57"/>
      <c r="AK101" s="58"/>
    </row>
    <row r="102" spans="34:37" ht="15">
      <c r="AH102" s="57"/>
      <c r="AI102" s="58"/>
      <c r="AJ102" s="57"/>
      <c r="AK102" s="58"/>
    </row>
    <row r="103" spans="34:37" ht="15">
      <c r="AH103" s="57"/>
      <c r="AI103" s="58"/>
      <c r="AJ103" s="57"/>
      <c r="AK103" s="58"/>
    </row>
    <row r="104" spans="34:37" ht="15">
      <c r="AH104" s="57"/>
      <c r="AI104" s="58"/>
      <c r="AJ104" s="57"/>
      <c r="AK104" s="58"/>
    </row>
    <row r="105" spans="34:37" ht="15">
      <c r="AH105" s="58"/>
      <c r="AI105" s="58"/>
      <c r="AJ105" s="58"/>
      <c r="AK105" s="58"/>
    </row>
  </sheetData>
  <sheetProtection/>
  <mergeCells count="4">
    <mergeCell ref="A4:AK4"/>
    <mergeCell ref="A5:AK5"/>
    <mergeCell ref="A6:AK6"/>
    <mergeCell ref="D15:AG15"/>
  </mergeCells>
  <printOptions horizontalCentered="1"/>
  <pageMargins left="0" right="0" top="0.5" bottom="0" header="0.5" footer="0.5"/>
  <pageSetup fitToHeight="1" fitToWidth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.28125" style="22" customWidth="1"/>
    <col min="2" max="2" width="2.421875" style="22" customWidth="1"/>
    <col min="3" max="3" width="3.00390625" style="22" customWidth="1"/>
    <col min="4" max="4" width="44.57421875" style="22" bestFit="1" customWidth="1"/>
    <col min="5" max="5" width="8.57421875" style="22" customWidth="1"/>
    <col min="6" max="6" width="9.140625" style="22" customWidth="1"/>
    <col min="7" max="7" width="21.57421875" style="22" customWidth="1"/>
    <col min="8" max="8" width="9.140625" style="22" customWidth="1"/>
    <col min="9" max="9" width="35.140625" style="22" bestFit="1" customWidth="1"/>
    <col min="10" max="16384" width="9.140625" style="22" customWidth="1"/>
  </cols>
  <sheetData>
    <row r="1" ht="15">
      <c r="I1" s="23" t="str">
        <f>+'6.1 ADIT Calcluated p.3'!AK1</f>
        <v>Case No. 2023-0335  PSC_Staff Set 2 No 1</v>
      </c>
    </row>
    <row r="2" spans="9:12" ht="15">
      <c r="I2" s="23" t="s">
        <v>196</v>
      </c>
      <c r="L2" s="23"/>
    </row>
    <row r="3" spans="1:13" ht="15">
      <c r="A3" s="165" t="s">
        <v>12</v>
      </c>
      <c r="B3" s="165"/>
      <c r="C3" s="165"/>
      <c r="D3" s="165"/>
      <c r="E3" s="165"/>
      <c r="F3" s="165"/>
      <c r="G3" s="165"/>
      <c r="H3" s="165"/>
      <c r="I3" s="165"/>
      <c r="J3" s="25"/>
      <c r="K3" s="25"/>
      <c r="L3" s="25"/>
      <c r="M3" s="25"/>
    </row>
    <row r="4" spans="1:17" ht="15">
      <c r="A4" s="166" t="s">
        <v>109</v>
      </c>
      <c r="B4" s="166"/>
      <c r="C4" s="166"/>
      <c r="D4" s="166"/>
      <c r="E4" s="166"/>
      <c r="F4" s="166"/>
      <c r="G4" s="166"/>
      <c r="H4" s="166"/>
      <c r="I4" s="166"/>
      <c r="J4" s="14"/>
      <c r="K4" s="14"/>
      <c r="L4" s="14"/>
      <c r="M4" s="14"/>
      <c r="N4" s="14"/>
      <c r="O4" s="14"/>
      <c r="P4" s="14"/>
      <c r="Q4" s="14"/>
    </row>
    <row r="5" spans="1:13" ht="15">
      <c r="A5" s="165" t="s">
        <v>197</v>
      </c>
      <c r="B5" s="165"/>
      <c r="C5" s="165"/>
      <c r="D5" s="165"/>
      <c r="E5" s="165"/>
      <c r="F5" s="165"/>
      <c r="G5" s="165"/>
      <c r="H5" s="165"/>
      <c r="I5" s="165"/>
      <c r="J5" s="25"/>
      <c r="K5" s="25"/>
      <c r="L5" s="25"/>
      <c r="M5" s="25"/>
    </row>
    <row r="8" spans="1:9" ht="15">
      <c r="A8" s="24" t="s">
        <v>49</v>
      </c>
      <c r="F8" s="24"/>
      <c r="G8" s="24" t="s">
        <v>111</v>
      </c>
      <c r="H8" s="151"/>
      <c r="I8" s="151"/>
    </row>
    <row r="9" spans="1:9" ht="15">
      <c r="A9" s="152" t="s">
        <v>50</v>
      </c>
      <c r="E9" s="118"/>
      <c r="F9" s="153"/>
      <c r="G9" s="154">
        <v>45291</v>
      </c>
      <c r="H9" s="151"/>
      <c r="I9" s="152" t="s">
        <v>51</v>
      </c>
    </row>
    <row r="10" spans="1:9" ht="15">
      <c r="A10" s="24"/>
      <c r="E10" s="118"/>
      <c r="F10" s="155"/>
      <c r="G10" s="155" t="s">
        <v>227</v>
      </c>
      <c r="H10" s="155"/>
      <c r="I10" s="155" t="s">
        <v>228</v>
      </c>
    </row>
    <row r="12" spans="1:2" ht="15">
      <c r="A12" s="118"/>
      <c r="B12" s="151"/>
    </row>
    <row r="13" spans="1:2" ht="15">
      <c r="A13" s="118"/>
      <c r="B13" s="27" t="s">
        <v>283</v>
      </c>
    </row>
    <row r="14" spans="1:9" ht="15">
      <c r="A14" s="118">
        <v>1</v>
      </c>
      <c r="D14" s="22" t="s">
        <v>200</v>
      </c>
      <c r="F14" s="56"/>
      <c r="G14" s="57">
        <f>+'3.0 Plant in Service'!P39+'4.0 Accumulated Depr'!O49</f>
        <v>43491538.525</v>
      </c>
      <c r="I14" s="22" t="s">
        <v>248</v>
      </c>
    </row>
    <row r="15" ht="15">
      <c r="A15" s="118"/>
    </row>
    <row r="16" spans="1:5" ht="15">
      <c r="A16" s="118"/>
      <c r="B16" s="27" t="s">
        <v>198</v>
      </c>
      <c r="C16" s="151"/>
      <c r="D16" s="151"/>
      <c r="E16" s="151"/>
    </row>
    <row r="17" spans="1:9" ht="18">
      <c r="A17" s="118">
        <f>A14+1</f>
        <v>2</v>
      </c>
      <c r="D17" s="22" t="s">
        <v>199</v>
      </c>
      <c r="F17" s="56"/>
      <c r="G17" s="59">
        <f>ROUND(G14*0.01418,0)</f>
        <v>616710</v>
      </c>
      <c r="I17" s="11" t="s">
        <v>213</v>
      </c>
    </row>
    <row r="18" spans="1:7" ht="15">
      <c r="A18" s="118"/>
      <c r="F18" s="56"/>
      <c r="G18" s="123"/>
    </row>
    <row r="19" spans="1:7" ht="18">
      <c r="A19" s="118"/>
      <c r="F19" s="56"/>
      <c r="G19" s="156"/>
    </row>
    <row r="20" spans="1:7" ht="15">
      <c r="A20" s="118"/>
      <c r="F20" s="124"/>
      <c r="G20" s="124"/>
    </row>
    <row r="21" spans="1:7" ht="15">
      <c r="A21" s="118"/>
      <c r="F21" s="157"/>
      <c r="G21" s="124"/>
    </row>
    <row r="22" spans="1:7" ht="15">
      <c r="A22" s="118"/>
      <c r="B22" s="151"/>
      <c r="F22" s="158"/>
      <c r="G22" s="124"/>
    </row>
    <row r="23" spans="6:7" ht="15">
      <c r="F23" s="157"/>
      <c r="G23" s="159"/>
    </row>
    <row r="24" spans="1:9" ht="15">
      <c r="A24" s="118" t="s">
        <v>71</v>
      </c>
      <c r="B24" s="151"/>
      <c r="C24" s="151"/>
      <c r="D24" s="151"/>
      <c r="E24" s="151"/>
      <c r="F24" s="160"/>
      <c r="G24" s="160"/>
      <c r="H24" s="151"/>
      <c r="I24" s="151"/>
    </row>
    <row r="25" spans="1:7" ht="18">
      <c r="A25" s="11" t="s">
        <v>287</v>
      </c>
      <c r="B25" s="11"/>
      <c r="C25" s="11"/>
      <c r="D25" s="11"/>
      <c r="E25" s="11"/>
      <c r="F25" s="97"/>
      <c r="G25" s="161"/>
    </row>
    <row r="26" ht="15">
      <c r="G26" s="157"/>
    </row>
  </sheetData>
  <sheetProtection/>
  <mergeCells count="3">
    <mergeCell ref="A3:I3"/>
    <mergeCell ref="A4:I4"/>
    <mergeCell ref="A5:I5"/>
  </mergeCells>
  <printOptions/>
  <pageMargins left="0.7" right="0.7" top="0.75" bottom="0.75" header="0.3" footer="0.3"/>
  <pageSetup fitToHeight="1" fitToWidth="1" horizontalDpi="1200" verticalDpi="1200" orientation="landscape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.7109375" style="11" customWidth="1"/>
    <col min="2" max="2" width="53.140625" style="11" bestFit="1" customWidth="1"/>
    <col min="3" max="4" width="10.7109375" style="11" customWidth="1"/>
    <col min="5" max="5" width="20.7109375" style="11" customWidth="1"/>
    <col min="6" max="7" width="10.28125" style="11" bestFit="1" customWidth="1"/>
    <col min="8" max="8" width="9.140625" style="11" customWidth="1"/>
    <col min="9" max="9" width="9.8515625" style="11" customWidth="1"/>
    <col min="10" max="16384" width="9.140625" style="11" customWidth="1"/>
  </cols>
  <sheetData>
    <row r="1" ht="15">
      <c r="G1" s="12" t="str">
        <f>+'7.0 Property Tax'!I1</f>
        <v>Case No. 2023-0335  PSC_Staff Set 2 No 1</v>
      </c>
    </row>
    <row r="2" ht="15">
      <c r="G2" s="12" t="s">
        <v>189</v>
      </c>
    </row>
    <row r="3" ht="15">
      <c r="E3" s="12"/>
    </row>
    <row r="4" spans="2:8" ht="15">
      <c r="B4" s="166" t="s">
        <v>12</v>
      </c>
      <c r="C4" s="166"/>
      <c r="D4" s="166"/>
      <c r="E4" s="166"/>
      <c r="F4" s="14"/>
      <c r="G4" s="14"/>
      <c r="H4" s="14"/>
    </row>
    <row r="5" spans="2:8" ht="15">
      <c r="B5" s="166" t="s">
        <v>112</v>
      </c>
      <c r="C5" s="166"/>
      <c r="D5" s="166"/>
      <c r="E5" s="166"/>
      <c r="F5" s="14"/>
      <c r="G5" s="14"/>
      <c r="H5" s="14"/>
    </row>
    <row r="6" spans="2:8" ht="15">
      <c r="B6" s="166" t="s">
        <v>78</v>
      </c>
      <c r="C6" s="166"/>
      <c r="D6" s="166"/>
      <c r="E6" s="166"/>
      <c r="F6" s="14"/>
      <c r="G6" s="14"/>
      <c r="H6" s="14"/>
    </row>
    <row r="9" ht="15">
      <c r="E9" s="16" t="s">
        <v>79</v>
      </c>
    </row>
    <row r="10" ht="15">
      <c r="E10" s="13" t="s">
        <v>13</v>
      </c>
    </row>
    <row r="11" spans="2:7" ht="18">
      <c r="B11" s="11" t="s">
        <v>288</v>
      </c>
      <c r="E11" s="18">
        <f>+E12</f>
        <v>2978227</v>
      </c>
      <c r="G11" s="162"/>
    </row>
    <row r="12" spans="2:7" ht="18">
      <c r="B12" s="11" t="s">
        <v>214</v>
      </c>
      <c r="E12" s="163">
        <v>2978227</v>
      </c>
      <c r="G12" s="164"/>
    </row>
    <row r="13" spans="2:7" ht="15">
      <c r="B13" s="11" t="s">
        <v>77</v>
      </c>
      <c r="E13" s="58">
        <f>IF(+E11-E12&lt;0,+E11-E12,0)</f>
        <v>0</v>
      </c>
      <c r="G13" s="56"/>
    </row>
    <row r="14" ht="15">
      <c r="I14" s="69"/>
    </row>
    <row r="16" ht="18">
      <c r="B16" s="11" t="s">
        <v>289</v>
      </c>
    </row>
    <row r="17" ht="15">
      <c r="B17" s="11" t="s">
        <v>290</v>
      </c>
    </row>
  </sheetData>
  <sheetProtection/>
  <mergeCells count="3">
    <mergeCell ref="B4:E4"/>
    <mergeCell ref="B5:E5"/>
    <mergeCell ref="B6:E6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6" zoomScalePageLayoutView="0" workbookViewId="0" topLeftCell="A1">
      <selection activeCell="B8" sqref="B8"/>
    </sheetView>
  </sheetViews>
  <sheetFormatPr defaultColWidth="8.8515625" defaultRowHeight="12.75"/>
  <cols>
    <col min="1" max="1" width="4.57421875" style="2" customWidth="1"/>
    <col min="2" max="2" width="49.140625" style="2" customWidth="1"/>
    <col min="3" max="3" width="12.28125" style="2" bestFit="1" customWidth="1"/>
    <col min="4" max="4" width="15.421875" style="2" bestFit="1" customWidth="1"/>
    <col min="5" max="5" width="16.140625" style="2" bestFit="1" customWidth="1"/>
    <col min="6" max="6" width="13.00390625" style="2" bestFit="1" customWidth="1"/>
    <col min="7" max="7" width="17.140625" style="2" bestFit="1" customWidth="1"/>
    <col min="8" max="8" width="14.57421875" style="2" bestFit="1" customWidth="1"/>
    <col min="9" max="9" width="8.8515625" style="2" customWidth="1"/>
    <col min="10" max="10" width="15.8515625" style="5" bestFit="1" customWidth="1"/>
    <col min="11" max="11" width="10.00390625" style="9" bestFit="1" customWidth="1"/>
    <col min="12" max="16384" width="8.8515625" style="2" customWidth="1"/>
  </cols>
  <sheetData>
    <row r="1" spans="1:8" ht="15">
      <c r="A1" s="11"/>
      <c r="B1" s="11"/>
      <c r="C1" s="11"/>
      <c r="D1" s="11"/>
      <c r="E1" s="11"/>
      <c r="F1" s="11"/>
      <c r="G1" s="11"/>
      <c r="H1" s="12" t="str">
        <f>+'Table of Contents'!F1</f>
        <v>Case No. 2023-0335  PSC_Staff Set 2 No 1</v>
      </c>
    </row>
    <row r="2" spans="1:8" ht="15">
      <c r="A2" s="11"/>
      <c r="B2" s="11"/>
      <c r="C2" s="11"/>
      <c r="D2" s="11"/>
      <c r="E2" s="11"/>
      <c r="F2" s="11"/>
      <c r="G2" s="11"/>
      <c r="H2" s="12" t="s">
        <v>108</v>
      </c>
    </row>
    <row r="3" spans="1:8" ht="15">
      <c r="A3" s="11"/>
      <c r="B3" s="11"/>
      <c r="C3" s="11"/>
      <c r="D3" s="11"/>
      <c r="E3" s="11"/>
      <c r="F3" s="11"/>
      <c r="G3" s="11"/>
      <c r="H3" s="12"/>
    </row>
    <row r="4" spans="1:8" ht="15">
      <c r="A4" s="166" t="s">
        <v>12</v>
      </c>
      <c r="B4" s="166"/>
      <c r="C4" s="166"/>
      <c r="D4" s="166"/>
      <c r="E4" s="166"/>
      <c r="F4" s="166"/>
      <c r="G4" s="166"/>
      <c r="H4" s="166"/>
    </row>
    <row r="5" spans="1:8" ht="15">
      <c r="A5" s="166" t="s">
        <v>109</v>
      </c>
      <c r="B5" s="166"/>
      <c r="C5" s="166"/>
      <c r="D5" s="166"/>
      <c r="E5" s="166"/>
      <c r="F5" s="166"/>
      <c r="G5" s="166"/>
      <c r="H5" s="166"/>
    </row>
    <row r="6" spans="1:8" ht="15">
      <c r="A6" s="166" t="s">
        <v>106</v>
      </c>
      <c r="B6" s="166"/>
      <c r="C6" s="166"/>
      <c r="D6" s="166"/>
      <c r="E6" s="166"/>
      <c r="F6" s="166"/>
      <c r="G6" s="166"/>
      <c r="H6" s="166"/>
    </row>
    <row r="7" spans="1:8" ht="15">
      <c r="A7" s="13"/>
      <c r="B7" s="13"/>
      <c r="C7" s="13"/>
      <c r="D7" s="13"/>
      <c r="E7" s="13"/>
      <c r="F7" s="13"/>
      <c r="G7" s="11"/>
      <c r="H7" s="11"/>
    </row>
    <row r="8" spans="1:8" ht="15">
      <c r="A8" s="11"/>
      <c r="B8" s="11"/>
      <c r="C8" s="11"/>
      <c r="D8" s="13"/>
      <c r="E8" s="13" t="s">
        <v>57</v>
      </c>
      <c r="F8" s="13" t="s">
        <v>252</v>
      </c>
      <c r="G8" s="13" t="s">
        <v>101</v>
      </c>
      <c r="H8" s="13" t="s">
        <v>9</v>
      </c>
    </row>
    <row r="9" spans="1:8" ht="15">
      <c r="A9" s="13" t="s">
        <v>49</v>
      </c>
      <c r="B9" s="11"/>
      <c r="C9" s="13" t="s">
        <v>54</v>
      </c>
      <c r="D9" s="13" t="s">
        <v>55</v>
      </c>
      <c r="E9" s="13" t="s">
        <v>58</v>
      </c>
      <c r="F9" s="13" t="s">
        <v>105</v>
      </c>
      <c r="G9" s="13" t="s">
        <v>94</v>
      </c>
      <c r="H9" s="13" t="s">
        <v>252</v>
      </c>
    </row>
    <row r="10" spans="1:8" ht="17.25">
      <c r="A10" s="16" t="s">
        <v>50</v>
      </c>
      <c r="B10" s="16" t="s">
        <v>53</v>
      </c>
      <c r="C10" s="30" t="s">
        <v>102</v>
      </c>
      <c r="D10" s="30" t="s">
        <v>56</v>
      </c>
      <c r="E10" s="30" t="s">
        <v>194</v>
      </c>
      <c r="F10" s="16" t="s">
        <v>59</v>
      </c>
      <c r="G10" s="16" t="s">
        <v>284</v>
      </c>
      <c r="H10" s="30" t="s">
        <v>107</v>
      </c>
    </row>
    <row r="11" spans="1:8" ht="15">
      <c r="A11" s="13"/>
      <c r="B11" s="31" t="s">
        <v>227</v>
      </c>
      <c r="C11" s="31" t="s">
        <v>228</v>
      </c>
      <c r="D11" s="31" t="s">
        <v>229</v>
      </c>
      <c r="E11" s="31" t="s">
        <v>230</v>
      </c>
      <c r="F11" s="31" t="s">
        <v>231</v>
      </c>
      <c r="G11" s="31" t="s">
        <v>232</v>
      </c>
      <c r="H11" s="31" t="s">
        <v>233</v>
      </c>
    </row>
    <row r="12" spans="1:8" ht="15">
      <c r="A12" s="11"/>
      <c r="B12" s="11"/>
      <c r="C12" s="11"/>
      <c r="D12" s="11"/>
      <c r="E12" s="11"/>
      <c r="F12" s="11"/>
      <c r="G12" s="11"/>
      <c r="H12" s="11"/>
    </row>
    <row r="13" spans="1:8" ht="15">
      <c r="A13" s="32">
        <v>1</v>
      </c>
      <c r="B13" s="33" t="s">
        <v>63</v>
      </c>
      <c r="C13" s="34">
        <v>0.6441861319802371</v>
      </c>
      <c r="D13" s="35">
        <f>ROUND(C13*$D$21,0)</f>
        <v>4343257</v>
      </c>
      <c r="E13" s="21">
        <f>+'1.1 Projected Volumes'!C17</f>
        <v>8191323</v>
      </c>
      <c r="F13" s="36">
        <f>ROUND(D13/E13,4)</f>
        <v>0.5302</v>
      </c>
      <c r="G13" s="37">
        <v>0</v>
      </c>
      <c r="H13" s="36">
        <f>F13+G13</f>
        <v>0.5302</v>
      </c>
    </row>
    <row r="14" spans="1:8" ht="15">
      <c r="A14" s="32"/>
      <c r="B14" s="32"/>
      <c r="C14" s="34"/>
      <c r="D14" s="35"/>
      <c r="E14" s="21"/>
      <c r="F14" s="36"/>
      <c r="G14" s="37"/>
      <c r="H14" s="36"/>
    </row>
    <row r="15" spans="1:8" ht="15">
      <c r="A15" s="32">
        <f>A13+1</f>
        <v>2</v>
      </c>
      <c r="B15" s="33" t="s">
        <v>64</v>
      </c>
      <c r="C15" s="34">
        <v>0.2785917870705459</v>
      </c>
      <c r="D15" s="35">
        <f>ROUND(C15*$D$21,0)</f>
        <v>1878332</v>
      </c>
      <c r="E15" s="21">
        <f>+'1.1 Projected Volumes'!C18</f>
        <v>5849379.7</v>
      </c>
      <c r="F15" s="36">
        <f>ROUND(D15/E15,4)</f>
        <v>0.3211</v>
      </c>
      <c r="G15" s="37">
        <v>0</v>
      </c>
      <c r="H15" s="36">
        <f>F15+G15</f>
        <v>0.3211</v>
      </c>
    </row>
    <row r="16" spans="1:8" ht="15">
      <c r="A16" s="32"/>
      <c r="B16" s="32"/>
      <c r="C16" s="34"/>
      <c r="D16" s="35"/>
      <c r="E16" s="21"/>
      <c r="F16" s="36"/>
      <c r="G16" s="37"/>
      <c r="H16" s="36"/>
    </row>
    <row r="17" spans="1:8" ht="15">
      <c r="A17" s="32">
        <f>A15+1</f>
        <v>3</v>
      </c>
      <c r="B17" s="33" t="s">
        <v>65</v>
      </c>
      <c r="C17" s="34">
        <v>0.00031962937661102073</v>
      </c>
      <c r="D17" s="35">
        <f>ROUND(C17*$D$21,0)</f>
        <v>2155</v>
      </c>
      <c r="E17" s="21">
        <f>'1.1 Projected Volumes'!C19</f>
        <v>10713.6</v>
      </c>
      <c r="F17" s="36">
        <f>ROUND(D17/E17,4)</f>
        <v>0.2011</v>
      </c>
      <c r="G17" s="37">
        <v>0</v>
      </c>
      <c r="H17" s="36">
        <f>F17+G17</f>
        <v>0.2011</v>
      </c>
    </row>
    <row r="18" spans="1:8" ht="15">
      <c r="A18" s="32"/>
      <c r="B18" s="33"/>
      <c r="C18" s="38"/>
      <c r="D18" s="35"/>
      <c r="E18" s="21"/>
      <c r="F18" s="36"/>
      <c r="G18" s="37"/>
      <c r="H18" s="36"/>
    </row>
    <row r="19" spans="1:8" ht="18">
      <c r="A19" s="32">
        <f>A17+1</f>
        <v>4</v>
      </c>
      <c r="B19" s="33" t="s">
        <v>285</v>
      </c>
      <c r="C19" s="39">
        <v>0.07690245157260596</v>
      </c>
      <c r="D19" s="40">
        <f>ROUND(C19*$D$21,0)</f>
        <v>518495</v>
      </c>
      <c r="E19" s="41">
        <f>+'1.1 Projected Volumes'!C20</f>
        <v>8829909.5</v>
      </c>
      <c r="F19" s="36">
        <f>ROUND(D19/E19,4)</f>
        <v>0.0587</v>
      </c>
      <c r="G19" s="37">
        <v>0</v>
      </c>
      <c r="H19" s="36">
        <f>F19+G19</f>
        <v>0.0587</v>
      </c>
    </row>
    <row r="20" spans="1:8" ht="15">
      <c r="A20" s="32"/>
      <c r="B20" s="33"/>
      <c r="C20" s="38"/>
      <c r="D20" s="42"/>
      <c r="E20" s="43"/>
      <c r="F20" s="11"/>
      <c r="G20" s="37"/>
      <c r="H20" s="37"/>
    </row>
    <row r="21" spans="1:8" ht="15.75" thickBot="1">
      <c r="A21" s="32">
        <f>A19+1</f>
        <v>5</v>
      </c>
      <c r="B21" s="33" t="s">
        <v>61</v>
      </c>
      <c r="C21" s="44">
        <f>SUM(C13:C20)</f>
        <v>1</v>
      </c>
      <c r="D21" s="45">
        <f>'2.0 Revenue Req.'!I30</f>
        <v>6742239</v>
      </c>
      <c r="E21" s="46">
        <f>SUM(E13:E20)</f>
        <v>22881325.799999997</v>
      </c>
      <c r="F21" s="47"/>
      <c r="G21" s="47"/>
      <c r="H21" s="48"/>
    </row>
    <row r="22" spans="1:8" ht="15.75" thickTop="1">
      <c r="A22" s="32"/>
      <c r="B22" s="32"/>
      <c r="C22" s="11"/>
      <c r="D22" s="11"/>
      <c r="E22" s="11"/>
      <c r="F22" s="11"/>
      <c r="G22" s="11"/>
      <c r="H22" s="11"/>
    </row>
    <row r="23" spans="1:4" ht="12">
      <c r="A23" s="6"/>
      <c r="B23" s="6"/>
      <c r="D23" s="7"/>
    </row>
    <row r="25" ht="15">
      <c r="A25" s="11" t="s">
        <v>71</v>
      </c>
    </row>
    <row r="26" ht="18">
      <c r="A26" s="8" t="s">
        <v>251</v>
      </c>
    </row>
    <row r="27" ht="18">
      <c r="A27" s="2" t="s">
        <v>279</v>
      </c>
    </row>
    <row r="28" ht="18">
      <c r="A28" s="2" t="s">
        <v>103</v>
      </c>
    </row>
    <row r="29" ht="18">
      <c r="A29" s="2" t="s">
        <v>225</v>
      </c>
    </row>
  </sheetData>
  <sheetProtection/>
  <mergeCells count="3">
    <mergeCell ref="A4:H4"/>
    <mergeCell ref="A5:H5"/>
    <mergeCell ref="A6:H6"/>
  </mergeCells>
  <printOptions/>
  <pageMargins left="0.5" right="0.5" top="1" bottom="0" header="0.5" footer="0.5"/>
  <pageSetup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5"/>
  <sheetViews>
    <sheetView zoomScalePageLayoutView="0" workbookViewId="0" topLeftCell="A1">
      <selection activeCell="C12" sqref="C12"/>
    </sheetView>
  </sheetViews>
  <sheetFormatPr defaultColWidth="8.8515625" defaultRowHeight="12.75"/>
  <cols>
    <col min="1" max="1" width="20.28125" style="11" customWidth="1"/>
    <col min="2" max="2" width="59.57421875" style="11" customWidth="1"/>
    <col min="3" max="3" width="26.421875" style="11" customWidth="1"/>
    <col min="4" max="4" width="8.8515625" style="11" customWidth="1"/>
    <col min="5" max="5" width="10.28125" style="11" bestFit="1" customWidth="1"/>
    <col min="6" max="16384" width="8.8515625" style="11" customWidth="1"/>
  </cols>
  <sheetData>
    <row r="1" ht="15">
      <c r="C1" s="12" t="str">
        <f>+'1.0 SMRP Rider Calc '!H1</f>
        <v>Case No. 2023-0335  PSC_Staff Set 2 No 1</v>
      </c>
    </row>
    <row r="2" ht="15">
      <c r="C2" s="12" t="s">
        <v>272</v>
      </c>
    </row>
    <row r="3" ht="15">
      <c r="C3" s="12"/>
    </row>
    <row r="4" ht="15">
      <c r="B4" s="13" t="s">
        <v>66</v>
      </c>
    </row>
    <row r="5" spans="2:3" ht="15">
      <c r="B5" s="13" t="s">
        <v>109</v>
      </c>
      <c r="C5" s="12"/>
    </row>
    <row r="6" spans="2:3" ht="15">
      <c r="B6" s="13" t="s">
        <v>191</v>
      </c>
      <c r="C6" s="14"/>
    </row>
    <row r="7" spans="2:3" ht="15">
      <c r="B7" s="13" t="s">
        <v>261</v>
      </c>
      <c r="C7" s="14"/>
    </row>
    <row r="8" ht="15">
      <c r="B8" s="13"/>
    </row>
    <row r="12" spans="2:3" ht="15">
      <c r="B12" s="15" t="s">
        <v>53</v>
      </c>
      <c r="C12" s="16" t="s">
        <v>255</v>
      </c>
    </row>
    <row r="13" spans="2:3" ht="15">
      <c r="B13" s="15"/>
      <c r="C13" s="16"/>
    </row>
    <row r="14" spans="2:3" ht="15">
      <c r="B14" s="13" t="s">
        <v>227</v>
      </c>
      <c r="C14" s="13" t="s">
        <v>228</v>
      </c>
    </row>
    <row r="15" spans="2:3" ht="15">
      <c r="B15" s="13"/>
      <c r="C15" s="13"/>
    </row>
    <row r="16" ht="15">
      <c r="B16" s="17"/>
    </row>
    <row r="17" spans="2:3" s="18" customFormat="1" ht="15">
      <c r="B17" s="19" t="s">
        <v>253</v>
      </c>
      <c r="C17" s="21">
        <f>7310808.9+880514.1</f>
        <v>8191323</v>
      </c>
    </row>
    <row r="18" spans="2:3" s="18" customFormat="1" ht="15">
      <c r="B18" s="19" t="s">
        <v>254</v>
      </c>
      <c r="C18" s="21">
        <f>0+392082.4+4320655.1+1136642.2</f>
        <v>5849379.7</v>
      </c>
    </row>
    <row r="19" spans="2:3" s="18" customFormat="1" ht="15">
      <c r="B19" s="19" t="s">
        <v>67</v>
      </c>
      <c r="C19" s="21">
        <v>10713.6</v>
      </c>
    </row>
    <row r="20" spans="2:3" s="18" customFormat="1" ht="15">
      <c r="B20" s="19" t="s">
        <v>68</v>
      </c>
      <c r="C20" s="21">
        <f>8829909.5</f>
        <v>8829909.5</v>
      </c>
    </row>
    <row r="21" spans="2:3" s="18" customFormat="1" ht="15.75" thickBot="1">
      <c r="B21" s="19" t="s">
        <v>256</v>
      </c>
      <c r="C21" s="20">
        <f>SUM(C17:C20)</f>
        <v>22881325.799999997</v>
      </c>
    </row>
    <row r="22" s="18" customFormat="1" ht="15.75" thickTop="1">
      <c r="B22" s="19"/>
    </row>
    <row r="23" s="18" customFormat="1" ht="15">
      <c r="B23" s="19"/>
    </row>
    <row r="24" spans="2:3" ht="15">
      <c r="B24" s="19"/>
      <c r="C24" s="18"/>
    </row>
    <row r="25" ht="15">
      <c r="B25" s="19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SheetLayoutView="112" zoomScalePageLayoutView="0" workbookViewId="0" topLeftCell="A1">
      <selection activeCell="I12" sqref="I12"/>
    </sheetView>
  </sheetViews>
  <sheetFormatPr defaultColWidth="8.8515625" defaultRowHeight="12.75"/>
  <cols>
    <col min="1" max="1" width="5.28125" style="11" customWidth="1"/>
    <col min="2" max="2" width="3.421875" style="11" customWidth="1"/>
    <col min="3" max="3" width="1.7109375" style="11" customWidth="1"/>
    <col min="4" max="4" width="8.8515625" style="11" customWidth="1"/>
    <col min="5" max="5" width="35.8515625" style="11" customWidth="1"/>
    <col min="6" max="6" width="1.8515625" style="11" customWidth="1"/>
    <col min="7" max="7" width="22.28125" style="11" bestFit="1" customWidth="1"/>
    <col min="8" max="8" width="1.57421875" style="11" customWidth="1"/>
    <col min="9" max="9" width="26.140625" style="11" bestFit="1" customWidth="1"/>
    <col min="10" max="10" width="2.28125" style="11" customWidth="1"/>
    <col min="11" max="11" width="25.00390625" style="11" bestFit="1" customWidth="1"/>
    <col min="12" max="12" width="11.28125" style="11" customWidth="1"/>
    <col min="13" max="13" width="12.8515625" style="11" bestFit="1" customWidth="1"/>
    <col min="14" max="14" width="8.8515625" style="11" customWidth="1"/>
    <col min="15" max="15" width="12.421875" style="11" bestFit="1" customWidth="1"/>
    <col min="16" max="16" width="19.00390625" style="11" customWidth="1"/>
    <col min="17" max="16384" width="8.8515625" style="11" customWidth="1"/>
  </cols>
  <sheetData>
    <row r="1" ht="15">
      <c r="K1" s="49" t="str">
        <f>+'1.1 Projected Volumes'!C1</f>
        <v>Case No. 2023-0335  PSC_Staff Set 2 No 1</v>
      </c>
    </row>
    <row r="2" ht="15">
      <c r="K2" s="49" t="s">
        <v>179</v>
      </c>
    </row>
    <row r="3" spans="1:11" ht="15">
      <c r="A3" s="166" t="s">
        <v>12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5">
      <c r="A4" s="166" t="s">
        <v>109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15">
      <c r="A5" s="166" t="s">
        <v>260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ht="15">
      <c r="A6" s="3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ht="15">
      <c r="F7" s="50"/>
    </row>
    <row r="8" spans="1:18" ht="15">
      <c r="A8" s="13" t="s">
        <v>49</v>
      </c>
      <c r="F8" s="50"/>
      <c r="G8" s="13" t="s">
        <v>111</v>
      </c>
      <c r="H8" s="13"/>
      <c r="I8" s="13" t="s">
        <v>88</v>
      </c>
      <c r="J8" s="13"/>
      <c r="K8" s="51"/>
      <c r="L8" s="51"/>
      <c r="M8" s="51"/>
      <c r="N8" s="51"/>
      <c r="O8" s="51"/>
      <c r="P8" s="51"/>
      <c r="Q8" s="51"/>
      <c r="R8" s="51"/>
    </row>
    <row r="9" spans="1:18" ht="15">
      <c r="A9" s="16" t="s">
        <v>50</v>
      </c>
      <c r="E9" s="32"/>
      <c r="F9" s="52"/>
      <c r="G9" s="53">
        <v>45657</v>
      </c>
      <c r="H9" s="51"/>
      <c r="I9" s="16" t="s">
        <v>117</v>
      </c>
      <c r="J9" s="16"/>
      <c r="K9" s="16" t="s">
        <v>51</v>
      </c>
      <c r="L9" s="51"/>
      <c r="M9" s="51"/>
      <c r="N9" s="51"/>
      <c r="O9" s="51"/>
      <c r="P9" s="51"/>
      <c r="Q9" s="51"/>
      <c r="R9" s="51"/>
    </row>
    <row r="10" spans="1:26" ht="15">
      <c r="A10" s="13"/>
      <c r="E10" s="32"/>
      <c r="F10" s="54"/>
      <c r="G10" s="31" t="s">
        <v>227</v>
      </c>
      <c r="H10" s="31"/>
      <c r="I10" s="31" t="s">
        <v>228</v>
      </c>
      <c r="J10" s="31"/>
      <c r="K10" s="31" t="s">
        <v>229</v>
      </c>
      <c r="L10" s="51"/>
      <c r="M10" s="51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6" ht="15">
      <c r="A11" s="32"/>
      <c r="F11" s="55"/>
    </row>
    <row r="12" spans="1:11" ht="18" customHeight="1">
      <c r="A12" s="32">
        <v>1</v>
      </c>
      <c r="C12" s="11" t="s">
        <v>138</v>
      </c>
      <c r="F12" s="56"/>
      <c r="G12" s="57">
        <f>+'3.0 Plant in Service'!Q112</f>
        <v>52743826.292777315</v>
      </c>
      <c r="H12" s="58"/>
      <c r="K12" s="11" t="s">
        <v>266</v>
      </c>
    </row>
    <row r="13" spans="1:11" ht="18" customHeight="1">
      <c r="A13" s="32">
        <f>A12+1</f>
        <v>2</v>
      </c>
      <c r="C13" s="11" t="s">
        <v>173</v>
      </c>
      <c r="F13" s="56"/>
      <c r="G13" s="57">
        <f>+'4.0 Accumulated Depr'!Q129</f>
        <v>9684794.469575414</v>
      </c>
      <c r="H13" s="58"/>
      <c r="K13" s="11" t="s">
        <v>267</v>
      </c>
    </row>
    <row r="14" spans="1:11" ht="18" customHeight="1">
      <c r="A14" s="32">
        <v>3</v>
      </c>
      <c r="C14" s="11" t="s">
        <v>114</v>
      </c>
      <c r="F14" s="56"/>
      <c r="G14" s="59">
        <f>+'6.0 ADIT Normalized '!Q26</f>
        <v>-5424411.769230769</v>
      </c>
      <c r="H14" s="58"/>
      <c r="K14" s="11" t="s">
        <v>268</v>
      </c>
    </row>
    <row r="15" spans="1:11" ht="18" customHeight="1">
      <c r="A15" s="32">
        <v>4</v>
      </c>
      <c r="D15" s="11" t="s">
        <v>115</v>
      </c>
      <c r="F15" s="56"/>
      <c r="G15" s="57"/>
      <c r="H15" s="60"/>
      <c r="I15" s="58">
        <f>SUM(G12:G14)</f>
        <v>57004208.99312196</v>
      </c>
      <c r="J15" s="58"/>
      <c r="K15" s="11" t="s">
        <v>131</v>
      </c>
    </row>
    <row r="16" spans="1:7" ht="18" customHeight="1">
      <c r="A16" s="32"/>
      <c r="F16" s="56"/>
      <c r="G16" s="57"/>
    </row>
    <row r="17" spans="1:11" ht="18" customHeight="1">
      <c r="A17" s="32">
        <v>5</v>
      </c>
      <c r="C17" s="11" t="s">
        <v>116</v>
      </c>
      <c r="F17" s="56"/>
      <c r="G17" s="57"/>
      <c r="I17" s="61">
        <f>+'2.1 ROR '!F20</f>
        <v>0.0848</v>
      </c>
      <c r="J17" s="61"/>
      <c r="K17" s="11" t="s">
        <v>192</v>
      </c>
    </row>
    <row r="18" spans="1:10" ht="18" customHeight="1">
      <c r="A18" s="32"/>
      <c r="F18" s="56"/>
      <c r="G18" s="57"/>
      <c r="I18" s="61"/>
      <c r="J18" s="61"/>
    </row>
    <row r="19" spans="1:11" ht="18" customHeight="1">
      <c r="A19" s="32">
        <v>6</v>
      </c>
      <c r="C19" s="11" t="s">
        <v>119</v>
      </c>
      <c r="F19" s="56"/>
      <c r="G19" s="57"/>
      <c r="I19" s="62">
        <f>ROUND(I15*I17,0)</f>
        <v>4833957</v>
      </c>
      <c r="J19" s="56"/>
      <c r="K19" s="11" t="s">
        <v>130</v>
      </c>
    </row>
    <row r="20" spans="1:7" ht="18" customHeight="1">
      <c r="A20" s="32"/>
      <c r="F20" s="56"/>
      <c r="G20" s="57"/>
    </row>
    <row r="21" spans="1:10" ht="18" customHeight="1">
      <c r="A21" s="32">
        <v>7</v>
      </c>
      <c r="C21" s="11" t="s">
        <v>118</v>
      </c>
      <c r="F21" s="56"/>
      <c r="G21" s="57">
        <f>+'5.0 Depr Expense'!Q138</f>
        <v>1278087.4819999998</v>
      </c>
      <c r="H21" s="58"/>
      <c r="I21" s="58"/>
      <c r="J21" s="58"/>
    </row>
    <row r="22" spans="1:10" ht="18" customHeight="1">
      <c r="A22" s="32">
        <v>8</v>
      </c>
      <c r="C22" s="11" t="s">
        <v>120</v>
      </c>
      <c r="F22" s="56"/>
      <c r="G22" s="57">
        <f>'7.0 Property Tax'!G17</f>
        <v>616710</v>
      </c>
      <c r="H22" s="58"/>
      <c r="I22" s="58"/>
      <c r="J22" s="58"/>
    </row>
    <row r="23" spans="1:10" ht="18" customHeight="1">
      <c r="A23" s="32">
        <f>+A22+1</f>
        <v>9</v>
      </c>
      <c r="C23" s="11" t="s">
        <v>90</v>
      </c>
      <c r="F23" s="56"/>
      <c r="G23" s="57">
        <f>+'8.0 O&amp;M Savings '!E13</f>
        <v>0</v>
      </c>
      <c r="H23" s="58"/>
      <c r="I23" s="58"/>
      <c r="J23" s="58"/>
    </row>
    <row r="24" spans="1:11" ht="18" customHeight="1">
      <c r="A24" s="32">
        <f>+A23+1</f>
        <v>10</v>
      </c>
      <c r="D24" s="11" t="s">
        <v>190</v>
      </c>
      <c r="F24" s="56"/>
      <c r="G24" s="62"/>
      <c r="H24" s="60"/>
      <c r="I24" s="58">
        <f>SUM(G21:G23)</f>
        <v>1894797.4819999998</v>
      </c>
      <c r="J24" s="58"/>
      <c r="K24" s="11" t="s">
        <v>273</v>
      </c>
    </row>
    <row r="25" spans="1:10" ht="18" customHeight="1">
      <c r="A25" s="32"/>
      <c r="F25" s="56"/>
      <c r="G25" s="56"/>
      <c r="H25" s="60"/>
      <c r="I25" s="58"/>
      <c r="J25" s="58"/>
    </row>
    <row r="26" spans="1:11" ht="18" customHeight="1">
      <c r="A26" s="32">
        <f>+A24+1</f>
        <v>11</v>
      </c>
      <c r="C26" s="11" t="s">
        <v>132</v>
      </c>
      <c r="F26" s="56"/>
      <c r="G26" s="57"/>
      <c r="I26" s="63">
        <f>+I19+I24</f>
        <v>6728754.482</v>
      </c>
      <c r="J26" s="60"/>
      <c r="K26" s="11" t="s">
        <v>221</v>
      </c>
    </row>
    <row r="27" spans="1:10" ht="18" customHeight="1">
      <c r="A27" s="32"/>
      <c r="F27" s="56"/>
      <c r="G27" s="57"/>
      <c r="I27" s="58"/>
      <c r="J27" s="58"/>
    </row>
    <row r="28" spans="1:11" ht="18" customHeight="1">
      <c r="A28" s="32">
        <f>+A26+1</f>
        <v>12</v>
      </c>
      <c r="C28" s="11" t="s">
        <v>129</v>
      </c>
      <c r="F28" s="56"/>
      <c r="G28" s="57"/>
      <c r="I28" s="64">
        <f>+'2.2 Conversion Factor '!E20</f>
        <v>1.002004</v>
      </c>
      <c r="J28" s="65"/>
      <c r="K28" s="11" t="s">
        <v>193</v>
      </c>
    </row>
    <row r="29" spans="1:13" ht="15">
      <c r="A29" s="32"/>
      <c r="F29" s="56"/>
      <c r="G29" s="57"/>
      <c r="L29" s="58"/>
      <c r="M29" s="58"/>
    </row>
    <row r="30" spans="1:13" ht="16.5" customHeight="1" thickBot="1">
      <c r="A30" s="32">
        <f>+A28+1</f>
        <v>13</v>
      </c>
      <c r="C30" s="51" t="s">
        <v>110</v>
      </c>
      <c r="F30" s="66"/>
      <c r="G30" s="57"/>
      <c r="I30" s="67">
        <f>ROUND(I26*I28,0)</f>
        <v>6742239</v>
      </c>
      <c r="J30" s="68"/>
      <c r="K30" s="11" t="s">
        <v>222</v>
      </c>
      <c r="M30" s="69"/>
    </row>
    <row r="31" spans="6:7" ht="15.75" thickTop="1">
      <c r="F31" s="58"/>
      <c r="G31" s="58"/>
    </row>
    <row r="32" ht="15">
      <c r="E32" s="70"/>
    </row>
    <row r="33" spans="6:10" ht="15">
      <c r="F33" s="32"/>
      <c r="H33" s="32"/>
      <c r="I33" s="32"/>
      <c r="J33" s="32"/>
    </row>
    <row r="34" spans="6:12" ht="15">
      <c r="F34" s="32"/>
      <c r="G34" s="32"/>
      <c r="H34" s="32"/>
      <c r="I34" s="71"/>
      <c r="J34" s="32"/>
      <c r="K34" s="32"/>
      <c r="L34" s="32"/>
    </row>
    <row r="36" spans="6:12" ht="15">
      <c r="F36" s="72"/>
      <c r="G36" s="72"/>
      <c r="H36" s="61"/>
      <c r="I36" s="61"/>
      <c r="J36" s="61"/>
      <c r="L36" s="61"/>
    </row>
    <row r="37" spans="6:12" ht="15">
      <c r="F37" s="72"/>
      <c r="G37" s="72"/>
      <c r="H37" s="61"/>
      <c r="I37" s="61"/>
      <c r="J37" s="61"/>
      <c r="K37" s="72"/>
      <c r="L37" s="61"/>
    </row>
    <row r="39" spans="8:12" ht="15">
      <c r="H39" s="61"/>
      <c r="I39" s="61"/>
      <c r="J39" s="61"/>
      <c r="L39" s="73"/>
    </row>
  </sheetData>
  <sheetProtection/>
  <mergeCells count="3">
    <mergeCell ref="A3:K3"/>
    <mergeCell ref="A4:K4"/>
    <mergeCell ref="A5:K5"/>
  </mergeCells>
  <printOptions/>
  <pageMargins left="0.5" right="0.5" top="0.75" bottom="0.75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SheetLayoutView="98" zoomScalePageLayoutView="0" workbookViewId="0" topLeftCell="A1">
      <selection activeCell="C12" sqref="C12"/>
    </sheetView>
  </sheetViews>
  <sheetFormatPr defaultColWidth="8.8515625" defaultRowHeight="12.75"/>
  <cols>
    <col min="1" max="1" width="5.57421875" style="11" customWidth="1"/>
    <col min="2" max="2" width="19.57421875" style="11" customWidth="1"/>
    <col min="3" max="3" width="11.00390625" style="11" customWidth="1"/>
    <col min="4" max="4" width="11.7109375" style="11" customWidth="1"/>
    <col min="5" max="5" width="13.8515625" style="11" customWidth="1"/>
    <col min="6" max="6" width="15.28125" style="11" customWidth="1"/>
    <col min="7" max="16384" width="8.8515625" style="11" customWidth="1"/>
  </cols>
  <sheetData>
    <row r="1" ht="15">
      <c r="H1" s="12" t="str">
        <f>+'2.0 Revenue Req.'!K1</f>
        <v>Case No. 2023-0335  PSC_Staff Set 2 No 1</v>
      </c>
    </row>
    <row r="2" ht="15">
      <c r="H2" s="12" t="s">
        <v>113</v>
      </c>
    </row>
    <row r="3" ht="15">
      <c r="F3" s="12"/>
    </row>
    <row r="4" spans="1:13" ht="15">
      <c r="A4" s="166" t="s">
        <v>12</v>
      </c>
      <c r="B4" s="166"/>
      <c r="C4" s="166"/>
      <c r="D4" s="166"/>
      <c r="E4" s="166"/>
      <c r="F4" s="166"/>
      <c r="G4" s="14"/>
      <c r="H4" s="14"/>
      <c r="I4" s="14"/>
      <c r="J4" s="14"/>
      <c r="K4" s="14"/>
      <c r="L4" s="14"/>
      <c r="M4" s="14"/>
    </row>
    <row r="5" spans="1:13" ht="15">
      <c r="A5" s="166" t="s">
        <v>112</v>
      </c>
      <c r="B5" s="166"/>
      <c r="C5" s="166"/>
      <c r="D5" s="166"/>
      <c r="E5" s="166"/>
      <c r="F5" s="166"/>
      <c r="G5" s="14"/>
      <c r="H5" s="14"/>
      <c r="I5" s="14"/>
      <c r="J5" s="14"/>
      <c r="K5" s="14"/>
      <c r="L5" s="14"/>
      <c r="M5" s="14"/>
    </row>
    <row r="6" spans="1:13" ht="15">
      <c r="A6" s="166" t="s">
        <v>86</v>
      </c>
      <c r="B6" s="166"/>
      <c r="C6" s="166"/>
      <c r="D6" s="166"/>
      <c r="E6" s="166"/>
      <c r="F6" s="166"/>
      <c r="G6" s="14"/>
      <c r="H6" s="14"/>
      <c r="I6" s="14"/>
      <c r="J6" s="14"/>
      <c r="K6" s="14"/>
      <c r="L6" s="14"/>
      <c r="M6" s="14"/>
    </row>
    <row r="10" spans="3:6" ht="15">
      <c r="C10" s="13"/>
      <c r="D10" s="13"/>
      <c r="F10" s="13" t="s">
        <v>11</v>
      </c>
    </row>
    <row r="11" spans="1:6" ht="15">
      <c r="A11" s="13" t="s">
        <v>49</v>
      </c>
      <c r="C11" s="13"/>
      <c r="D11" s="13"/>
      <c r="E11" s="13" t="s">
        <v>10</v>
      </c>
      <c r="F11" s="13" t="s">
        <v>36</v>
      </c>
    </row>
    <row r="12" spans="1:6" ht="15">
      <c r="A12" s="16" t="s">
        <v>50</v>
      </c>
      <c r="B12" s="16" t="s">
        <v>3</v>
      </c>
      <c r="C12" s="16" t="s">
        <v>7</v>
      </c>
      <c r="D12" s="16" t="s">
        <v>8</v>
      </c>
      <c r="E12" s="16" t="s">
        <v>8</v>
      </c>
      <c r="F12" s="74">
        <v>0.2495</v>
      </c>
    </row>
    <row r="13" spans="1:6" ht="15">
      <c r="A13" s="13"/>
      <c r="B13" s="31" t="s">
        <v>227</v>
      </c>
      <c r="C13" s="75" t="s">
        <v>228</v>
      </c>
      <c r="D13" s="75" t="s">
        <v>229</v>
      </c>
      <c r="E13" s="75" t="s">
        <v>230</v>
      </c>
      <c r="F13" s="75" t="s">
        <v>231</v>
      </c>
    </row>
    <row r="14" spans="1:6" ht="15">
      <c r="A14" s="13"/>
      <c r="B14" s="76"/>
      <c r="C14" s="16"/>
      <c r="D14" s="16"/>
      <c r="E14" s="16"/>
      <c r="F14" s="74"/>
    </row>
    <row r="16" spans="1:6" ht="15">
      <c r="A16" s="32">
        <v>1</v>
      </c>
      <c r="B16" s="11" t="s">
        <v>6</v>
      </c>
      <c r="C16" s="77">
        <v>0.0311</v>
      </c>
      <c r="D16" s="78">
        <v>0.013</v>
      </c>
      <c r="E16" s="72">
        <f>C16*D16</f>
        <v>0.00040429999999999996</v>
      </c>
      <c r="F16" s="61">
        <f>E16</f>
        <v>0.00040429999999999996</v>
      </c>
    </row>
    <row r="17" spans="1:6" ht="15">
      <c r="A17" s="32">
        <f>+A16+1</f>
        <v>2</v>
      </c>
      <c r="B17" s="11" t="s">
        <v>5</v>
      </c>
      <c r="C17" s="77">
        <v>0.44249</v>
      </c>
      <c r="D17" s="72">
        <v>0.0437</v>
      </c>
      <c r="E17" s="72">
        <f>C17*D17</f>
        <v>0.019336813</v>
      </c>
      <c r="F17" s="61">
        <f>E17</f>
        <v>0.019336813</v>
      </c>
    </row>
    <row r="18" spans="1:6" ht="15">
      <c r="A18" s="32">
        <f>+A17+1</f>
        <v>3</v>
      </c>
      <c r="B18" s="11" t="s">
        <v>4</v>
      </c>
      <c r="C18" s="79">
        <v>0.52641</v>
      </c>
      <c r="D18" s="39">
        <v>0.09275</v>
      </c>
      <c r="E18" s="80">
        <f>C18*D18</f>
        <v>0.048824527500000006</v>
      </c>
      <c r="F18" s="80">
        <f>ROUND(E18/(1-F12),7)</f>
        <v>0.065056</v>
      </c>
    </row>
    <row r="19" spans="1:6" ht="15">
      <c r="A19" s="32"/>
      <c r="C19" s="81"/>
      <c r="D19" s="72"/>
      <c r="E19" s="82"/>
      <c r="F19" s="82"/>
    </row>
    <row r="20" spans="1:6" ht="15">
      <c r="A20" s="32">
        <f>A18+1</f>
        <v>4</v>
      </c>
      <c r="B20" s="11" t="s">
        <v>9</v>
      </c>
      <c r="C20" s="61">
        <f>SUM(C16:C18)</f>
        <v>1</v>
      </c>
      <c r="E20" s="72">
        <f>SUM(E16:E18)</f>
        <v>0.06856564050000001</v>
      </c>
      <c r="F20" s="77">
        <f>ROUND(SUM(F16:F18),4)</f>
        <v>0.0848</v>
      </c>
    </row>
    <row r="21" ht="15">
      <c r="F21" s="83"/>
    </row>
    <row r="22" ht="15">
      <c r="F22" s="84"/>
    </row>
    <row r="23" ht="15">
      <c r="F23" s="85"/>
    </row>
    <row r="24" ht="15">
      <c r="F24" s="85"/>
    </row>
    <row r="25" ht="15">
      <c r="F25" s="85"/>
    </row>
    <row r="26" ht="15">
      <c r="F26" s="85"/>
    </row>
    <row r="27" ht="15">
      <c r="F27" s="85"/>
    </row>
    <row r="28" ht="15">
      <c r="F28" s="85"/>
    </row>
    <row r="29" ht="15">
      <c r="F29" s="85"/>
    </row>
    <row r="30" ht="15">
      <c r="F30" s="85"/>
    </row>
    <row r="31" ht="15">
      <c r="F31" s="85"/>
    </row>
    <row r="32" ht="15">
      <c r="F32" s="85"/>
    </row>
    <row r="33" ht="15">
      <c r="F33" s="85"/>
    </row>
    <row r="34" ht="15">
      <c r="F34" s="85"/>
    </row>
    <row r="35" ht="15">
      <c r="F35" s="85"/>
    </row>
    <row r="36" ht="15">
      <c r="F36" s="85"/>
    </row>
  </sheetData>
  <sheetProtection/>
  <mergeCells count="3">
    <mergeCell ref="A4:F4"/>
    <mergeCell ref="A5:F5"/>
    <mergeCell ref="A6:F6"/>
  </mergeCells>
  <printOptions horizontalCentered="1"/>
  <pageMargins left="1" right="1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22" customWidth="1"/>
    <col min="2" max="2" width="4.140625" style="22" customWidth="1"/>
    <col min="3" max="3" width="8.140625" style="22" bestFit="1" customWidth="1"/>
    <col min="4" max="4" width="47.7109375" style="22" bestFit="1" customWidth="1"/>
    <col min="5" max="5" width="16.57421875" style="22" bestFit="1" customWidth="1"/>
    <col min="6" max="16384" width="9.140625" style="22" customWidth="1"/>
  </cols>
  <sheetData>
    <row r="1" ht="15">
      <c r="I1" s="23" t="str">
        <f>+'2.1 ROR '!H1</f>
        <v>Case No. 2023-0335  PSC_Staff Set 2 No 1</v>
      </c>
    </row>
    <row r="2" ht="15">
      <c r="I2" s="12" t="s">
        <v>180</v>
      </c>
    </row>
    <row r="3" spans="2:4" ht="15">
      <c r="B3" s="11"/>
      <c r="C3" s="11"/>
      <c r="D3" s="11"/>
    </row>
    <row r="4" spans="3:6" ht="15">
      <c r="C4" s="166" t="s">
        <v>12</v>
      </c>
      <c r="D4" s="166"/>
      <c r="E4" s="166"/>
      <c r="F4" s="14"/>
    </row>
    <row r="5" spans="3:6" ht="15">
      <c r="C5" s="166" t="s">
        <v>112</v>
      </c>
      <c r="D5" s="166"/>
      <c r="E5" s="166"/>
      <c r="F5" s="14"/>
    </row>
    <row r="6" spans="3:6" ht="15">
      <c r="C6" s="166" t="s">
        <v>258</v>
      </c>
      <c r="D6" s="166"/>
      <c r="E6" s="166"/>
      <c r="F6" s="14"/>
    </row>
    <row r="9" spans="2:5" ht="15">
      <c r="B9" s="86"/>
      <c r="C9" s="87"/>
      <c r="D9" s="87"/>
      <c r="E9" s="86"/>
    </row>
    <row r="10" spans="3:5" ht="15">
      <c r="C10" s="88"/>
      <c r="D10" s="88"/>
      <c r="E10" s="89" t="s">
        <v>121</v>
      </c>
    </row>
    <row r="11" spans="3:5" ht="15">
      <c r="C11" s="88"/>
      <c r="D11" s="88"/>
      <c r="E11" s="89" t="s">
        <v>122</v>
      </c>
    </row>
    <row r="12" spans="3:5" ht="15">
      <c r="C12" s="88" t="s">
        <v>80</v>
      </c>
      <c r="D12" s="88" t="s">
        <v>123</v>
      </c>
      <c r="E12" s="88" t="s">
        <v>124</v>
      </c>
    </row>
    <row r="13" spans="3:5" ht="15">
      <c r="C13" s="90"/>
      <c r="D13" s="91"/>
      <c r="E13" s="92"/>
    </row>
    <row r="14" spans="3:5" ht="15">
      <c r="C14" s="90">
        <v>1</v>
      </c>
      <c r="D14" s="93" t="s">
        <v>125</v>
      </c>
      <c r="E14" s="94">
        <v>1</v>
      </c>
    </row>
    <row r="15" spans="3:5" ht="15">
      <c r="C15" s="90"/>
      <c r="D15" s="93"/>
      <c r="E15" s="92"/>
    </row>
    <row r="16" spans="3:5" ht="15">
      <c r="C16" s="90">
        <f>+C14+1</f>
        <v>2</v>
      </c>
      <c r="D16" s="93" t="s">
        <v>126</v>
      </c>
      <c r="E16" s="95">
        <v>0.002</v>
      </c>
    </row>
    <row r="17" spans="3:5" ht="15">
      <c r="C17" s="90"/>
      <c r="D17" s="93"/>
      <c r="E17" s="92"/>
    </row>
    <row r="18" spans="3:5" ht="15">
      <c r="C18" s="90">
        <f>+C16+1</f>
        <v>3</v>
      </c>
      <c r="D18" s="93" t="s">
        <v>127</v>
      </c>
      <c r="E18" s="94">
        <f>E14-E16</f>
        <v>0.998</v>
      </c>
    </row>
    <row r="19" spans="3:5" ht="15">
      <c r="C19" s="90"/>
      <c r="D19" s="93"/>
      <c r="E19" s="92"/>
    </row>
    <row r="20" spans="3:5" ht="15">
      <c r="C20" s="90">
        <f>+C18+1</f>
        <v>4</v>
      </c>
      <c r="D20" s="93" t="s">
        <v>128</v>
      </c>
      <c r="E20" s="96">
        <f>ROUND(1/$E$18,6)</f>
        <v>1.002004</v>
      </c>
    </row>
    <row r="21" spans="3:5" ht="15">
      <c r="C21" s="92"/>
      <c r="D21" s="92"/>
      <c r="E21" s="92"/>
    </row>
  </sheetData>
  <sheetProtection/>
  <mergeCells count="3">
    <mergeCell ref="C5:E5"/>
    <mergeCell ref="C6:E6"/>
    <mergeCell ref="C4:E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zoomScale="98" zoomScaleNormal="98" workbookViewId="0" topLeftCell="C10">
      <selection activeCell="D24" sqref="D24:O28"/>
    </sheetView>
  </sheetViews>
  <sheetFormatPr defaultColWidth="9.140625" defaultRowHeight="12.75"/>
  <cols>
    <col min="1" max="1" width="3.57421875" style="11" customWidth="1"/>
    <col min="2" max="2" width="41.140625" style="11" bestFit="1" customWidth="1"/>
    <col min="3" max="15" width="14.57421875" style="11" bestFit="1" customWidth="1"/>
    <col min="16" max="16" width="20.28125" style="11" bestFit="1" customWidth="1"/>
    <col min="17" max="17" width="23.57421875" style="11" bestFit="1" customWidth="1"/>
    <col min="18" max="18" width="8.7109375" style="11" customWidth="1"/>
    <col min="19" max="19" width="13.57421875" style="11" bestFit="1" customWidth="1"/>
    <col min="20" max="16384" width="8.7109375" style="11" customWidth="1"/>
  </cols>
  <sheetData>
    <row r="1" ht="15">
      <c r="Q1" s="12" t="str">
        <f>+'2.2 Conversion Factor '!I1</f>
        <v>Case No. 2023-0335  PSC_Staff Set 2 No 1</v>
      </c>
    </row>
    <row r="2" spans="14:17" ht="15">
      <c r="N2" s="12"/>
      <c r="Q2" s="12" t="s">
        <v>195</v>
      </c>
    </row>
    <row r="3" spans="14:17" ht="15">
      <c r="N3" s="12"/>
      <c r="Q3" s="12" t="s">
        <v>203</v>
      </c>
    </row>
    <row r="4" spans="1:17" ht="1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ht="15">
      <c r="A5" s="166" t="s">
        <v>109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15">
      <c r="A6" s="166" t="s">
        <v>262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8" ht="15">
      <c r="P8" s="97"/>
    </row>
    <row r="9" spans="4:16" ht="15">
      <c r="D9" s="167"/>
      <c r="E9" s="167"/>
      <c r="F9" s="167"/>
      <c r="G9" s="167"/>
      <c r="H9" s="167"/>
      <c r="I9" s="167"/>
      <c r="J9" s="167"/>
      <c r="K9" s="167"/>
      <c r="P9" s="69"/>
    </row>
    <row r="10" spans="3:17" ht="15">
      <c r="C10" s="13">
        <v>2022</v>
      </c>
      <c r="D10" s="13">
        <f>+C10+1</f>
        <v>2023</v>
      </c>
      <c r="E10" s="13">
        <f aca="true" t="shared" si="0" ref="E10:Q10">+D10</f>
        <v>2023</v>
      </c>
      <c r="F10" s="13">
        <f t="shared" si="0"/>
        <v>2023</v>
      </c>
      <c r="G10" s="13">
        <f t="shared" si="0"/>
        <v>2023</v>
      </c>
      <c r="H10" s="13">
        <f t="shared" si="0"/>
        <v>2023</v>
      </c>
      <c r="I10" s="13">
        <f t="shared" si="0"/>
        <v>2023</v>
      </c>
      <c r="J10" s="13">
        <f t="shared" si="0"/>
        <v>2023</v>
      </c>
      <c r="K10" s="13">
        <f t="shared" si="0"/>
        <v>2023</v>
      </c>
      <c r="L10" s="13">
        <f t="shared" si="0"/>
        <v>2023</v>
      </c>
      <c r="M10" s="13">
        <f t="shared" si="0"/>
        <v>2023</v>
      </c>
      <c r="N10" s="13">
        <f t="shared" si="0"/>
        <v>2023</v>
      </c>
      <c r="O10" s="13">
        <f t="shared" si="0"/>
        <v>2023</v>
      </c>
      <c r="P10" s="13">
        <f t="shared" si="0"/>
        <v>2023</v>
      </c>
      <c r="Q10" s="13">
        <f t="shared" si="0"/>
        <v>2023</v>
      </c>
    </row>
    <row r="11" spans="3:17" ht="15">
      <c r="C11" s="13" t="s">
        <v>140</v>
      </c>
      <c r="D11" s="13" t="s">
        <v>141</v>
      </c>
      <c r="E11" s="13" t="s">
        <v>142</v>
      </c>
      <c r="F11" s="13" t="s">
        <v>143</v>
      </c>
      <c r="G11" s="13" t="s">
        <v>144</v>
      </c>
      <c r="H11" s="13" t="s">
        <v>81</v>
      </c>
      <c r="I11" s="13" t="s">
        <v>145</v>
      </c>
      <c r="J11" s="13" t="s">
        <v>146</v>
      </c>
      <c r="K11" s="13" t="s">
        <v>147</v>
      </c>
      <c r="L11" s="13" t="s">
        <v>148</v>
      </c>
      <c r="M11" s="13" t="s">
        <v>149</v>
      </c>
      <c r="N11" s="13" t="s">
        <v>150</v>
      </c>
      <c r="O11" s="13" t="s">
        <v>140</v>
      </c>
      <c r="P11" s="13" t="s">
        <v>151</v>
      </c>
      <c r="Q11" s="13" t="s">
        <v>152</v>
      </c>
    </row>
    <row r="12" spans="3:17" ht="15">
      <c r="C12" s="13" t="s">
        <v>92</v>
      </c>
      <c r="D12" s="13" t="s">
        <v>201</v>
      </c>
      <c r="E12" s="13" t="s">
        <v>201</v>
      </c>
      <c r="F12" s="13" t="s">
        <v>201</v>
      </c>
      <c r="G12" s="13" t="s">
        <v>201</v>
      </c>
      <c r="H12" s="13" t="s">
        <v>201</v>
      </c>
      <c r="I12" s="13" t="s">
        <v>201</v>
      </c>
      <c r="J12" s="13" t="s">
        <v>201</v>
      </c>
      <c r="K12" s="13" t="s">
        <v>201</v>
      </c>
      <c r="L12" s="13" t="s">
        <v>201</v>
      </c>
      <c r="M12" s="13" t="s">
        <v>201</v>
      </c>
      <c r="N12" s="13" t="s">
        <v>201</v>
      </c>
      <c r="O12" s="13" t="s">
        <v>201</v>
      </c>
      <c r="P12" s="51"/>
      <c r="Q12" s="51"/>
    </row>
    <row r="13" ht="15">
      <c r="C13" s="51"/>
    </row>
    <row r="14" ht="15">
      <c r="B14" s="99" t="s">
        <v>22</v>
      </c>
    </row>
    <row r="15" spans="2:16" ht="15">
      <c r="B15" s="11" t="s">
        <v>133</v>
      </c>
      <c r="C15" s="57">
        <v>0</v>
      </c>
      <c r="D15" s="57">
        <v>739397.0624285896</v>
      </c>
      <c r="E15" s="57">
        <v>1802860.7569600036</v>
      </c>
      <c r="F15" s="57">
        <v>1927513.3481448865</v>
      </c>
      <c r="G15" s="57">
        <v>1509520.3992005445</v>
      </c>
      <c r="H15" s="57">
        <v>1360997.5949975976</v>
      </c>
      <c r="I15" s="57">
        <v>1533970.6048641603</v>
      </c>
      <c r="J15" s="57">
        <v>1727675.1107367566</v>
      </c>
      <c r="K15" s="57">
        <v>2516774.363494861</v>
      </c>
      <c r="L15" s="57">
        <v>1855226.5828115884</v>
      </c>
      <c r="M15" s="57">
        <v>2972482.2377306903</v>
      </c>
      <c r="N15" s="57">
        <v>4602806.782664564</v>
      </c>
      <c r="O15" s="57">
        <v>5413523.15596576</v>
      </c>
      <c r="P15" s="58">
        <f>SUM(C15:O15)</f>
        <v>27962748.000000004</v>
      </c>
    </row>
    <row r="16" spans="2:16" ht="15">
      <c r="B16" s="11" t="s">
        <v>134</v>
      </c>
      <c r="C16" s="57">
        <v>0</v>
      </c>
      <c r="D16" s="57">
        <v>34988.13055959344</v>
      </c>
      <c r="E16" s="57">
        <v>85311.03347651743</v>
      </c>
      <c r="F16" s="100">
        <v>91209.5707531509</v>
      </c>
      <c r="G16" s="57">
        <v>71430.2226683503</v>
      </c>
      <c r="H16" s="57">
        <v>64402.15138083215</v>
      </c>
      <c r="I16" s="57">
        <v>72587.20182263268</v>
      </c>
      <c r="J16" s="57">
        <v>81753.26277395879</v>
      </c>
      <c r="K16" s="57">
        <v>119093.29167439094</v>
      </c>
      <c r="L16" s="57">
        <v>87788.97455155807</v>
      </c>
      <c r="M16" s="57">
        <v>140657.3029627613</v>
      </c>
      <c r="N16" s="57">
        <v>217803.9551895075</v>
      </c>
      <c r="O16" s="57">
        <v>256166.90218674668</v>
      </c>
      <c r="P16" s="58">
        <f>SUM(C16:O16)</f>
        <v>1323192</v>
      </c>
    </row>
    <row r="17" spans="2:16" ht="15">
      <c r="B17" s="11" t="s">
        <v>135</v>
      </c>
      <c r="C17" s="57">
        <v>0</v>
      </c>
      <c r="D17" s="57">
        <v>322196.8063536372</v>
      </c>
      <c r="E17" s="57">
        <v>785607.6358822627</v>
      </c>
      <c r="F17" s="57">
        <v>839925.7672683388</v>
      </c>
      <c r="G17" s="57">
        <v>657782.7752663753</v>
      </c>
      <c r="H17" s="57">
        <v>593063.0521074836</v>
      </c>
      <c r="I17" s="57">
        <v>668437.1023929013</v>
      </c>
      <c r="J17" s="57">
        <v>752845.0292562671</v>
      </c>
      <c r="K17" s="57">
        <v>1096699.8699823318</v>
      </c>
      <c r="L17" s="57">
        <v>808426.3657755544</v>
      </c>
      <c r="M17" s="57">
        <v>1295277.3720712985</v>
      </c>
      <c r="N17" s="57">
        <v>2005701.2950069848</v>
      </c>
      <c r="O17" s="57">
        <v>2358975.928636566</v>
      </c>
      <c r="P17" s="58">
        <f>SUM(C17:O17)</f>
        <v>12184939.000000002</v>
      </c>
    </row>
    <row r="18" spans="2:16" ht="15">
      <c r="B18" s="11" t="s">
        <v>136</v>
      </c>
      <c r="C18" s="57">
        <v>0</v>
      </c>
      <c r="D18" s="57">
        <v>2083.488079819562</v>
      </c>
      <c r="E18" s="57">
        <v>5080.137706204931</v>
      </c>
      <c r="F18" s="57">
        <v>5431.386312737511</v>
      </c>
      <c r="G18" s="57">
        <v>4253.557280372004</v>
      </c>
      <c r="H18" s="57">
        <v>3835.0467021424615</v>
      </c>
      <c r="I18" s="57">
        <v>4322.453567141064</v>
      </c>
      <c r="J18" s="57">
        <v>4868.278063207235</v>
      </c>
      <c r="K18" s="57">
        <v>7091.817985743535</v>
      </c>
      <c r="L18" s="57">
        <v>5227.6951952668</v>
      </c>
      <c r="M18" s="57">
        <v>8375.920901613534</v>
      </c>
      <c r="N18" s="57">
        <v>12969.882560657905</v>
      </c>
      <c r="O18" s="57">
        <v>15254.33564509347</v>
      </c>
      <c r="P18" s="58">
        <f>SUM(C18:O18)</f>
        <v>78794.00000000001</v>
      </c>
    </row>
    <row r="19" spans="2:16" ht="15">
      <c r="B19" s="11" t="s">
        <v>137</v>
      </c>
      <c r="C19" s="57">
        <v>0</v>
      </c>
      <c r="D19" s="57">
        <v>2455.1863301688722</v>
      </c>
      <c r="E19" s="57">
        <v>5986.443969830622</v>
      </c>
      <c r="F19" s="57">
        <v>6400.355998223095</v>
      </c>
      <c r="G19" s="57">
        <v>5012.400018273232</v>
      </c>
      <c r="H19" s="57">
        <v>4519.226354045101</v>
      </c>
      <c r="I19" s="57">
        <v>5093.587534109386</v>
      </c>
      <c r="J19" s="57">
        <v>5736.788162129795</v>
      </c>
      <c r="K19" s="57">
        <v>8357.011851083496</v>
      </c>
      <c r="L19" s="57">
        <v>6160.325996595141</v>
      </c>
      <c r="M19" s="57">
        <v>9870.201178207963</v>
      </c>
      <c r="N19" s="57">
        <v>15283.734366064004</v>
      </c>
      <c r="O19" s="57">
        <v>17975.738241269308</v>
      </c>
      <c r="P19" s="58">
        <f>SUM(C19:O19)</f>
        <v>92851.00000000003</v>
      </c>
    </row>
    <row r="20" spans="2:16" ht="15">
      <c r="B20" s="11" t="s">
        <v>153</v>
      </c>
      <c r="C20" s="62">
        <f>SUM(C15:C19)</f>
        <v>0</v>
      </c>
      <c r="D20" s="62">
        <f aca="true" t="shared" si="1" ref="D20:O20">SUM(D15:D19)</f>
        <v>1101120.6737518087</v>
      </c>
      <c r="E20" s="62">
        <f t="shared" si="1"/>
        <v>2684846.007994819</v>
      </c>
      <c r="F20" s="62">
        <f t="shared" si="1"/>
        <v>2870480.428477337</v>
      </c>
      <c r="G20" s="62">
        <f t="shared" si="1"/>
        <v>2247999.354433915</v>
      </c>
      <c r="H20" s="62">
        <f t="shared" si="1"/>
        <v>2026817.071542101</v>
      </c>
      <c r="I20" s="62">
        <f t="shared" si="1"/>
        <v>2284410.950180945</v>
      </c>
      <c r="J20" s="62">
        <f t="shared" si="1"/>
        <v>2572878.46899232</v>
      </c>
      <c r="K20" s="62">
        <f t="shared" si="1"/>
        <v>3748016.3549884106</v>
      </c>
      <c r="L20" s="62">
        <f t="shared" si="1"/>
        <v>2762829.944330563</v>
      </c>
      <c r="M20" s="62">
        <f t="shared" si="1"/>
        <v>4426663.034844572</v>
      </c>
      <c r="N20" s="62">
        <f>SUM(N15:N19)</f>
        <v>6854565.649787779</v>
      </c>
      <c r="O20" s="62">
        <f t="shared" si="1"/>
        <v>8061896.060675436</v>
      </c>
      <c r="P20" s="62"/>
    </row>
    <row r="21" spans="2:17" ht="15">
      <c r="B21" s="11" t="s">
        <v>154</v>
      </c>
      <c r="C21" s="56">
        <f>+C20</f>
        <v>0</v>
      </c>
      <c r="D21" s="56">
        <f aca="true" t="shared" si="2" ref="D21:O21">+D20+C21</f>
        <v>1101120.6737518087</v>
      </c>
      <c r="E21" s="56">
        <f t="shared" si="2"/>
        <v>3785966.6817466277</v>
      </c>
      <c r="F21" s="56">
        <f t="shared" si="2"/>
        <v>6656447.110223965</v>
      </c>
      <c r="G21" s="56">
        <f t="shared" si="2"/>
        <v>8904446.46465788</v>
      </c>
      <c r="H21" s="56">
        <f t="shared" si="2"/>
        <v>10931263.536199981</v>
      </c>
      <c r="I21" s="56">
        <f t="shared" si="2"/>
        <v>13215674.486380927</v>
      </c>
      <c r="J21" s="56">
        <f t="shared" si="2"/>
        <v>15788552.955373246</v>
      </c>
      <c r="K21" s="56">
        <f t="shared" si="2"/>
        <v>19536569.310361657</v>
      </c>
      <c r="L21" s="56">
        <f t="shared" si="2"/>
        <v>22299399.25469222</v>
      </c>
      <c r="M21" s="56">
        <f t="shared" si="2"/>
        <v>26726062.28953679</v>
      </c>
      <c r="N21" s="56">
        <f t="shared" si="2"/>
        <v>33580627.939324565</v>
      </c>
      <c r="O21" s="56">
        <f t="shared" si="2"/>
        <v>41642524</v>
      </c>
      <c r="P21" s="56">
        <f>SUM(P15:P19)</f>
        <v>41642524.00000001</v>
      </c>
      <c r="Q21" s="58">
        <f>AVERAGE(C21:O21)</f>
        <v>15705281.130942283</v>
      </c>
    </row>
    <row r="23" ht="15">
      <c r="B23" s="99" t="s">
        <v>62</v>
      </c>
    </row>
    <row r="24" spans="2:16" ht="15">
      <c r="B24" s="11" t="s">
        <v>133</v>
      </c>
      <c r="C24" s="57">
        <v>0</v>
      </c>
      <c r="D24" s="57">
        <v>-68407.93187210248</v>
      </c>
      <c r="E24" s="57">
        <v>-94061.21492392741</v>
      </c>
      <c r="F24" s="57">
        <v>-171020.2411466382</v>
      </c>
      <c r="G24" s="57">
        <v>-188122.42984785483</v>
      </c>
      <c r="H24" s="57">
        <v>-205224.20708268945</v>
      </c>
      <c r="I24" s="57">
        <v>-213775.30143329775</v>
      </c>
      <c r="J24" s="57">
        <v>-171020.2411466382</v>
      </c>
      <c r="K24" s="57">
        <v>-158193.59962072573</v>
      </c>
      <c r="L24" s="57">
        <v>-183846.88267255065</v>
      </c>
      <c r="M24" s="57">
        <v>-153918.05244542158</v>
      </c>
      <c r="N24" s="57">
        <v>-68407.93187210248</v>
      </c>
      <c r="O24" s="57">
        <v>-34203.96593605124</v>
      </c>
      <c r="P24" s="58">
        <f>SUM(C24:O24)</f>
        <v>-1710202</v>
      </c>
    </row>
    <row r="25" spans="2:16" ht="15">
      <c r="B25" s="11" t="s">
        <v>134</v>
      </c>
      <c r="C25" s="57">
        <v>0</v>
      </c>
      <c r="D25" s="57">
        <v>-4549.750148146491</v>
      </c>
      <c r="E25" s="57">
        <v>-6255.926978396235</v>
      </c>
      <c r="F25" s="57">
        <v>-11374.402736625974</v>
      </c>
      <c r="G25" s="57">
        <v>-12511.85395679247</v>
      </c>
      <c r="H25" s="57">
        <v>-13649.277810699221</v>
      </c>
      <c r="I25" s="57">
        <v>-14218.003420782468</v>
      </c>
      <c r="J25" s="57">
        <v>-11374.402736625974</v>
      </c>
      <c r="K25" s="57">
        <v>-10521.314321501102</v>
      </c>
      <c r="L25" s="57">
        <v>-12227.491151750846</v>
      </c>
      <c r="M25" s="57">
        <v>-10236.951516459478</v>
      </c>
      <c r="N25" s="57">
        <v>-4549.750148146491</v>
      </c>
      <c r="O25" s="57">
        <v>-2274.8750740732453</v>
      </c>
      <c r="P25" s="58">
        <f>SUM(C25:O25)</f>
        <v>-113743.99999999999</v>
      </c>
    </row>
    <row r="26" spans="2:16" ht="15">
      <c r="B26" s="11" t="s">
        <v>226</v>
      </c>
      <c r="C26" s="57"/>
      <c r="D26" s="57">
        <v>-110019.48176805708</v>
      </c>
      <c r="E26" s="57">
        <v>-151277.28374762624</v>
      </c>
      <c r="F26" s="57">
        <v>-275049.3661755397</v>
      </c>
      <c r="G26" s="57">
        <v>-302554.5674952525</v>
      </c>
      <c r="H26" s="57">
        <v>-330059.1070595682</v>
      </c>
      <c r="I26" s="57">
        <v>-343811.7077194246</v>
      </c>
      <c r="J26" s="57">
        <v>-275049.3661755397</v>
      </c>
      <c r="K26" s="57">
        <v>-254420.4651857551</v>
      </c>
      <c r="L26" s="57">
        <v>-295678.26716532424</v>
      </c>
      <c r="M26" s="57">
        <v>-247544.16485582694</v>
      </c>
      <c r="N26" s="57">
        <v>-110019.48176805708</v>
      </c>
      <c r="O26" s="57">
        <v>-55009.74088402854</v>
      </c>
      <c r="P26" s="58">
        <f>SUM(C26:O26)</f>
        <v>-2750493.0000000005</v>
      </c>
    </row>
    <row r="27" spans="2:16" ht="15">
      <c r="B27" s="11" t="s">
        <v>136</v>
      </c>
      <c r="C27" s="57">
        <v>0</v>
      </c>
      <c r="D27" s="57">
        <v>-1023.5177837140632</v>
      </c>
      <c r="E27" s="57">
        <v>-1407.3415698692052</v>
      </c>
      <c r="F27" s="57">
        <v>-2558.8006156349825</v>
      </c>
      <c r="G27" s="57">
        <v>-2814.6831397384103</v>
      </c>
      <c r="H27" s="57">
        <v>-3070.5595074920143</v>
      </c>
      <c r="I27" s="57">
        <v>-3198.500769543728</v>
      </c>
      <c r="J27" s="57">
        <v>-2558.8006156349825</v>
      </c>
      <c r="K27" s="57">
        <v>-2366.8887225574113</v>
      </c>
      <c r="L27" s="57">
        <v>-2750.7125087125532</v>
      </c>
      <c r="M27" s="57">
        <v>-2302.9180915315546</v>
      </c>
      <c r="N27" s="57">
        <v>-1023.5177837140632</v>
      </c>
      <c r="O27" s="57">
        <v>-511.7588918570316</v>
      </c>
      <c r="P27" s="58">
        <f>SUM(C27:O27)</f>
        <v>-25588</v>
      </c>
    </row>
    <row r="28" spans="2:16" ht="15">
      <c r="B28" s="11" t="s">
        <v>137</v>
      </c>
      <c r="C28" s="57">
        <v>0</v>
      </c>
      <c r="D28" s="57">
        <v>-113.55975410208791</v>
      </c>
      <c r="E28" s="57">
        <v>-156.14517417768772</v>
      </c>
      <c r="F28" s="57">
        <v>-283.90006830497555</v>
      </c>
      <c r="G28" s="57">
        <v>-312.29034835537544</v>
      </c>
      <c r="H28" s="57">
        <v>-340.6799453560195</v>
      </c>
      <c r="I28" s="57">
        <v>-354.8750853812195</v>
      </c>
      <c r="J28" s="57">
        <v>-283.90006830497555</v>
      </c>
      <c r="K28" s="57">
        <v>-262.60735826717564</v>
      </c>
      <c r="L28" s="57">
        <v>-305.19277834277545</v>
      </c>
      <c r="M28" s="57">
        <v>-255.5097882545757</v>
      </c>
      <c r="N28" s="57">
        <v>-113.55975410208791</v>
      </c>
      <c r="O28" s="57">
        <v>-56.779877051043954</v>
      </c>
      <c r="P28" s="58">
        <f>SUM(C28:O28)</f>
        <v>-2839</v>
      </c>
    </row>
    <row r="29" spans="2:16" ht="15">
      <c r="B29" s="11" t="s">
        <v>155</v>
      </c>
      <c r="C29" s="62">
        <f>SUM(C24:C28)</f>
        <v>0</v>
      </c>
      <c r="D29" s="62">
        <f aca="true" t="shared" si="3" ref="D29:O29">SUM(D24:D28)</f>
        <v>-184114.2413261222</v>
      </c>
      <c r="E29" s="62">
        <f t="shared" si="3"/>
        <v>-253157.91239399675</v>
      </c>
      <c r="F29" s="62">
        <f t="shared" si="3"/>
        <v>-460286.7107427438</v>
      </c>
      <c r="G29" s="62">
        <f t="shared" si="3"/>
        <v>-506315.8247879935</v>
      </c>
      <c r="H29" s="62">
        <f t="shared" si="3"/>
        <v>-552343.8314058048</v>
      </c>
      <c r="I29" s="62">
        <f t="shared" si="3"/>
        <v>-575358.3884284297</v>
      </c>
      <c r="J29" s="62">
        <f t="shared" si="3"/>
        <v>-460286.7107427438</v>
      </c>
      <c r="K29" s="62">
        <f t="shared" si="3"/>
        <v>-425764.87520880654</v>
      </c>
      <c r="L29" s="62">
        <f t="shared" si="3"/>
        <v>-494808.546276681</v>
      </c>
      <c r="M29" s="62">
        <f t="shared" si="3"/>
        <v>-414257.5966974941</v>
      </c>
      <c r="N29" s="62">
        <f t="shared" si="3"/>
        <v>-184114.2413261222</v>
      </c>
      <c r="O29" s="62">
        <f t="shared" si="3"/>
        <v>-92057.1206630611</v>
      </c>
      <c r="P29" s="62"/>
    </row>
    <row r="30" spans="2:17" ht="15">
      <c r="B30" s="11" t="s">
        <v>156</v>
      </c>
      <c r="C30" s="56">
        <f>+C29</f>
        <v>0</v>
      </c>
      <c r="D30" s="56">
        <f aca="true" t="shared" si="4" ref="D30:O30">+D29+C30</f>
        <v>-184114.2413261222</v>
      </c>
      <c r="E30" s="56">
        <f t="shared" si="4"/>
        <v>-437272.1537201189</v>
      </c>
      <c r="F30" s="56">
        <f t="shared" si="4"/>
        <v>-897558.8644628627</v>
      </c>
      <c r="G30" s="56">
        <f t="shared" si="4"/>
        <v>-1403874.6892508562</v>
      </c>
      <c r="H30" s="56">
        <f t="shared" si="4"/>
        <v>-1956218.5206566611</v>
      </c>
      <c r="I30" s="56">
        <f t="shared" si="4"/>
        <v>-2531576.9090850907</v>
      </c>
      <c r="J30" s="56">
        <f t="shared" si="4"/>
        <v>-2991863.6198278344</v>
      </c>
      <c r="K30" s="56">
        <f t="shared" si="4"/>
        <v>-3417628.495036641</v>
      </c>
      <c r="L30" s="56">
        <f t="shared" si="4"/>
        <v>-3912437.0413133223</v>
      </c>
      <c r="M30" s="56">
        <f t="shared" si="4"/>
        <v>-4326694.638010817</v>
      </c>
      <c r="N30" s="56">
        <f t="shared" si="4"/>
        <v>-4510808.879336939</v>
      </c>
      <c r="O30" s="56">
        <f t="shared" si="4"/>
        <v>-4602866</v>
      </c>
      <c r="P30" s="56">
        <f>SUM(P24:P28)</f>
        <v>-4602866</v>
      </c>
      <c r="Q30" s="58">
        <f>AVERAGE(C30:O30)</f>
        <v>-2397916.4655405586</v>
      </c>
    </row>
    <row r="32" ht="15">
      <c r="B32" s="99" t="s">
        <v>139</v>
      </c>
    </row>
    <row r="33" spans="2:16" ht="15">
      <c r="B33" s="11" t="s">
        <v>133</v>
      </c>
      <c r="C33" s="57">
        <v>0</v>
      </c>
      <c r="D33" s="101">
        <f aca="true" t="shared" si="5" ref="D33:O33">+D15+D24</f>
        <v>670989.1305564871</v>
      </c>
      <c r="E33" s="101">
        <f t="shared" si="5"/>
        <v>1708799.5420360763</v>
      </c>
      <c r="F33" s="101">
        <f t="shared" si="5"/>
        <v>1756493.1069982483</v>
      </c>
      <c r="G33" s="101">
        <f t="shared" si="5"/>
        <v>1321397.9693526896</v>
      </c>
      <c r="H33" s="101">
        <f t="shared" si="5"/>
        <v>1155773.3879149081</v>
      </c>
      <c r="I33" s="101">
        <f t="shared" si="5"/>
        <v>1320195.3034308625</v>
      </c>
      <c r="J33" s="101">
        <f t="shared" si="5"/>
        <v>1556654.8695901183</v>
      </c>
      <c r="K33" s="101">
        <f t="shared" si="5"/>
        <v>2358580.763874135</v>
      </c>
      <c r="L33" s="101">
        <f t="shared" si="5"/>
        <v>1671379.7001390378</v>
      </c>
      <c r="M33" s="101">
        <f t="shared" si="5"/>
        <v>2818564.185285269</v>
      </c>
      <c r="N33" s="101">
        <f t="shared" si="5"/>
        <v>4534398.850792462</v>
      </c>
      <c r="O33" s="101">
        <f t="shared" si="5"/>
        <v>5379319.190029709</v>
      </c>
      <c r="P33" s="58">
        <f>SUM(C33:O33)</f>
        <v>26252546</v>
      </c>
    </row>
    <row r="34" spans="2:16" ht="15">
      <c r="B34" s="11" t="s">
        <v>134</v>
      </c>
      <c r="C34" s="57">
        <v>0</v>
      </c>
      <c r="D34" s="101">
        <f aca="true" t="shared" si="6" ref="D34:O34">+D16+D25</f>
        <v>30438.38041144695</v>
      </c>
      <c r="E34" s="101">
        <f t="shared" si="6"/>
        <v>79055.1064981212</v>
      </c>
      <c r="F34" s="101">
        <f t="shared" si="6"/>
        <v>79835.16801652493</v>
      </c>
      <c r="G34" s="101">
        <f t="shared" si="6"/>
        <v>58918.36871155782</v>
      </c>
      <c r="H34" s="101">
        <f t="shared" si="6"/>
        <v>50752.87357013293</v>
      </c>
      <c r="I34" s="101">
        <f t="shared" si="6"/>
        <v>58369.19840185021</v>
      </c>
      <c r="J34" s="101">
        <f t="shared" si="6"/>
        <v>70378.86003733282</v>
      </c>
      <c r="K34" s="101">
        <f t="shared" si="6"/>
        <v>108571.97735288984</v>
      </c>
      <c r="L34" s="101">
        <f t="shared" si="6"/>
        <v>75561.48339980723</v>
      </c>
      <c r="M34" s="101">
        <f t="shared" si="6"/>
        <v>130420.35144630184</v>
      </c>
      <c r="N34" s="101">
        <f t="shared" si="6"/>
        <v>213254.205041361</v>
      </c>
      <c r="O34" s="101">
        <f t="shared" si="6"/>
        <v>253892.02711267344</v>
      </c>
      <c r="P34" s="58">
        <f>SUM(C34:O34)</f>
        <v>1209448.0000000002</v>
      </c>
    </row>
    <row r="35" spans="2:16" ht="15">
      <c r="B35" s="11" t="s">
        <v>135</v>
      </c>
      <c r="C35" s="57">
        <v>0</v>
      </c>
      <c r="D35" s="101">
        <f aca="true" t="shared" si="7" ref="D35:O35">+D17+D26</f>
        <v>212177.3245855801</v>
      </c>
      <c r="E35" s="101">
        <f t="shared" si="7"/>
        <v>634330.3521346365</v>
      </c>
      <c r="F35" s="101">
        <f t="shared" si="7"/>
        <v>564876.4010927991</v>
      </c>
      <c r="G35" s="101">
        <f t="shared" si="7"/>
        <v>355228.2077711228</v>
      </c>
      <c r="H35" s="101">
        <f t="shared" si="7"/>
        <v>263003.9450479154</v>
      </c>
      <c r="I35" s="101">
        <f t="shared" si="7"/>
        <v>324625.3946734767</v>
      </c>
      <c r="J35" s="101">
        <f t="shared" si="7"/>
        <v>477795.66308072745</v>
      </c>
      <c r="K35" s="101">
        <f t="shared" si="7"/>
        <v>842279.4047965766</v>
      </c>
      <c r="L35" s="101">
        <f t="shared" si="7"/>
        <v>512748.0986102302</v>
      </c>
      <c r="M35" s="101">
        <f t="shared" si="7"/>
        <v>1047733.2072154717</v>
      </c>
      <c r="N35" s="101">
        <f t="shared" si="7"/>
        <v>1895681.8132389279</v>
      </c>
      <c r="O35" s="101">
        <f t="shared" si="7"/>
        <v>2303966.1877525374</v>
      </c>
      <c r="P35" s="58">
        <f>SUM(C35:O35)</f>
        <v>9434446.000000002</v>
      </c>
    </row>
    <row r="36" spans="2:16" ht="15">
      <c r="B36" s="11" t="s">
        <v>136</v>
      </c>
      <c r="C36" s="57">
        <v>0</v>
      </c>
      <c r="D36" s="101">
        <f aca="true" t="shared" si="8" ref="D36:O36">+D18+D27</f>
        <v>1059.9702961054986</v>
      </c>
      <c r="E36" s="101">
        <f t="shared" si="8"/>
        <v>3672.7961363357263</v>
      </c>
      <c r="F36" s="101">
        <f t="shared" si="8"/>
        <v>2872.5856971025282</v>
      </c>
      <c r="G36" s="101">
        <f t="shared" si="8"/>
        <v>1438.874140633594</v>
      </c>
      <c r="H36" s="101">
        <f t="shared" si="8"/>
        <v>764.4871946504472</v>
      </c>
      <c r="I36" s="101">
        <f t="shared" si="8"/>
        <v>1123.952797597336</v>
      </c>
      <c r="J36" s="101">
        <f t="shared" si="8"/>
        <v>2309.477447572253</v>
      </c>
      <c r="K36" s="101">
        <f t="shared" si="8"/>
        <v>4724.929263186124</v>
      </c>
      <c r="L36" s="101">
        <f t="shared" si="8"/>
        <v>2476.9826865542464</v>
      </c>
      <c r="M36" s="101">
        <f t="shared" si="8"/>
        <v>6073.002810081979</v>
      </c>
      <c r="N36" s="101">
        <f t="shared" si="8"/>
        <v>11946.364776943841</v>
      </c>
      <c r="O36" s="101">
        <f t="shared" si="8"/>
        <v>14742.576753236439</v>
      </c>
      <c r="P36" s="58">
        <f>SUM(C36:O36)</f>
        <v>53206.000000000015</v>
      </c>
    </row>
    <row r="37" spans="2:16" ht="15">
      <c r="B37" s="11" t="s">
        <v>137</v>
      </c>
      <c r="C37" s="57">
        <v>0</v>
      </c>
      <c r="D37" s="101">
        <f aca="true" t="shared" si="9" ref="D37:O37">+D19+D28</f>
        <v>2341.6265760667843</v>
      </c>
      <c r="E37" s="101">
        <f t="shared" si="9"/>
        <v>5830.298795652935</v>
      </c>
      <c r="F37" s="101">
        <f t="shared" si="9"/>
        <v>6116.45592991812</v>
      </c>
      <c r="G37" s="101">
        <f t="shared" si="9"/>
        <v>4700.109669917856</v>
      </c>
      <c r="H37" s="101">
        <f t="shared" si="9"/>
        <v>4178.5464086890815</v>
      </c>
      <c r="I37" s="101">
        <f t="shared" si="9"/>
        <v>4738.712448728166</v>
      </c>
      <c r="J37" s="101">
        <f t="shared" si="9"/>
        <v>5452.888093824819</v>
      </c>
      <c r="K37" s="101">
        <f t="shared" si="9"/>
        <v>8094.40449281632</v>
      </c>
      <c r="L37" s="101">
        <f t="shared" si="9"/>
        <v>5855.133218252366</v>
      </c>
      <c r="M37" s="101">
        <f t="shared" si="9"/>
        <v>9614.691389953387</v>
      </c>
      <c r="N37" s="101">
        <f t="shared" si="9"/>
        <v>15170.174611961917</v>
      </c>
      <c r="O37" s="101">
        <f t="shared" si="9"/>
        <v>17918.958364218262</v>
      </c>
      <c r="P37" s="58">
        <f>SUM(C37:O37)</f>
        <v>90012</v>
      </c>
    </row>
    <row r="38" spans="2:16" ht="15">
      <c r="B38" s="11" t="s">
        <v>157</v>
      </c>
      <c r="C38" s="62">
        <f>SUM(C33:C37)</f>
        <v>0</v>
      </c>
      <c r="D38" s="62">
        <f aca="true" t="shared" si="10" ref="D38:O38">SUM(D33:D37)</f>
        <v>917006.4324256864</v>
      </c>
      <c r="E38" s="62">
        <f t="shared" si="10"/>
        <v>2431688.095600823</v>
      </c>
      <c r="F38" s="62">
        <f t="shared" si="10"/>
        <v>2410193.717734593</v>
      </c>
      <c r="G38" s="62">
        <f t="shared" si="10"/>
        <v>1741683.5296459217</v>
      </c>
      <c r="H38" s="62">
        <f t="shared" si="10"/>
        <v>1474473.240136296</v>
      </c>
      <c r="I38" s="62">
        <f t="shared" si="10"/>
        <v>1709052.561752515</v>
      </c>
      <c r="J38" s="62">
        <f t="shared" si="10"/>
        <v>2112591.7582495757</v>
      </c>
      <c r="K38" s="62">
        <f t="shared" si="10"/>
        <v>3322251.479779604</v>
      </c>
      <c r="L38" s="62">
        <f t="shared" si="10"/>
        <v>2268021.3980538817</v>
      </c>
      <c r="M38" s="62">
        <f t="shared" si="10"/>
        <v>4012405.4381470773</v>
      </c>
      <c r="N38" s="62">
        <f t="shared" si="10"/>
        <v>6670451.408461656</v>
      </c>
      <c r="O38" s="62">
        <f t="shared" si="10"/>
        <v>7969838.940012374</v>
      </c>
      <c r="P38" s="62"/>
    </row>
    <row r="39" spans="2:17" ht="15">
      <c r="B39" s="11" t="s">
        <v>220</v>
      </c>
      <c r="C39" s="56">
        <f>+C38</f>
        <v>0</v>
      </c>
      <c r="D39" s="56">
        <f aca="true" t="shared" si="11" ref="D39:O39">+D38+C39</f>
        <v>917006.4324256864</v>
      </c>
      <c r="E39" s="56">
        <f t="shared" si="11"/>
        <v>3348694.528026509</v>
      </c>
      <c r="F39" s="56">
        <f t="shared" si="11"/>
        <v>5758888.245761102</v>
      </c>
      <c r="G39" s="56">
        <f t="shared" si="11"/>
        <v>7500571.775407024</v>
      </c>
      <c r="H39" s="56">
        <f t="shared" si="11"/>
        <v>8975045.01554332</v>
      </c>
      <c r="I39" s="56">
        <f t="shared" si="11"/>
        <v>10684097.577295834</v>
      </c>
      <c r="J39" s="56">
        <f t="shared" si="11"/>
        <v>12796689.33554541</v>
      </c>
      <c r="K39" s="56">
        <f t="shared" si="11"/>
        <v>16118940.815325014</v>
      </c>
      <c r="L39" s="56">
        <f t="shared" si="11"/>
        <v>18386962.213378895</v>
      </c>
      <c r="M39" s="56">
        <f t="shared" si="11"/>
        <v>22399367.651525974</v>
      </c>
      <c r="N39" s="56">
        <f t="shared" si="11"/>
        <v>29069819.05998763</v>
      </c>
      <c r="O39" s="56">
        <f t="shared" si="11"/>
        <v>37039658.00000001</v>
      </c>
      <c r="P39" s="56">
        <f>SUM(P33:P37)</f>
        <v>37039658</v>
      </c>
      <c r="Q39" s="58">
        <f>AVERAGE(C39:O39)</f>
        <v>13307364.665401723</v>
      </c>
    </row>
    <row r="74" ht="15">
      <c r="Q74" s="12" t="str">
        <f>+Q1</f>
        <v>Case No. 2023-0335  PSC_Staff Set 2 No 1</v>
      </c>
    </row>
    <row r="75" spans="14:17" ht="15">
      <c r="N75" s="12"/>
      <c r="Q75" s="12" t="s">
        <v>195</v>
      </c>
    </row>
    <row r="76" spans="14:17" ht="15">
      <c r="N76" s="12"/>
      <c r="Q76" s="12" t="s">
        <v>204</v>
      </c>
    </row>
    <row r="77" spans="1:17" ht="15">
      <c r="A77" s="166" t="s">
        <v>12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</row>
    <row r="78" spans="1:17" ht="15">
      <c r="A78" s="166" t="s">
        <v>109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</row>
    <row r="79" spans="1:17" ht="15">
      <c r="A79" s="166" t="s">
        <v>263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</row>
    <row r="83" spans="3:17" ht="15">
      <c r="C83" s="13">
        <f>+Q10</f>
        <v>2023</v>
      </c>
      <c r="D83" s="13">
        <f>+C83+1</f>
        <v>2024</v>
      </c>
      <c r="E83" s="13">
        <f>+D83</f>
        <v>2024</v>
      </c>
      <c r="F83" s="13">
        <f aca="true" t="shared" si="12" ref="F83:Q83">+E83</f>
        <v>2024</v>
      </c>
      <c r="G83" s="13">
        <f t="shared" si="12"/>
        <v>2024</v>
      </c>
      <c r="H83" s="13">
        <f t="shared" si="12"/>
        <v>2024</v>
      </c>
      <c r="I83" s="13">
        <f t="shared" si="12"/>
        <v>2024</v>
      </c>
      <c r="J83" s="13">
        <f t="shared" si="12"/>
        <v>2024</v>
      </c>
      <c r="K83" s="13">
        <f t="shared" si="12"/>
        <v>2024</v>
      </c>
      <c r="L83" s="13">
        <f t="shared" si="12"/>
        <v>2024</v>
      </c>
      <c r="M83" s="13">
        <f t="shared" si="12"/>
        <v>2024</v>
      </c>
      <c r="N83" s="13">
        <f t="shared" si="12"/>
        <v>2024</v>
      </c>
      <c r="O83" s="13">
        <f t="shared" si="12"/>
        <v>2024</v>
      </c>
      <c r="P83" s="13">
        <f t="shared" si="12"/>
        <v>2024</v>
      </c>
      <c r="Q83" s="13">
        <f t="shared" si="12"/>
        <v>2024</v>
      </c>
    </row>
    <row r="84" spans="3:17" ht="15">
      <c r="C84" s="13" t="s">
        <v>140</v>
      </c>
      <c r="D84" s="13" t="s">
        <v>141</v>
      </c>
      <c r="E84" s="13" t="s">
        <v>142</v>
      </c>
      <c r="F84" s="13" t="s">
        <v>143</v>
      </c>
      <c r="G84" s="13" t="s">
        <v>144</v>
      </c>
      <c r="H84" s="13" t="s">
        <v>81</v>
      </c>
      <c r="I84" s="13" t="s">
        <v>145</v>
      </c>
      <c r="J84" s="13" t="s">
        <v>146</v>
      </c>
      <c r="K84" s="13" t="s">
        <v>147</v>
      </c>
      <c r="L84" s="13" t="s">
        <v>148</v>
      </c>
      <c r="M84" s="13" t="s">
        <v>149</v>
      </c>
      <c r="N84" s="13" t="s">
        <v>150</v>
      </c>
      <c r="O84" s="13" t="s">
        <v>140</v>
      </c>
      <c r="P84" s="13" t="s">
        <v>151</v>
      </c>
      <c r="Q84" s="13" t="s">
        <v>152</v>
      </c>
    </row>
    <row r="85" spans="3:17" ht="15">
      <c r="C85" s="13" t="s">
        <v>92</v>
      </c>
      <c r="D85" s="13" t="s">
        <v>201</v>
      </c>
      <c r="E85" s="13" t="s">
        <v>201</v>
      </c>
      <c r="F85" s="13" t="s">
        <v>201</v>
      </c>
      <c r="G85" s="13" t="s">
        <v>201</v>
      </c>
      <c r="H85" s="13" t="s">
        <v>201</v>
      </c>
      <c r="I85" s="13" t="s">
        <v>201</v>
      </c>
      <c r="J85" s="13" t="s">
        <v>201</v>
      </c>
      <c r="K85" s="13" t="s">
        <v>201</v>
      </c>
      <c r="L85" s="13" t="s">
        <v>201</v>
      </c>
      <c r="M85" s="13" t="s">
        <v>201</v>
      </c>
      <c r="N85" s="13" t="s">
        <v>201</v>
      </c>
      <c r="O85" s="13" t="s">
        <v>201</v>
      </c>
      <c r="P85" s="51"/>
      <c r="Q85" s="51"/>
    </row>
    <row r="87" ht="15">
      <c r="B87" s="99" t="s">
        <v>22</v>
      </c>
    </row>
    <row r="88" spans="2:19" ht="15">
      <c r="B88" s="11" t="s">
        <v>133</v>
      </c>
      <c r="C88" s="57">
        <f>+P15</f>
        <v>27962748.000000004</v>
      </c>
      <c r="D88" s="57">
        <v>1294211.6466015163</v>
      </c>
      <c r="E88" s="57">
        <v>580082.2960849338</v>
      </c>
      <c r="F88" s="57">
        <v>1679819.5614238442</v>
      </c>
      <c r="G88" s="57">
        <v>1085099.0430508142</v>
      </c>
      <c r="H88" s="57">
        <v>1715794.2553764428</v>
      </c>
      <c r="I88" s="57">
        <v>1857378.4875855374</v>
      </c>
      <c r="J88" s="57">
        <v>1190107.9726593986</v>
      </c>
      <c r="K88" s="57">
        <v>1137187.633895977</v>
      </c>
      <c r="L88" s="57">
        <v>2783904.0244020014</v>
      </c>
      <c r="M88" s="57">
        <v>3427744.7341480013</v>
      </c>
      <c r="N88" s="57">
        <v>1808638.0889471162</v>
      </c>
      <c r="O88" s="57">
        <v>3267355.6289632525</v>
      </c>
      <c r="P88" s="58">
        <f>SUM(C88:O88)</f>
        <v>49790071.373138845</v>
      </c>
      <c r="S88" s="58"/>
    </row>
    <row r="89" spans="2:19" ht="15">
      <c r="B89" s="11" t="s">
        <v>134</v>
      </c>
      <c r="C89" s="57">
        <f>+P16</f>
        <v>1323192</v>
      </c>
      <c r="D89" s="57">
        <v>42392.26343032221</v>
      </c>
      <c r="E89" s="57">
        <v>62102.4238128678</v>
      </c>
      <c r="F89" s="57">
        <v>130247.66570237011</v>
      </c>
      <c r="G89" s="57">
        <v>99194.37712408138</v>
      </c>
      <c r="H89" s="57">
        <v>372549.15617829165</v>
      </c>
      <c r="I89" s="57">
        <v>14630.75963536322</v>
      </c>
      <c r="J89" s="57">
        <v>265825.43520575226</v>
      </c>
      <c r="K89" s="57">
        <v>17290.954004861935</v>
      </c>
      <c r="L89" s="57">
        <v>57075.66621493255</v>
      </c>
      <c r="M89" s="57">
        <v>39486.911132408895</v>
      </c>
      <c r="N89" s="57">
        <v>75803.69957783568</v>
      </c>
      <c r="O89" s="57">
        <v>146303.3148420787</v>
      </c>
      <c r="P89" s="58">
        <f>SUM(C89:O89)</f>
        <v>2646094.6268611667</v>
      </c>
      <c r="S89" s="58"/>
    </row>
    <row r="90" spans="2:19" ht="15">
      <c r="B90" s="11" t="s">
        <v>135</v>
      </c>
      <c r="C90" s="57">
        <f>+P17</f>
        <v>12184939.000000002</v>
      </c>
      <c r="D90" s="57">
        <v>1097144.459369564</v>
      </c>
      <c r="E90" s="57">
        <v>1076101.5443720815</v>
      </c>
      <c r="F90" s="57">
        <v>1440237.1277296715</v>
      </c>
      <c r="G90" s="57">
        <v>1574435.5227747224</v>
      </c>
      <c r="H90" s="57">
        <v>1706521.1093863628</v>
      </c>
      <c r="I90" s="57">
        <v>1576620.4344810885</v>
      </c>
      <c r="J90" s="57">
        <v>1258019.564269658</v>
      </c>
      <c r="K90" s="57">
        <v>1653824.3615050942</v>
      </c>
      <c r="L90" s="57">
        <v>1609212.253741326</v>
      </c>
      <c r="M90" s="57">
        <v>1258222.4812342657</v>
      </c>
      <c r="N90" s="57">
        <v>1229330.0759411473</v>
      </c>
      <c r="O90" s="57">
        <v>1237369.0651950168</v>
      </c>
      <c r="P90" s="58">
        <f>SUM(C90:O90)</f>
        <v>28901977</v>
      </c>
      <c r="S90" s="58"/>
    </row>
    <row r="91" spans="2:19" ht="15">
      <c r="B91" s="11" t="s">
        <v>136</v>
      </c>
      <c r="C91" s="57">
        <f>+P18</f>
        <v>78794.00000000001</v>
      </c>
      <c r="D91" s="57">
        <v>13046.317572008309</v>
      </c>
      <c r="E91" s="57">
        <v>12686.73988538257</v>
      </c>
      <c r="F91" s="57">
        <v>11627.624353835352</v>
      </c>
      <c r="G91" s="57">
        <v>9946.211024883232</v>
      </c>
      <c r="H91" s="57">
        <v>9773.889200743368</v>
      </c>
      <c r="I91" s="57">
        <v>12895.79332239938</v>
      </c>
      <c r="J91" s="57">
        <v>16620.85414706825</v>
      </c>
      <c r="K91" s="57">
        <v>26988.013324742355</v>
      </c>
      <c r="L91" s="57">
        <v>35131.5875146315</v>
      </c>
      <c r="M91" s="57">
        <v>31619.13048564288</v>
      </c>
      <c r="N91" s="57">
        <v>14809.990125341212</v>
      </c>
      <c r="O91" s="57">
        <v>25917.849043321596</v>
      </c>
      <c r="P91" s="58">
        <f>SUM(C91:O91)</f>
        <v>299858.00000000006</v>
      </c>
      <c r="S91" s="58"/>
    </row>
    <row r="92" spans="2:19" ht="15">
      <c r="B92" s="11" t="s">
        <v>137</v>
      </c>
      <c r="C92" s="57">
        <f>+P19</f>
        <v>92851.00000000003</v>
      </c>
      <c r="D92" s="57">
        <v>23402.952586415056</v>
      </c>
      <c r="E92" s="57">
        <v>17614.7119311855</v>
      </c>
      <c r="F92" s="57">
        <v>12915.061773726571</v>
      </c>
      <c r="G92" s="57">
        <v>10408.2463812639</v>
      </c>
      <c r="H92" s="57">
        <v>5930.76251815214</v>
      </c>
      <c r="I92" s="57">
        <v>9872.449264354344</v>
      </c>
      <c r="J92" s="57">
        <v>6364.149522315884</v>
      </c>
      <c r="K92" s="57">
        <v>8509.831531668598</v>
      </c>
      <c r="L92" s="57">
        <v>14593.285307749693</v>
      </c>
      <c r="M92" s="57">
        <v>14245.31337707861</v>
      </c>
      <c r="N92" s="57">
        <v>14051.992559498034</v>
      </c>
      <c r="O92" s="57">
        <v>16927.243246591654</v>
      </c>
      <c r="P92" s="58">
        <f>SUM(C92:O92)</f>
        <v>247687</v>
      </c>
      <c r="S92" s="58"/>
    </row>
    <row r="93" spans="2:19" ht="15">
      <c r="B93" s="11" t="s">
        <v>153</v>
      </c>
      <c r="C93" s="62"/>
      <c r="D93" s="62">
        <f aca="true" t="shared" si="13" ref="D93:O93">SUM(D88:D92)</f>
        <v>2470197.6395598263</v>
      </c>
      <c r="E93" s="62">
        <f t="shared" si="13"/>
        <v>1748587.7160864514</v>
      </c>
      <c r="F93" s="62">
        <f t="shared" si="13"/>
        <v>3274847.040983448</v>
      </c>
      <c r="G93" s="62">
        <f t="shared" si="13"/>
        <v>2779083.400355765</v>
      </c>
      <c r="H93" s="62">
        <f t="shared" si="13"/>
        <v>3810569.1726599927</v>
      </c>
      <c r="I93" s="62">
        <f t="shared" si="13"/>
        <v>3471397.9242887427</v>
      </c>
      <c r="J93" s="62">
        <f t="shared" si="13"/>
        <v>2736937.975804193</v>
      </c>
      <c r="K93" s="62">
        <f t="shared" si="13"/>
        <v>2843800.7942623436</v>
      </c>
      <c r="L93" s="62">
        <f t="shared" si="13"/>
        <v>4499916.817180642</v>
      </c>
      <c r="M93" s="62">
        <f t="shared" si="13"/>
        <v>4771318.570377397</v>
      </c>
      <c r="N93" s="62">
        <f t="shared" si="13"/>
        <v>3142633.8471509386</v>
      </c>
      <c r="O93" s="62">
        <f t="shared" si="13"/>
        <v>4693873.101290261</v>
      </c>
      <c r="P93" s="62"/>
      <c r="S93" s="58"/>
    </row>
    <row r="94" spans="2:17" ht="15">
      <c r="B94" s="11" t="s">
        <v>154</v>
      </c>
      <c r="C94" s="56">
        <f>SUM(C88:C92)</f>
        <v>41642524.00000001</v>
      </c>
      <c r="D94" s="56">
        <f aca="true" t="shared" si="14" ref="D94:O94">+D93+C94</f>
        <v>44112721.639559835</v>
      </c>
      <c r="E94" s="56">
        <f t="shared" si="14"/>
        <v>45861309.35564629</v>
      </c>
      <c r="F94" s="56">
        <f t="shared" si="14"/>
        <v>49136156.396629736</v>
      </c>
      <c r="G94" s="56">
        <f t="shared" si="14"/>
        <v>51915239.7969855</v>
      </c>
      <c r="H94" s="56">
        <f t="shared" si="14"/>
        <v>55725808.96964549</v>
      </c>
      <c r="I94" s="56">
        <f t="shared" si="14"/>
        <v>59197206.893934235</v>
      </c>
      <c r="J94" s="56">
        <f t="shared" si="14"/>
        <v>61934144.86973843</v>
      </c>
      <c r="K94" s="56">
        <f t="shared" si="14"/>
        <v>64777945.66400077</v>
      </c>
      <c r="L94" s="56">
        <f t="shared" si="14"/>
        <v>69277862.48118141</v>
      </c>
      <c r="M94" s="56">
        <f t="shared" si="14"/>
        <v>74049181.05155881</v>
      </c>
      <c r="N94" s="56">
        <f t="shared" si="14"/>
        <v>77191814.89870974</v>
      </c>
      <c r="O94" s="56">
        <f t="shared" si="14"/>
        <v>81885688</v>
      </c>
      <c r="P94" s="56">
        <f>SUM(P88:P92)</f>
        <v>81885688.00000001</v>
      </c>
      <c r="Q94" s="58">
        <f>AVERAGE(C94:O94)</f>
        <v>59746738.77058387</v>
      </c>
    </row>
    <row r="96" ht="15">
      <c r="B96" s="99" t="s">
        <v>62</v>
      </c>
    </row>
    <row r="97" spans="2:16" ht="15">
      <c r="B97" s="11" t="s">
        <v>133</v>
      </c>
      <c r="C97" s="57">
        <f>+P24</f>
        <v>-1710202</v>
      </c>
      <c r="D97" s="57">
        <v>-10872.773776682474</v>
      </c>
      <c r="E97" s="57">
        <v>-464.1127750854386</v>
      </c>
      <c r="F97" s="57">
        <v>-799.823502605223</v>
      </c>
      <c r="G97" s="57">
        <v>-5865.210416414552</v>
      </c>
      <c r="H97" s="57">
        <v>-8774.271283454618</v>
      </c>
      <c r="I97" s="57">
        <v>-1945.5473091633708</v>
      </c>
      <c r="J97" s="57">
        <v>-7052.205601515201</v>
      </c>
      <c r="K97" s="57">
        <v>-1219.9458611167438</v>
      </c>
      <c r="L97" s="57">
        <v>-45568.520140757675</v>
      </c>
      <c r="M97" s="57">
        <v>-45748.70778525417</v>
      </c>
      <c r="N97" s="57">
        <v>-28291.12520174447</v>
      </c>
      <c r="O97" s="57">
        <v>-114056.75634620605</v>
      </c>
      <c r="P97" s="58">
        <f>SUM(C97:O97)</f>
        <v>-1980861.0000000002</v>
      </c>
    </row>
    <row r="98" spans="2:16" ht="15">
      <c r="B98" s="11" t="s">
        <v>134</v>
      </c>
      <c r="C98" s="57">
        <f>+P25</f>
        <v>-113743.99999999999</v>
      </c>
      <c r="D98" s="57">
        <v>-13920.699075574954</v>
      </c>
      <c r="E98" s="57">
        <v>-9726.731028190583</v>
      </c>
      <c r="F98" s="57">
        <v>-5995.376090847709</v>
      </c>
      <c r="G98" s="57">
        <v>-14286.84987086611</v>
      </c>
      <c r="H98" s="57">
        <v>-21330.138679792384</v>
      </c>
      <c r="I98" s="57">
        <v>-32162.548412264143</v>
      </c>
      <c r="J98" s="57">
        <v>-56110.765664551844</v>
      </c>
      <c r="K98" s="57">
        <v>-23514.051427214676</v>
      </c>
      <c r="L98" s="57">
        <v>-42480.748564683585</v>
      </c>
      <c r="M98" s="57">
        <v>-26692.364387453785</v>
      </c>
      <c r="N98" s="57">
        <v>-47655.24780919504</v>
      </c>
      <c r="O98" s="57">
        <v>-38834.4789893652</v>
      </c>
      <c r="P98" s="58">
        <f>SUM(C98:O98)</f>
        <v>-446454.00000000006</v>
      </c>
    </row>
    <row r="99" spans="2:16" ht="15">
      <c r="B99" s="11" t="s">
        <v>135</v>
      </c>
      <c r="C99" s="57">
        <f>+P26</f>
        <v>-2750493.0000000005</v>
      </c>
      <c r="D99" s="57">
        <v>-261131.07673132105</v>
      </c>
      <c r="E99" s="57">
        <v>-272770.6394373798</v>
      </c>
      <c r="F99" s="57">
        <v>-277541.40632934205</v>
      </c>
      <c r="G99" s="57">
        <v>-437686.5468883188</v>
      </c>
      <c r="H99" s="57">
        <v>-444461.42472238117</v>
      </c>
      <c r="I99" s="57">
        <v>-507119.2773018261</v>
      </c>
      <c r="J99" s="57">
        <v>-397350.938509798</v>
      </c>
      <c r="K99" s="57">
        <v>-290648.80179505283</v>
      </c>
      <c r="L99" s="57">
        <v>-433456.4826125109</v>
      </c>
      <c r="M99" s="57">
        <v>-452192.31972346077</v>
      </c>
      <c r="N99" s="57">
        <v>-524944.8352707113</v>
      </c>
      <c r="O99" s="57">
        <v>-546965.2506778972</v>
      </c>
      <c r="P99" s="58">
        <f>SUM(C99:O99)</f>
        <v>-7596762.000000002</v>
      </c>
    </row>
    <row r="100" spans="2:16" ht="15">
      <c r="B100" s="11" t="s">
        <v>136</v>
      </c>
      <c r="C100" s="57">
        <f>+P27</f>
        <v>-25588</v>
      </c>
      <c r="D100" s="57">
        <v>-1083.0268822244816</v>
      </c>
      <c r="E100" s="57">
        <v>-1407.809873709644</v>
      </c>
      <c r="F100" s="57">
        <v>-1895.6328350574754</v>
      </c>
      <c r="G100" s="57">
        <v>-3106.098602378177</v>
      </c>
      <c r="H100" s="57">
        <v>-2789.498805468539</v>
      </c>
      <c r="I100" s="57">
        <v>-3262.113676650419</v>
      </c>
      <c r="J100" s="57">
        <v>-3153.1324736359516</v>
      </c>
      <c r="K100" s="57">
        <v>-4519.754853010118</v>
      </c>
      <c r="L100" s="57">
        <v>-2821.4321866759965</v>
      </c>
      <c r="M100" s="57">
        <v>-2426.523169996629</v>
      </c>
      <c r="N100" s="57">
        <v>-3076.4472412953423</v>
      </c>
      <c r="O100" s="57">
        <v>-368.5293998972261</v>
      </c>
      <c r="P100" s="58">
        <f>SUM(C100:O100)</f>
        <v>-55498.00000000001</v>
      </c>
    </row>
    <row r="101" spans="2:16" ht="15">
      <c r="B101" s="11" t="s">
        <v>137</v>
      </c>
      <c r="C101" s="57">
        <f>+P28</f>
        <v>-2839</v>
      </c>
      <c r="D101" s="57">
        <v>-180.8271686960844</v>
      </c>
      <c r="E101" s="57">
        <v>-111.87649079163305</v>
      </c>
      <c r="F101" s="57">
        <v>-135.42223561193455</v>
      </c>
      <c r="G101" s="57">
        <v>-150.10353352433253</v>
      </c>
      <c r="H101" s="57">
        <v>-252.63437805489215</v>
      </c>
      <c r="I101" s="57">
        <v>-245.63339923034246</v>
      </c>
      <c r="J101" s="57">
        <v>-857.5279120133475</v>
      </c>
      <c r="K101" s="57">
        <v>-244.94698250596784</v>
      </c>
      <c r="L101" s="57">
        <v>-309.5274216469432</v>
      </c>
      <c r="M101" s="57">
        <v>-273.35892377927576</v>
      </c>
      <c r="N101" s="57">
        <v>-428.96557714444043</v>
      </c>
      <c r="O101" s="57">
        <v>-61.175977000806</v>
      </c>
      <c r="P101" s="58">
        <f>SUM(C101:O101)</f>
        <v>-6090.999999999999</v>
      </c>
    </row>
    <row r="102" spans="2:16" ht="15">
      <c r="B102" s="11" t="s">
        <v>155</v>
      </c>
      <c r="C102" s="62"/>
      <c r="D102" s="62">
        <f aca="true" t="shared" si="15" ref="D102:O102">SUM(D97:D101)</f>
        <v>-287188.40363449906</v>
      </c>
      <c r="E102" s="62">
        <f t="shared" si="15"/>
        <v>-284481.16960515705</v>
      </c>
      <c r="F102" s="62">
        <f t="shared" si="15"/>
        <v>-286367.66099346435</v>
      </c>
      <c r="G102" s="62">
        <f t="shared" si="15"/>
        <v>-461094.8093115019</v>
      </c>
      <c r="H102" s="62">
        <f t="shared" si="15"/>
        <v>-477607.9678691516</v>
      </c>
      <c r="I102" s="62">
        <f t="shared" si="15"/>
        <v>-544735.1200991344</v>
      </c>
      <c r="J102" s="62">
        <f t="shared" si="15"/>
        <v>-464524.5701615144</v>
      </c>
      <c r="K102" s="62">
        <f t="shared" si="15"/>
        <v>-320147.5009189003</v>
      </c>
      <c r="L102" s="62">
        <f t="shared" si="15"/>
        <v>-524636.7109262751</v>
      </c>
      <c r="M102" s="62">
        <f t="shared" si="15"/>
        <v>-527333.2739899446</v>
      </c>
      <c r="N102" s="62">
        <f t="shared" si="15"/>
        <v>-604396.6211000907</v>
      </c>
      <c r="O102" s="62">
        <f t="shared" si="15"/>
        <v>-700286.1913903665</v>
      </c>
      <c r="P102" s="62"/>
    </row>
    <row r="103" spans="2:17" ht="15">
      <c r="B103" s="11" t="s">
        <v>156</v>
      </c>
      <c r="C103" s="56">
        <f>SUM(C97:C101)</f>
        <v>-4602866</v>
      </c>
      <c r="D103" s="56">
        <f aca="true" t="shared" si="16" ref="D103:O103">+D102+C103</f>
        <v>-4890054.403634499</v>
      </c>
      <c r="E103" s="56">
        <f t="shared" si="16"/>
        <v>-5174535.573239656</v>
      </c>
      <c r="F103" s="56">
        <f t="shared" si="16"/>
        <v>-5460903.23423312</v>
      </c>
      <c r="G103" s="56">
        <f t="shared" si="16"/>
        <v>-5921998.043544622</v>
      </c>
      <c r="H103" s="56">
        <f t="shared" si="16"/>
        <v>-6399606.0114137735</v>
      </c>
      <c r="I103" s="56">
        <f t="shared" si="16"/>
        <v>-6944341.131512908</v>
      </c>
      <c r="J103" s="56">
        <f t="shared" si="16"/>
        <v>-7408865.701674422</v>
      </c>
      <c r="K103" s="56">
        <f t="shared" si="16"/>
        <v>-7729013.202593323</v>
      </c>
      <c r="L103" s="56">
        <f t="shared" si="16"/>
        <v>-8253649.913519598</v>
      </c>
      <c r="M103" s="56">
        <f t="shared" si="16"/>
        <v>-8780983.187509542</v>
      </c>
      <c r="N103" s="56">
        <f t="shared" si="16"/>
        <v>-9385379.808609633</v>
      </c>
      <c r="O103" s="56">
        <f t="shared" si="16"/>
        <v>-10085666</v>
      </c>
      <c r="P103" s="56">
        <f>SUM(P97:P101)</f>
        <v>-10085666.000000002</v>
      </c>
      <c r="Q103" s="58">
        <f>AVERAGE(C103:O103)</f>
        <v>-7002912.477806547</v>
      </c>
    </row>
    <row r="105" ht="15">
      <c r="B105" s="99" t="s">
        <v>139</v>
      </c>
    </row>
    <row r="106" spans="2:16" ht="15">
      <c r="B106" s="11" t="s">
        <v>133</v>
      </c>
      <c r="C106" s="57">
        <f>+P33</f>
        <v>26252546</v>
      </c>
      <c r="D106" s="101">
        <f aca="true" t="shared" si="17" ref="D106:O106">+D88+D97</f>
        <v>1283338.8728248337</v>
      </c>
      <c r="E106" s="101">
        <f t="shared" si="17"/>
        <v>579618.1833098483</v>
      </c>
      <c r="F106" s="101">
        <f t="shared" si="17"/>
        <v>1679019.7379212389</v>
      </c>
      <c r="G106" s="101">
        <f t="shared" si="17"/>
        <v>1079233.8326343996</v>
      </c>
      <c r="H106" s="101">
        <f t="shared" si="17"/>
        <v>1707019.984092988</v>
      </c>
      <c r="I106" s="101">
        <f t="shared" si="17"/>
        <v>1855432.940276374</v>
      </c>
      <c r="J106" s="101">
        <f t="shared" si="17"/>
        <v>1183055.7670578833</v>
      </c>
      <c r="K106" s="101">
        <f t="shared" si="17"/>
        <v>1135967.6880348602</v>
      </c>
      <c r="L106" s="101">
        <f t="shared" si="17"/>
        <v>2738335.5042612436</v>
      </c>
      <c r="M106" s="101">
        <f t="shared" si="17"/>
        <v>3381996.026362747</v>
      </c>
      <c r="N106" s="101">
        <f t="shared" si="17"/>
        <v>1780346.9637453717</v>
      </c>
      <c r="O106" s="101">
        <f t="shared" si="17"/>
        <v>3153298.8726170463</v>
      </c>
      <c r="P106" s="58">
        <f>SUM(C106:O106)</f>
        <v>47809210.37313883</v>
      </c>
    </row>
    <row r="107" spans="2:16" ht="15">
      <c r="B107" s="11" t="s">
        <v>134</v>
      </c>
      <c r="C107" s="57">
        <f>+P34</f>
        <v>1209448.0000000002</v>
      </c>
      <c r="D107" s="101">
        <f aca="true" t="shared" si="18" ref="D107:O107">+D89+D98</f>
        <v>28471.564354747254</v>
      </c>
      <c r="E107" s="101">
        <f t="shared" si="18"/>
        <v>52375.692784677216</v>
      </c>
      <c r="F107" s="101">
        <f t="shared" si="18"/>
        <v>124252.2896115224</v>
      </c>
      <c r="G107" s="101">
        <f t="shared" si="18"/>
        <v>84907.52725321527</v>
      </c>
      <c r="H107" s="101">
        <f t="shared" si="18"/>
        <v>351219.01749849925</v>
      </c>
      <c r="I107" s="101">
        <f t="shared" si="18"/>
        <v>-17531.788776900925</v>
      </c>
      <c r="J107" s="101">
        <f t="shared" si="18"/>
        <v>209714.66954120042</v>
      </c>
      <c r="K107" s="101">
        <f t="shared" si="18"/>
        <v>-6223.097422352741</v>
      </c>
      <c r="L107" s="101">
        <f t="shared" si="18"/>
        <v>14594.917650248964</v>
      </c>
      <c r="M107" s="101">
        <f t="shared" si="18"/>
        <v>12794.54674495511</v>
      </c>
      <c r="N107" s="101">
        <f t="shared" si="18"/>
        <v>28148.45176864064</v>
      </c>
      <c r="O107" s="101">
        <f t="shared" si="18"/>
        <v>107468.8358527135</v>
      </c>
      <c r="P107" s="58">
        <f>SUM(C107:O107)</f>
        <v>2199640.626861166</v>
      </c>
    </row>
    <row r="108" spans="2:16" ht="15">
      <c r="B108" s="11" t="s">
        <v>135</v>
      </c>
      <c r="C108" s="57">
        <f>+P35</f>
        <v>9434446.000000002</v>
      </c>
      <c r="D108" s="101">
        <f aca="true" t="shared" si="19" ref="D108:O108">+D90+D99</f>
        <v>836013.3826382429</v>
      </c>
      <c r="E108" s="101">
        <f t="shared" si="19"/>
        <v>803330.9049347017</v>
      </c>
      <c r="F108" s="101">
        <f t="shared" si="19"/>
        <v>1162695.7214003294</v>
      </c>
      <c r="G108" s="101">
        <f t="shared" si="19"/>
        <v>1136748.9758864036</v>
      </c>
      <c r="H108" s="101">
        <f t="shared" si="19"/>
        <v>1262059.6846639817</v>
      </c>
      <c r="I108" s="101">
        <f t="shared" si="19"/>
        <v>1069501.1571792625</v>
      </c>
      <c r="J108" s="101">
        <f t="shared" si="19"/>
        <v>860668.6257598599</v>
      </c>
      <c r="K108" s="101">
        <f t="shared" si="19"/>
        <v>1363175.5597100414</v>
      </c>
      <c r="L108" s="101">
        <f t="shared" si="19"/>
        <v>1175755.7711288151</v>
      </c>
      <c r="M108" s="101">
        <f t="shared" si="19"/>
        <v>806030.1615108049</v>
      </c>
      <c r="N108" s="101">
        <f t="shared" si="19"/>
        <v>704385.240670436</v>
      </c>
      <c r="O108" s="101">
        <f t="shared" si="19"/>
        <v>690403.8145171196</v>
      </c>
      <c r="P108" s="58">
        <f>SUM(C108:O108)</f>
        <v>21305215</v>
      </c>
    </row>
    <row r="109" spans="2:16" ht="15">
      <c r="B109" s="11" t="s">
        <v>136</v>
      </c>
      <c r="C109" s="57">
        <f>+P36</f>
        <v>53206.000000000015</v>
      </c>
      <c r="D109" s="101">
        <f aca="true" t="shared" si="20" ref="D109:O109">+D91+D100</f>
        <v>11963.290689783827</v>
      </c>
      <c r="E109" s="101">
        <f t="shared" si="20"/>
        <v>11278.930011672926</v>
      </c>
      <c r="F109" s="101">
        <f t="shared" si="20"/>
        <v>9731.991518777877</v>
      </c>
      <c r="G109" s="101">
        <f t="shared" si="20"/>
        <v>6840.112422505055</v>
      </c>
      <c r="H109" s="101">
        <f t="shared" si="20"/>
        <v>6984.390395274829</v>
      </c>
      <c r="I109" s="101">
        <f t="shared" si="20"/>
        <v>9633.679645748962</v>
      </c>
      <c r="J109" s="101">
        <f t="shared" si="20"/>
        <v>13467.7216734323</v>
      </c>
      <c r="K109" s="101">
        <f t="shared" si="20"/>
        <v>22468.25847173224</v>
      </c>
      <c r="L109" s="101">
        <f t="shared" si="20"/>
        <v>32310.155327955505</v>
      </c>
      <c r="M109" s="101">
        <f t="shared" si="20"/>
        <v>29192.60731564625</v>
      </c>
      <c r="N109" s="101">
        <f t="shared" si="20"/>
        <v>11733.54288404587</v>
      </c>
      <c r="O109" s="101">
        <f t="shared" si="20"/>
        <v>25549.31964342437</v>
      </c>
      <c r="P109" s="58">
        <f>SUM(C109:O109)</f>
        <v>244360</v>
      </c>
    </row>
    <row r="110" spans="2:16" ht="15">
      <c r="B110" s="11" t="s">
        <v>137</v>
      </c>
      <c r="C110" s="57">
        <f>+P37</f>
        <v>90012</v>
      </c>
      <c r="D110" s="101">
        <f aca="true" t="shared" si="21" ref="D110:O110">+D92+D101</f>
        <v>23222.125417718973</v>
      </c>
      <c r="E110" s="101">
        <f t="shared" si="21"/>
        <v>17502.835440393865</v>
      </c>
      <c r="F110" s="101">
        <f t="shared" si="21"/>
        <v>12779.639538114636</v>
      </c>
      <c r="G110" s="101">
        <f t="shared" si="21"/>
        <v>10258.142847739568</v>
      </c>
      <c r="H110" s="101">
        <f t="shared" si="21"/>
        <v>5678.1281400972475</v>
      </c>
      <c r="I110" s="101">
        <f t="shared" si="21"/>
        <v>9626.815865124001</v>
      </c>
      <c r="J110" s="101">
        <f t="shared" si="21"/>
        <v>5506.621610302536</v>
      </c>
      <c r="K110" s="101">
        <f t="shared" si="21"/>
        <v>8264.88454916263</v>
      </c>
      <c r="L110" s="101">
        <f t="shared" si="21"/>
        <v>14283.75788610275</v>
      </c>
      <c r="M110" s="101">
        <f t="shared" si="21"/>
        <v>13971.954453299335</v>
      </c>
      <c r="N110" s="101">
        <f t="shared" si="21"/>
        <v>13623.026982353593</v>
      </c>
      <c r="O110" s="101">
        <f t="shared" si="21"/>
        <v>16866.067269590847</v>
      </c>
      <c r="P110" s="58">
        <f>SUM(C110:O110)</f>
        <v>241596</v>
      </c>
    </row>
    <row r="111" spans="2:16" ht="15">
      <c r="B111" s="11" t="s">
        <v>157</v>
      </c>
      <c r="C111" s="62"/>
      <c r="D111" s="62">
        <f aca="true" t="shared" si="22" ref="D111:O111">SUM(D106:D110)</f>
        <v>2183009.2359253266</v>
      </c>
      <c r="E111" s="62">
        <f t="shared" si="22"/>
        <v>1464106.5464812939</v>
      </c>
      <c r="F111" s="62">
        <f t="shared" si="22"/>
        <v>2988479.379989983</v>
      </c>
      <c r="G111" s="62">
        <f t="shared" si="22"/>
        <v>2317988.591044263</v>
      </c>
      <c r="H111" s="62">
        <f t="shared" si="22"/>
        <v>3332961.204790841</v>
      </c>
      <c r="I111" s="62">
        <f t="shared" si="22"/>
        <v>2926662.804189609</v>
      </c>
      <c r="J111" s="62">
        <f t="shared" si="22"/>
        <v>2272413.4056426785</v>
      </c>
      <c r="K111" s="62">
        <f t="shared" si="22"/>
        <v>2523653.293343444</v>
      </c>
      <c r="L111" s="62">
        <f t="shared" si="22"/>
        <v>3975280.106254366</v>
      </c>
      <c r="M111" s="62">
        <f t="shared" si="22"/>
        <v>4243985.296387454</v>
      </c>
      <c r="N111" s="62">
        <f t="shared" si="22"/>
        <v>2538237.2260508477</v>
      </c>
      <c r="O111" s="62">
        <f t="shared" si="22"/>
        <v>3993586.909899894</v>
      </c>
      <c r="P111" s="62"/>
    </row>
    <row r="112" spans="2:17" ht="15">
      <c r="B112" s="11" t="s">
        <v>220</v>
      </c>
      <c r="C112" s="56">
        <f>SUM(C106:C110)</f>
        <v>37039658</v>
      </c>
      <c r="D112" s="56">
        <f aca="true" t="shared" si="23" ref="D112:O112">+D111+C112</f>
        <v>39222667.235925324</v>
      </c>
      <c r="E112" s="56">
        <f t="shared" si="23"/>
        <v>40686773.78240662</v>
      </c>
      <c r="F112" s="56">
        <f t="shared" si="23"/>
        <v>43675253.1623966</v>
      </c>
      <c r="G112" s="56">
        <f t="shared" si="23"/>
        <v>45993241.753440864</v>
      </c>
      <c r="H112" s="56">
        <f t="shared" si="23"/>
        <v>49326202.9582317</v>
      </c>
      <c r="I112" s="56">
        <f t="shared" si="23"/>
        <v>52252865.76242131</v>
      </c>
      <c r="J112" s="56">
        <f t="shared" si="23"/>
        <v>54525279.16806399</v>
      </c>
      <c r="K112" s="56">
        <f t="shared" si="23"/>
        <v>57048932.46140744</v>
      </c>
      <c r="L112" s="56">
        <f t="shared" si="23"/>
        <v>61024212.56766181</v>
      </c>
      <c r="M112" s="56">
        <f t="shared" si="23"/>
        <v>65268197.86404926</v>
      </c>
      <c r="N112" s="56">
        <f t="shared" si="23"/>
        <v>67806435.09010011</v>
      </c>
      <c r="O112" s="56">
        <f t="shared" si="23"/>
        <v>71800022</v>
      </c>
      <c r="P112" s="56">
        <f>SUM(P106:P110)</f>
        <v>71800022</v>
      </c>
      <c r="Q112" s="58">
        <f>AVERAGE(C112:O112)</f>
        <v>52743826.292777315</v>
      </c>
    </row>
  </sheetData>
  <sheetProtection/>
  <mergeCells count="7">
    <mergeCell ref="A78:Q78"/>
    <mergeCell ref="A79:Q79"/>
    <mergeCell ref="A4:Q4"/>
    <mergeCell ref="A5:Q5"/>
    <mergeCell ref="A6:Q6"/>
    <mergeCell ref="A77:Q77"/>
    <mergeCell ref="D9:K9"/>
  </mergeCells>
  <printOptions/>
  <pageMargins left="0.25" right="0.25" top="0.75" bottom="0.75" header="0.3" footer="0.3"/>
  <pageSetup fitToHeight="2" fitToWidth="1" horizontalDpi="1200" verticalDpi="1200" orientation="landscape" scale="48" r:id="rId1"/>
  <rowBreaks count="1" manualBreakCount="1">
    <brk id="73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zoomScalePageLayoutView="0" workbookViewId="0" topLeftCell="A25">
      <selection activeCell="D34" sqref="D34:O38"/>
    </sheetView>
  </sheetViews>
  <sheetFormatPr defaultColWidth="9.140625" defaultRowHeight="12.75"/>
  <cols>
    <col min="1" max="1" width="2.00390625" style="11" customWidth="1"/>
    <col min="2" max="2" width="38.421875" style="11" customWidth="1"/>
    <col min="3" max="3" width="12.8515625" style="11" customWidth="1"/>
    <col min="4" max="4" width="12.8515625" style="11" bestFit="1" customWidth="1"/>
    <col min="5" max="8" width="13.00390625" style="11" bestFit="1" customWidth="1"/>
    <col min="9" max="9" width="13.7109375" style="11" bestFit="1" customWidth="1"/>
    <col min="10" max="11" width="14.00390625" style="11" bestFit="1" customWidth="1"/>
    <col min="12" max="12" width="13.7109375" style="11" bestFit="1" customWidth="1"/>
    <col min="13" max="15" width="14.28125" style="11" bestFit="1" customWidth="1"/>
    <col min="16" max="16" width="19.8515625" style="11" bestFit="1" customWidth="1"/>
    <col min="17" max="17" width="23.140625" style="11" bestFit="1" customWidth="1"/>
    <col min="18" max="16384" width="8.7109375" style="11" customWidth="1"/>
  </cols>
  <sheetData>
    <row r="1" ht="15">
      <c r="Q1" s="12" t="str">
        <f>+'3.0 Plant in Service'!Q1</f>
        <v>Case No. 2023-0335  PSC_Staff Set 2 No 1</v>
      </c>
    </row>
    <row r="2" spans="14:17" ht="15">
      <c r="N2" s="12"/>
      <c r="Q2" s="12" t="s">
        <v>202</v>
      </c>
    </row>
    <row r="3" spans="14:17" ht="15">
      <c r="N3" s="12"/>
      <c r="Q3" s="12" t="s">
        <v>203</v>
      </c>
    </row>
    <row r="4" spans="1:17" ht="1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ht="15">
      <c r="A5" s="166" t="s">
        <v>109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15">
      <c r="A6" s="166" t="s">
        <v>205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9:17" ht="15">
      <c r="I10" s="13"/>
      <c r="J10" s="13"/>
      <c r="K10" s="13"/>
      <c r="Q10" s="58"/>
    </row>
    <row r="11" spans="3:17" ht="15">
      <c r="C11" s="13">
        <v>2022</v>
      </c>
      <c r="D11" s="13">
        <f>+C11+1</f>
        <v>2023</v>
      </c>
      <c r="E11" s="13">
        <f>+D11</f>
        <v>2023</v>
      </c>
      <c r="F11" s="13">
        <f aca="true" t="shared" si="0" ref="F11:P11">+E11</f>
        <v>2023</v>
      </c>
      <c r="G11" s="13">
        <f t="shared" si="0"/>
        <v>2023</v>
      </c>
      <c r="H11" s="13">
        <f t="shared" si="0"/>
        <v>2023</v>
      </c>
      <c r="I11" s="13">
        <f t="shared" si="0"/>
        <v>2023</v>
      </c>
      <c r="J11" s="13">
        <f t="shared" si="0"/>
        <v>2023</v>
      </c>
      <c r="K11" s="13">
        <f t="shared" si="0"/>
        <v>2023</v>
      </c>
      <c r="L11" s="13">
        <f t="shared" si="0"/>
        <v>2023</v>
      </c>
      <c r="M11" s="13">
        <f t="shared" si="0"/>
        <v>2023</v>
      </c>
      <c r="N11" s="13">
        <f t="shared" si="0"/>
        <v>2023</v>
      </c>
      <c r="O11" s="13">
        <f t="shared" si="0"/>
        <v>2023</v>
      </c>
      <c r="P11" s="13">
        <f t="shared" si="0"/>
        <v>2023</v>
      </c>
      <c r="Q11" s="13">
        <f>+P11</f>
        <v>2023</v>
      </c>
    </row>
    <row r="12" spans="3:17" ht="15">
      <c r="C12" s="13" t="s">
        <v>140</v>
      </c>
      <c r="D12" s="13" t="s">
        <v>141</v>
      </c>
      <c r="E12" s="13" t="s">
        <v>142</v>
      </c>
      <c r="F12" s="13" t="s">
        <v>143</v>
      </c>
      <c r="G12" s="13" t="s">
        <v>144</v>
      </c>
      <c r="H12" s="13" t="s">
        <v>81</v>
      </c>
      <c r="I12" s="13" t="s">
        <v>145</v>
      </c>
      <c r="J12" s="13" t="s">
        <v>146</v>
      </c>
      <c r="K12" s="13" t="s">
        <v>147</v>
      </c>
      <c r="L12" s="13" t="s">
        <v>148</v>
      </c>
      <c r="M12" s="13" t="s">
        <v>149</v>
      </c>
      <c r="N12" s="13" t="s">
        <v>150</v>
      </c>
      <c r="O12" s="13" t="s">
        <v>140</v>
      </c>
      <c r="P12" s="13" t="s">
        <v>151</v>
      </c>
      <c r="Q12" s="13" t="s">
        <v>152</v>
      </c>
    </row>
    <row r="13" spans="3:17" ht="15">
      <c r="C13" s="13" t="s">
        <v>92</v>
      </c>
      <c r="D13" s="13" t="s">
        <v>270</v>
      </c>
      <c r="E13" s="13" t="s">
        <v>270</v>
      </c>
      <c r="F13" s="13" t="s">
        <v>270</v>
      </c>
      <c r="G13" s="13" t="s">
        <v>270</v>
      </c>
      <c r="H13" s="13" t="s">
        <v>270</v>
      </c>
      <c r="I13" s="13" t="s">
        <v>270</v>
      </c>
      <c r="J13" s="13" t="s">
        <v>270</v>
      </c>
      <c r="K13" s="13" t="s">
        <v>270</v>
      </c>
      <c r="L13" s="13" t="s">
        <v>201</v>
      </c>
      <c r="M13" s="13" t="s">
        <v>201</v>
      </c>
      <c r="N13" s="13" t="s">
        <v>201</v>
      </c>
      <c r="O13" s="13" t="s">
        <v>201</v>
      </c>
      <c r="P13" s="51"/>
      <c r="Q13" s="51"/>
    </row>
    <row r="15" ht="15">
      <c r="B15" s="99" t="s">
        <v>118</v>
      </c>
    </row>
    <row r="16" spans="2:16" ht="15">
      <c r="B16" s="11" t="s">
        <v>133</v>
      </c>
      <c r="C16" s="57">
        <v>0</v>
      </c>
      <c r="D16" s="57">
        <f>+'5.0 Depr Expense'!E20*-1</f>
        <v>-486.467</v>
      </c>
      <c r="E16" s="57">
        <f>+'5.0 Depr Expense'!F20*-1</f>
        <v>-2211.88</v>
      </c>
      <c r="F16" s="57">
        <f>+'5.0 Depr Expense'!G20*-1</f>
        <v>-4724.4580000000005</v>
      </c>
      <c r="G16" s="57">
        <f>+'5.0 Depr Expense'!H20*-1</f>
        <v>-6956.014</v>
      </c>
      <c r="H16" s="57">
        <f>+'5.0 Depr Expense'!I20*-1</f>
        <v>-8751.936</v>
      </c>
      <c r="I16" s="57">
        <f>+'5.0 Depr Expense'!J20*-1</f>
        <v>-10547.142</v>
      </c>
      <c r="J16" s="57">
        <f>+'5.0 Depr Expense'!K20*-1</f>
        <v>-12632.575</v>
      </c>
      <c r="K16" s="57">
        <f>+'5.0 Depr Expense'!L20*-1</f>
        <v>-15470.971</v>
      </c>
      <c r="L16" s="57">
        <f>+'5.0 Depr Expense'!M20*-1</f>
        <v>-18392.75</v>
      </c>
      <c r="M16" s="57">
        <f>+'5.0 Depr Expense'!N20*-1</f>
        <v>-21647.459</v>
      </c>
      <c r="N16" s="57">
        <f>+'5.0 Depr Expense'!O20*-1</f>
        <v>-26978.439</v>
      </c>
      <c r="O16" s="57">
        <f>+'5.0 Depr Expense'!P20*-1</f>
        <v>-34166.006</v>
      </c>
      <c r="P16" s="58">
        <f>SUM(C16:O16)</f>
        <v>-162966.097</v>
      </c>
    </row>
    <row r="17" spans="2:16" ht="15">
      <c r="B17" s="11" t="s">
        <v>134</v>
      </c>
      <c r="C17" s="57">
        <v>0</v>
      </c>
      <c r="D17" s="57">
        <f>+'5.0 Depr Expense'!E30*-1</f>
        <v>-31.96</v>
      </c>
      <c r="E17" s="57">
        <f>+'5.0 Depr Expense'!F30*-1</f>
        <v>-147.00799999999998</v>
      </c>
      <c r="F17" s="57">
        <f>+'5.0 Depr Expense'!G30*-1</f>
        <v>-313.827</v>
      </c>
      <c r="G17" s="57">
        <f>+'5.0 Depr Expense'!H30*-1</f>
        <v>-459.864</v>
      </c>
      <c r="H17" s="57">
        <f>+'5.0 Depr Expense'!I30*-1</f>
        <v>-574.2909999999999</v>
      </c>
      <c r="I17" s="57">
        <f>+'5.0 Depr Expense'!J30*-1</f>
        <v>-689.288</v>
      </c>
      <c r="J17" s="57">
        <f>+'5.0 Depr Expense'!K30*-1</f>
        <v>-823.898</v>
      </c>
      <c r="K17" s="57">
        <f>+'5.0 Depr Expense'!L30*-1</f>
        <v>-1012.001</v>
      </c>
      <c r="L17" s="57">
        <f>+'5.0 Depr Expense'!M30*-1</f>
        <v>-1205.34</v>
      </c>
      <c r="M17" s="57">
        <f>+'5.0 Depr Expense'!N30*-1</f>
        <v>-1421.941</v>
      </c>
      <c r="N17" s="57">
        <f>+'5.0 Depr Expense'!O30*-1</f>
        <v>-1782.917</v>
      </c>
      <c r="O17" s="57">
        <f>+'5.0 Depr Expense'!P30*-1</f>
        <v>-2273.587</v>
      </c>
      <c r="P17" s="58">
        <f>SUM(C17:O17)</f>
        <v>-10735.921999999999</v>
      </c>
    </row>
    <row r="18" spans="2:16" ht="15">
      <c r="B18" s="11" t="s">
        <v>135</v>
      </c>
      <c r="C18" s="57">
        <v>0</v>
      </c>
      <c r="D18" s="57">
        <f>+'5.0 Depr Expense'!E40*-1</f>
        <v>-351.861</v>
      </c>
      <c r="E18" s="57">
        <f>+'5.0 Depr Expense'!F40*-1</f>
        <v>-1755.931</v>
      </c>
      <c r="F18" s="57">
        <f>+'5.0 Depr Expense'!G40*-1</f>
        <v>-3744.753</v>
      </c>
      <c r="G18" s="57">
        <f>+'5.0 Depr Expense'!H40*-1</f>
        <v>-5270.0869999999995</v>
      </c>
      <c r="H18" s="57">
        <f>+'5.0 Depr Expense'!I40*-1</f>
        <v>-6295.148</v>
      </c>
      <c r="I18" s="57">
        <f>+'5.0 Depr Expense'!J40*-1</f>
        <v>-7270.3369999999995</v>
      </c>
      <c r="J18" s="57">
        <f>+'5.0 Depr Expense'!K40*-1</f>
        <v>-8600.344000000001</v>
      </c>
      <c r="K18" s="57">
        <f>+'5.0 Depr Expense'!L40*-1</f>
        <v>-10789.78</v>
      </c>
      <c r="L18" s="57">
        <f>+'5.0 Depr Expense'!M40*-1</f>
        <v>-13036.307</v>
      </c>
      <c r="M18" s="57">
        <f>+'5.0 Depr Expense'!N40*-1</f>
        <v>-15624.491</v>
      </c>
      <c r="N18" s="57">
        <f>+'5.0 Depr Expense'!O40*-1</f>
        <v>-20505.672</v>
      </c>
      <c r="O18" s="57">
        <f>+'5.0 Depr Expense'!P40*-1</f>
        <v>-27469.744</v>
      </c>
      <c r="P18" s="58">
        <f>SUM(C18:O18)</f>
        <v>-120714.45499999999</v>
      </c>
    </row>
    <row r="19" spans="2:16" ht="15">
      <c r="B19" s="11" t="s">
        <v>136</v>
      </c>
      <c r="C19" s="57">
        <v>0</v>
      </c>
      <c r="D19" s="57">
        <f>+'5.0 Depr Expense'!E50*-1</f>
        <v>-0.782</v>
      </c>
      <c r="E19" s="57">
        <f>+'5.0 Depr Expense'!F50*-1</f>
        <v>-4.709</v>
      </c>
      <c r="F19" s="57">
        <f>+'5.0 Depr Expense'!G50*-1</f>
        <v>-9.119</v>
      </c>
      <c r="G19" s="57">
        <f>+'5.0 Depr Expense'!H50*-1</f>
        <v>-12.061</v>
      </c>
      <c r="H19" s="57">
        <f>+'5.0 Depr Expense'!I50*-1</f>
        <v>-13.564</v>
      </c>
      <c r="I19" s="57">
        <f>+'5.0 Depr Expense'!J50*-1</f>
        <v>-14.829</v>
      </c>
      <c r="J19" s="57">
        <f>+'5.0 Depr Expense'!K50*-1</f>
        <v>-17.703</v>
      </c>
      <c r="K19" s="57">
        <f>+'5.0 Depr Expense'!L50*-1</f>
        <v>-23.485</v>
      </c>
      <c r="L19" s="57">
        <f>+'5.0 Depr Expense'!M50*-1</f>
        <v>-28.826999999999998</v>
      </c>
      <c r="M19" s="57">
        <f>+'5.0 Depr Expense'!N50*-1</f>
        <v>-34.479</v>
      </c>
      <c r="N19" s="57">
        <f>+'5.0 Depr Expense'!O50*-1</f>
        <v>-47.81</v>
      </c>
      <c r="O19" s="57">
        <f>+'5.0 Depr Expense'!P50*-1</f>
        <v>-67.873</v>
      </c>
      <c r="P19" s="58">
        <f>SUM(C19:O19)</f>
        <v>-275.241</v>
      </c>
    </row>
    <row r="20" spans="2:16" ht="15">
      <c r="B20" s="11" t="s">
        <v>137</v>
      </c>
      <c r="C20" s="57">
        <v>0</v>
      </c>
      <c r="D20" s="57">
        <f>+'5.0 Depr Expense'!E60*-1</f>
        <v>-1.893</v>
      </c>
      <c r="E20" s="57">
        <f>+'5.0 Depr Expense'!F60*-1</f>
        <v>-8.713000000000001</v>
      </c>
      <c r="F20" s="57">
        <f>+'5.0 Depr Expense'!G60*-1</f>
        <v>-17.944</v>
      </c>
      <c r="G20" s="57">
        <f>+'5.0 Depr Expense'!H60*-1</f>
        <v>-26.799</v>
      </c>
      <c r="H20" s="57">
        <f>+'5.0 Depr Expense'!I60*-1</f>
        <v>-34.378</v>
      </c>
      <c r="I20" s="57">
        <f>+'5.0 Depr Expense'!J60*-1</f>
        <v>-40.83</v>
      </c>
      <c r="J20" s="57">
        <f>+'5.0 Depr Expense'!K60*-1</f>
        <v>-49.408</v>
      </c>
      <c r="K20" s="57">
        <f>+'5.0 Depr Expense'!L60*-1</f>
        <v>-60.543</v>
      </c>
      <c r="L20" s="57">
        <f>+'5.0 Depr Expense'!M60*-1</f>
        <v>-71.733</v>
      </c>
      <c r="M20" s="57">
        <f>+'5.0 Depr Expense'!N60*-1</f>
        <v>-83.772</v>
      </c>
      <c r="N20" s="57">
        <f>+'5.0 Depr Expense'!O60*-1</f>
        <v>-104.263</v>
      </c>
      <c r="O20" s="57">
        <f>+'5.0 Depr Expense'!P60*-1</f>
        <v>-131.484</v>
      </c>
      <c r="P20" s="58">
        <f>SUM(C20:O20)</f>
        <v>-631.7600000000001</v>
      </c>
    </row>
    <row r="21" spans="2:16" ht="15">
      <c r="B21" s="11" t="s">
        <v>158</v>
      </c>
      <c r="C21" s="62"/>
      <c r="D21" s="62">
        <f>SUM(D16:D20)</f>
        <v>-872.9630000000001</v>
      </c>
      <c r="E21" s="62">
        <f aca="true" t="shared" si="1" ref="E21:P21">SUM(E16:E20)</f>
        <v>-4128.240999999999</v>
      </c>
      <c r="F21" s="62">
        <f t="shared" si="1"/>
        <v>-8810.101</v>
      </c>
      <c r="G21" s="62">
        <f t="shared" si="1"/>
        <v>-12724.825</v>
      </c>
      <c r="H21" s="62">
        <f t="shared" si="1"/>
        <v>-15669.317000000001</v>
      </c>
      <c r="I21" s="62">
        <f t="shared" si="1"/>
        <v>-18562.426000000003</v>
      </c>
      <c r="J21" s="62">
        <f t="shared" si="1"/>
        <v>-22123.928000000004</v>
      </c>
      <c r="K21" s="62">
        <f t="shared" si="1"/>
        <v>-27356.780000000002</v>
      </c>
      <c r="L21" s="62">
        <f t="shared" si="1"/>
        <v>-32734.957000000002</v>
      </c>
      <c r="M21" s="62">
        <f t="shared" si="1"/>
        <v>-38812.14199999999</v>
      </c>
      <c r="N21" s="62">
        <f t="shared" si="1"/>
        <v>-49419.100999999995</v>
      </c>
      <c r="O21" s="62">
        <f t="shared" si="1"/>
        <v>-64108.693999999996</v>
      </c>
      <c r="P21" s="62">
        <f t="shared" si="1"/>
        <v>-295323.475</v>
      </c>
    </row>
    <row r="22" spans="2:16" ht="15">
      <c r="B22" s="11" t="s">
        <v>159</v>
      </c>
      <c r="C22" s="56">
        <f>SUM(C16:C21)</f>
        <v>0</v>
      </c>
      <c r="D22" s="56">
        <f>+D21+C22</f>
        <v>-872.9630000000001</v>
      </c>
      <c r="E22" s="56">
        <f aca="true" t="shared" si="2" ref="E22:O22">+E21+D22</f>
        <v>-5001.203999999999</v>
      </c>
      <c r="F22" s="56">
        <f t="shared" si="2"/>
        <v>-13811.305</v>
      </c>
      <c r="G22" s="56">
        <f t="shared" si="2"/>
        <v>-26536.13</v>
      </c>
      <c r="H22" s="56">
        <f t="shared" si="2"/>
        <v>-42205.447</v>
      </c>
      <c r="I22" s="56">
        <f t="shared" si="2"/>
        <v>-60767.87300000001</v>
      </c>
      <c r="J22" s="56">
        <f t="shared" si="2"/>
        <v>-82891.801</v>
      </c>
      <c r="K22" s="56">
        <f t="shared" si="2"/>
        <v>-110248.581</v>
      </c>
      <c r="L22" s="56">
        <f t="shared" si="2"/>
        <v>-142983.538</v>
      </c>
      <c r="M22" s="56">
        <f t="shared" si="2"/>
        <v>-181795.68</v>
      </c>
      <c r="N22" s="56">
        <f t="shared" si="2"/>
        <v>-231214.781</v>
      </c>
      <c r="O22" s="56">
        <f t="shared" si="2"/>
        <v>-295323.475</v>
      </c>
      <c r="P22" s="56"/>
    </row>
    <row r="23" spans="3:16" ht="1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ht="15">
      <c r="B24" s="99" t="s">
        <v>62</v>
      </c>
    </row>
    <row r="25" spans="2:16" ht="15">
      <c r="B25" s="11" t="s">
        <v>133</v>
      </c>
      <c r="C25" s="57">
        <v>0</v>
      </c>
      <c r="D25" s="57">
        <f>-'3.0 Plant in Service'!D24</f>
        <v>68407.93187210248</v>
      </c>
      <c r="E25" s="57">
        <f>-'3.0 Plant in Service'!E24</f>
        <v>94061.21492392741</v>
      </c>
      <c r="F25" s="57">
        <f>-'3.0 Plant in Service'!F24</f>
        <v>171020.2411466382</v>
      </c>
      <c r="G25" s="57">
        <f>-'3.0 Plant in Service'!G24</f>
        <v>188122.42984785483</v>
      </c>
      <c r="H25" s="57">
        <f>-'3.0 Plant in Service'!H24</f>
        <v>205224.20708268945</v>
      </c>
      <c r="I25" s="57">
        <f>-'3.0 Plant in Service'!I24</f>
        <v>213775.30143329775</v>
      </c>
      <c r="J25" s="57">
        <f>-'3.0 Plant in Service'!J24</f>
        <v>171020.2411466382</v>
      </c>
      <c r="K25" s="57">
        <f>-'3.0 Plant in Service'!K24</f>
        <v>158193.59962072573</v>
      </c>
      <c r="L25" s="57">
        <f>-'3.0 Plant in Service'!L24</f>
        <v>183846.88267255065</v>
      </c>
      <c r="M25" s="57">
        <f>-'3.0 Plant in Service'!M24</f>
        <v>153918.05244542158</v>
      </c>
      <c r="N25" s="57">
        <f>-'3.0 Plant in Service'!N24</f>
        <v>68407.93187210248</v>
      </c>
      <c r="O25" s="57">
        <f>-'3.0 Plant in Service'!O24</f>
        <v>34203.96593605124</v>
      </c>
      <c r="P25" s="58">
        <f>SUM(C25:O25)</f>
        <v>1710202</v>
      </c>
    </row>
    <row r="26" spans="2:16" ht="15">
      <c r="B26" s="11" t="s">
        <v>134</v>
      </c>
      <c r="C26" s="57"/>
      <c r="D26" s="57">
        <f>-'3.0 Plant in Service'!D25</f>
        <v>4549.750148146491</v>
      </c>
      <c r="E26" s="57">
        <f>-'3.0 Plant in Service'!E25</f>
        <v>6255.926978396235</v>
      </c>
      <c r="F26" s="57">
        <f>-'3.0 Plant in Service'!F25</f>
        <v>11374.402736625974</v>
      </c>
      <c r="G26" s="57">
        <f>-'3.0 Plant in Service'!G25</f>
        <v>12511.85395679247</v>
      </c>
      <c r="H26" s="57">
        <f>-'3.0 Plant in Service'!H25</f>
        <v>13649.277810699221</v>
      </c>
      <c r="I26" s="57">
        <f>-'3.0 Plant in Service'!I25</f>
        <v>14218.003420782468</v>
      </c>
      <c r="J26" s="57">
        <f>-'3.0 Plant in Service'!J25</f>
        <v>11374.402736625974</v>
      </c>
      <c r="K26" s="57">
        <f>-'3.0 Plant in Service'!K25</f>
        <v>10521.314321501102</v>
      </c>
      <c r="L26" s="57">
        <f>-'3.0 Plant in Service'!L25</f>
        <v>12227.491151750846</v>
      </c>
      <c r="M26" s="57">
        <f>-'3.0 Plant in Service'!M25</f>
        <v>10236.951516459478</v>
      </c>
      <c r="N26" s="57">
        <f>-'3.0 Plant in Service'!N25</f>
        <v>4549.750148146491</v>
      </c>
      <c r="O26" s="57">
        <f>-'3.0 Plant in Service'!O25</f>
        <v>2274.8750740732453</v>
      </c>
      <c r="P26" s="58">
        <f>SUM(C26:O26)</f>
        <v>113743.99999999999</v>
      </c>
    </row>
    <row r="27" spans="2:16" ht="15">
      <c r="B27" s="11" t="s">
        <v>135</v>
      </c>
      <c r="C27" s="57">
        <v>0</v>
      </c>
      <c r="D27" s="57">
        <f>-'3.0 Plant in Service'!D26</f>
        <v>110019.48176805708</v>
      </c>
      <c r="E27" s="57">
        <f>-'3.0 Plant in Service'!E26</f>
        <v>151277.28374762624</v>
      </c>
      <c r="F27" s="57">
        <f>-'3.0 Plant in Service'!F26</f>
        <v>275049.3661755397</v>
      </c>
      <c r="G27" s="57">
        <f>-'3.0 Plant in Service'!G26</f>
        <v>302554.5674952525</v>
      </c>
      <c r="H27" s="57">
        <f>-'3.0 Plant in Service'!H26</f>
        <v>330059.1070595682</v>
      </c>
      <c r="I27" s="57">
        <f>-'3.0 Plant in Service'!I26</f>
        <v>343811.7077194246</v>
      </c>
      <c r="J27" s="57">
        <f>-'3.0 Plant in Service'!J26</f>
        <v>275049.3661755397</v>
      </c>
      <c r="K27" s="57">
        <f>-'3.0 Plant in Service'!K26</f>
        <v>254420.4651857551</v>
      </c>
      <c r="L27" s="57">
        <f>-'3.0 Plant in Service'!L26</f>
        <v>295678.26716532424</v>
      </c>
      <c r="M27" s="57">
        <f>-'3.0 Plant in Service'!M26</f>
        <v>247544.16485582694</v>
      </c>
      <c r="N27" s="57">
        <f>-'3.0 Plant in Service'!N26</f>
        <v>110019.48176805708</v>
      </c>
      <c r="O27" s="57">
        <f>-'3.0 Plant in Service'!O26</f>
        <v>55009.74088402854</v>
      </c>
      <c r="P27" s="58">
        <f>SUM(C27:O27)</f>
        <v>2750493.0000000005</v>
      </c>
    </row>
    <row r="28" spans="2:16" ht="15">
      <c r="B28" s="11" t="s">
        <v>136</v>
      </c>
      <c r="C28" s="57">
        <v>0</v>
      </c>
      <c r="D28" s="57">
        <f>-'3.0 Plant in Service'!D27</f>
        <v>1023.5177837140632</v>
      </c>
      <c r="E28" s="57">
        <f>-'3.0 Plant in Service'!E27</f>
        <v>1407.3415698692052</v>
      </c>
      <c r="F28" s="57">
        <f>-'3.0 Plant in Service'!F27</f>
        <v>2558.8006156349825</v>
      </c>
      <c r="G28" s="57">
        <f>-'3.0 Plant in Service'!G27</f>
        <v>2814.6831397384103</v>
      </c>
      <c r="H28" s="57">
        <f>-'3.0 Plant in Service'!H27</f>
        <v>3070.5595074920143</v>
      </c>
      <c r="I28" s="57">
        <f>-'3.0 Plant in Service'!I27</f>
        <v>3198.500769543728</v>
      </c>
      <c r="J28" s="57">
        <f>-'3.0 Plant in Service'!J27</f>
        <v>2558.8006156349825</v>
      </c>
      <c r="K28" s="57">
        <f>-'3.0 Plant in Service'!K27</f>
        <v>2366.8887225574113</v>
      </c>
      <c r="L28" s="57">
        <f>-'3.0 Plant in Service'!L27</f>
        <v>2750.7125087125532</v>
      </c>
      <c r="M28" s="57">
        <f>-'3.0 Plant in Service'!M27</f>
        <v>2302.9180915315546</v>
      </c>
      <c r="N28" s="57">
        <f>-'3.0 Plant in Service'!N27</f>
        <v>1023.5177837140632</v>
      </c>
      <c r="O28" s="57">
        <f>-'3.0 Plant in Service'!O27</f>
        <v>511.7588918570316</v>
      </c>
      <c r="P28" s="58">
        <f>SUM(C28:O28)</f>
        <v>25588</v>
      </c>
    </row>
    <row r="29" spans="2:16" ht="15">
      <c r="B29" s="11" t="s">
        <v>137</v>
      </c>
      <c r="C29" s="57">
        <v>0</v>
      </c>
      <c r="D29" s="57">
        <f>-'3.0 Plant in Service'!D28</f>
        <v>113.55975410208791</v>
      </c>
      <c r="E29" s="57">
        <f>-'3.0 Plant in Service'!E28</f>
        <v>156.14517417768772</v>
      </c>
      <c r="F29" s="57">
        <f>-'3.0 Plant in Service'!F28</f>
        <v>283.90006830497555</v>
      </c>
      <c r="G29" s="57">
        <f>-'3.0 Plant in Service'!G28</f>
        <v>312.29034835537544</v>
      </c>
      <c r="H29" s="57">
        <f>-'3.0 Plant in Service'!H28</f>
        <v>340.6799453560195</v>
      </c>
      <c r="I29" s="57">
        <f>-'3.0 Plant in Service'!I28</f>
        <v>354.8750853812195</v>
      </c>
      <c r="J29" s="57">
        <f>-'3.0 Plant in Service'!J28</f>
        <v>283.90006830497555</v>
      </c>
      <c r="K29" s="57">
        <f>-'3.0 Plant in Service'!K28</f>
        <v>262.60735826717564</v>
      </c>
      <c r="L29" s="57">
        <f>-'3.0 Plant in Service'!L28</f>
        <v>305.19277834277545</v>
      </c>
      <c r="M29" s="57">
        <f>-'3.0 Plant in Service'!M28</f>
        <v>255.5097882545757</v>
      </c>
      <c r="N29" s="57">
        <f>-'3.0 Plant in Service'!N28</f>
        <v>113.55975410208791</v>
      </c>
      <c r="O29" s="57">
        <f>-'3.0 Plant in Service'!O28</f>
        <v>56.779877051043954</v>
      </c>
      <c r="P29" s="58">
        <f>SUM(C29:O29)</f>
        <v>2839</v>
      </c>
    </row>
    <row r="30" spans="2:16" ht="15">
      <c r="B30" s="11" t="s">
        <v>155</v>
      </c>
      <c r="C30" s="62"/>
      <c r="D30" s="62">
        <f aca="true" t="shared" si="3" ref="D30:P30">SUM(D25:D29)</f>
        <v>184114.2413261222</v>
      </c>
      <c r="E30" s="62">
        <f t="shared" si="3"/>
        <v>253157.91239399675</v>
      </c>
      <c r="F30" s="62">
        <f t="shared" si="3"/>
        <v>460286.7107427438</v>
      </c>
      <c r="G30" s="62">
        <f t="shared" si="3"/>
        <v>506315.8247879935</v>
      </c>
      <c r="H30" s="62">
        <f t="shared" si="3"/>
        <v>552343.8314058048</v>
      </c>
      <c r="I30" s="62">
        <f t="shared" si="3"/>
        <v>575358.3884284297</v>
      </c>
      <c r="J30" s="62">
        <f t="shared" si="3"/>
        <v>460286.7107427438</v>
      </c>
      <c r="K30" s="62">
        <f t="shared" si="3"/>
        <v>425764.87520880654</v>
      </c>
      <c r="L30" s="62">
        <f t="shared" si="3"/>
        <v>494808.546276681</v>
      </c>
      <c r="M30" s="62">
        <f t="shared" si="3"/>
        <v>414257.5966974941</v>
      </c>
      <c r="N30" s="62">
        <f t="shared" si="3"/>
        <v>184114.2413261222</v>
      </c>
      <c r="O30" s="62">
        <f t="shared" si="3"/>
        <v>92057.1206630611</v>
      </c>
      <c r="P30" s="62">
        <f t="shared" si="3"/>
        <v>4602866</v>
      </c>
    </row>
    <row r="31" spans="2:16" ht="15">
      <c r="B31" s="11" t="s">
        <v>156</v>
      </c>
      <c r="C31" s="56">
        <f>SUM(C25:C30)</f>
        <v>0</v>
      </c>
      <c r="D31" s="56">
        <f aca="true" t="shared" si="4" ref="D31:O31">+D30+C31</f>
        <v>184114.2413261222</v>
      </c>
      <c r="E31" s="56">
        <f t="shared" si="4"/>
        <v>437272.1537201189</v>
      </c>
      <c r="F31" s="56">
        <f t="shared" si="4"/>
        <v>897558.8644628627</v>
      </c>
      <c r="G31" s="56">
        <f t="shared" si="4"/>
        <v>1403874.6892508562</v>
      </c>
      <c r="H31" s="56">
        <f t="shared" si="4"/>
        <v>1956218.5206566611</v>
      </c>
      <c r="I31" s="56">
        <f t="shared" si="4"/>
        <v>2531576.9090850907</v>
      </c>
      <c r="J31" s="56">
        <f t="shared" si="4"/>
        <v>2991863.6198278344</v>
      </c>
      <c r="K31" s="56">
        <f t="shared" si="4"/>
        <v>3417628.495036641</v>
      </c>
      <c r="L31" s="56">
        <f t="shared" si="4"/>
        <v>3912437.0413133223</v>
      </c>
      <c r="M31" s="56">
        <f t="shared" si="4"/>
        <v>4326694.638010817</v>
      </c>
      <c r="N31" s="56">
        <f t="shared" si="4"/>
        <v>4510808.879336939</v>
      </c>
      <c r="O31" s="56">
        <f t="shared" si="4"/>
        <v>4602866</v>
      </c>
      <c r="P31" s="56"/>
    </row>
    <row r="33" ht="15">
      <c r="B33" s="99" t="s">
        <v>52</v>
      </c>
    </row>
    <row r="34" spans="2:16" ht="15">
      <c r="B34" s="11" t="s">
        <v>249</v>
      </c>
      <c r="C34" s="57">
        <v>0</v>
      </c>
      <c r="D34" s="57">
        <v>14080.512957934681</v>
      </c>
      <c r="E34" s="57">
        <v>17466.991827175065</v>
      </c>
      <c r="F34" s="57">
        <v>22623.239950114028</v>
      </c>
      <c r="G34" s="57">
        <v>25719.803071785387</v>
      </c>
      <c r="H34" s="57">
        <v>28393.508409801743</v>
      </c>
      <c r="I34" s="57">
        <v>26667.68610362659</v>
      </c>
      <c r="J34" s="57">
        <v>28971.600655756385</v>
      </c>
      <c r="K34" s="57">
        <v>28911.255882102192</v>
      </c>
      <c r="L34" s="57">
        <v>29001.228636334057</v>
      </c>
      <c r="M34" s="57">
        <v>32004.45691340398</v>
      </c>
      <c r="N34" s="57">
        <v>29056.343610545577</v>
      </c>
      <c r="O34" s="57">
        <v>19101.371981420332</v>
      </c>
      <c r="P34" s="58">
        <f>SUM(C34:O34)</f>
        <v>301998.00000000006</v>
      </c>
    </row>
    <row r="35" spans="2:16" ht="15">
      <c r="B35" s="11" t="s">
        <v>250</v>
      </c>
      <c r="C35" s="57">
        <v>0</v>
      </c>
      <c r="D35" s="57">
        <v>1135.1672825211945</v>
      </c>
      <c r="E35" s="57">
        <v>1408.1843257777577</v>
      </c>
      <c r="F35" s="57">
        <v>1823.879704717999</v>
      </c>
      <c r="G35" s="57">
        <v>2073.5238160145395</v>
      </c>
      <c r="H35" s="57">
        <v>2289.0772430726133</v>
      </c>
      <c r="I35" s="57">
        <v>2149.941898837067</v>
      </c>
      <c r="J35" s="57">
        <v>2335.682889177083</v>
      </c>
      <c r="K35" s="57">
        <v>2330.8179092627834</v>
      </c>
      <c r="L35" s="57">
        <v>2338.0714892443834</v>
      </c>
      <c r="M35" s="57">
        <v>2580.1909697105502</v>
      </c>
      <c r="N35" s="57">
        <v>2342.5148440915277</v>
      </c>
      <c r="O35" s="57">
        <v>1539.947627572503</v>
      </c>
      <c r="P35" s="58">
        <f>SUM(C35:O35)</f>
        <v>24347.000000000004</v>
      </c>
    </row>
    <row r="36" spans="2:16" ht="15">
      <c r="B36" s="11" t="s">
        <v>226</v>
      </c>
      <c r="C36" s="57">
        <v>0</v>
      </c>
      <c r="D36" s="57">
        <v>84763.05801341249</v>
      </c>
      <c r="E36" s="57">
        <v>105149.268779467</v>
      </c>
      <c r="F36" s="57">
        <v>136189.28558012852</v>
      </c>
      <c r="G36" s="57">
        <v>154830.23710714752</v>
      </c>
      <c r="H36" s="57">
        <v>170925.63372757667</v>
      </c>
      <c r="I36" s="57">
        <v>160536.38322965853</v>
      </c>
      <c r="J36" s="57">
        <v>174405.6821269032</v>
      </c>
      <c r="K36" s="57">
        <v>174042.41357515813</v>
      </c>
      <c r="L36" s="57">
        <v>174584.03914017597</v>
      </c>
      <c r="M36" s="57">
        <v>192663.12570735582</v>
      </c>
      <c r="N36" s="57">
        <v>174915.82490469003</v>
      </c>
      <c r="O36" s="57">
        <v>114988.04810832618</v>
      </c>
      <c r="P36" s="58">
        <f>SUM(C36:O36)</f>
        <v>1817993.0000000002</v>
      </c>
    </row>
    <row r="37" spans="2:16" ht="15">
      <c r="B37" s="11" t="s">
        <v>136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8">
        <f>SUM(C37:O37)</f>
        <v>0</v>
      </c>
    </row>
    <row r="38" spans="2:16" ht="15">
      <c r="B38" s="11" t="s">
        <v>137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8">
        <f>SUM(C38:O38)</f>
        <v>0</v>
      </c>
    </row>
    <row r="39" spans="2:16" ht="15">
      <c r="B39" s="11" t="s">
        <v>160</v>
      </c>
      <c r="C39" s="62"/>
      <c r="D39" s="62">
        <f aca="true" t="shared" si="5" ref="D39:P39">SUM(D34:D38)</f>
        <v>99978.73825386836</v>
      </c>
      <c r="E39" s="62">
        <f t="shared" si="5"/>
        <v>124024.44493241984</v>
      </c>
      <c r="F39" s="62">
        <f t="shared" si="5"/>
        <v>160636.40523496055</v>
      </c>
      <c r="G39" s="62">
        <f t="shared" si="5"/>
        <v>182623.56399494744</v>
      </c>
      <c r="H39" s="62">
        <f t="shared" si="5"/>
        <v>201608.21938045102</v>
      </c>
      <c r="I39" s="62">
        <f t="shared" si="5"/>
        <v>189354.0112321222</v>
      </c>
      <c r="J39" s="62">
        <f t="shared" si="5"/>
        <v>205712.9656718367</v>
      </c>
      <c r="K39" s="62">
        <f t="shared" si="5"/>
        <v>205284.4873665231</v>
      </c>
      <c r="L39" s="62">
        <f t="shared" si="5"/>
        <v>205923.33926575442</v>
      </c>
      <c r="M39" s="62">
        <f t="shared" si="5"/>
        <v>227247.77359047034</v>
      </c>
      <c r="N39" s="62">
        <f t="shared" si="5"/>
        <v>206314.68335932714</v>
      </c>
      <c r="O39" s="62">
        <f t="shared" si="5"/>
        <v>135629.36771731902</v>
      </c>
      <c r="P39" s="62">
        <f t="shared" si="5"/>
        <v>2144338.0000000005</v>
      </c>
    </row>
    <row r="40" spans="2:16" ht="15">
      <c r="B40" s="11" t="s">
        <v>161</v>
      </c>
      <c r="C40" s="56">
        <f>SUM(C34:C39)</f>
        <v>0</v>
      </c>
      <c r="D40" s="56">
        <f aca="true" t="shared" si="6" ref="D40:O40">+D39+C40</f>
        <v>99978.73825386836</v>
      </c>
      <c r="E40" s="56">
        <f t="shared" si="6"/>
        <v>224003.1831862882</v>
      </c>
      <c r="F40" s="56">
        <f t="shared" si="6"/>
        <v>384639.5884212487</v>
      </c>
      <c r="G40" s="56">
        <f t="shared" si="6"/>
        <v>567263.1524161962</v>
      </c>
      <c r="H40" s="56">
        <f t="shared" si="6"/>
        <v>768871.3717966472</v>
      </c>
      <c r="I40" s="56">
        <f t="shared" si="6"/>
        <v>958225.3830287694</v>
      </c>
      <c r="J40" s="56">
        <f t="shared" si="6"/>
        <v>1163938.348700606</v>
      </c>
      <c r="K40" s="56">
        <f t="shared" si="6"/>
        <v>1369222.8360671292</v>
      </c>
      <c r="L40" s="56">
        <f t="shared" si="6"/>
        <v>1575146.1753328836</v>
      </c>
      <c r="M40" s="56">
        <f t="shared" si="6"/>
        <v>1802393.948923354</v>
      </c>
      <c r="N40" s="56">
        <f t="shared" si="6"/>
        <v>2008708.6322826813</v>
      </c>
      <c r="O40" s="56">
        <f t="shared" si="6"/>
        <v>2144338.0000000005</v>
      </c>
      <c r="P40" s="56"/>
    </row>
    <row r="42" ht="15">
      <c r="B42" s="99" t="s">
        <v>170</v>
      </c>
    </row>
    <row r="43" spans="2:16" ht="15">
      <c r="B43" s="11" t="s">
        <v>133</v>
      </c>
      <c r="C43" s="57">
        <v>0</v>
      </c>
      <c r="D43" s="101">
        <f>+D16+D25+D34</f>
        <v>82001.97783003715</v>
      </c>
      <c r="E43" s="101">
        <f aca="true" t="shared" si="7" ref="E43:O43">+E16+E25+E34</f>
        <v>109316.32675110248</v>
      </c>
      <c r="F43" s="101">
        <f t="shared" si="7"/>
        <v>188919.0230967522</v>
      </c>
      <c r="G43" s="101">
        <f t="shared" si="7"/>
        <v>206886.21891964023</v>
      </c>
      <c r="H43" s="101">
        <f t="shared" si="7"/>
        <v>224865.77949249122</v>
      </c>
      <c r="I43" s="101">
        <f t="shared" si="7"/>
        <v>229895.84553692435</v>
      </c>
      <c r="J43" s="101">
        <f t="shared" si="7"/>
        <v>187359.2668023946</v>
      </c>
      <c r="K43" s="101">
        <f t="shared" si="7"/>
        <v>171633.88450282792</v>
      </c>
      <c r="L43" s="101">
        <f t="shared" si="7"/>
        <v>194455.36130888472</v>
      </c>
      <c r="M43" s="101">
        <f t="shared" si="7"/>
        <v>164275.05035882557</v>
      </c>
      <c r="N43" s="101">
        <f t="shared" si="7"/>
        <v>70485.83648264805</v>
      </c>
      <c r="O43" s="101">
        <f t="shared" si="7"/>
        <v>19139.33191747157</v>
      </c>
      <c r="P43" s="58">
        <f>SUM(C43:O43)</f>
        <v>1849233.903</v>
      </c>
    </row>
    <row r="44" spans="2:16" ht="15">
      <c r="B44" s="11" t="s">
        <v>134</v>
      </c>
      <c r="C44" s="57">
        <v>0</v>
      </c>
      <c r="D44" s="101">
        <f aca="true" t="shared" si="8" ref="D44:O44">+D17+D26+D35</f>
        <v>5652.957430667685</v>
      </c>
      <c r="E44" s="101">
        <f t="shared" si="8"/>
        <v>7517.103304173994</v>
      </c>
      <c r="F44" s="101">
        <f t="shared" si="8"/>
        <v>12884.455441343975</v>
      </c>
      <c r="G44" s="101">
        <f t="shared" si="8"/>
        <v>14125.513772807011</v>
      </c>
      <c r="H44" s="101">
        <f t="shared" si="8"/>
        <v>15364.064053771835</v>
      </c>
      <c r="I44" s="101">
        <f t="shared" si="8"/>
        <v>15678.657319619535</v>
      </c>
      <c r="J44" s="101">
        <f t="shared" si="8"/>
        <v>12886.187625803057</v>
      </c>
      <c r="K44" s="101">
        <f t="shared" si="8"/>
        <v>11840.131230763885</v>
      </c>
      <c r="L44" s="101">
        <f t="shared" si="8"/>
        <v>13360.222640995229</v>
      </c>
      <c r="M44" s="101">
        <f t="shared" si="8"/>
        <v>11395.201486170026</v>
      </c>
      <c r="N44" s="101">
        <f t="shared" si="8"/>
        <v>5109.347992238018</v>
      </c>
      <c r="O44" s="101">
        <f t="shared" si="8"/>
        <v>1541.2357016457483</v>
      </c>
      <c r="P44" s="58">
        <f>SUM(C44:O44)</f>
        <v>127355.07800000001</v>
      </c>
    </row>
    <row r="45" spans="2:16" ht="15">
      <c r="B45" s="11" t="s">
        <v>135</v>
      </c>
      <c r="C45" s="57">
        <v>0</v>
      </c>
      <c r="D45" s="101">
        <f aca="true" t="shared" si="9" ref="D45:O45">+D18+D27+D36</f>
        <v>194430.67878146959</v>
      </c>
      <c r="E45" s="101">
        <f t="shared" si="9"/>
        <v>254670.62152709323</v>
      </c>
      <c r="F45" s="101">
        <f t="shared" si="9"/>
        <v>407493.8987556682</v>
      </c>
      <c r="G45" s="101">
        <f t="shared" si="9"/>
        <v>452114.7176024</v>
      </c>
      <c r="H45" s="101">
        <f t="shared" si="9"/>
        <v>494689.59278714494</v>
      </c>
      <c r="I45" s="101">
        <f t="shared" si="9"/>
        <v>497077.75394908316</v>
      </c>
      <c r="J45" s="101">
        <f t="shared" si="9"/>
        <v>440854.7043024429</v>
      </c>
      <c r="K45" s="101">
        <f t="shared" si="9"/>
        <v>417673.09876091324</v>
      </c>
      <c r="L45" s="101">
        <f t="shared" si="9"/>
        <v>457225.99930550024</v>
      </c>
      <c r="M45" s="101">
        <f t="shared" si="9"/>
        <v>424582.79956318275</v>
      </c>
      <c r="N45" s="101">
        <f t="shared" si="9"/>
        <v>264429.6346727471</v>
      </c>
      <c r="O45" s="101">
        <f t="shared" si="9"/>
        <v>142528.04499235473</v>
      </c>
      <c r="P45" s="58">
        <f>SUM(C45:O45)</f>
        <v>4447771.545</v>
      </c>
    </row>
    <row r="46" spans="2:16" ht="15">
      <c r="B46" s="11" t="s">
        <v>136</v>
      </c>
      <c r="C46" s="57">
        <v>0</v>
      </c>
      <c r="D46" s="101">
        <f aca="true" t="shared" si="10" ref="D46:O46">+D19+D28+D37</f>
        <v>1022.7357837140631</v>
      </c>
      <c r="E46" s="101">
        <f t="shared" si="10"/>
        <v>1402.632569869205</v>
      </c>
      <c r="F46" s="101">
        <f t="shared" si="10"/>
        <v>2549.6816156349823</v>
      </c>
      <c r="G46" s="101">
        <f t="shared" si="10"/>
        <v>2802.62213973841</v>
      </c>
      <c r="H46" s="101">
        <f t="shared" si="10"/>
        <v>3056.9955074920144</v>
      </c>
      <c r="I46" s="101">
        <f t="shared" si="10"/>
        <v>3183.671769543728</v>
      </c>
      <c r="J46" s="101">
        <f t="shared" si="10"/>
        <v>2541.0976156349825</v>
      </c>
      <c r="K46" s="101">
        <f t="shared" si="10"/>
        <v>2343.403722557411</v>
      </c>
      <c r="L46" s="101">
        <f t="shared" si="10"/>
        <v>2721.885508712553</v>
      </c>
      <c r="M46" s="101">
        <f t="shared" si="10"/>
        <v>2268.439091531555</v>
      </c>
      <c r="N46" s="101">
        <f t="shared" si="10"/>
        <v>975.7077837140632</v>
      </c>
      <c r="O46" s="101">
        <f t="shared" si="10"/>
        <v>443.8858918570316</v>
      </c>
      <c r="P46" s="58">
        <f>SUM(C46:O46)</f>
        <v>25312.759000000002</v>
      </c>
    </row>
    <row r="47" spans="2:16" ht="15">
      <c r="B47" s="11" t="s">
        <v>137</v>
      </c>
      <c r="C47" s="57">
        <v>0</v>
      </c>
      <c r="D47" s="101">
        <f aca="true" t="shared" si="11" ref="D47:O47">+D20+D29+D38</f>
        <v>111.6667541020879</v>
      </c>
      <c r="E47" s="101">
        <f t="shared" si="11"/>
        <v>147.43217417768773</v>
      </c>
      <c r="F47" s="101">
        <f t="shared" si="11"/>
        <v>265.95606830497553</v>
      </c>
      <c r="G47" s="101">
        <f t="shared" si="11"/>
        <v>285.49134835537546</v>
      </c>
      <c r="H47" s="101">
        <f t="shared" si="11"/>
        <v>306.30194535601953</v>
      </c>
      <c r="I47" s="101">
        <f t="shared" si="11"/>
        <v>314.0450853812195</v>
      </c>
      <c r="J47" s="101">
        <f t="shared" si="11"/>
        <v>234.49206830497553</v>
      </c>
      <c r="K47" s="101">
        <f t="shared" si="11"/>
        <v>202.06435826717563</v>
      </c>
      <c r="L47" s="101">
        <f t="shared" si="11"/>
        <v>233.45977834277545</v>
      </c>
      <c r="M47" s="101">
        <f t="shared" si="11"/>
        <v>171.73778825457572</v>
      </c>
      <c r="N47" s="101">
        <f t="shared" si="11"/>
        <v>9.296754102087903</v>
      </c>
      <c r="O47" s="101">
        <f t="shared" si="11"/>
        <v>-74.70412294895605</v>
      </c>
      <c r="P47" s="58">
        <f>SUM(C47:O47)</f>
        <v>2207.24</v>
      </c>
    </row>
    <row r="48" spans="2:16" ht="15">
      <c r="B48" s="11" t="s">
        <v>171</v>
      </c>
      <c r="C48" s="62"/>
      <c r="D48" s="62">
        <f aca="true" t="shared" si="12" ref="D48:P48">SUM(D43:D47)</f>
        <v>283220.01657999057</v>
      </c>
      <c r="E48" s="62">
        <f t="shared" si="12"/>
        <v>373054.1163264166</v>
      </c>
      <c r="F48" s="62">
        <f t="shared" si="12"/>
        <v>612113.0149777043</v>
      </c>
      <c r="G48" s="62">
        <f t="shared" si="12"/>
        <v>676214.5637829411</v>
      </c>
      <c r="H48" s="62">
        <f t="shared" si="12"/>
        <v>738282.733786256</v>
      </c>
      <c r="I48" s="62">
        <f t="shared" si="12"/>
        <v>746149.9736605521</v>
      </c>
      <c r="J48" s="62">
        <f t="shared" si="12"/>
        <v>643875.7484145806</v>
      </c>
      <c r="K48" s="62">
        <f t="shared" si="12"/>
        <v>603692.5825753296</v>
      </c>
      <c r="L48" s="62">
        <f t="shared" si="12"/>
        <v>667996.9285424354</v>
      </c>
      <c r="M48" s="62">
        <f t="shared" si="12"/>
        <v>602693.2282879646</v>
      </c>
      <c r="N48" s="62">
        <f t="shared" si="12"/>
        <v>341009.8236854493</v>
      </c>
      <c r="O48" s="62">
        <f t="shared" si="12"/>
        <v>163577.79438038013</v>
      </c>
      <c r="P48" s="62">
        <f t="shared" si="12"/>
        <v>6451880.524999999</v>
      </c>
    </row>
    <row r="49" spans="2:17" ht="15">
      <c r="B49" s="11" t="s">
        <v>172</v>
      </c>
      <c r="C49" s="56">
        <f>SUM(C43:C48)</f>
        <v>0</v>
      </c>
      <c r="D49" s="56">
        <f aca="true" t="shared" si="13" ref="D49:O49">+D48+C49</f>
        <v>283220.01657999057</v>
      </c>
      <c r="E49" s="56">
        <f t="shared" si="13"/>
        <v>656274.1329064071</v>
      </c>
      <c r="F49" s="56">
        <f t="shared" si="13"/>
        <v>1268387.1478841114</v>
      </c>
      <c r="G49" s="56">
        <f t="shared" si="13"/>
        <v>1944601.7116670525</v>
      </c>
      <c r="H49" s="56">
        <f t="shared" si="13"/>
        <v>2682884.4454533085</v>
      </c>
      <c r="I49" s="56">
        <f t="shared" si="13"/>
        <v>3429034.4191138605</v>
      </c>
      <c r="J49" s="56">
        <f t="shared" si="13"/>
        <v>4072910.167528441</v>
      </c>
      <c r="K49" s="56">
        <f t="shared" si="13"/>
        <v>4676602.750103771</v>
      </c>
      <c r="L49" s="56">
        <f t="shared" si="13"/>
        <v>5344599.678646206</v>
      </c>
      <c r="M49" s="56">
        <f t="shared" si="13"/>
        <v>5947292.90693417</v>
      </c>
      <c r="N49" s="56">
        <f t="shared" si="13"/>
        <v>6288302.73061962</v>
      </c>
      <c r="O49" s="56">
        <f t="shared" si="13"/>
        <v>6451880.524999999</v>
      </c>
      <c r="P49" s="56"/>
      <c r="Q49" s="58">
        <f>AVERAGE(C49:O49)</f>
        <v>3311230.048648995</v>
      </c>
    </row>
    <row r="81" ht="15">
      <c r="Q81" s="12" t="str">
        <f>+Q1</f>
        <v>Case No. 2023-0335  PSC_Staff Set 2 No 1</v>
      </c>
    </row>
    <row r="82" spans="14:17" ht="15">
      <c r="N82" s="12"/>
      <c r="Q82" s="12" t="str">
        <f>+Q2</f>
        <v>SMRP Form 4.0</v>
      </c>
    </row>
    <row r="83" spans="14:17" ht="15">
      <c r="N83" s="12"/>
      <c r="Q83" s="12" t="s">
        <v>204</v>
      </c>
    </row>
    <row r="84" spans="1:17" ht="15">
      <c r="A84" s="166" t="s">
        <v>12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</row>
    <row r="85" spans="1:17" ht="15">
      <c r="A85" s="166" t="s">
        <v>109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</row>
    <row r="86" spans="1:17" ht="15">
      <c r="A86" s="166" t="s">
        <v>264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</row>
    <row r="91" spans="3:17" ht="15">
      <c r="C91" s="13">
        <f>+P11</f>
        <v>2023</v>
      </c>
      <c r="D91" s="13">
        <f>+C91+1</f>
        <v>2024</v>
      </c>
      <c r="E91" s="13">
        <f>+D91</f>
        <v>2024</v>
      </c>
      <c r="F91" s="13">
        <f aca="true" t="shared" si="14" ref="F91:P91">+E91</f>
        <v>2024</v>
      </c>
      <c r="G91" s="13">
        <f t="shared" si="14"/>
        <v>2024</v>
      </c>
      <c r="H91" s="13">
        <f t="shared" si="14"/>
        <v>2024</v>
      </c>
      <c r="I91" s="13">
        <f t="shared" si="14"/>
        <v>2024</v>
      </c>
      <c r="J91" s="13">
        <f t="shared" si="14"/>
        <v>2024</v>
      </c>
      <c r="K91" s="13">
        <f t="shared" si="14"/>
        <v>2024</v>
      </c>
      <c r="L91" s="13">
        <f t="shared" si="14"/>
        <v>2024</v>
      </c>
      <c r="M91" s="13">
        <f t="shared" si="14"/>
        <v>2024</v>
      </c>
      <c r="N91" s="13">
        <f t="shared" si="14"/>
        <v>2024</v>
      </c>
      <c r="O91" s="13">
        <f t="shared" si="14"/>
        <v>2024</v>
      </c>
      <c r="P91" s="13">
        <f t="shared" si="14"/>
        <v>2024</v>
      </c>
      <c r="Q91" s="13">
        <f>+P91</f>
        <v>2024</v>
      </c>
    </row>
    <row r="92" spans="3:17" ht="15">
      <c r="C92" s="13" t="s">
        <v>140</v>
      </c>
      <c r="D92" s="13" t="s">
        <v>141</v>
      </c>
      <c r="E92" s="13" t="s">
        <v>142</v>
      </c>
      <c r="F92" s="13" t="s">
        <v>143</v>
      </c>
      <c r="G92" s="13" t="s">
        <v>144</v>
      </c>
      <c r="H92" s="13" t="s">
        <v>81</v>
      </c>
      <c r="I92" s="13" t="s">
        <v>145</v>
      </c>
      <c r="J92" s="13" t="s">
        <v>146</v>
      </c>
      <c r="K92" s="13" t="s">
        <v>147</v>
      </c>
      <c r="L92" s="13" t="s">
        <v>148</v>
      </c>
      <c r="M92" s="13" t="s">
        <v>149</v>
      </c>
      <c r="N92" s="13" t="s">
        <v>150</v>
      </c>
      <c r="O92" s="13" t="s">
        <v>140</v>
      </c>
      <c r="P92" s="13" t="s">
        <v>151</v>
      </c>
      <c r="Q92" s="13" t="s">
        <v>152</v>
      </c>
    </row>
    <row r="93" spans="3:17" ht="15">
      <c r="C93" s="13" t="s">
        <v>92</v>
      </c>
      <c r="D93" s="13" t="s">
        <v>201</v>
      </c>
      <c r="E93" s="13" t="s">
        <v>201</v>
      </c>
      <c r="F93" s="13" t="s">
        <v>201</v>
      </c>
      <c r="G93" s="13" t="s">
        <v>201</v>
      </c>
      <c r="H93" s="13" t="s">
        <v>201</v>
      </c>
      <c r="I93" s="13" t="s">
        <v>201</v>
      </c>
      <c r="J93" s="13" t="s">
        <v>201</v>
      </c>
      <c r="K93" s="13" t="s">
        <v>201</v>
      </c>
      <c r="L93" s="13" t="s">
        <v>201</v>
      </c>
      <c r="M93" s="13" t="s">
        <v>201</v>
      </c>
      <c r="N93" s="13" t="s">
        <v>201</v>
      </c>
      <c r="O93" s="13" t="s">
        <v>201</v>
      </c>
      <c r="P93" s="51"/>
      <c r="Q93" s="51"/>
    </row>
    <row r="95" ht="15">
      <c r="B95" s="99" t="s">
        <v>118</v>
      </c>
    </row>
    <row r="96" spans="2:16" ht="15">
      <c r="B96" s="11" t="s">
        <v>133</v>
      </c>
      <c r="C96" s="57">
        <f>+P16</f>
        <v>-162966.097</v>
      </c>
      <c r="D96" s="57">
        <f>'5.0 Depr Expense'!E96*-1</f>
        <v>-38996.421</v>
      </c>
      <c r="E96" s="57">
        <f>'5.0 Depr Expense'!F96*-1</f>
        <v>-40347.223</v>
      </c>
      <c r="F96" s="57">
        <f>'5.0 Depr Expense'!G96*-1</f>
        <v>-41984.289</v>
      </c>
      <c r="G96" s="57">
        <f>'5.0 Depr Expense'!H96*-1</f>
        <v>-43984.445</v>
      </c>
      <c r="H96" s="57">
        <f>'5.0 Depr Expense'!I96*-1</f>
        <v>-46004.589</v>
      </c>
      <c r="I96" s="57">
        <f>'5.0 Depr Expense'!J96*-1</f>
        <v>-48587.189</v>
      </c>
      <c r="J96" s="57">
        <f>'5.0 Depr Expense'!K96*-1</f>
        <v>-50790.715</v>
      </c>
      <c r="K96" s="57">
        <f>'5.0 Depr Expense'!L96*-1</f>
        <v>-52471.577</v>
      </c>
      <c r="L96" s="57">
        <f>'5.0 Depr Expense'!M96*-1</f>
        <v>-55280.293</v>
      </c>
      <c r="M96" s="57">
        <f>'5.0 Depr Expense'!N96*-1</f>
        <v>-59717.947</v>
      </c>
      <c r="N96" s="57">
        <f>'5.0 Depr Expense'!O96*-1</f>
        <v>-63460.752</v>
      </c>
      <c r="O96" s="57">
        <f>'5.0 Depr Expense'!P96*-1</f>
        <v>-67037.14199999999</v>
      </c>
      <c r="P96" s="58">
        <f>SUM(C96:O96)</f>
        <v>-771628.679</v>
      </c>
    </row>
    <row r="97" spans="2:16" ht="15">
      <c r="B97" s="11" t="s">
        <v>134</v>
      </c>
      <c r="C97" s="57">
        <f>+P17</f>
        <v>-10735.921999999999</v>
      </c>
      <c r="D97" s="57">
        <f>'5.0 Depr Expense'!E106*-1</f>
        <v>-2569.895</v>
      </c>
      <c r="E97" s="57">
        <f>'5.0 Depr Expense'!F106*-1</f>
        <v>-2654.994</v>
      </c>
      <c r="F97" s="57">
        <f>'5.0 Depr Expense'!G106*-1</f>
        <v>-2840.465</v>
      </c>
      <c r="G97" s="57">
        <f>'5.0 Depr Expense'!H106*-1</f>
        <v>-3060.153</v>
      </c>
      <c r="H97" s="57">
        <f>'5.0 Depr Expense'!I106*-1</f>
        <v>-3517.7799999999997</v>
      </c>
      <c r="I97" s="57">
        <f>'5.0 Depr Expense'!J106*-1</f>
        <v>-3867.592</v>
      </c>
      <c r="J97" s="57">
        <f>'5.0 Depr Expense'!K106*-1</f>
        <v>-4070.2</v>
      </c>
      <c r="K97" s="57">
        <f>'5.0 Depr Expense'!L106*-1</f>
        <v>-4283.466</v>
      </c>
      <c r="L97" s="57">
        <f>'5.0 Depr Expense'!M106*-1</f>
        <v>-4292.325</v>
      </c>
      <c r="M97" s="57">
        <f>'5.0 Depr Expense'!N106*-1</f>
        <v>-4321.434</v>
      </c>
      <c r="N97" s="57">
        <f>'5.0 Depr Expense'!O106*-1</f>
        <v>-4363.556</v>
      </c>
      <c r="O97" s="57">
        <f>'5.0 Depr Expense'!P106*-1</f>
        <v>-4506.842</v>
      </c>
      <c r="P97" s="58">
        <f>SUM(C97:O97)</f>
        <v>-55084.62399999999</v>
      </c>
    </row>
    <row r="98" spans="2:16" ht="15">
      <c r="B98" s="11" t="s">
        <v>135</v>
      </c>
      <c r="C98" s="57">
        <f>+P18</f>
        <v>-120714.45499999999</v>
      </c>
      <c r="D98" s="57">
        <f>'5.0 Depr Expense'!E116*-1</f>
        <v>-32677.389</v>
      </c>
      <c r="E98" s="57">
        <f>'5.0 Depr Expense'!F116*-1</f>
        <v>-35396.19</v>
      </c>
      <c r="F98" s="57">
        <f>'5.0 Depr Expense'!G116*-1</f>
        <v>-38656.137</v>
      </c>
      <c r="G98" s="57">
        <f>'5.0 Depr Expense'!H116*-1</f>
        <v>-42469.109</v>
      </c>
      <c r="H98" s="57">
        <f>'5.0 Depr Expense'!I116*-1</f>
        <v>-46447.916</v>
      </c>
      <c r="I98" s="57">
        <f>'5.0 Depr Expense'!J116*-1</f>
        <v>-50313.589</v>
      </c>
      <c r="J98" s="57">
        <f>'5.0 Depr Expense'!K116*-1</f>
        <v>-53515.275</v>
      </c>
      <c r="K98" s="57">
        <f>'5.0 Depr Expense'!L116*-1</f>
        <v>-57202.599</v>
      </c>
      <c r="L98" s="57">
        <f>'5.0 Depr Expense'!M116*-1</f>
        <v>-61412.795</v>
      </c>
      <c r="M98" s="57">
        <f>'5.0 Depr Expense'!N116*-1</f>
        <v>-64699.667</v>
      </c>
      <c r="N98" s="57">
        <f>'5.0 Depr Expense'!O116*-1</f>
        <v>-67204.106</v>
      </c>
      <c r="O98" s="57">
        <f>'5.0 Depr Expense'!P116*-1</f>
        <v>-69516.92</v>
      </c>
      <c r="P98" s="58">
        <f>SUM(C98:O98)</f>
        <v>-740226.1470000001</v>
      </c>
    </row>
    <row r="99" spans="2:16" ht="15">
      <c r="B99" s="11" t="s">
        <v>136</v>
      </c>
      <c r="C99" s="57">
        <f>+P19</f>
        <v>-275.241</v>
      </c>
      <c r="D99" s="57">
        <f>'5.0 Depr Expense'!E126*-1</f>
        <v>-86.82300000000001</v>
      </c>
      <c r="E99" s="57">
        <f>'5.0 Depr Expense'!F126*-1</f>
        <v>-104.318</v>
      </c>
      <c r="F99" s="57">
        <f>'5.0 Depr Expense'!G126*-1</f>
        <v>-120.17699999999999</v>
      </c>
      <c r="G99" s="57">
        <f>'5.0 Depr Expense'!H126*-1</f>
        <v>-132.045</v>
      </c>
      <c r="H99" s="57">
        <f>'5.0 Depr Expense'!I126*-1</f>
        <v>-142.151</v>
      </c>
      <c r="I99" s="57">
        <f>'5.0 Depr Expense'!J126*-1</f>
        <v>-155.105</v>
      </c>
      <c r="J99" s="57">
        <f>'5.0 Depr Expense'!K126*-1</f>
        <v>-171.932</v>
      </c>
      <c r="K99" s="57">
        <f>'5.0 Depr Expense'!L126*-1</f>
        <v>-198.57</v>
      </c>
      <c r="L99" s="57">
        <f>'5.0 Depr Expense'!M126*-1</f>
        <v>-238.829</v>
      </c>
      <c r="M99" s="57">
        <f>'5.0 Depr Expense'!N126*-1</f>
        <v>-283.53</v>
      </c>
      <c r="N99" s="57">
        <f>'5.0 Depr Expense'!O126*-1</f>
        <v>-313.653</v>
      </c>
      <c r="O99" s="57">
        <f>'5.0 Depr Expense'!P126*-1</f>
        <v>-341.843</v>
      </c>
      <c r="P99" s="58">
        <f>SUM(C99:O99)</f>
        <v>-2564.2169999999996</v>
      </c>
    </row>
    <row r="100" spans="2:16" ht="15">
      <c r="B100" s="11" t="s">
        <v>137</v>
      </c>
      <c r="C100" s="57">
        <f>+P20</f>
        <v>-631.7600000000001</v>
      </c>
      <c r="D100" s="57">
        <f>'5.0 Depr Expense'!E136*-1</f>
        <v>-164.77100000000002</v>
      </c>
      <c r="E100" s="57">
        <f>'5.0 Depr Expense'!F136*-1</f>
        <v>-197.148</v>
      </c>
      <c r="F100" s="57">
        <f>'5.0 Depr Expense'!G136*-1</f>
        <v>-221.33</v>
      </c>
      <c r="G100" s="57">
        <f>'5.0 Depr Expense'!H136*-1</f>
        <v>-240.292</v>
      </c>
      <c r="H100" s="57">
        <f>'5.0 Depr Expense'!I136*-1</f>
        <v>-253.59</v>
      </c>
      <c r="I100" s="57">
        <f>'5.0 Depr Expense'!J136*-1</f>
        <v>-265.782</v>
      </c>
      <c r="J100" s="57">
        <f>'5.0 Depr Expense'!K136*-1</f>
        <v>-277.451</v>
      </c>
      <c r="K100" s="57">
        <f>'5.0 Depr Expense'!L136*-1</f>
        <v>-288.681</v>
      </c>
      <c r="L100" s="57">
        <f>'5.0 Depr Expense'!M136*-1</f>
        <v>-307.546</v>
      </c>
      <c r="M100" s="57">
        <f>'5.0 Depr Expense'!N136*-1</f>
        <v>-330.294</v>
      </c>
      <c r="N100" s="57">
        <f>'5.0 Depr Expense'!O136*-1</f>
        <v>-352.012</v>
      </c>
      <c r="O100" s="57">
        <f>'5.0 Depr Expense'!P136*-1</f>
        <v>-376.633</v>
      </c>
      <c r="P100" s="58">
        <f>SUM(C100:O100)</f>
        <v>-3907.2899999999995</v>
      </c>
    </row>
    <row r="101" spans="2:16" ht="15">
      <c r="B101" s="11" t="s">
        <v>158</v>
      </c>
      <c r="C101" s="62"/>
      <c r="D101" s="62">
        <f aca="true" t="shared" si="15" ref="D101:P101">SUM(D96:D100)</f>
        <v>-74495.299</v>
      </c>
      <c r="E101" s="62">
        <f t="shared" si="15"/>
        <v>-78699.873</v>
      </c>
      <c r="F101" s="62">
        <f t="shared" si="15"/>
        <v>-83822.398</v>
      </c>
      <c r="G101" s="62">
        <f t="shared" si="15"/>
        <v>-89886.044</v>
      </c>
      <c r="H101" s="62">
        <f t="shared" si="15"/>
        <v>-96366.026</v>
      </c>
      <c r="I101" s="62">
        <f t="shared" si="15"/>
        <v>-103189.257</v>
      </c>
      <c r="J101" s="62">
        <f t="shared" si="15"/>
        <v>-108825.573</v>
      </c>
      <c r="K101" s="62">
        <f t="shared" si="15"/>
        <v>-114444.893</v>
      </c>
      <c r="L101" s="62">
        <f t="shared" si="15"/>
        <v>-121531.788</v>
      </c>
      <c r="M101" s="62">
        <f t="shared" si="15"/>
        <v>-129352.872</v>
      </c>
      <c r="N101" s="62">
        <f t="shared" si="15"/>
        <v>-135694.07899999997</v>
      </c>
      <c r="O101" s="62">
        <f t="shared" si="15"/>
        <v>-141779.37999999998</v>
      </c>
      <c r="P101" s="62">
        <f t="shared" si="15"/>
        <v>-1573410.9570000002</v>
      </c>
    </row>
    <row r="102" spans="2:16" ht="15">
      <c r="B102" s="11" t="s">
        <v>159</v>
      </c>
      <c r="C102" s="56">
        <f>SUM(C96:C101)</f>
        <v>-295323.475</v>
      </c>
      <c r="D102" s="56">
        <f aca="true" t="shared" si="16" ref="D102:O102">+D101+C102</f>
        <v>-369818.774</v>
      </c>
      <c r="E102" s="56">
        <f t="shared" si="16"/>
        <v>-448518.647</v>
      </c>
      <c r="F102" s="56">
        <f t="shared" si="16"/>
        <v>-532341.045</v>
      </c>
      <c r="G102" s="56">
        <f t="shared" si="16"/>
        <v>-622227.089</v>
      </c>
      <c r="H102" s="56">
        <f t="shared" si="16"/>
        <v>-718593.115</v>
      </c>
      <c r="I102" s="56">
        <f t="shared" si="16"/>
        <v>-821782.372</v>
      </c>
      <c r="J102" s="56">
        <f t="shared" si="16"/>
        <v>-930607.945</v>
      </c>
      <c r="K102" s="56">
        <f t="shared" si="16"/>
        <v>-1045052.838</v>
      </c>
      <c r="L102" s="56">
        <f t="shared" si="16"/>
        <v>-1166584.626</v>
      </c>
      <c r="M102" s="56">
        <f t="shared" si="16"/>
        <v>-1295937.498</v>
      </c>
      <c r="N102" s="56">
        <f t="shared" si="16"/>
        <v>-1431631.5769999998</v>
      </c>
      <c r="O102" s="56">
        <f t="shared" si="16"/>
        <v>-1573410.9569999997</v>
      </c>
      <c r="P102" s="56"/>
    </row>
    <row r="103" spans="3:16" ht="15"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</row>
    <row r="104" ht="15">
      <c r="B104" s="99" t="s">
        <v>62</v>
      </c>
    </row>
    <row r="105" spans="2:16" ht="15">
      <c r="B105" s="11" t="s">
        <v>133</v>
      </c>
      <c r="C105" s="57">
        <f>+P25</f>
        <v>1710202</v>
      </c>
      <c r="D105" s="57">
        <f>-'3.0 Plant in Service'!D97</f>
        <v>10872.773776682474</v>
      </c>
      <c r="E105" s="57">
        <f>-'3.0 Plant in Service'!E97</f>
        <v>464.1127750854386</v>
      </c>
      <c r="F105" s="57">
        <f>-'3.0 Plant in Service'!F97</f>
        <v>799.823502605223</v>
      </c>
      <c r="G105" s="57">
        <f>-'3.0 Plant in Service'!G97</f>
        <v>5865.210416414552</v>
      </c>
      <c r="H105" s="57">
        <f>-'3.0 Plant in Service'!H97</f>
        <v>8774.271283454618</v>
      </c>
      <c r="I105" s="57">
        <f>-'3.0 Plant in Service'!I97</f>
        <v>1945.5473091633708</v>
      </c>
      <c r="J105" s="57">
        <f>-'3.0 Plant in Service'!J97</f>
        <v>7052.205601515201</v>
      </c>
      <c r="K105" s="57">
        <f>-'3.0 Plant in Service'!K97</f>
        <v>1219.9458611167438</v>
      </c>
      <c r="L105" s="57">
        <f>-'3.0 Plant in Service'!L97</f>
        <v>45568.520140757675</v>
      </c>
      <c r="M105" s="57">
        <f>-'3.0 Plant in Service'!M97</f>
        <v>45748.70778525417</v>
      </c>
      <c r="N105" s="57">
        <f>-'3.0 Plant in Service'!N97</f>
        <v>28291.12520174447</v>
      </c>
      <c r="O105" s="57">
        <f>-'3.0 Plant in Service'!O97</f>
        <v>114056.75634620605</v>
      </c>
      <c r="P105" s="58">
        <f>SUM(C105:O105)</f>
        <v>1980861.0000000002</v>
      </c>
    </row>
    <row r="106" spans="2:16" ht="15">
      <c r="B106" s="11" t="s">
        <v>134</v>
      </c>
      <c r="C106" s="57">
        <f>+P26</f>
        <v>113743.99999999999</v>
      </c>
      <c r="D106" s="57">
        <f>-'3.0 Plant in Service'!D98</f>
        <v>13920.699075574954</v>
      </c>
      <c r="E106" s="57">
        <f>-'3.0 Plant in Service'!E98</f>
        <v>9726.731028190583</v>
      </c>
      <c r="F106" s="57">
        <f>-'3.0 Plant in Service'!F98</f>
        <v>5995.376090847709</v>
      </c>
      <c r="G106" s="57">
        <f>-'3.0 Plant in Service'!G98</f>
        <v>14286.84987086611</v>
      </c>
      <c r="H106" s="57">
        <f>-'3.0 Plant in Service'!H98</f>
        <v>21330.138679792384</v>
      </c>
      <c r="I106" s="57">
        <f>-'3.0 Plant in Service'!I98</f>
        <v>32162.548412264143</v>
      </c>
      <c r="J106" s="57">
        <f>-'3.0 Plant in Service'!J98</f>
        <v>56110.765664551844</v>
      </c>
      <c r="K106" s="57">
        <f>-'3.0 Plant in Service'!K98</f>
        <v>23514.051427214676</v>
      </c>
      <c r="L106" s="57">
        <f>-'3.0 Plant in Service'!L98</f>
        <v>42480.748564683585</v>
      </c>
      <c r="M106" s="57">
        <f>-'3.0 Plant in Service'!M98</f>
        <v>26692.364387453785</v>
      </c>
      <c r="N106" s="57">
        <f>-'3.0 Plant in Service'!N98</f>
        <v>47655.24780919504</v>
      </c>
      <c r="O106" s="57">
        <f>-'3.0 Plant in Service'!O98</f>
        <v>38834.4789893652</v>
      </c>
      <c r="P106" s="58">
        <f>SUM(C106:O106)</f>
        <v>446454.00000000006</v>
      </c>
    </row>
    <row r="107" spans="2:16" ht="15">
      <c r="B107" s="11" t="s">
        <v>135</v>
      </c>
      <c r="C107" s="57">
        <f>+P27</f>
        <v>2750493.0000000005</v>
      </c>
      <c r="D107" s="57">
        <f>-'3.0 Plant in Service'!D99</f>
        <v>261131.07673132105</v>
      </c>
      <c r="E107" s="57">
        <f>-'3.0 Plant in Service'!E99</f>
        <v>272770.6394373798</v>
      </c>
      <c r="F107" s="57">
        <f>-'3.0 Plant in Service'!F99</f>
        <v>277541.40632934205</v>
      </c>
      <c r="G107" s="57">
        <f>-'3.0 Plant in Service'!G99</f>
        <v>437686.5468883188</v>
      </c>
      <c r="H107" s="57">
        <f>-'3.0 Plant in Service'!H99</f>
        <v>444461.42472238117</v>
      </c>
      <c r="I107" s="57">
        <f>-'3.0 Plant in Service'!I99</f>
        <v>507119.2773018261</v>
      </c>
      <c r="J107" s="57">
        <f>-'3.0 Plant in Service'!J99</f>
        <v>397350.938509798</v>
      </c>
      <c r="K107" s="57">
        <f>-'3.0 Plant in Service'!K99</f>
        <v>290648.80179505283</v>
      </c>
      <c r="L107" s="57">
        <f>-'3.0 Plant in Service'!L99</f>
        <v>433456.4826125109</v>
      </c>
      <c r="M107" s="57">
        <f>-'3.0 Plant in Service'!M99</f>
        <v>452192.31972346077</v>
      </c>
      <c r="N107" s="57">
        <f>-'3.0 Plant in Service'!N99</f>
        <v>524944.8352707113</v>
      </c>
      <c r="O107" s="57">
        <f>-'3.0 Plant in Service'!O99</f>
        <v>546965.2506778972</v>
      </c>
      <c r="P107" s="58">
        <f>SUM(C107:O107)</f>
        <v>7596762.000000002</v>
      </c>
    </row>
    <row r="108" spans="2:16" ht="15">
      <c r="B108" s="11" t="s">
        <v>136</v>
      </c>
      <c r="C108" s="57">
        <f>+P28</f>
        <v>25588</v>
      </c>
      <c r="D108" s="57">
        <f>-'3.0 Plant in Service'!D100</f>
        <v>1083.0268822244816</v>
      </c>
      <c r="E108" s="57">
        <f>-'3.0 Plant in Service'!E100</f>
        <v>1407.809873709644</v>
      </c>
      <c r="F108" s="57">
        <f>-'3.0 Plant in Service'!F100</f>
        <v>1895.6328350574754</v>
      </c>
      <c r="G108" s="57">
        <f>-'3.0 Plant in Service'!G100</f>
        <v>3106.098602378177</v>
      </c>
      <c r="H108" s="57">
        <f>-'3.0 Plant in Service'!H100</f>
        <v>2789.498805468539</v>
      </c>
      <c r="I108" s="57">
        <f>-'3.0 Plant in Service'!I100</f>
        <v>3262.113676650419</v>
      </c>
      <c r="J108" s="57">
        <f>-'3.0 Plant in Service'!J100</f>
        <v>3153.1324736359516</v>
      </c>
      <c r="K108" s="57">
        <f>-'3.0 Plant in Service'!K100</f>
        <v>4519.754853010118</v>
      </c>
      <c r="L108" s="57">
        <f>-'3.0 Plant in Service'!L100</f>
        <v>2821.4321866759965</v>
      </c>
      <c r="M108" s="57">
        <f>-'3.0 Plant in Service'!M100</f>
        <v>2426.523169996629</v>
      </c>
      <c r="N108" s="57">
        <f>-'3.0 Plant in Service'!N100</f>
        <v>3076.4472412953423</v>
      </c>
      <c r="O108" s="57">
        <f>-'3.0 Plant in Service'!O100</f>
        <v>368.5293998972261</v>
      </c>
      <c r="P108" s="58">
        <f>SUM(C108:O108)</f>
        <v>55498.00000000001</v>
      </c>
    </row>
    <row r="109" spans="2:16" ht="15">
      <c r="B109" s="11" t="s">
        <v>137</v>
      </c>
      <c r="C109" s="57">
        <f>+P29</f>
        <v>2839</v>
      </c>
      <c r="D109" s="57">
        <f>-'3.0 Plant in Service'!D101</f>
        <v>180.8271686960844</v>
      </c>
      <c r="E109" s="57">
        <f>-'3.0 Plant in Service'!E101</f>
        <v>111.87649079163305</v>
      </c>
      <c r="F109" s="57">
        <f>-'3.0 Plant in Service'!F101</f>
        <v>135.42223561193455</v>
      </c>
      <c r="G109" s="57">
        <f>-'3.0 Plant in Service'!G101</f>
        <v>150.10353352433253</v>
      </c>
      <c r="H109" s="57">
        <f>-'3.0 Plant in Service'!H101</f>
        <v>252.63437805489215</v>
      </c>
      <c r="I109" s="57">
        <f>-'3.0 Plant in Service'!I101</f>
        <v>245.63339923034246</v>
      </c>
      <c r="J109" s="57">
        <f>-'3.0 Plant in Service'!J101</f>
        <v>857.5279120133475</v>
      </c>
      <c r="K109" s="57">
        <f>-'3.0 Plant in Service'!K101</f>
        <v>244.94698250596784</v>
      </c>
      <c r="L109" s="57">
        <f>-'3.0 Plant in Service'!L101</f>
        <v>309.5274216469432</v>
      </c>
      <c r="M109" s="57">
        <f>-'3.0 Plant in Service'!M101</f>
        <v>273.35892377927576</v>
      </c>
      <c r="N109" s="57">
        <f>-'3.0 Plant in Service'!N101</f>
        <v>428.96557714444043</v>
      </c>
      <c r="O109" s="57">
        <f>-'3.0 Plant in Service'!O101</f>
        <v>61.175977000806</v>
      </c>
      <c r="P109" s="58">
        <f>SUM(C109:O109)</f>
        <v>6090.999999999999</v>
      </c>
    </row>
    <row r="110" spans="2:16" ht="15">
      <c r="B110" s="11" t="s">
        <v>155</v>
      </c>
      <c r="C110" s="62"/>
      <c r="D110" s="62">
        <f aca="true" t="shared" si="17" ref="D110:P110">SUM(D105:D109)</f>
        <v>287188.40363449906</v>
      </c>
      <c r="E110" s="62">
        <f t="shared" si="17"/>
        <v>284481.16960515705</v>
      </c>
      <c r="F110" s="62">
        <f t="shared" si="17"/>
        <v>286367.66099346435</v>
      </c>
      <c r="G110" s="62">
        <f t="shared" si="17"/>
        <v>461094.8093115019</v>
      </c>
      <c r="H110" s="62">
        <f t="shared" si="17"/>
        <v>477607.9678691516</v>
      </c>
      <c r="I110" s="62">
        <f t="shared" si="17"/>
        <v>544735.1200991344</v>
      </c>
      <c r="J110" s="62">
        <f t="shared" si="17"/>
        <v>464524.5701615144</v>
      </c>
      <c r="K110" s="62">
        <f t="shared" si="17"/>
        <v>320147.5009189003</v>
      </c>
      <c r="L110" s="62">
        <f t="shared" si="17"/>
        <v>524636.7109262751</v>
      </c>
      <c r="M110" s="62">
        <f t="shared" si="17"/>
        <v>527333.2739899446</v>
      </c>
      <c r="N110" s="62">
        <f t="shared" si="17"/>
        <v>604396.6211000907</v>
      </c>
      <c r="O110" s="62">
        <f t="shared" si="17"/>
        <v>700286.1913903665</v>
      </c>
      <c r="P110" s="62">
        <f t="shared" si="17"/>
        <v>10085666.000000002</v>
      </c>
    </row>
    <row r="111" spans="2:16" ht="15">
      <c r="B111" s="11" t="s">
        <v>156</v>
      </c>
      <c r="C111" s="56">
        <f>SUM(C105:C110)</f>
        <v>4602866</v>
      </c>
      <c r="D111" s="56">
        <f aca="true" t="shared" si="18" ref="D111:O111">+D110+C111</f>
        <v>4890054.403634499</v>
      </c>
      <c r="E111" s="56">
        <f t="shared" si="18"/>
        <v>5174535.573239656</v>
      </c>
      <c r="F111" s="56">
        <f t="shared" si="18"/>
        <v>5460903.23423312</v>
      </c>
      <c r="G111" s="56">
        <f t="shared" si="18"/>
        <v>5921998.043544622</v>
      </c>
      <c r="H111" s="56">
        <f t="shared" si="18"/>
        <v>6399606.0114137735</v>
      </c>
      <c r="I111" s="56">
        <f t="shared" si="18"/>
        <v>6944341.131512908</v>
      </c>
      <c r="J111" s="56">
        <f t="shared" si="18"/>
        <v>7408865.701674422</v>
      </c>
      <c r="K111" s="56">
        <f t="shared" si="18"/>
        <v>7729013.202593323</v>
      </c>
      <c r="L111" s="56">
        <f t="shared" si="18"/>
        <v>8253649.913519598</v>
      </c>
      <c r="M111" s="56">
        <f t="shared" si="18"/>
        <v>8780983.187509542</v>
      </c>
      <c r="N111" s="56">
        <f t="shared" si="18"/>
        <v>9385379.808609633</v>
      </c>
      <c r="O111" s="56">
        <f t="shared" si="18"/>
        <v>10085666</v>
      </c>
      <c r="P111" s="56"/>
    </row>
    <row r="113" ht="15">
      <c r="B113" s="99" t="s">
        <v>52</v>
      </c>
    </row>
    <row r="114" spans="2:16" ht="15">
      <c r="B114" s="11" t="s">
        <v>133</v>
      </c>
      <c r="C114" s="57">
        <f>+P34</f>
        <v>301998.00000000006</v>
      </c>
      <c r="D114" s="57">
        <v>0</v>
      </c>
      <c r="E114" s="57">
        <v>4252.699619212679</v>
      </c>
      <c r="F114" s="57">
        <v>9.540063608307149</v>
      </c>
      <c r="G114" s="57">
        <v>3069.406825401722</v>
      </c>
      <c r="H114" s="57">
        <v>381.61472832156863</v>
      </c>
      <c r="I114" s="57">
        <v>1257.6313737541047</v>
      </c>
      <c r="J114" s="57">
        <v>3331.7281146569626</v>
      </c>
      <c r="K114" s="57">
        <v>27.69420763944081</v>
      </c>
      <c r="L114" s="57">
        <v>11780.012318825358</v>
      </c>
      <c r="M114" s="57">
        <v>13082.236393615205</v>
      </c>
      <c r="N114" s="57">
        <v>11800.739304786455</v>
      </c>
      <c r="O114" s="57">
        <v>7757.697050178201</v>
      </c>
      <c r="P114" s="58">
        <f>SUM(C114:O114)</f>
        <v>358749</v>
      </c>
    </row>
    <row r="115" spans="2:16" ht="15">
      <c r="B115" s="11" t="s">
        <v>134</v>
      </c>
      <c r="C115" s="57">
        <f>+P35</f>
        <v>24347.000000000004</v>
      </c>
      <c r="D115" s="57">
        <v>1880.905165198925</v>
      </c>
      <c r="E115" s="57">
        <v>328.36116507061615</v>
      </c>
      <c r="F115" s="57">
        <v>2508.239933957017</v>
      </c>
      <c r="G115" s="57">
        <v>7484.355292116947</v>
      </c>
      <c r="H115" s="57">
        <v>2964.325630698498</v>
      </c>
      <c r="I115" s="57">
        <v>9306.347941915172</v>
      </c>
      <c r="J115" s="57">
        <v>2422.6226291399967</v>
      </c>
      <c r="K115" s="57">
        <v>11474.302476372244</v>
      </c>
      <c r="L115" s="57">
        <v>120367.16440580857</v>
      </c>
      <c r="M115" s="57">
        <v>2335.40793226519</v>
      </c>
      <c r="N115" s="57">
        <v>3436.1354401492945</v>
      </c>
      <c r="O115" s="57">
        <v>2970.831987307493</v>
      </c>
      <c r="P115" s="58">
        <f>SUM(C115:O115)</f>
        <v>191825.99999999997</v>
      </c>
    </row>
    <row r="116" spans="2:16" ht="15">
      <c r="B116" s="11" t="s">
        <v>135</v>
      </c>
      <c r="C116" s="57">
        <f>+P36</f>
        <v>1817993.0000000002</v>
      </c>
      <c r="D116" s="57">
        <v>458078.02094274305</v>
      </c>
      <c r="E116" s="57">
        <v>112045.92518846538</v>
      </c>
      <c r="F116" s="57">
        <v>148463.57338592375</v>
      </c>
      <c r="G116" s="57">
        <v>153311.55268959142</v>
      </c>
      <c r="H116" s="57">
        <v>205134.47447921877</v>
      </c>
      <c r="I116" s="57">
        <v>198956.40412902832</v>
      </c>
      <c r="J116" s="57">
        <v>175243.06639599765</v>
      </c>
      <c r="K116" s="57">
        <v>221185.27436054777</v>
      </c>
      <c r="L116" s="57">
        <v>215452.50898139496</v>
      </c>
      <c r="M116" s="57">
        <v>289256.1478673079</v>
      </c>
      <c r="N116" s="57">
        <v>264217.2145096781</v>
      </c>
      <c r="O116" s="57">
        <v>194932.8370701031</v>
      </c>
      <c r="P116" s="58">
        <f>SUM(C116:O116)</f>
        <v>4454270.000000001</v>
      </c>
    </row>
    <row r="117" spans="2:16" ht="15">
      <c r="B117" s="11" t="s">
        <v>136</v>
      </c>
      <c r="C117" s="57">
        <f>+P37</f>
        <v>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8">
        <f>SUM(C117:O117)</f>
        <v>0</v>
      </c>
    </row>
    <row r="118" spans="2:16" ht="15">
      <c r="B118" s="11" t="s">
        <v>137</v>
      </c>
      <c r="C118" s="57">
        <f>+P38</f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8">
        <f>SUM(C118:O118)</f>
        <v>0</v>
      </c>
    </row>
    <row r="119" spans="2:16" ht="15">
      <c r="B119" s="11" t="s">
        <v>160</v>
      </c>
      <c r="C119" s="62"/>
      <c r="D119" s="62">
        <f aca="true" t="shared" si="19" ref="D119:P119">SUM(D114:D118)</f>
        <v>459958.92610794195</v>
      </c>
      <c r="E119" s="62">
        <f t="shared" si="19"/>
        <v>116626.98597274868</v>
      </c>
      <c r="F119" s="62">
        <f t="shared" si="19"/>
        <v>150981.35338348907</v>
      </c>
      <c r="G119" s="62">
        <f t="shared" si="19"/>
        <v>163865.3148071101</v>
      </c>
      <c r="H119" s="62">
        <f t="shared" si="19"/>
        <v>208480.41483823882</v>
      </c>
      <c r="I119" s="62">
        <f t="shared" si="19"/>
        <v>209520.3834446976</v>
      </c>
      <c r="J119" s="62">
        <f t="shared" si="19"/>
        <v>180997.41713979462</v>
      </c>
      <c r="K119" s="62">
        <f t="shared" si="19"/>
        <v>232687.27104455946</v>
      </c>
      <c r="L119" s="62">
        <f t="shared" si="19"/>
        <v>347599.6857060289</v>
      </c>
      <c r="M119" s="62">
        <f t="shared" si="19"/>
        <v>304673.7921931883</v>
      </c>
      <c r="N119" s="62">
        <f t="shared" si="19"/>
        <v>279454.08925461385</v>
      </c>
      <c r="O119" s="62">
        <f t="shared" si="19"/>
        <v>205661.36610758878</v>
      </c>
      <c r="P119" s="62">
        <f t="shared" si="19"/>
        <v>5004845.000000001</v>
      </c>
    </row>
    <row r="120" spans="2:16" ht="15">
      <c r="B120" s="11" t="s">
        <v>161</v>
      </c>
      <c r="C120" s="56">
        <f>SUM(C114:C119)</f>
        <v>2144338.0000000005</v>
      </c>
      <c r="D120" s="56">
        <f aca="true" t="shared" si="20" ref="D120:O120">+D119+C120</f>
        <v>2604296.9261079426</v>
      </c>
      <c r="E120" s="56">
        <f t="shared" si="20"/>
        <v>2720923.912080691</v>
      </c>
      <c r="F120" s="56">
        <f t="shared" si="20"/>
        <v>2871905.26546418</v>
      </c>
      <c r="G120" s="56">
        <f t="shared" si="20"/>
        <v>3035770.58027129</v>
      </c>
      <c r="H120" s="56">
        <f t="shared" si="20"/>
        <v>3244250.995109529</v>
      </c>
      <c r="I120" s="56">
        <f t="shared" si="20"/>
        <v>3453771.3785542264</v>
      </c>
      <c r="J120" s="56">
        <f t="shared" si="20"/>
        <v>3634768.795694021</v>
      </c>
      <c r="K120" s="56">
        <f t="shared" si="20"/>
        <v>3867456.0667385804</v>
      </c>
      <c r="L120" s="56">
        <f t="shared" si="20"/>
        <v>4215055.752444609</v>
      </c>
      <c r="M120" s="56">
        <f t="shared" si="20"/>
        <v>4519729.544637797</v>
      </c>
      <c r="N120" s="56">
        <f t="shared" si="20"/>
        <v>4799183.633892411</v>
      </c>
      <c r="O120" s="56">
        <f t="shared" si="20"/>
        <v>5004845</v>
      </c>
      <c r="P120" s="56"/>
    </row>
    <row r="122" ht="15">
      <c r="B122" s="99" t="s">
        <v>170</v>
      </c>
    </row>
    <row r="123" spans="2:16" ht="15">
      <c r="B123" s="11" t="s">
        <v>133</v>
      </c>
      <c r="C123" s="101">
        <f>+C96+C105+C114</f>
        <v>1849233.903</v>
      </c>
      <c r="D123" s="101">
        <f>+D96+D105+D114</f>
        <v>-28123.64722331753</v>
      </c>
      <c r="E123" s="101">
        <f aca="true" t="shared" si="21" ref="E123:O123">+E96+E105+E114</f>
        <v>-35630.41060570188</v>
      </c>
      <c r="F123" s="101">
        <f t="shared" si="21"/>
        <v>-41174.92543378647</v>
      </c>
      <c r="G123" s="101">
        <f t="shared" si="21"/>
        <v>-35049.82775818373</v>
      </c>
      <c r="H123" s="101">
        <f t="shared" si="21"/>
        <v>-36848.70298822381</v>
      </c>
      <c r="I123" s="101">
        <f t="shared" si="21"/>
        <v>-45384.010317082524</v>
      </c>
      <c r="J123" s="101">
        <f t="shared" si="21"/>
        <v>-40406.781283827826</v>
      </c>
      <c r="K123" s="101">
        <f t="shared" si="21"/>
        <v>-51223.936931243814</v>
      </c>
      <c r="L123" s="101">
        <f t="shared" si="21"/>
        <v>2068.2394595830356</v>
      </c>
      <c r="M123" s="101">
        <f t="shared" si="21"/>
        <v>-887.0028211306253</v>
      </c>
      <c r="N123" s="101">
        <f t="shared" si="21"/>
        <v>-23368.887493469076</v>
      </c>
      <c r="O123" s="101">
        <f t="shared" si="21"/>
        <v>54777.311396384255</v>
      </c>
      <c r="P123" s="58">
        <f>SUM(C123:O123)</f>
        <v>1567981.321</v>
      </c>
    </row>
    <row r="124" spans="2:16" ht="15">
      <c r="B124" s="11" t="s">
        <v>134</v>
      </c>
      <c r="C124" s="101">
        <f>+C97+C106+C115</f>
        <v>127355.07799999998</v>
      </c>
      <c r="D124" s="101">
        <f aca="true" t="shared" si="22" ref="D124:O124">+D97+D106+D115</f>
        <v>13231.709240773878</v>
      </c>
      <c r="E124" s="101">
        <f t="shared" si="22"/>
        <v>7400.0981932611985</v>
      </c>
      <c r="F124" s="101">
        <f t="shared" si="22"/>
        <v>5663.151024804725</v>
      </c>
      <c r="G124" s="101">
        <f t="shared" si="22"/>
        <v>18711.052162983055</v>
      </c>
      <c r="H124" s="101">
        <f t="shared" si="22"/>
        <v>20776.684310490884</v>
      </c>
      <c r="I124" s="101">
        <f t="shared" si="22"/>
        <v>37601.304354179316</v>
      </c>
      <c r="J124" s="101">
        <f t="shared" si="22"/>
        <v>54463.18829369184</v>
      </c>
      <c r="K124" s="101">
        <f t="shared" si="22"/>
        <v>30704.887903586918</v>
      </c>
      <c r="L124" s="101">
        <f t="shared" si="22"/>
        <v>158555.58797049214</v>
      </c>
      <c r="M124" s="101">
        <f t="shared" si="22"/>
        <v>24706.338319718972</v>
      </c>
      <c r="N124" s="101">
        <f t="shared" si="22"/>
        <v>46727.82724934434</v>
      </c>
      <c r="O124" s="101">
        <f t="shared" si="22"/>
        <v>37298.468976672695</v>
      </c>
      <c r="P124" s="58">
        <f>SUM(C124:O124)</f>
        <v>583195.3759999999</v>
      </c>
    </row>
    <row r="125" spans="2:16" ht="15">
      <c r="B125" s="11" t="s">
        <v>135</v>
      </c>
      <c r="C125" s="101">
        <f>+C98+C107+C116</f>
        <v>4447771.545000001</v>
      </c>
      <c r="D125" s="101">
        <f aca="true" t="shared" si="23" ref="D125:O125">+D98+D107+D116</f>
        <v>686531.7086740641</v>
      </c>
      <c r="E125" s="101">
        <f t="shared" si="23"/>
        <v>349420.3746258452</v>
      </c>
      <c r="F125" s="101">
        <f t="shared" si="23"/>
        <v>387348.8427152658</v>
      </c>
      <c r="G125" s="101">
        <f t="shared" si="23"/>
        <v>548528.9905779102</v>
      </c>
      <c r="H125" s="101">
        <f t="shared" si="23"/>
        <v>603147.9832015999</v>
      </c>
      <c r="I125" s="101">
        <f t="shared" si="23"/>
        <v>655762.0924308544</v>
      </c>
      <c r="J125" s="101">
        <f t="shared" si="23"/>
        <v>519078.72990579566</v>
      </c>
      <c r="K125" s="101">
        <f t="shared" si="23"/>
        <v>454631.4771556006</v>
      </c>
      <c r="L125" s="101">
        <f t="shared" si="23"/>
        <v>587496.1965939059</v>
      </c>
      <c r="M125" s="101">
        <f t="shared" si="23"/>
        <v>676748.8005907687</v>
      </c>
      <c r="N125" s="101">
        <f t="shared" si="23"/>
        <v>721957.9437803894</v>
      </c>
      <c r="O125" s="101">
        <f t="shared" si="23"/>
        <v>672381.1677480004</v>
      </c>
      <c r="P125" s="58">
        <f>SUM(C125:O125)</f>
        <v>11310805.853</v>
      </c>
    </row>
    <row r="126" spans="2:16" ht="15">
      <c r="B126" s="11" t="s">
        <v>136</v>
      </c>
      <c r="C126" s="101">
        <f>+C99+C108+C117</f>
        <v>25312.759</v>
      </c>
      <c r="D126" s="101">
        <f aca="true" t="shared" si="24" ref="D126:O126">+D99+D108+D117</f>
        <v>996.2038822244816</v>
      </c>
      <c r="E126" s="101">
        <f t="shared" si="24"/>
        <v>1303.491873709644</v>
      </c>
      <c r="F126" s="101">
        <f t="shared" si="24"/>
        <v>1775.4558350574755</v>
      </c>
      <c r="G126" s="101">
        <f t="shared" si="24"/>
        <v>2974.053602378177</v>
      </c>
      <c r="H126" s="101">
        <f t="shared" si="24"/>
        <v>2647.3478054685393</v>
      </c>
      <c r="I126" s="101">
        <f t="shared" si="24"/>
        <v>3107.008676650419</v>
      </c>
      <c r="J126" s="101">
        <f t="shared" si="24"/>
        <v>2981.2004736359518</v>
      </c>
      <c r="K126" s="101">
        <f t="shared" si="24"/>
        <v>4321.184853010118</v>
      </c>
      <c r="L126" s="101">
        <f t="shared" si="24"/>
        <v>2582.6031866759963</v>
      </c>
      <c r="M126" s="101">
        <f t="shared" si="24"/>
        <v>2142.993169996629</v>
      </c>
      <c r="N126" s="101">
        <f t="shared" si="24"/>
        <v>2762.7942412953425</v>
      </c>
      <c r="O126" s="101">
        <f t="shared" si="24"/>
        <v>26.686399897226067</v>
      </c>
      <c r="P126" s="58">
        <f>SUM(C126:O126)</f>
        <v>52933.782999999996</v>
      </c>
    </row>
    <row r="127" spans="2:16" ht="15">
      <c r="B127" s="11" t="s">
        <v>137</v>
      </c>
      <c r="C127" s="101">
        <f>+C100+C109+C118</f>
        <v>2207.24</v>
      </c>
      <c r="D127" s="101">
        <f aca="true" t="shared" si="25" ref="D127:O127">+D100+D109+D118</f>
        <v>16.0561686960844</v>
      </c>
      <c r="E127" s="101">
        <f t="shared" si="25"/>
        <v>-85.27150920836695</v>
      </c>
      <c r="F127" s="101">
        <f t="shared" si="25"/>
        <v>-85.90776438806546</v>
      </c>
      <c r="G127" s="101">
        <f t="shared" si="25"/>
        <v>-90.18846647566747</v>
      </c>
      <c r="H127" s="101">
        <f t="shared" si="25"/>
        <v>-0.9556219451078505</v>
      </c>
      <c r="I127" s="101">
        <f t="shared" si="25"/>
        <v>-20.14860076965752</v>
      </c>
      <c r="J127" s="101">
        <f t="shared" si="25"/>
        <v>580.0769120133475</v>
      </c>
      <c r="K127" s="101">
        <f t="shared" si="25"/>
        <v>-43.734017494032145</v>
      </c>
      <c r="L127" s="101">
        <f t="shared" si="25"/>
        <v>1.981421646943204</v>
      </c>
      <c r="M127" s="101">
        <f t="shared" si="25"/>
        <v>-56.93507622072423</v>
      </c>
      <c r="N127" s="101">
        <f t="shared" si="25"/>
        <v>76.95357714444043</v>
      </c>
      <c r="O127" s="101">
        <f t="shared" si="25"/>
        <v>-315.457022999194</v>
      </c>
      <c r="P127" s="58">
        <f>SUM(C127:O127)</f>
        <v>2183.7099999999996</v>
      </c>
    </row>
    <row r="128" spans="2:16" ht="15">
      <c r="B128" s="11" t="s">
        <v>171</v>
      </c>
      <c r="C128" s="62"/>
      <c r="D128" s="62">
        <f aca="true" t="shared" si="26" ref="D128:P128">SUM(D123:D127)</f>
        <v>672652.0307424411</v>
      </c>
      <c r="E128" s="62">
        <f t="shared" si="26"/>
        <v>322408.2825779058</v>
      </c>
      <c r="F128" s="62">
        <f t="shared" si="26"/>
        <v>353526.6163769535</v>
      </c>
      <c r="G128" s="62">
        <f t="shared" si="26"/>
        <v>535074.080118612</v>
      </c>
      <c r="H128" s="62">
        <f t="shared" si="26"/>
        <v>589722.3567073904</v>
      </c>
      <c r="I128" s="62">
        <f t="shared" si="26"/>
        <v>651066.246543832</v>
      </c>
      <c r="J128" s="62">
        <f t="shared" si="26"/>
        <v>536696.4143013089</v>
      </c>
      <c r="K128" s="62">
        <f t="shared" si="26"/>
        <v>438389.8789634598</v>
      </c>
      <c r="L128" s="62">
        <f t="shared" si="26"/>
        <v>750704.608632304</v>
      </c>
      <c r="M128" s="62">
        <f t="shared" si="26"/>
        <v>702654.194183133</v>
      </c>
      <c r="N128" s="62">
        <f t="shared" si="26"/>
        <v>748156.6313547044</v>
      </c>
      <c r="O128" s="62">
        <f t="shared" si="26"/>
        <v>764168.1774979554</v>
      </c>
      <c r="P128" s="62">
        <f t="shared" si="26"/>
        <v>13517100.043000001</v>
      </c>
    </row>
    <row r="129" spans="2:17" ht="15">
      <c r="B129" s="11" t="s">
        <v>172</v>
      </c>
      <c r="C129" s="56">
        <f>SUM(C123:C128)</f>
        <v>6451880.525</v>
      </c>
      <c r="D129" s="56">
        <f aca="true" t="shared" si="27" ref="D129:O129">+D128+C129</f>
        <v>7124532.555742442</v>
      </c>
      <c r="E129" s="56">
        <f t="shared" si="27"/>
        <v>7446940.8383203475</v>
      </c>
      <c r="F129" s="56">
        <f t="shared" si="27"/>
        <v>7800467.454697301</v>
      </c>
      <c r="G129" s="56">
        <f t="shared" si="27"/>
        <v>8335541.534815913</v>
      </c>
      <c r="H129" s="56">
        <f t="shared" si="27"/>
        <v>8925263.891523303</v>
      </c>
      <c r="I129" s="56">
        <f t="shared" si="27"/>
        <v>9576330.138067136</v>
      </c>
      <c r="J129" s="56">
        <f t="shared" si="27"/>
        <v>10113026.552368445</v>
      </c>
      <c r="K129" s="56">
        <f t="shared" si="27"/>
        <v>10551416.431331905</v>
      </c>
      <c r="L129" s="56">
        <f t="shared" si="27"/>
        <v>11302121.039964208</v>
      </c>
      <c r="M129" s="56">
        <f t="shared" si="27"/>
        <v>12004775.234147342</v>
      </c>
      <c r="N129" s="56">
        <f t="shared" si="27"/>
        <v>12752931.865502046</v>
      </c>
      <c r="O129" s="56">
        <f t="shared" si="27"/>
        <v>13517100.043000001</v>
      </c>
      <c r="P129" s="56"/>
      <c r="Q129" s="58">
        <f>AVERAGE(C129:O129)</f>
        <v>9684794.469575414</v>
      </c>
    </row>
  </sheetData>
  <sheetProtection/>
  <mergeCells count="6">
    <mergeCell ref="A5:Q5"/>
    <mergeCell ref="A6:Q6"/>
    <mergeCell ref="A84:Q84"/>
    <mergeCell ref="A85:Q85"/>
    <mergeCell ref="A86:Q86"/>
    <mergeCell ref="A4:Q4"/>
  </mergeCells>
  <printOptions/>
  <pageMargins left="0.7" right="0.7" top="0.75" bottom="0.75" header="0.3" footer="0.3"/>
  <pageSetup fitToHeight="2" fitToWidth="1" horizontalDpi="1200" verticalDpi="1200" orientation="landscape" scale="47" r:id="rId1"/>
  <rowBreaks count="1" manualBreakCount="1">
    <brk id="80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0"/>
  <sheetViews>
    <sheetView workbookViewId="0" topLeftCell="E51">
      <selection activeCell="C12" sqref="C12"/>
    </sheetView>
  </sheetViews>
  <sheetFormatPr defaultColWidth="9.140625" defaultRowHeight="12.75"/>
  <cols>
    <col min="1" max="1" width="2.00390625" style="11" customWidth="1"/>
    <col min="2" max="2" width="50.8515625" style="11" bestFit="1" customWidth="1"/>
    <col min="3" max="3" width="15.28125" style="11" bestFit="1" customWidth="1"/>
    <col min="4" max="16" width="14.28125" style="11" bestFit="1" customWidth="1"/>
    <col min="17" max="17" width="23.140625" style="11" bestFit="1" customWidth="1"/>
    <col min="18" max="16384" width="8.7109375" style="11" customWidth="1"/>
  </cols>
  <sheetData>
    <row r="1" ht="15">
      <c r="Q1" s="12" t="str">
        <f>+'4.0 Accumulated Depr'!Q1</f>
        <v>Case No. 2023-0335  PSC_Staff Set 2 No 1</v>
      </c>
    </row>
    <row r="2" spans="14:17" ht="15">
      <c r="N2" s="12"/>
      <c r="Q2" s="12" t="s">
        <v>206</v>
      </c>
    </row>
    <row r="3" spans="14:17" ht="15">
      <c r="N3" s="12"/>
      <c r="Q3" s="12" t="s">
        <v>203</v>
      </c>
    </row>
    <row r="4" spans="1:17" ht="1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ht="15">
      <c r="A5" s="166" t="s">
        <v>109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15">
      <c r="A6" s="166" t="s">
        <v>207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8" spans="3:17" ht="15">
      <c r="C8" s="51" t="s">
        <v>60</v>
      </c>
      <c r="D8" s="13">
        <v>2022</v>
      </c>
      <c r="E8" s="13">
        <f>+D8+1</f>
        <v>2023</v>
      </c>
      <c r="F8" s="13">
        <f>+E8</f>
        <v>2023</v>
      </c>
      <c r="G8" s="13">
        <f aca="true" t="shared" si="0" ref="G8:Q8">+F8</f>
        <v>2023</v>
      </c>
      <c r="H8" s="13">
        <f t="shared" si="0"/>
        <v>2023</v>
      </c>
      <c r="I8" s="13">
        <f t="shared" si="0"/>
        <v>2023</v>
      </c>
      <c r="J8" s="13">
        <f t="shared" si="0"/>
        <v>2023</v>
      </c>
      <c r="K8" s="13">
        <f t="shared" si="0"/>
        <v>2023</v>
      </c>
      <c r="L8" s="13">
        <f t="shared" si="0"/>
        <v>2023</v>
      </c>
      <c r="M8" s="13">
        <f t="shared" si="0"/>
        <v>2023</v>
      </c>
      <c r="N8" s="13">
        <f t="shared" si="0"/>
        <v>2023</v>
      </c>
      <c r="O8" s="13">
        <f t="shared" si="0"/>
        <v>2023</v>
      </c>
      <c r="P8" s="13">
        <f t="shared" si="0"/>
        <v>2023</v>
      </c>
      <c r="Q8" s="13">
        <f t="shared" si="0"/>
        <v>2023</v>
      </c>
    </row>
    <row r="9" spans="3:17" ht="15">
      <c r="C9" s="51" t="s">
        <v>23</v>
      </c>
      <c r="D9" s="13" t="s">
        <v>140</v>
      </c>
      <c r="E9" s="13" t="s">
        <v>141</v>
      </c>
      <c r="F9" s="13" t="s">
        <v>142</v>
      </c>
      <c r="G9" s="13" t="s">
        <v>143</v>
      </c>
      <c r="H9" s="13" t="s">
        <v>144</v>
      </c>
      <c r="I9" s="13" t="s">
        <v>81</v>
      </c>
      <c r="J9" s="13" t="s">
        <v>145</v>
      </c>
      <c r="K9" s="13" t="s">
        <v>146</v>
      </c>
      <c r="L9" s="13" t="s">
        <v>147</v>
      </c>
      <c r="M9" s="13" t="s">
        <v>148</v>
      </c>
      <c r="N9" s="13" t="s">
        <v>149</v>
      </c>
      <c r="O9" s="13" t="s">
        <v>150</v>
      </c>
      <c r="P9" s="13" t="s">
        <v>140</v>
      </c>
      <c r="Q9" s="13" t="s">
        <v>151</v>
      </c>
    </row>
    <row r="10" spans="3:17" ht="15">
      <c r="C10" s="51" t="s">
        <v>162</v>
      </c>
      <c r="D10" s="13" t="s">
        <v>92</v>
      </c>
      <c r="E10" s="13" t="s">
        <v>270</v>
      </c>
      <c r="F10" s="13" t="s">
        <v>270</v>
      </c>
      <c r="G10" s="13" t="s">
        <v>270</v>
      </c>
      <c r="H10" s="13" t="s">
        <v>270</v>
      </c>
      <c r="I10" s="13" t="s">
        <v>270</v>
      </c>
      <c r="J10" s="13" t="s">
        <v>270</v>
      </c>
      <c r="K10" s="13" t="s">
        <v>270</v>
      </c>
      <c r="L10" s="13" t="s">
        <v>270</v>
      </c>
      <c r="M10" s="13" t="s">
        <v>201</v>
      </c>
      <c r="N10" s="13" t="s">
        <v>201</v>
      </c>
      <c r="O10" s="13" t="s">
        <v>201</v>
      </c>
      <c r="P10" s="13" t="s">
        <v>201</v>
      </c>
      <c r="Q10" s="51"/>
    </row>
    <row r="11" spans="2:3" ht="15">
      <c r="B11" s="99"/>
      <c r="C11" s="99"/>
    </row>
    <row r="12" spans="1:17" ht="15">
      <c r="A12" s="102"/>
      <c r="B12" s="103" t="s">
        <v>133</v>
      </c>
      <c r="C12" s="104">
        <f>1.74%/12</f>
        <v>0.00145</v>
      </c>
      <c r="D12" s="62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</row>
    <row r="13" spans="1:17" ht="15">
      <c r="A13" s="107"/>
      <c r="B13" s="55" t="s">
        <v>166</v>
      </c>
      <c r="C13" s="108"/>
      <c r="D13" s="56">
        <v>0</v>
      </c>
      <c r="E13" s="56">
        <f>+'3.0 Plant in Service'!D15</f>
        <v>739397.0624285896</v>
      </c>
      <c r="F13" s="56">
        <f>+'3.0 Plant in Service'!E15</f>
        <v>1802860.7569600036</v>
      </c>
      <c r="G13" s="56">
        <f>+'3.0 Plant in Service'!F15</f>
        <v>1927513.3481448865</v>
      </c>
      <c r="H13" s="56">
        <f>+'3.0 Plant in Service'!G15</f>
        <v>1509520.3992005445</v>
      </c>
      <c r="I13" s="56">
        <f>+'3.0 Plant in Service'!H15</f>
        <v>1360997.5949975976</v>
      </c>
      <c r="J13" s="56">
        <f>+'3.0 Plant in Service'!I15</f>
        <v>1533970.6048641603</v>
      </c>
      <c r="K13" s="56">
        <f>+'3.0 Plant in Service'!J15</f>
        <v>1727675.1107367566</v>
      </c>
      <c r="L13" s="56">
        <f>+'3.0 Plant in Service'!K15</f>
        <v>2516774.363494861</v>
      </c>
      <c r="M13" s="56">
        <f>+'3.0 Plant in Service'!L15</f>
        <v>1855226.5828115884</v>
      </c>
      <c r="N13" s="56">
        <f>+'3.0 Plant in Service'!M15</f>
        <v>2972482.2377306903</v>
      </c>
      <c r="O13" s="56">
        <f>+'3.0 Plant in Service'!N15</f>
        <v>4602806.782664564</v>
      </c>
      <c r="P13" s="56">
        <f>+'3.0 Plant in Service'!O15</f>
        <v>5413523.15596576</v>
      </c>
      <c r="Q13" s="109">
        <f>SUM(D13:P13)</f>
        <v>27962748.000000004</v>
      </c>
    </row>
    <row r="14" spans="1:17" ht="15">
      <c r="A14" s="107"/>
      <c r="B14" s="55" t="s">
        <v>167</v>
      </c>
      <c r="C14" s="108"/>
      <c r="D14" s="56">
        <v>0</v>
      </c>
      <c r="E14" s="59">
        <f>+'3.0 Plant in Service'!D24</f>
        <v>-68407.93187210248</v>
      </c>
      <c r="F14" s="59">
        <f>+'3.0 Plant in Service'!E24</f>
        <v>-94061.21492392741</v>
      </c>
      <c r="G14" s="59">
        <f>+'3.0 Plant in Service'!F24</f>
        <v>-171020.2411466382</v>
      </c>
      <c r="H14" s="59">
        <f>+'3.0 Plant in Service'!G24</f>
        <v>-188122.42984785483</v>
      </c>
      <c r="I14" s="59">
        <f>+'3.0 Plant in Service'!H24</f>
        <v>-205224.20708268945</v>
      </c>
      <c r="J14" s="59">
        <f>+'3.0 Plant in Service'!I24</f>
        <v>-213775.30143329775</v>
      </c>
      <c r="K14" s="59">
        <f>+'3.0 Plant in Service'!J24</f>
        <v>-171020.2411466382</v>
      </c>
      <c r="L14" s="59">
        <f>+'3.0 Plant in Service'!K24</f>
        <v>-158193.59962072573</v>
      </c>
      <c r="M14" s="59">
        <f>+'3.0 Plant in Service'!L24</f>
        <v>-183846.88267255065</v>
      </c>
      <c r="N14" s="59">
        <f>+'3.0 Plant in Service'!M24</f>
        <v>-153918.05244542158</v>
      </c>
      <c r="O14" s="59">
        <f>+'3.0 Plant in Service'!N24</f>
        <v>-68407.93187210248</v>
      </c>
      <c r="P14" s="59">
        <f>+'3.0 Plant in Service'!O24</f>
        <v>-34203.96593605124</v>
      </c>
      <c r="Q14" s="109"/>
    </row>
    <row r="15" spans="1:17" ht="15">
      <c r="A15" s="107"/>
      <c r="B15" s="55" t="s">
        <v>219</v>
      </c>
      <c r="C15" s="108"/>
      <c r="D15" s="56">
        <f>SUM(D13:D14)</f>
        <v>0</v>
      </c>
      <c r="E15" s="56">
        <f>SUM(E13:E14)</f>
        <v>670989.1305564871</v>
      </c>
      <c r="F15" s="56">
        <f aca="true" t="shared" si="1" ref="F15:P15">SUM(F13:F14)</f>
        <v>1708799.5420360763</v>
      </c>
      <c r="G15" s="56">
        <f t="shared" si="1"/>
        <v>1756493.1069982483</v>
      </c>
      <c r="H15" s="56">
        <f t="shared" si="1"/>
        <v>1321397.9693526896</v>
      </c>
      <c r="I15" s="56">
        <f t="shared" si="1"/>
        <v>1155773.3879149081</v>
      </c>
      <c r="J15" s="56">
        <f t="shared" si="1"/>
        <v>1320195.3034308625</v>
      </c>
      <c r="K15" s="56">
        <f t="shared" si="1"/>
        <v>1556654.8695901183</v>
      </c>
      <c r="L15" s="56">
        <f t="shared" si="1"/>
        <v>2358580.763874135</v>
      </c>
      <c r="M15" s="56">
        <f t="shared" si="1"/>
        <v>1671379.7001390378</v>
      </c>
      <c r="N15" s="56">
        <f t="shared" si="1"/>
        <v>2818564.185285269</v>
      </c>
      <c r="O15" s="56">
        <f t="shared" si="1"/>
        <v>4534398.850792462</v>
      </c>
      <c r="P15" s="56">
        <f t="shared" si="1"/>
        <v>5379319.190029709</v>
      </c>
      <c r="Q15" s="109">
        <f>SUM(D15:P15)</f>
        <v>26252546</v>
      </c>
    </row>
    <row r="16" spans="1:17" ht="15">
      <c r="A16" s="107"/>
      <c r="B16" s="55" t="s">
        <v>163</v>
      </c>
      <c r="C16" s="108"/>
      <c r="D16" s="56">
        <v>0</v>
      </c>
      <c r="E16" s="56">
        <f>+E15+D16</f>
        <v>670989.1305564871</v>
      </c>
      <c r="F16" s="56">
        <f aca="true" t="shared" si="2" ref="F16:P16">+F15+E16</f>
        <v>2379788.6725925636</v>
      </c>
      <c r="G16" s="56">
        <f t="shared" si="2"/>
        <v>4136281.7795908116</v>
      </c>
      <c r="H16" s="56">
        <f t="shared" si="2"/>
        <v>5457679.748943501</v>
      </c>
      <c r="I16" s="56">
        <f t="shared" si="2"/>
        <v>6613453.136858409</v>
      </c>
      <c r="J16" s="56">
        <f t="shared" si="2"/>
        <v>7933648.440289272</v>
      </c>
      <c r="K16" s="56">
        <f t="shared" si="2"/>
        <v>9490303.30987939</v>
      </c>
      <c r="L16" s="56">
        <f t="shared" si="2"/>
        <v>11848884.073753525</v>
      </c>
      <c r="M16" s="56">
        <f t="shared" si="2"/>
        <v>13520263.773892563</v>
      </c>
      <c r="N16" s="56">
        <f t="shared" si="2"/>
        <v>16338827.959177831</v>
      </c>
      <c r="O16" s="56">
        <f t="shared" si="2"/>
        <v>20873226.809970293</v>
      </c>
      <c r="P16" s="56">
        <f t="shared" si="2"/>
        <v>26252546</v>
      </c>
      <c r="Q16" s="109"/>
    </row>
    <row r="17" spans="1:17" ht="15">
      <c r="A17" s="107"/>
      <c r="B17" s="55"/>
      <c r="C17" s="10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109"/>
    </row>
    <row r="18" spans="1:17" ht="15">
      <c r="A18" s="107"/>
      <c r="B18" s="55" t="s">
        <v>164</v>
      </c>
      <c r="C18" s="108"/>
      <c r="D18" s="56"/>
      <c r="E18" s="56">
        <f>ROUND($C12*D16,0)</f>
        <v>0</v>
      </c>
      <c r="F18" s="56">
        <f aca="true" t="shared" si="3" ref="F18:P18">ROUND($C12*E16,0)</f>
        <v>973</v>
      </c>
      <c r="G18" s="56">
        <f t="shared" si="3"/>
        <v>3451</v>
      </c>
      <c r="H18" s="56">
        <f t="shared" si="3"/>
        <v>5998</v>
      </c>
      <c r="I18" s="56">
        <f t="shared" si="3"/>
        <v>7914</v>
      </c>
      <c r="J18" s="56">
        <f t="shared" si="3"/>
        <v>9590</v>
      </c>
      <c r="K18" s="56">
        <f t="shared" si="3"/>
        <v>11504</v>
      </c>
      <c r="L18" s="56">
        <f t="shared" si="3"/>
        <v>13761</v>
      </c>
      <c r="M18" s="56">
        <f t="shared" si="3"/>
        <v>17181</v>
      </c>
      <c r="N18" s="56">
        <f t="shared" si="3"/>
        <v>19604</v>
      </c>
      <c r="O18" s="56">
        <f t="shared" si="3"/>
        <v>23691</v>
      </c>
      <c r="P18" s="56">
        <f t="shared" si="3"/>
        <v>30266</v>
      </c>
      <c r="Q18" s="109"/>
    </row>
    <row r="19" spans="1:17" ht="15">
      <c r="A19" s="107"/>
      <c r="B19" s="55" t="s">
        <v>165</v>
      </c>
      <c r="C19" s="108"/>
      <c r="D19" s="56"/>
      <c r="E19" s="59">
        <f>ROUND($C12*E15*0.5,3)</f>
        <v>486.467</v>
      </c>
      <c r="F19" s="59">
        <f aca="true" t="shared" si="4" ref="F19:P19">ROUND($C12*F15*0.5,3)</f>
        <v>1238.88</v>
      </c>
      <c r="G19" s="59">
        <f t="shared" si="4"/>
        <v>1273.458</v>
      </c>
      <c r="H19" s="59">
        <f t="shared" si="4"/>
        <v>958.014</v>
      </c>
      <c r="I19" s="59">
        <f t="shared" si="4"/>
        <v>837.936</v>
      </c>
      <c r="J19" s="59">
        <f t="shared" si="4"/>
        <v>957.142</v>
      </c>
      <c r="K19" s="59">
        <f t="shared" si="4"/>
        <v>1128.575</v>
      </c>
      <c r="L19" s="59">
        <f t="shared" si="4"/>
        <v>1709.971</v>
      </c>
      <c r="M19" s="59">
        <f t="shared" si="4"/>
        <v>1211.75</v>
      </c>
      <c r="N19" s="59">
        <f t="shared" si="4"/>
        <v>2043.459</v>
      </c>
      <c r="O19" s="59">
        <f t="shared" si="4"/>
        <v>3287.439</v>
      </c>
      <c r="P19" s="59">
        <f t="shared" si="4"/>
        <v>3900.006</v>
      </c>
      <c r="Q19" s="109"/>
    </row>
    <row r="20" spans="1:17" ht="15">
      <c r="A20" s="107"/>
      <c r="B20" s="55" t="s">
        <v>274</v>
      </c>
      <c r="C20" s="108"/>
      <c r="D20" s="56">
        <v>0</v>
      </c>
      <c r="E20" s="56">
        <f>SUM(E18:E19)</f>
        <v>486.467</v>
      </c>
      <c r="F20" s="56">
        <f aca="true" t="shared" si="5" ref="F20:P20">SUM(F18:F19)</f>
        <v>2211.88</v>
      </c>
      <c r="G20" s="56">
        <f t="shared" si="5"/>
        <v>4724.4580000000005</v>
      </c>
      <c r="H20" s="56">
        <f t="shared" si="5"/>
        <v>6956.014</v>
      </c>
      <c r="I20" s="56">
        <f t="shared" si="5"/>
        <v>8751.936</v>
      </c>
      <c r="J20" s="56">
        <f t="shared" si="5"/>
        <v>10547.142</v>
      </c>
      <c r="K20" s="56">
        <f t="shared" si="5"/>
        <v>12632.575</v>
      </c>
      <c r="L20" s="56">
        <f t="shared" si="5"/>
        <v>15470.971</v>
      </c>
      <c r="M20" s="56">
        <f t="shared" si="5"/>
        <v>18392.75</v>
      </c>
      <c r="N20" s="56">
        <f t="shared" si="5"/>
        <v>21647.459</v>
      </c>
      <c r="O20" s="56">
        <f t="shared" si="5"/>
        <v>26978.439</v>
      </c>
      <c r="P20" s="56">
        <f t="shared" si="5"/>
        <v>34166.006</v>
      </c>
      <c r="Q20" s="109">
        <f>SUM(D20:P20)</f>
        <v>162966.097</v>
      </c>
    </row>
    <row r="21" spans="1:17" ht="15">
      <c r="A21" s="110"/>
      <c r="B21" s="111"/>
      <c r="C21" s="112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113"/>
    </row>
    <row r="22" spans="1:17" ht="15">
      <c r="A22" s="102"/>
      <c r="B22" s="103" t="s">
        <v>134</v>
      </c>
      <c r="C22" s="104">
        <f>2.52%/12</f>
        <v>0.0021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106"/>
    </row>
    <row r="23" spans="1:17" ht="15">
      <c r="A23" s="107"/>
      <c r="B23" s="55" t="s">
        <v>166</v>
      </c>
      <c r="C23" s="108"/>
      <c r="D23" s="56">
        <v>0</v>
      </c>
      <c r="E23" s="56">
        <f>+'3.0 Plant in Service'!D16</f>
        <v>34988.13055959344</v>
      </c>
      <c r="F23" s="56">
        <f>+'3.0 Plant in Service'!E16</f>
        <v>85311.03347651743</v>
      </c>
      <c r="G23" s="56">
        <f>+'3.0 Plant in Service'!F16</f>
        <v>91209.5707531509</v>
      </c>
      <c r="H23" s="56">
        <f>+'3.0 Plant in Service'!G16</f>
        <v>71430.2226683503</v>
      </c>
      <c r="I23" s="56">
        <f>+'3.0 Plant in Service'!H16</f>
        <v>64402.15138083215</v>
      </c>
      <c r="J23" s="56">
        <f>+'3.0 Plant in Service'!I16</f>
        <v>72587.20182263268</v>
      </c>
      <c r="K23" s="56">
        <f>+'3.0 Plant in Service'!J16</f>
        <v>81753.26277395879</v>
      </c>
      <c r="L23" s="56">
        <f>+'3.0 Plant in Service'!K16</f>
        <v>119093.29167439094</v>
      </c>
      <c r="M23" s="56">
        <f>+'3.0 Plant in Service'!L16</f>
        <v>87788.97455155807</v>
      </c>
      <c r="N23" s="56">
        <f>+'3.0 Plant in Service'!M16</f>
        <v>140657.3029627613</v>
      </c>
      <c r="O23" s="56">
        <f>+'3.0 Plant in Service'!N16</f>
        <v>217803.9551895075</v>
      </c>
      <c r="P23" s="56">
        <f>+'3.0 Plant in Service'!O16</f>
        <v>256166.90218674668</v>
      </c>
      <c r="Q23" s="109">
        <f>SUM(D23:P23)</f>
        <v>1323192</v>
      </c>
    </row>
    <row r="24" spans="1:17" ht="15">
      <c r="A24" s="107"/>
      <c r="B24" s="55" t="s">
        <v>167</v>
      </c>
      <c r="C24" s="108"/>
      <c r="D24" s="56">
        <v>0</v>
      </c>
      <c r="E24" s="59">
        <f>+'3.0 Plant in Service'!D25</f>
        <v>-4549.750148146491</v>
      </c>
      <c r="F24" s="59">
        <f>+'3.0 Plant in Service'!E25</f>
        <v>-6255.926978396235</v>
      </c>
      <c r="G24" s="59">
        <f>+'3.0 Plant in Service'!F25</f>
        <v>-11374.402736625974</v>
      </c>
      <c r="H24" s="59">
        <f>+'3.0 Plant in Service'!G25</f>
        <v>-12511.85395679247</v>
      </c>
      <c r="I24" s="59">
        <f>+'3.0 Plant in Service'!H25</f>
        <v>-13649.277810699221</v>
      </c>
      <c r="J24" s="59">
        <f>+'3.0 Plant in Service'!I25</f>
        <v>-14218.003420782468</v>
      </c>
      <c r="K24" s="59">
        <f>+'3.0 Plant in Service'!J25</f>
        <v>-11374.402736625974</v>
      </c>
      <c r="L24" s="59">
        <f>+'3.0 Plant in Service'!K25</f>
        <v>-10521.314321501102</v>
      </c>
      <c r="M24" s="59">
        <f>+'3.0 Plant in Service'!L25</f>
        <v>-12227.491151750846</v>
      </c>
      <c r="N24" s="59">
        <f>+'3.0 Plant in Service'!M25</f>
        <v>-10236.951516459478</v>
      </c>
      <c r="O24" s="59">
        <f>+'3.0 Plant in Service'!N25</f>
        <v>-4549.750148146491</v>
      </c>
      <c r="P24" s="59">
        <f>+'3.0 Plant in Service'!O25</f>
        <v>-2274.8750740732453</v>
      </c>
      <c r="Q24" s="109"/>
    </row>
    <row r="25" spans="1:17" ht="15">
      <c r="A25" s="107"/>
      <c r="B25" s="55" t="s">
        <v>219</v>
      </c>
      <c r="C25" s="108"/>
      <c r="D25" s="56">
        <f aca="true" t="shared" si="6" ref="D25:P25">SUM(D23:D24)</f>
        <v>0</v>
      </c>
      <c r="E25" s="56">
        <f t="shared" si="6"/>
        <v>30438.38041144695</v>
      </c>
      <c r="F25" s="56">
        <f t="shared" si="6"/>
        <v>79055.1064981212</v>
      </c>
      <c r="G25" s="56">
        <f t="shared" si="6"/>
        <v>79835.16801652493</v>
      </c>
      <c r="H25" s="56">
        <f t="shared" si="6"/>
        <v>58918.36871155782</v>
      </c>
      <c r="I25" s="56">
        <f t="shared" si="6"/>
        <v>50752.87357013293</v>
      </c>
      <c r="J25" s="56">
        <f t="shared" si="6"/>
        <v>58369.19840185021</v>
      </c>
      <c r="K25" s="56">
        <f t="shared" si="6"/>
        <v>70378.86003733282</v>
      </c>
      <c r="L25" s="56">
        <f t="shared" si="6"/>
        <v>108571.97735288984</v>
      </c>
      <c r="M25" s="56">
        <f t="shared" si="6"/>
        <v>75561.48339980723</v>
      </c>
      <c r="N25" s="56">
        <f t="shared" si="6"/>
        <v>130420.35144630184</v>
      </c>
      <c r="O25" s="56">
        <f t="shared" si="6"/>
        <v>213254.205041361</v>
      </c>
      <c r="P25" s="56">
        <f t="shared" si="6"/>
        <v>253892.02711267344</v>
      </c>
      <c r="Q25" s="109">
        <f>SUM(D25:P25)</f>
        <v>1209448.0000000002</v>
      </c>
    </row>
    <row r="26" spans="1:17" ht="15">
      <c r="A26" s="107"/>
      <c r="B26" s="55" t="s">
        <v>163</v>
      </c>
      <c r="C26" s="108"/>
      <c r="D26" s="56">
        <v>0</v>
      </c>
      <c r="E26" s="56">
        <f aca="true" t="shared" si="7" ref="E26:P26">+E25+D26</f>
        <v>30438.38041144695</v>
      </c>
      <c r="F26" s="56">
        <f t="shared" si="7"/>
        <v>109493.48690956815</v>
      </c>
      <c r="G26" s="56">
        <f t="shared" si="7"/>
        <v>189328.65492609306</v>
      </c>
      <c r="H26" s="56">
        <f t="shared" si="7"/>
        <v>248247.02363765088</v>
      </c>
      <c r="I26" s="56">
        <f t="shared" si="7"/>
        <v>298999.8972077838</v>
      </c>
      <c r="J26" s="56">
        <f t="shared" si="7"/>
        <v>357369.09560963407</v>
      </c>
      <c r="K26" s="56">
        <f t="shared" si="7"/>
        <v>427747.9556469669</v>
      </c>
      <c r="L26" s="56">
        <f t="shared" si="7"/>
        <v>536319.9329998568</v>
      </c>
      <c r="M26" s="56">
        <f t="shared" si="7"/>
        <v>611881.416399664</v>
      </c>
      <c r="N26" s="56">
        <f t="shared" si="7"/>
        <v>742301.7678459658</v>
      </c>
      <c r="O26" s="56">
        <f t="shared" si="7"/>
        <v>955555.9728873268</v>
      </c>
      <c r="P26" s="56">
        <f t="shared" si="7"/>
        <v>1209448.0000000002</v>
      </c>
      <c r="Q26" s="109"/>
    </row>
    <row r="27" spans="1:17" ht="15">
      <c r="A27" s="107"/>
      <c r="B27" s="55"/>
      <c r="C27" s="108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109"/>
    </row>
    <row r="28" spans="1:17" ht="15">
      <c r="A28" s="107"/>
      <c r="B28" s="55" t="s">
        <v>164</v>
      </c>
      <c r="C28" s="108"/>
      <c r="D28" s="56"/>
      <c r="E28" s="56">
        <f>ROUND($C22*D26,0)</f>
        <v>0</v>
      </c>
      <c r="F28" s="56">
        <f aca="true" t="shared" si="8" ref="F28:P28">ROUND($C22*E26,0)</f>
        <v>64</v>
      </c>
      <c r="G28" s="56">
        <f t="shared" si="8"/>
        <v>230</v>
      </c>
      <c r="H28" s="56">
        <f t="shared" si="8"/>
        <v>398</v>
      </c>
      <c r="I28" s="56">
        <f t="shared" si="8"/>
        <v>521</v>
      </c>
      <c r="J28" s="56">
        <f t="shared" si="8"/>
        <v>628</v>
      </c>
      <c r="K28" s="56">
        <f t="shared" si="8"/>
        <v>750</v>
      </c>
      <c r="L28" s="56">
        <f t="shared" si="8"/>
        <v>898</v>
      </c>
      <c r="M28" s="56">
        <f t="shared" si="8"/>
        <v>1126</v>
      </c>
      <c r="N28" s="56">
        <f t="shared" si="8"/>
        <v>1285</v>
      </c>
      <c r="O28" s="56">
        <f t="shared" si="8"/>
        <v>1559</v>
      </c>
      <c r="P28" s="56">
        <f t="shared" si="8"/>
        <v>2007</v>
      </c>
      <c r="Q28" s="109"/>
    </row>
    <row r="29" spans="1:17" ht="15">
      <c r="A29" s="107"/>
      <c r="B29" s="55" t="s">
        <v>165</v>
      </c>
      <c r="C29" s="108"/>
      <c r="D29" s="56"/>
      <c r="E29" s="59">
        <f>ROUND($C22*E25*0.5,3)</f>
        <v>31.96</v>
      </c>
      <c r="F29" s="59">
        <f aca="true" t="shared" si="9" ref="F29:P29">ROUND($C22*F25*0.5,3)</f>
        <v>83.008</v>
      </c>
      <c r="G29" s="59">
        <f t="shared" si="9"/>
        <v>83.827</v>
      </c>
      <c r="H29" s="59">
        <f t="shared" si="9"/>
        <v>61.864</v>
      </c>
      <c r="I29" s="59">
        <f t="shared" si="9"/>
        <v>53.291</v>
      </c>
      <c r="J29" s="59">
        <f t="shared" si="9"/>
        <v>61.288</v>
      </c>
      <c r="K29" s="59">
        <f t="shared" si="9"/>
        <v>73.898</v>
      </c>
      <c r="L29" s="59">
        <f t="shared" si="9"/>
        <v>114.001</v>
      </c>
      <c r="M29" s="59">
        <f t="shared" si="9"/>
        <v>79.34</v>
      </c>
      <c r="N29" s="59">
        <f t="shared" si="9"/>
        <v>136.941</v>
      </c>
      <c r="O29" s="59">
        <f t="shared" si="9"/>
        <v>223.917</v>
      </c>
      <c r="P29" s="59">
        <f t="shared" si="9"/>
        <v>266.587</v>
      </c>
      <c r="Q29" s="109"/>
    </row>
    <row r="30" spans="1:17" ht="15">
      <c r="A30" s="107"/>
      <c r="B30" s="55" t="s">
        <v>275</v>
      </c>
      <c r="C30" s="108"/>
      <c r="D30" s="56">
        <v>0</v>
      </c>
      <c r="E30" s="56">
        <f aca="true" t="shared" si="10" ref="E30:P30">SUM(E28:E29)</f>
        <v>31.96</v>
      </c>
      <c r="F30" s="56">
        <f t="shared" si="10"/>
        <v>147.00799999999998</v>
      </c>
      <c r="G30" s="56">
        <f t="shared" si="10"/>
        <v>313.827</v>
      </c>
      <c r="H30" s="56">
        <f t="shared" si="10"/>
        <v>459.864</v>
      </c>
      <c r="I30" s="56">
        <f t="shared" si="10"/>
        <v>574.2909999999999</v>
      </c>
      <c r="J30" s="56">
        <f t="shared" si="10"/>
        <v>689.288</v>
      </c>
      <c r="K30" s="56">
        <f t="shared" si="10"/>
        <v>823.898</v>
      </c>
      <c r="L30" s="56">
        <f t="shared" si="10"/>
        <v>1012.001</v>
      </c>
      <c r="M30" s="56">
        <f t="shared" si="10"/>
        <v>1205.34</v>
      </c>
      <c r="N30" s="56">
        <f t="shared" si="10"/>
        <v>1421.941</v>
      </c>
      <c r="O30" s="56">
        <f t="shared" si="10"/>
        <v>1782.917</v>
      </c>
      <c r="P30" s="56">
        <f t="shared" si="10"/>
        <v>2273.587</v>
      </c>
      <c r="Q30" s="109">
        <f>SUM(D30:P30)</f>
        <v>10735.921999999999</v>
      </c>
    </row>
    <row r="31" spans="1:17" ht="15">
      <c r="A31" s="110"/>
      <c r="B31" s="111"/>
      <c r="C31" s="112"/>
      <c r="D31" s="59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3"/>
    </row>
    <row r="32" spans="1:17" ht="15">
      <c r="A32" s="102"/>
      <c r="B32" s="103" t="s">
        <v>135</v>
      </c>
      <c r="C32" s="104">
        <f>3.98%/12</f>
        <v>0.003316666666666667</v>
      </c>
      <c r="D32" s="62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</row>
    <row r="33" spans="1:17" ht="15">
      <c r="A33" s="107"/>
      <c r="B33" s="55" t="s">
        <v>166</v>
      </c>
      <c r="C33" s="108"/>
      <c r="D33" s="56">
        <v>0</v>
      </c>
      <c r="E33" s="56">
        <f>+'3.0 Plant in Service'!D17</f>
        <v>322196.8063536372</v>
      </c>
      <c r="F33" s="56">
        <f>+'3.0 Plant in Service'!E17</f>
        <v>785607.6358822627</v>
      </c>
      <c r="G33" s="56">
        <f>+'3.0 Plant in Service'!F17</f>
        <v>839925.7672683388</v>
      </c>
      <c r="H33" s="56">
        <f>+'3.0 Plant in Service'!G17</f>
        <v>657782.7752663753</v>
      </c>
      <c r="I33" s="56">
        <f>+'3.0 Plant in Service'!H17</f>
        <v>593063.0521074836</v>
      </c>
      <c r="J33" s="56">
        <f>+'3.0 Plant in Service'!I17</f>
        <v>668437.1023929013</v>
      </c>
      <c r="K33" s="56">
        <f>+'3.0 Plant in Service'!J17</f>
        <v>752845.0292562671</v>
      </c>
      <c r="L33" s="56">
        <f>+'3.0 Plant in Service'!K17</f>
        <v>1096699.8699823318</v>
      </c>
      <c r="M33" s="56">
        <f>+'3.0 Plant in Service'!L17</f>
        <v>808426.3657755544</v>
      </c>
      <c r="N33" s="56">
        <f>+'3.0 Plant in Service'!M17</f>
        <v>1295277.3720712985</v>
      </c>
      <c r="O33" s="56">
        <f>+'3.0 Plant in Service'!N17</f>
        <v>2005701.2950069848</v>
      </c>
      <c r="P33" s="56">
        <f>+'3.0 Plant in Service'!O17</f>
        <v>2358975.928636566</v>
      </c>
      <c r="Q33" s="109">
        <f>SUM(D33:P33)</f>
        <v>12184939.000000002</v>
      </c>
    </row>
    <row r="34" spans="1:17" ht="15">
      <c r="A34" s="107"/>
      <c r="B34" s="55" t="s">
        <v>167</v>
      </c>
      <c r="C34" s="108"/>
      <c r="D34" s="56">
        <v>0</v>
      </c>
      <c r="E34" s="59">
        <f>+'3.0 Plant in Service'!D26</f>
        <v>-110019.48176805708</v>
      </c>
      <c r="F34" s="59">
        <f>+'3.0 Plant in Service'!E26</f>
        <v>-151277.28374762624</v>
      </c>
      <c r="G34" s="59">
        <f>+'3.0 Plant in Service'!F26</f>
        <v>-275049.3661755397</v>
      </c>
      <c r="H34" s="59">
        <f>+'3.0 Plant in Service'!G26</f>
        <v>-302554.5674952525</v>
      </c>
      <c r="I34" s="59">
        <f>+'3.0 Plant in Service'!H26</f>
        <v>-330059.1070595682</v>
      </c>
      <c r="J34" s="59">
        <f>+'3.0 Plant in Service'!I26</f>
        <v>-343811.7077194246</v>
      </c>
      <c r="K34" s="59">
        <f>+'3.0 Plant in Service'!J26</f>
        <v>-275049.3661755397</v>
      </c>
      <c r="L34" s="59">
        <f>+'3.0 Plant in Service'!K26</f>
        <v>-254420.4651857551</v>
      </c>
      <c r="M34" s="59">
        <f>+'3.0 Plant in Service'!L26</f>
        <v>-295678.26716532424</v>
      </c>
      <c r="N34" s="59">
        <f>+'3.0 Plant in Service'!M26</f>
        <v>-247544.16485582694</v>
      </c>
      <c r="O34" s="59">
        <f>+'3.0 Plant in Service'!N26</f>
        <v>-110019.48176805708</v>
      </c>
      <c r="P34" s="59">
        <f>+'3.0 Plant in Service'!O26</f>
        <v>-55009.74088402854</v>
      </c>
      <c r="Q34" s="109"/>
    </row>
    <row r="35" spans="1:17" ht="15">
      <c r="A35" s="107"/>
      <c r="B35" s="55" t="s">
        <v>219</v>
      </c>
      <c r="C35" s="108"/>
      <c r="D35" s="56">
        <f aca="true" t="shared" si="11" ref="D35:P35">SUM(D33:D34)</f>
        <v>0</v>
      </c>
      <c r="E35" s="56">
        <f t="shared" si="11"/>
        <v>212177.3245855801</v>
      </c>
      <c r="F35" s="56">
        <f t="shared" si="11"/>
        <v>634330.3521346365</v>
      </c>
      <c r="G35" s="56">
        <f t="shared" si="11"/>
        <v>564876.4010927991</v>
      </c>
      <c r="H35" s="56">
        <f t="shared" si="11"/>
        <v>355228.2077711228</v>
      </c>
      <c r="I35" s="56">
        <f t="shared" si="11"/>
        <v>263003.9450479154</v>
      </c>
      <c r="J35" s="56">
        <f t="shared" si="11"/>
        <v>324625.3946734767</v>
      </c>
      <c r="K35" s="56">
        <f t="shared" si="11"/>
        <v>477795.66308072745</v>
      </c>
      <c r="L35" s="56">
        <f t="shared" si="11"/>
        <v>842279.4047965766</v>
      </c>
      <c r="M35" s="56">
        <f t="shared" si="11"/>
        <v>512748.0986102302</v>
      </c>
      <c r="N35" s="56">
        <f t="shared" si="11"/>
        <v>1047733.2072154717</v>
      </c>
      <c r="O35" s="56">
        <f t="shared" si="11"/>
        <v>1895681.8132389279</v>
      </c>
      <c r="P35" s="56">
        <f t="shared" si="11"/>
        <v>2303966.1877525374</v>
      </c>
      <c r="Q35" s="109">
        <f>SUM(D35:P35)</f>
        <v>9434446.000000002</v>
      </c>
    </row>
    <row r="36" spans="1:17" ht="15">
      <c r="A36" s="107"/>
      <c r="B36" s="55" t="s">
        <v>163</v>
      </c>
      <c r="C36" s="108"/>
      <c r="D36" s="56">
        <v>0</v>
      </c>
      <c r="E36" s="56">
        <f aca="true" t="shared" si="12" ref="E36:P36">+E35+D36</f>
        <v>212177.3245855801</v>
      </c>
      <c r="F36" s="56">
        <f t="shared" si="12"/>
        <v>846507.6767202166</v>
      </c>
      <c r="G36" s="56">
        <f t="shared" si="12"/>
        <v>1411384.0778130158</v>
      </c>
      <c r="H36" s="56">
        <f t="shared" si="12"/>
        <v>1766612.2855841387</v>
      </c>
      <c r="I36" s="56">
        <f t="shared" si="12"/>
        <v>2029616.2306320542</v>
      </c>
      <c r="J36" s="56">
        <f t="shared" si="12"/>
        <v>2354241.6253055306</v>
      </c>
      <c r="K36" s="56">
        <f t="shared" si="12"/>
        <v>2832037.2883862583</v>
      </c>
      <c r="L36" s="56">
        <f t="shared" si="12"/>
        <v>3674316.693182835</v>
      </c>
      <c r="M36" s="56">
        <f t="shared" si="12"/>
        <v>4187064.791793065</v>
      </c>
      <c r="N36" s="56">
        <f t="shared" si="12"/>
        <v>5234797.999008536</v>
      </c>
      <c r="O36" s="56">
        <f t="shared" si="12"/>
        <v>7130479.812247464</v>
      </c>
      <c r="P36" s="56">
        <f t="shared" si="12"/>
        <v>9434446.000000002</v>
      </c>
      <c r="Q36" s="109"/>
    </row>
    <row r="37" spans="1:17" ht="15">
      <c r="A37" s="107"/>
      <c r="B37" s="55"/>
      <c r="C37" s="10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109"/>
    </row>
    <row r="38" spans="1:17" ht="15">
      <c r="A38" s="107"/>
      <c r="B38" s="55" t="s">
        <v>164</v>
      </c>
      <c r="C38" s="108"/>
      <c r="D38" s="56"/>
      <c r="E38" s="56">
        <f>ROUND($C32*D36,0)</f>
        <v>0</v>
      </c>
      <c r="F38" s="56">
        <f aca="true" t="shared" si="13" ref="F38:P38">ROUND($C32*E36,0)</f>
        <v>704</v>
      </c>
      <c r="G38" s="56">
        <f t="shared" si="13"/>
        <v>2808</v>
      </c>
      <c r="H38" s="56">
        <f t="shared" si="13"/>
        <v>4681</v>
      </c>
      <c r="I38" s="56">
        <f t="shared" si="13"/>
        <v>5859</v>
      </c>
      <c r="J38" s="56">
        <f t="shared" si="13"/>
        <v>6732</v>
      </c>
      <c r="K38" s="56">
        <f t="shared" si="13"/>
        <v>7808</v>
      </c>
      <c r="L38" s="56">
        <f t="shared" si="13"/>
        <v>9393</v>
      </c>
      <c r="M38" s="56">
        <f t="shared" si="13"/>
        <v>12186</v>
      </c>
      <c r="N38" s="56">
        <f t="shared" si="13"/>
        <v>13887</v>
      </c>
      <c r="O38" s="56">
        <f t="shared" si="13"/>
        <v>17362</v>
      </c>
      <c r="P38" s="56">
        <f t="shared" si="13"/>
        <v>23649</v>
      </c>
      <c r="Q38" s="109"/>
    </row>
    <row r="39" spans="1:17" ht="15">
      <c r="A39" s="107"/>
      <c r="B39" s="55" t="s">
        <v>165</v>
      </c>
      <c r="C39" s="108"/>
      <c r="D39" s="56"/>
      <c r="E39" s="59">
        <f>ROUND($C32*E35*0.5,3)</f>
        <v>351.861</v>
      </c>
      <c r="F39" s="59">
        <f aca="true" t="shared" si="14" ref="F39:P39">ROUND($C32*F35*0.5,3)</f>
        <v>1051.931</v>
      </c>
      <c r="G39" s="59">
        <f t="shared" si="14"/>
        <v>936.753</v>
      </c>
      <c r="H39" s="59">
        <f t="shared" si="14"/>
        <v>589.087</v>
      </c>
      <c r="I39" s="59">
        <f t="shared" si="14"/>
        <v>436.148</v>
      </c>
      <c r="J39" s="59">
        <f t="shared" si="14"/>
        <v>538.337</v>
      </c>
      <c r="K39" s="59">
        <f t="shared" si="14"/>
        <v>792.344</v>
      </c>
      <c r="L39" s="59">
        <f t="shared" si="14"/>
        <v>1396.78</v>
      </c>
      <c r="M39" s="59">
        <f t="shared" si="14"/>
        <v>850.307</v>
      </c>
      <c r="N39" s="59">
        <f t="shared" si="14"/>
        <v>1737.491</v>
      </c>
      <c r="O39" s="59">
        <f t="shared" si="14"/>
        <v>3143.672</v>
      </c>
      <c r="P39" s="59">
        <f t="shared" si="14"/>
        <v>3820.744</v>
      </c>
      <c r="Q39" s="109"/>
    </row>
    <row r="40" spans="1:17" ht="15">
      <c r="A40" s="107"/>
      <c r="B40" s="55" t="s">
        <v>276</v>
      </c>
      <c r="C40" s="108"/>
      <c r="D40" s="56">
        <v>0</v>
      </c>
      <c r="E40" s="56">
        <f aca="true" t="shared" si="15" ref="E40:P40">SUM(E38:E39)</f>
        <v>351.861</v>
      </c>
      <c r="F40" s="56">
        <f t="shared" si="15"/>
        <v>1755.931</v>
      </c>
      <c r="G40" s="56">
        <f t="shared" si="15"/>
        <v>3744.753</v>
      </c>
      <c r="H40" s="56">
        <f t="shared" si="15"/>
        <v>5270.0869999999995</v>
      </c>
      <c r="I40" s="56">
        <f t="shared" si="15"/>
        <v>6295.148</v>
      </c>
      <c r="J40" s="56">
        <f t="shared" si="15"/>
        <v>7270.3369999999995</v>
      </c>
      <c r="K40" s="56">
        <f t="shared" si="15"/>
        <v>8600.344000000001</v>
      </c>
      <c r="L40" s="56">
        <f t="shared" si="15"/>
        <v>10789.78</v>
      </c>
      <c r="M40" s="56">
        <f t="shared" si="15"/>
        <v>13036.307</v>
      </c>
      <c r="N40" s="56">
        <f t="shared" si="15"/>
        <v>15624.491</v>
      </c>
      <c r="O40" s="56">
        <f t="shared" si="15"/>
        <v>20505.672</v>
      </c>
      <c r="P40" s="56">
        <f t="shared" si="15"/>
        <v>27469.744</v>
      </c>
      <c r="Q40" s="109">
        <f>SUM(D40:P40)</f>
        <v>120714.45499999999</v>
      </c>
    </row>
    <row r="41" spans="1:17" ht="15">
      <c r="A41" s="110"/>
      <c r="B41" s="111"/>
      <c r="C41" s="112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113"/>
    </row>
    <row r="42" spans="1:17" ht="15">
      <c r="A42" s="102"/>
      <c r="B42" s="103" t="s">
        <v>136</v>
      </c>
      <c r="C42" s="104">
        <f>1.77%/12</f>
        <v>0.001475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106"/>
    </row>
    <row r="43" spans="1:17" ht="15">
      <c r="A43" s="107"/>
      <c r="B43" s="55" t="s">
        <v>166</v>
      </c>
      <c r="C43" s="108"/>
      <c r="D43" s="56">
        <v>0</v>
      </c>
      <c r="E43" s="56">
        <f>+'3.0 Plant in Service'!D18</f>
        <v>2083.488079819562</v>
      </c>
      <c r="F43" s="56">
        <f>+'3.0 Plant in Service'!E18</f>
        <v>5080.137706204931</v>
      </c>
      <c r="G43" s="56">
        <f>+'3.0 Plant in Service'!F18</f>
        <v>5431.386312737511</v>
      </c>
      <c r="H43" s="56">
        <f>+'3.0 Plant in Service'!G18</f>
        <v>4253.557280372004</v>
      </c>
      <c r="I43" s="56">
        <f>+'3.0 Plant in Service'!H18</f>
        <v>3835.0467021424615</v>
      </c>
      <c r="J43" s="56">
        <f>+'3.0 Plant in Service'!I18</f>
        <v>4322.453567141064</v>
      </c>
      <c r="K43" s="56">
        <f>+'3.0 Plant in Service'!J18</f>
        <v>4868.278063207235</v>
      </c>
      <c r="L43" s="56">
        <f>+'3.0 Plant in Service'!K18</f>
        <v>7091.817985743535</v>
      </c>
      <c r="M43" s="56">
        <f>+'3.0 Plant in Service'!L18</f>
        <v>5227.6951952668</v>
      </c>
      <c r="N43" s="56">
        <f>+'3.0 Plant in Service'!M18</f>
        <v>8375.920901613534</v>
      </c>
      <c r="O43" s="56">
        <f>+'3.0 Plant in Service'!N18</f>
        <v>12969.882560657905</v>
      </c>
      <c r="P43" s="56">
        <f>+'3.0 Plant in Service'!O18</f>
        <v>15254.33564509347</v>
      </c>
      <c r="Q43" s="109">
        <f>SUM(D43:P43)</f>
        <v>78794.00000000001</v>
      </c>
    </row>
    <row r="44" spans="1:17" ht="15">
      <c r="A44" s="107"/>
      <c r="B44" s="55" t="s">
        <v>167</v>
      </c>
      <c r="C44" s="108"/>
      <c r="D44" s="56">
        <v>0</v>
      </c>
      <c r="E44" s="59">
        <f>+'3.0 Plant in Service'!D27</f>
        <v>-1023.5177837140632</v>
      </c>
      <c r="F44" s="59">
        <f>+'3.0 Plant in Service'!E27</f>
        <v>-1407.3415698692052</v>
      </c>
      <c r="G44" s="59">
        <f>+'3.0 Plant in Service'!F27</f>
        <v>-2558.8006156349825</v>
      </c>
      <c r="H44" s="59">
        <f>+'3.0 Plant in Service'!G27</f>
        <v>-2814.6831397384103</v>
      </c>
      <c r="I44" s="59">
        <f>+'3.0 Plant in Service'!H27</f>
        <v>-3070.5595074920143</v>
      </c>
      <c r="J44" s="59">
        <f>+'3.0 Plant in Service'!I27</f>
        <v>-3198.500769543728</v>
      </c>
      <c r="K44" s="59">
        <f>+'3.0 Plant in Service'!J27</f>
        <v>-2558.8006156349825</v>
      </c>
      <c r="L44" s="59">
        <f>+'3.0 Plant in Service'!K27</f>
        <v>-2366.8887225574113</v>
      </c>
      <c r="M44" s="59">
        <f>+'3.0 Plant in Service'!L27</f>
        <v>-2750.7125087125532</v>
      </c>
      <c r="N44" s="59">
        <f>+'3.0 Plant in Service'!M27</f>
        <v>-2302.9180915315546</v>
      </c>
      <c r="O44" s="59">
        <f>+'3.0 Plant in Service'!N27</f>
        <v>-1023.5177837140632</v>
      </c>
      <c r="P44" s="59">
        <f>+'3.0 Plant in Service'!O27</f>
        <v>-511.7588918570316</v>
      </c>
      <c r="Q44" s="109"/>
    </row>
    <row r="45" spans="1:17" ht="15">
      <c r="A45" s="107"/>
      <c r="B45" s="55" t="s">
        <v>219</v>
      </c>
      <c r="C45" s="108"/>
      <c r="D45" s="56">
        <f aca="true" t="shared" si="16" ref="D45:P45">SUM(D43:D44)</f>
        <v>0</v>
      </c>
      <c r="E45" s="56">
        <f t="shared" si="16"/>
        <v>1059.9702961054986</v>
      </c>
      <c r="F45" s="56">
        <f t="shared" si="16"/>
        <v>3672.7961363357263</v>
      </c>
      <c r="G45" s="56">
        <f t="shared" si="16"/>
        <v>2872.5856971025282</v>
      </c>
      <c r="H45" s="56">
        <f t="shared" si="16"/>
        <v>1438.874140633594</v>
      </c>
      <c r="I45" s="56">
        <f t="shared" si="16"/>
        <v>764.4871946504472</v>
      </c>
      <c r="J45" s="56">
        <f t="shared" si="16"/>
        <v>1123.952797597336</v>
      </c>
      <c r="K45" s="56">
        <f t="shared" si="16"/>
        <v>2309.477447572253</v>
      </c>
      <c r="L45" s="56">
        <f t="shared" si="16"/>
        <v>4724.929263186124</v>
      </c>
      <c r="M45" s="56">
        <f t="shared" si="16"/>
        <v>2476.9826865542464</v>
      </c>
      <c r="N45" s="56">
        <f t="shared" si="16"/>
        <v>6073.002810081979</v>
      </c>
      <c r="O45" s="56">
        <f t="shared" si="16"/>
        <v>11946.364776943841</v>
      </c>
      <c r="P45" s="56">
        <f t="shared" si="16"/>
        <v>14742.576753236439</v>
      </c>
      <c r="Q45" s="109">
        <f>SUM(D45:P45)</f>
        <v>53206.000000000015</v>
      </c>
    </row>
    <row r="46" spans="1:17" ht="15">
      <c r="A46" s="107"/>
      <c r="B46" s="55" t="s">
        <v>163</v>
      </c>
      <c r="C46" s="108"/>
      <c r="D46" s="56">
        <v>0</v>
      </c>
      <c r="E46" s="56">
        <f aca="true" t="shared" si="17" ref="E46:P46">+E45+D46</f>
        <v>1059.9702961054986</v>
      </c>
      <c r="F46" s="56">
        <f t="shared" si="17"/>
        <v>4732.766432441225</v>
      </c>
      <c r="G46" s="56">
        <f t="shared" si="17"/>
        <v>7605.352129543753</v>
      </c>
      <c r="H46" s="56">
        <f t="shared" si="17"/>
        <v>9044.226270177347</v>
      </c>
      <c r="I46" s="56">
        <f t="shared" si="17"/>
        <v>9808.713464827793</v>
      </c>
      <c r="J46" s="56">
        <f t="shared" si="17"/>
        <v>10932.66626242513</v>
      </c>
      <c r="K46" s="56">
        <f t="shared" si="17"/>
        <v>13242.143709997383</v>
      </c>
      <c r="L46" s="56">
        <f t="shared" si="17"/>
        <v>17967.07297318351</v>
      </c>
      <c r="M46" s="56">
        <f t="shared" si="17"/>
        <v>20444.055659737754</v>
      </c>
      <c r="N46" s="56">
        <f t="shared" si="17"/>
        <v>26517.058469819734</v>
      </c>
      <c r="O46" s="56">
        <f t="shared" si="17"/>
        <v>38463.423246763574</v>
      </c>
      <c r="P46" s="56">
        <f t="shared" si="17"/>
        <v>53206.000000000015</v>
      </c>
      <c r="Q46" s="109"/>
    </row>
    <row r="47" spans="1:17" ht="15">
      <c r="A47" s="107"/>
      <c r="B47" s="55"/>
      <c r="C47" s="108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109"/>
    </row>
    <row r="48" spans="1:17" ht="15">
      <c r="A48" s="107"/>
      <c r="B48" s="55" t="s">
        <v>164</v>
      </c>
      <c r="C48" s="108"/>
      <c r="D48" s="56"/>
      <c r="E48" s="56">
        <f>ROUND($C42*D46,0)</f>
        <v>0</v>
      </c>
      <c r="F48" s="56">
        <f aca="true" t="shared" si="18" ref="F48:P48">ROUND($C42*E46,0)</f>
        <v>2</v>
      </c>
      <c r="G48" s="56">
        <f t="shared" si="18"/>
        <v>7</v>
      </c>
      <c r="H48" s="56">
        <f t="shared" si="18"/>
        <v>11</v>
      </c>
      <c r="I48" s="56">
        <f t="shared" si="18"/>
        <v>13</v>
      </c>
      <c r="J48" s="56">
        <f t="shared" si="18"/>
        <v>14</v>
      </c>
      <c r="K48" s="56">
        <f t="shared" si="18"/>
        <v>16</v>
      </c>
      <c r="L48" s="56">
        <f t="shared" si="18"/>
        <v>20</v>
      </c>
      <c r="M48" s="56">
        <f t="shared" si="18"/>
        <v>27</v>
      </c>
      <c r="N48" s="56">
        <f t="shared" si="18"/>
        <v>30</v>
      </c>
      <c r="O48" s="56">
        <f t="shared" si="18"/>
        <v>39</v>
      </c>
      <c r="P48" s="56">
        <f t="shared" si="18"/>
        <v>57</v>
      </c>
      <c r="Q48" s="109"/>
    </row>
    <row r="49" spans="1:17" ht="15">
      <c r="A49" s="107"/>
      <c r="B49" s="55" t="s">
        <v>165</v>
      </c>
      <c r="C49" s="108"/>
      <c r="D49" s="56"/>
      <c r="E49" s="59">
        <f>ROUND($C42*E45*0.5,3)</f>
        <v>0.782</v>
      </c>
      <c r="F49" s="59">
        <f aca="true" t="shared" si="19" ref="F49:P49">ROUND($C42*F45*0.5,3)</f>
        <v>2.709</v>
      </c>
      <c r="G49" s="59">
        <f t="shared" si="19"/>
        <v>2.119</v>
      </c>
      <c r="H49" s="59">
        <f t="shared" si="19"/>
        <v>1.061</v>
      </c>
      <c r="I49" s="59">
        <f t="shared" si="19"/>
        <v>0.564</v>
      </c>
      <c r="J49" s="59">
        <f t="shared" si="19"/>
        <v>0.829</v>
      </c>
      <c r="K49" s="59">
        <f t="shared" si="19"/>
        <v>1.703</v>
      </c>
      <c r="L49" s="59">
        <f t="shared" si="19"/>
        <v>3.485</v>
      </c>
      <c r="M49" s="59">
        <f t="shared" si="19"/>
        <v>1.827</v>
      </c>
      <c r="N49" s="59">
        <f t="shared" si="19"/>
        <v>4.479</v>
      </c>
      <c r="O49" s="59">
        <f t="shared" si="19"/>
        <v>8.81</v>
      </c>
      <c r="P49" s="59">
        <f t="shared" si="19"/>
        <v>10.873</v>
      </c>
      <c r="Q49" s="109"/>
    </row>
    <row r="50" spans="1:17" ht="15">
      <c r="A50" s="107"/>
      <c r="B50" s="55" t="s">
        <v>277</v>
      </c>
      <c r="C50" s="108"/>
      <c r="D50" s="56">
        <v>0</v>
      </c>
      <c r="E50" s="56">
        <f aca="true" t="shared" si="20" ref="E50:P50">SUM(E48:E49)</f>
        <v>0.782</v>
      </c>
      <c r="F50" s="56">
        <f t="shared" si="20"/>
        <v>4.709</v>
      </c>
      <c r="G50" s="56">
        <f t="shared" si="20"/>
        <v>9.119</v>
      </c>
      <c r="H50" s="56">
        <f t="shared" si="20"/>
        <v>12.061</v>
      </c>
      <c r="I50" s="56">
        <f t="shared" si="20"/>
        <v>13.564</v>
      </c>
      <c r="J50" s="56">
        <f t="shared" si="20"/>
        <v>14.829</v>
      </c>
      <c r="K50" s="56">
        <f t="shared" si="20"/>
        <v>17.703</v>
      </c>
      <c r="L50" s="56">
        <f t="shared" si="20"/>
        <v>23.485</v>
      </c>
      <c r="M50" s="56">
        <f t="shared" si="20"/>
        <v>28.826999999999998</v>
      </c>
      <c r="N50" s="56">
        <f t="shared" si="20"/>
        <v>34.479</v>
      </c>
      <c r="O50" s="56">
        <f t="shared" si="20"/>
        <v>47.81</v>
      </c>
      <c r="P50" s="56">
        <f t="shared" si="20"/>
        <v>67.873</v>
      </c>
      <c r="Q50" s="109">
        <f>SUM(D50:P50)</f>
        <v>275.241</v>
      </c>
    </row>
    <row r="51" spans="1:17" ht="15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5"/>
    </row>
    <row r="52" spans="1:17" ht="15">
      <c r="A52" s="102"/>
      <c r="B52" s="103" t="s">
        <v>137</v>
      </c>
      <c r="C52" s="104">
        <f>1.94%/12</f>
        <v>0.0016166666666666666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106"/>
    </row>
    <row r="53" spans="1:17" ht="15">
      <c r="A53" s="107"/>
      <c r="B53" s="55" t="s">
        <v>166</v>
      </c>
      <c r="C53" s="108"/>
      <c r="D53" s="56">
        <v>0</v>
      </c>
      <c r="E53" s="56">
        <f>+'3.0 Plant in Service'!D19</f>
        <v>2455.1863301688722</v>
      </c>
      <c r="F53" s="56">
        <f>+'3.0 Plant in Service'!E19</f>
        <v>5986.443969830622</v>
      </c>
      <c r="G53" s="56">
        <f>+'3.0 Plant in Service'!F19</f>
        <v>6400.355998223095</v>
      </c>
      <c r="H53" s="56">
        <f>+'3.0 Plant in Service'!G19</f>
        <v>5012.400018273232</v>
      </c>
      <c r="I53" s="56">
        <f>+'3.0 Plant in Service'!H19</f>
        <v>4519.226354045101</v>
      </c>
      <c r="J53" s="56">
        <f>+'3.0 Plant in Service'!I19</f>
        <v>5093.587534109386</v>
      </c>
      <c r="K53" s="56">
        <f>+'3.0 Plant in Service'!J19</f>
        <v>5736.788162129795</v>
      </c>
      <c r="L53" s="56">
        <f>+'3.0 Plant in Service'!K19</f>
        <v>8357.011851083496</v>
      </c>
      <c r="M53" s="56">
        <f>+'3.0 Plant in Service'!L19</f>
        <v>6160.325996595141</v>
      </c>
      <c r="N53" s="56">
        <f>+'3.0 Plant in Service'!M19</f>
        <v>9870.201178207963</v>
      </c>
      <c r="O53" s="56">
        <f>+'3.0 Plant in Service'!N19</f>
        <v>15283.734366064004</v>
      </c>
      <c r="P53" s="56">
        <f>+'3.0 Plant in Service'!O19</f>
        <v>17975.738241269308</v>
      </c>
      <c r="Q53" s="109">
        <f>SUM(D53:P53)</f>
        <v>92851.00000000003</v>
      </c>
    </row>
    <row r="54" spans="1:17" ht="15">
      <c r="A54" s="107"/>
      <c r="B54" s="55" t="s">
        <v>167</v>
      </c>
      <c r="C54" s="108"/>
      <c r="D54" s="56">
        <v>0</v>
      </c>
      <c r="E54" s="59">
        <f>+'3.0 Plant in Service'!D28</f>
        <v>-113.55975410208791</v>
      </c>
      <c r="F54" s="59">
        <f>+'3.0 Plant in Service'!E28</f>
        <v>-156.14517417768772</v>
      </c>
      <c r="G54" s="59">
        <f>+'3.0 Plant in Service'!F28</f>
        <v>-283.90006830497555</v>
      </c>
      <c r="H54" s="59">
        <f>+'3.0 Plant in Service'!G28</f>
        <v>-312.29034835537544</v>
      </c>
      <c r="I54" s="59">
        <f>+'3.0 Plant in Service'!H28</f>
        <v>-340.6799453560195</v>
      </c>
      <c r="J54" s="59">
        <f>+'3.0 Plant in Service'!I28</f>
        <v>-354.8750853812195</v>
      </c>
      <c r="K54" s="59">
        <f>+'3.0 Plant in Service'!J28</f>
        <v>-283.90006830497555</v>
      </c>
      <c r="L54" s="59">
        <f>+'3.0 Plant in Service'!K28</f>
        <v>-262.60735826717564</v>
      </c>
      <c r="M54" s="59">
        <f>+'3.0 Plant in Service'!L28</f>
        <v>-305.19277834277545</v>
      </c>
      <c r="N54" s="59">
        <f>+'3.0 Plant in Service'!M28</f>
        <v>-255.5097882545757</v>
      </c>
      <c r="O54" s="59">
        <f>+'3.0 Plant in Service'!N28</f>
        <v>-113.55975410208791</v>
      </c>
      <c r="P54" s="59">
        <f>+'3.0 Plant in Service'!O28</f>
        <v>-56.779877051043954</v>
      </c>
      <c r="Q54" s="109"/>
    </row>
    <row r="55" spans="1:17" ht="15">
      <c r="A55" s="107"/>
      <c r="B55" s="55" t="s">
        <v>219</v>
      </c>
      <c r="C55" s="108"/>
      <c r="D55" s="56">
        <f aca="true" t="shared" si="21" ref="D55:P55">SUM(D53:D54)</f>
        <v>0</v>
      </c>
      <c r="E55" s="56">
        <f t="shared" si="21"/>
        <v>2341.6265760667843</v>
      </c>
      <c r="F55" s="56">
        <f t="shared" si="21"/>
        <v>5830.298795652935</v>
      </c>
      <c r="G55" s="56">
        <f t="shared" si="21"/>
        <v>6116.45592991812</v>
      </c>
      <c r="H55" s="56">
        <f t="shared" si="21"/>
        <v>4700.109669917856</v>
      </c>
      <c r="I55" s="56">
        <f t="shared" si="21"/>
        <v>4178.5464086890815</v>
      </c>
      <c r="J55" s="56">
        <f t="shared" si="21"/>
        <v>4738.712448728166</v>
      </c>
      <c r="K55" s="56">
        <f t="shared" si="21"/>
        <v>5452.888093824819</v>
      </c>
      <c r="L55" s="56">
        <f t="shared" si="21"/>
        <v>8094.40449281632</v>
      </c>
      <c r="M55" s="56">
        <f t="shared" si="21"/>
        <v>5855.133218252366</v>
      </c>
      <c r="N55" s="56">
        <f t="shared" si="21"/>
        <v>9614.691389953387</v>
      </c>
      <c r="O55" s="56">
        <f t="shared" si="21"/>
        <v>15170.174611961917</v>
      </c>
      <c r="P55" s="56">
        <f t="shared" si="21"/>
        <v>17918.958364218262</v>
      </c>
      <c r="Q55" s="109">
        <f>SUM(D55:P55)</f>
        <v>90012</v>
      </c>
    </row>
    <row r="56" spans="1:17" ht="15">
      <c r="A56" s="107"/>
      <c r="B56" s="55" t="s">
        <v>163</v>
      </c>
      <c r="C56" s="108"/>
      <c r="D56" s="56">
        <v>0</v>
      </c>
      <c r="E56" s="56">
        <f aca="true" t="shared" si="22" ref="E56:P56">+E55+D56</f>
        <v>2341.6265760667843</v>
      </c>
      <c r="F56" s="56">
        <f t="shared" si="22"/>
        <v>8171.925371719719</v>
      </c>
      <c r="G56" s="56">
        <f t="shared" si="22"/>
        <v>14288.381301637839</v>
      </c>
      <c r="H56" s="56">
        <f t="shared" si="22"/>
        <v>18988.490971555693</v>
      </c>
      <c r="I56" s="56">
        <f t="shared" si="22"/>
        <v>23167.037380244776</v>
      </c>
      <c r="J56" s="56">
        <f t="shared" si="22"/>
        <v>27905.74982897294</v>
      </c>
      <c r="K56" s="56">
        <f t="shared" si="22"/>
        <v>33358.63792279776</v>
      </c>
      <c r="L56" s="56">
        <f t="shared" si="22"/>
        <v>41453.04241561408</v>
      </c>
      <c r="M56" s="56">
        <f t="shared" si="22"/>
        <v>47308.17563386644</v>
      </c>
      <c r="N56" s="56">
        <f t="shared" si="22"/>
        <v>56922.867023819825</v>
      </c>
      <c r="O56" s="56">
        <f t="shared" si="22"/>
        <v>72093.04163578174</v>
      </c>
      <c r="P56" s="56">
        <f t="shared" si="22"/>
        <v>90012</v>
      </c>
      <c r="Q56" s="109"/>
    </row>
    <row r="57" spans="1:17" ht="15">
      <c r="A57" s="107"/>
      <c r="B57" s="55"/>
      <c r="C57" s="108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109"/>
    </row>
    <row r="58" spans="1:17" ht="15">
      <c r="A58" s="107"/>
      <c r="B58" s="55" t="s">
        <v>164</v>
      </c>
      <c r="C58" s="108"/>
      <c r="D58" s="56"/>
      <c r="E58" s="56">
        <f>ROUND($C52*D56,0)</f>
        <v>0</v>
      </c>
      <c r="F58" s="56">
        <f aca="true" t="shared" si="23" ref="F58:P58">ROUND($C52*E56,0)</f>
        <v>4</v>
      </c>
      <c r="G58" s="56">
        <f t="shared" si="23"/>
        <v>13</v>
      </c>
      <c r="H58" s="56">
        <f t="shared" si="23"/>
        <v>23</v>
      </c>
      <c r="I58" s="56">
        <f t="shared" si="23"/>
        <v>31</v>
      </c>
      <c r="J58" s="56">
        <f t="shared" si="23"/>
        <v>37</v>
      </c>
      <c r="K58" s="56">
        <f t="shared" si="23"/>
        <v>45</v>
      </c>
      <c r="L58" s="56">
        <f t="shared" si="23"/>
        <v>54</v>
      </c>
      <c r="M58" s="56">
        <f t="shared" si="23"/>
        <v>67</v>
      </c>
      <c r="N58" s="56">
        <f t="shared" si="23"/>
        <v>76</v>
      </c>
      <c r="O58" s="56">
        <f t="shared" si="23"/>
        <v>92</v>
      </c>
      <c r="P58" s="56">
        <f t="shared" si="23"/>
        <v>117</v>
      </c>
      <c r="Q58" s="109"/>
    </row>
    <row r="59" spans="1:17" ht="15">
      <c r="A59" s="107"/>
      <c r="B59" s="55" t="s">
        <v>165</v>
      </c>
      <c r="C59" s="108"/>
      <c r="D59" s="56"/>
      <c r="E59" s="59">
        <f>ROUND($C52*E55*0.5,3)</f>
        <v>1.893</v>
      </c>
      <c r="F59" s="59">
        <f aca="true" t="shared" si="24" ref="F59:P59">ROUND($C52*F55*0.5,3)</f>
        <v>4.713</v>
      </c>
      <c r="G59" s="59">
        <f t="shared" si="24"/>
        <v>4.944</v>
      </c>
      <c r="H59" s="59">
        <f t="shared" si="24"/>
        <v>3.799</v>
      </c>
      <c r="I59" s="59">
        <f t="shared" si="24"/>
        <v>3.378</v>
      </c>
      <c r="J59" s="59">
        <f t="shared" si="24"/>
        <v>3.83</v>
      </c>
      <c r="K59" s="59">
        <f t="shared" si="24"/>
        <v>4.408</v>
      </c>
      <c r="L59" s="59">
        <f t="shared" si="24"/>
        <v>6.543</v>
      </c>
      <c r="M59" s="59">
        <f t="shared" si="24"/>
        <v>4.733</v>
      </c>
      <c r="N59" s="59">
        <f t="shared" si="24"/>
        <v>7.772</v>
      </c>
      <c r="O59" s="59">
        <f t="shared" si="24"/>
        <v>12.263</v>
      </c>
      <c r="P59" s="59">
        <f t="shared" si="24"/>
        <v>14.484</v>
      </c>
      <c r="Q59" s="109"/>
    </row>
    <row r="60" spans="1:17" ht="15">
      <c r="A60" s="107"/>
      <c r="B60" s="55" t="s">
        <v>278</v>
      </c>
      <c r="C60" s="108"/>
      <c r="D60" s="56">
        <v>0</v>
      </c>
      <c r="E60" s="56">
        <f aca="true" t="shared" si="25" ref="E60:P60">SUM(E58:E59)</f>
        <v>1.893</v>
      </c>
      <c r="F60" s="56">
        <f t="shared" si="25"/>
        <v>8.713000000000001</v>
      </c>
      <c r="G60" s="56">
        <f t="shared" si="25"/>
        <v>17.944</v>
      </c>
      <c r="H60" s="56">
        <f t="shared" si="25"/>
        <v>26.799</v>
      </c>
      <c r="I60" s="56">
        <f t="shared" si="25"/>
        <v>34.378</v>
      </c>
      <c r="J60" s="56">
        <f t="shared" si="25"/>
        <v>40.83</v>
      </c>
      <c r="K60" s="56">
        <f t="shared" si="25"/>
        <v>49.408</v>
      </c>
      <c r="L60" s="56">
        <f t="shared" si="25"/>
        <v>60.543</v>
      </c>
      <c r="M60" s="56">
        <f t="shared" si="25"/>
        <v>71.733</v>
      </c>
      <c r="N60" s="56">
        <f t="shared" si="25"/>
        <v>83.772</v>
      </c>
      <c r="O60" s="56">
        <f t="shared" si="25"/>
        <v>104.263</v>
      </c>
      <c r="P60" s="56">
        <f t="shared" si="25"/>
        <v>131.484</v>
      </c>
      <c r="Q60" s="109">
        <f>SUM(D60:P60)</f>
        <v>631.7600000000001</v>
      </c>
    </row>
    <row r="61" spans="1:17" ht="15">
      <c r="A61" s="107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116"/>
    </row>
    <row r="62" spans="1:17" ht="15">
      <c r="A62" s="102"/>
      <c r="B62" s="117" t="s">
        <v>168</v>
      </c>
      <c r="C62" s="117"/>
      <c r="D62" s="117"/>
      <c r="E62" s="62">
        <f>+E20+E30+E40+E50+E60</f>
        <v>872.9630000000001</v>
      </c>
      <c r="F62" s="62">
        <f aca="true" t="shared" si="26" ref="F62:P62">+F20+F30+F40+F50+F60</f>
        <v>4128.240999999999</v>
      </c>
      <c r="G62" s="62">
        <f t="shared" si="26"/>
        <v>8810.101</v>
      </c>
      <c r="H62" s="62">
        <f t="shared" si="26"/>
        <v>12724.825</v>
      </c>
      <c r="I62" s="62">
        <f t="shared" si="26"/>
        <v>15669.317000000001</v>
      </c>
      <c r="J62" s="62">
        <f t="shared" si="26"/>
        <v>18562.426000000003</v>
      </c>
      <c r="K62" s="62">
        <f t="shared" si="26"/>
        <v>22123.928000000004</v>
      </c>
      <c r="L62" s="62">
        <f t="shared" si="26"/>
        <v>27356.780000000002</v>
      </c>
      <c r="M62" s="62">
        <f t="shared" si="26"/>
        <v>32734.957000000002</v>
      </c>
      <c r="N62" s="62">
        <f t="shared" si="26"/>
        <v>38812.14199999999</v>
      </c>
      <c r="O62" s="62">
        <f t="shared" si="26"/>
        <v>49419.100999999995</v>
      </c>
      <c r="P62" s="62">
        <f t="shared" si="26"/>
        <v>64108.693999999996</v>
      </c>
      <c r="Q62" s="106">
        <f>SUM(E62:P62)</f>
        <v>295323.475</v>
      </c>
    </row>
    <row r="63" spans="1:17" ht="15">
      <c r="A63" s="107"/>
      <c r="B63" s="55" t="s">
        <v>169</v>
      </c>
      <c r="C63" s="55"/>
      <c r="D63" s="55">
        <v>0</v>
      </c>
      <c r="E63" s="60">
        <f>+E62+D63</f>
        <v>872.9630000000001</v>
      </c>
      <c r="F63" s="60">
        <f aca="true" t="shared" si="27" ref="F63:P63">+F62+E63</f>
        <v>5001.203999999999</v>
      </c>
      <c r="G63" s="60">
        <f t="shared" si="27"/>
        <v>13811.305</v>
      </c>
      <c r="H63" s="60">
        <f t="shared" si="27"/>
        <v>26536.13</v>
      </c>
      <c r="I63" s="60">
        <f t="shared" si="27"/>
        <v>42205.447</v>
      </c>
      <c r="J63" s="60">
        <f t="shared" si="27"/>
        <v>60767.87300000001</v>
      </c>
      <c r="K63" s="60">
        <f t="shared" si="27"/>
        <v>82891.801</v>
      </c>
      <c r="L63" s="60">
        <f t="shared" si="27"/>
        <v>110248.581</v>
      </c>
      <c r="M63" s="60">
        <f t="shared" si="27"/>
        <v>142983.538</v>
      </c>
      <c r="N63" s="60">
        <f t="shared" si="27"/>
        <v>181795.68</v>
      </c>
      <c r="O63" s="60">
        <f t="shared" si="27"/>
        <v>231214.781</v>
      </c>
      <c r="P63" s="60">
        <f t="shared" si="27"/>
        <v>295323.475</v>
      </c>
      <c r="Q63" s="116"/>
    </row>
    <row r="64" spans="1:17" ht="15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5"/>
    </row>
    <row r="75" ht="15">
      <c r="Q75" s="12"/>
    </row>
    <row r="76" ht="15">
      <c r="Q76" s="12"/>
    </row>
    <row r="77" spans="14:17" ht="15">
      <c r="N77" s="12"/>
      <c r="Q77" s="12" t="str">
        <f>+Q1</f>
        <v>Case No. 2023-0335  PSC_Staff Set 2 No 1</v>
      </c>
    </row>
    <row r="78" spans="14:17" ht="15">
      <c r="N78" s="12"/>
      <c r="Q78" s="12" t="str">
        <f>+Q2</f>
        <v>SMRP Form 5.0</v>
      </c>
    </row>
    <row r="79" spans="14:17" ht="15">
      <c r="N79" s="12"/>
      <c r="Q79" s="12" t="s">
        <v>204</v>
      </c>
    </row>
    <row r="80" spans="1:17" ht="15">
      <c r="A80" s="166" t="s">
        <v>12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</row>
    <row r="81" spans="1:17" ht="15">
      <c r="A81" s="166" t="s">
        <v>109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</row>
    <row r="82" spans="1:17" ht="15">
      <c r="A82" s="166" t="s">
        <v>265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</row>
    <row r="84" spans="3:17" ht="15">
      <c r="C84" s="51" t="s">
        <v>60</v>
      </c>
      <c r="D84" s="13">
        <f>+Q8</f>
        <v>2023</v>
      </c>
      <c r="E84" s="13">
        <f>+D84+1</f>
        <v>2024</v>
      </c>
      <c r="F84" s="13">
        <f>+E84</f>
        <v>2024</v>
      </c>
      <c r="G84" s="13">
        <f aca="true" t="shared" si="28" ref="G84:Q84">+F84</f>
        <v>2024</v>
      </c>
      <c r="H84" s="13">
        <f t="shared" si="28"/>
        <v>2024</v>
      </c>
      <c r="I84" s="13">
        <f t="shared" si="28"/>
        <v>2024</v>
      </c>
      <c r="J84" s="13">
        <f t="shared" si="28"/>
        <v>2024</v>
      </c>
      <c r="K84" s="13">
        <f t="shared" si="28"/>
        <v>2024</v>
      </c>
      <c r="L84" s="13">
        <f t="shared" si="28"/>
        <v>2024</v>
      </c>
      <c r="M84" s="13">
        <f t="shared" si="28"/>
        <v>2024</v>
      </c>
      <c r="N84" s="13">
        <f t="shared" si="28"/>
        <v>2024</v>
      </c>
      <c r="O84" s="13">
        <f t="shared" si="28"/>
        <v>2024</v>
      </c>
      <c r="P84" s="13">
        <f t="shared" si="28"/>
        <v>2024</v>
      </c>
      <c r="Q84" s="13">
        <f t="shared" si="28"/>
        <v>2024</v>
      </c>
    </row>
    <row r="85" spans="3:17" ht="15">
      <c r="C85" s="51" t="s">
        <v>23</v>
      </c>
      <c r="D85" s="13" t="s">
        <v>140</v>
      </c>
      <c r="E85" s="13" t="s">
        <v>141</v>
      </c>
      <c r="F85" s="13" t="s">
        <v>142</v>
      </c>
      <c r="G85" s="13" t="s">
        <v>143</v>
      </c>
      <c r="H85" s="13" t="s">
        <v>144</v>
      </c>
      <c r="I85" s="13" t="s">
        <v>81</v>
      </c>
      <c r="J85" s="13" t="s">
        <v>145</v>
      </c>
      <c r="K85" s="13" t="s">
        <v>146</v>
      </c>
      <c r="L85" s="13" t="s">
        <v>147</v>
      </c>
      <c r="M85" s="13" t="s">
        <v>148</v>
      </c>
      <c r="N85" s="13" t="s">
        <v>149</v>
      </c>
      <c r="O85" s="13" t="s">
        <v>150</v>
      </c>
      <c r="P85" s="13" t="s">
        <v>140</v>
      </c>
      <c r="Q85" s="13" t="s">
        <v>151</v>
      </c>
    </row>
    <row r="86" spans="3:17" ht="15">
      <c r="C86" s="51" t="s">
        <v>162</v>
      </c>
      <c r="D86" s="13" t="s">
        <v>92</v>
      </c>
      <c r="E86" s="13" t="s">
        <v>201</v>
      </c>
      <c r="F86" s="13" t="s">
        <v>201</v>
      </c>
      <c r="G86" s="13" t="s">
        <v>201</v>
      </c>
      <c r="H86" s="13" t="s">
        <v>201</v>
      </c>
      <c r="I86" s="13" t="s">
        <v>201</v>
      </c>
      <c r="J86" s="13" t="s">
        <v>201</v>
      </c>
      <c r="K86" s="13" t="s">
        <v>201</v>
      </c>
      <c r="L86" s="13" t="s">
        <v>201</v>
      </c>
      <c r="M86" s="13" t="s">
        <v>201</v>
      </c>
      <c r="N86" s="13" t="s">
        <v>201</v>
      </c>
      <c r="O86" s="13" t="s">
        <v>201</v>
      </c>
      <c r="P86" s="13" t="s">
        <v>201</v>
      </c>
      <c r="Q86" s="51"/>
    </row>
    <row r="87" spans="2:3" ht="15">
      <c r="B87" s="99"/>
      <c r="C87" s="99"/>
    </row>
    <row r="88" spans="1:17" ht="15">
      <c r="A88" s="102"/>
      <c r="B88" s="103" t="s">
        <v>133</v>
      </c>
      <c r="C88" s="104">
        <f>1.74%/12</f>
        <v>0.00145</v>
      </c>
      <c r="D88" s="62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6"/>
    </row>
    <row r="89" spans="1:17" ht="15">
      <c r="A89" s="107"/>
      <c r="B89" s="55" t="s">
        <v>166</v>
      </c>
      <c r="C89" s="108"/>
      <c r="D89" s="56"/>
      <c r="E89" s="56">
        <f>+'3.0 Plant in Service'!D88</f>
        <v>1294211.6466015163</v>
      </c>
      <c r="F89" s="56">
        <f>+'3.0 Plant in Service'!E88</f>
        <v>580082.2960849338</v>
      </c>
      <c r="G89" s="56">
        <f>+'3.0 Plant in Service'!F88</f>
        <v>1679819.5614238442</v>
      </c>
      <c r="H89" s="56">
        <f>+'3.0 Plant in Service'!G88</f>
        <v>1085099.0430508142</v>
      </c>
      <c r="I89" s="56">
        <f>+'3.0 Plant in Service'!H88</f>
        <v>1715794.2553764428</v>
      </c>
      <c r="J89" s="56">
        <f>+'3.0 Plant in Service'!I88</f>
        <v>1857378.4875855374</v>
      </c>
      <c r="K89" s="56">
        <f>+'3.0 Plant in Service'!J88</f>
        <v>1190107.9726593986</v>
      </c>
      <c r="L89" s="56">
        <f>+'3.0 Plant in Service'!K88</f>
        <v>1137187.633895977</v>
      </c>
      <c r="M89" s="56">
        <f>+'3.0 Plant in Service'!L88</f>
        <v>2783904.0244020014</v>
      </c>
      <c r="N89" s="56">
        <f>+'3.0 Plant in Service'!M88</f>
        <v>3427744.7341480013</v>
      </c>
      <c r="O89" s="56">
        <f>+'3.0 Plant in Service'!N88</f>
        <v>1808638.0889471162</v>
      </c>
      <c r="P89" s="56">
        <f>+'3.0 Plant in Service'!O88</f>
        <v>3267355.6289632525</v>
      </c>
      <c r="Q89" s="109">
        <f>SUM(E89:P89)</f>
        <v>21827323.373138838</v>
      </c>
    </row>
    <row r="90" spans="1:17" ht="15">
      <c r="A90" s="107"/>
      <c r="B90" s="55" t="s">
        <v>167</v>
      </c>
      <c r="C90" s="108"/>
      <c r="D90" s="56"/>
      <c r="E90" s="59">
        <f>+'3.0 Plant in Service'!D97</f>
        <v>-10872.773776682474</v>
      </c>
      <c r="F90" s="59">
        <f>+'3.0 Plant in Service'!E97</f>
        <v>-464.1127750854386</v>
      </c>
      <c r="G90" s="59">
        <f>+'3.0 Plant in Service'!F97</f>
        <v>-799.823502605223</v>
      </c>
      <c r="H90" s="59">
        <f>+'3.0 Plant in Service'!G97</f>
        <v>-5865.210416414552</v>
      </c>
      <c r="I90" s="59">
        <f>+'3.0 Plant in Service'!H97</f>
        <v>-8774.271283454618</v>
      </c>
      <c r="J90" s="59">
        <f>+'3.0 Plant in Service'!I97</f>
        <v>-1945.5473091633708</v>
      </c>
      <c r="K90" s="59">
        <f>+'3.0 Plant in Service'!J97</f>
        <v>-7052.205601515201</v>
      </c>
      <c r="L90" s="59">
        <f>+'3.0 Plant in Service'!K97</f>
        <v>-1219.9458611167438</v>
      </c>
      <c r="M90" s="59">
        <f>+'3.0 Plant in Service'!L97</f>
        <v>-45568.520140757675</v>
      </c>
      <c r="N90" s="59">
        <f>+'3.0 Plant in Service'!M97</f>
        <v>-45748.70778525417</v>
      </c>
      <c r="O90" s="59">
        <f>+'3.0 Plant in Service'!N97</f>
        <v>-28291.12520174447</v>
      </c>
      <c r="P90" s="59">
        <f>+'3.0 Plant in Service'!O97</f>
        <v>-114056.75634620605</v>
      </c>
      <c r="Q90" s="109"/>
    </row>
    <row r="91" spans="1:17" ht="15">
      <c r="A91" s="107"/>
      <c r="B91" s="55" t="s">
        <v>219</v>
      </c>
      <c r="C91" s="108"/>
      <c r="D91" s="56"/>
      <c r="E91" s="56">
        <f aca="true" t="shared" si="29" ref="E91:P91">SUM(E89:E90)</f>
        <v>1283338.8728248337</v>
      </c>
      <c r="F91" s="56">
        <f t="shared" si="29"/>
        <v>579618.1833098483</v>
      </c>
      <c r="G91" s="56">
        <f t="shared" si="29"/>
        <v>1679019.7379212389</v>
      </c>
      <c r="H91" s="56">
        <f t="shared" si="29"/>
        <v>1079233.8326343996</v>
      </c>
      <c r="I91" s="56">
        <f t="shared" si="29"/>
        <v>1707019.984092988</v>
      </c>
      <c r="J91" s="56">
        <f t="shared" si="29"/>
        <v>1855432.940276374</v>
      </c>
      <c r="K91" s="56">
        <f t="shared" si="29"/>
        <v>1183055.7670578833</v>
      </c>
      <c r="L91" s="56">
        <f t="shared" si="29"/>
        <v>1135967.6880348602</v>
      </c>
      <c r="M91" s="56">
        <f t="shared" si="29"/>
        <v>2738335.5042612436</v>
      </c>
      <c r="N91" s="56">
        <f t="shared" si="29"/>
        <v>3381996.026362747</v>
      </c>
      <c r="O91" s="56">
        <f t="shared" si="29"/>
        <v>1780346.9637453717</v>
      </c>
      <c r="P91" s="56">
        <f t="shared" si="29"/>
        <v>3153298.8726170463</v>
      </c>
      <c r="Q91" s="109">
        <f>SUM(D91:P91)+D92</f>
        <v>47809210.37313884</v>
      </c>
    </row>
    <row r="92" spans="1:17" ht="15">
      <c r="A92" s="107"/>
      <c r="B92" s="55" t="s">
        <v>163</v>
      </c>
      <c r="C92" s="108"/>
      <c r="D92" s="56">
        <f>+Q15</f>
        <v>26252546</v>
      </c>
      <c r="E92" s="56">
        <f aca="true" t="shared" si="30" ref="E92:P92">+E91+D92</f>
        <v>27535884.872824833</v>
      </c>
      <c r="F92" s="56">
        <f t="shared" si="30"/>
        <v>28115503.056134682</v>
      </c>
      <c r="G92" s="56">
        <f t="shared" si="30"/>
        <v>29794522.79405592</v>
      </c>
      <c r="H92" s="56">
        <f t="shared" si="30"/>
        <v>30873756.62669032</v>
      </c>
      <c r="I92" s="56">
        <f t="shared" si="30"/>
        <v>32580776.61078331</v>
      </c>
      <c r="J92" s="56">
        <f t="shared" si="30"/>
        <v>34436209.551059686</v>
      </c>
      <c r="K92" s="56">
        <f t="shared" si="30"/>
        <v>35619265.31811757</v>
      </c>
      <c r="L92" s="56">
        <f t="shared" si="30"/>
        <v>36755233.00615243</v>
      </c>
      <c r="M92" s="56">
        <f t="shared" si="30"/>
        <v>39493568.51041367</v>
      </c>
      <c r="N92" s="56">
        <f t="shared" si="30"/>
        <v>42875564.536776416</v>
      </c>
      <c r="O92" s="56">
        <f t="shared" si="30"/>
        <v>44655911.50052179</v>
      </c>
      <c r="P92" s="56">
        <f t="shared" si="30"/>
        <v>47809210.37313883</v>
      </c>
      <c r="Q92" s="109"/>
    </row>
    <row r="93" spans="1:17" ht="15">
      <c r="A93" s="107"/>
      <c r="B93" s="55"/>
      <c r="C93" s="108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109"/>
    </row>
    <row r="94" spans="1:17" ht="15">
      <c r="A94" s="107"/>
      <c r="B94" s="55" t="s">
        <v>164</v>
      </c>
      <c r="C94" s="108"/>
      <c r="D94" s="56"/>
      <c r="E94" s="56">
        <f>ROUND($C88*D92,0)</f>
        <v>38066</v>
      </c>
      <c r="F94" s="56">
        <f aca="true" t="shared" si="31" ref="F94:P94">ROUND($C88*E92,0)</f>
        <v>39927</v>
      </c>
      <c r="G94" s="56">
        <f t="shared" si="31"/>
        <v>40767</v>
      </c>
      <c r="H94" s="56">
        <f t="shared" si="31"/>
        <v>43202</v>
      </c>
      <c r="I94" s="56">
        <f t="shared" si="31"/>
        <v>44767</v>
      </c>
      <c r="J94" s="56">
        <f t="shared" si="31"/>
        <v>47242</v>
      </c>
      <c r="K94" s="56">
        <f t="shared" si="31"/>
        <v>49933</v>
      </c>
      <c r="L94" s="56">
        <f t="shared" si="31"/>
        <v>51648</v>
      </c>
      <c r="M94" s="56">
        <f t="shared" si="31"/>
        <v>53295</v>
      </c>
      <c r="N94" s="56">
        <f t="shared" si="31"/>
        <v>57266</v>
      </c>
      <c r="O94" s="56">
        <f t="shared" si="31"/>
        <v>62170</v>
      </c>
      <c r="P94" s="56">
        <f t="shared" si="31"/>
        <v>64751</v>
      </c>
      <c r="Q94" s="109"/>
    </row>
    <row r="95" spans="1:17" ht="15">
      <c r="A95" s="107"/>
      <c r="B95" s="55" t="s">
        <v>165</v>
      </c>
      <c r="C95" s="108"/>
      <c r="D95" s="56"/>
      <c r="E95" s="59">
        <f>ROUND($C88*E91*0.5,3)</f>
        <v>930.421</v>
      </c>
      <c r="F95" s="59">
        <f aca="true" t="shared" si="32" ref="F95:P95">ROUND($C88*F91*0.5,3)</f>
        <v>420.223</v>
      </c>
      <c r="G95" s="59">
        <f t="shared" si="32"/>
        <v>1217.289</v>
      </c>
      <c r="H95" s="59">
        <f t="shared" si="32"/>
        <v>782.445</v>
      </c>
      <c r="I95" s="59">
        <f t="shared" si="32"/>
        <v>1237.589</v>
      </c>
      <c r="J95" s="59">
        <f t="shared" si="32"/>
        <v>1345.189</v>
      </c>
      <c r="K95" s="59">
        <f t="shared" si="32"/>
        <v>857.715</v>
      </c>
      <c r="L95" s="59">
        <f t="shared" si="32"/>
        <v>823.577</v>
      </c>
      <c r="M95" s="59">
        <f t="shared" si="32"/>
        <v>1985.293</v>
      </c>
      <c r="N95" s="59">
        <f t="shared" si="32"/>
        <v>2451.947</v>
      </c>
      <c r="O95" s="59">
        <f t="shared" si="32"/>
        <v>1290.752</v>
      </c>
      <c r="P95" s="59">
        <f t="shared" si="32"/>
        <v>2286.142</v>
      </c>
      <c r="Q95" s="109"/>
    </row>
    <row r="96" spans="1:17" ht="15">
      <c r="A96" s="107"/>
      <c r="B96" s="55" t="s">
        <v>274</v>
      </c>
      <c r="C96" s="108"/>
      <c r="D96" s="56">
        <v>0</v>
      </c>
      <c r="E96" s="56">
        <f aca="true" t="shared" si="33" ref="E96:P96">SUM(E94:E95)</f>
        <v>38996.421</v>
      </c>
      <c r="F96" s="56">
        <f t="shared" si="33"/>
        <v>40347.223</v>
      </c>
      <c r="G96" s="56">
        <f t="shared" si="33"/>
        <v>41984.289</v>
      </c>
      <c r="H96" s="56">
        <f t="shared" si="33"/>
        <v>43984.445</v>
      </c>
      <c r="I96" s="56">
        <f t="shared" si="33"/>
        <v>46004.589</v>
      </c>
      <c r="J96" s="56">
        <f t="shared" si="33"/>
        <v>48587.189</v>
      </c>
      <c r="K96" s="56">
        <f t="shared" si="33"/>
        <v>50790.715</v>
      </c>
      <c r="L96" s="56">
        <f t="shared" si="33"/>
        <v>52471.577</v>
      </c>
      <c r="M96" s="56">
        <f t="shared" si="33"/>
        <v>55280.293</v>
      </c>
      <c r="N96" s="56">
        <f t="shared" si="33"/>
        <v>59717.947</v>
      </c>
      <c r="O96" s="56">
        <f t="shared" si="33"/>
        <v>63460.752</v>
      </c>
      <c r="P96" s="56">
        <f t="shared" si="33"/>
        <v>67037.14199999999</v>
      </c>
      <c r="Q96" s="109">
        <f>SUM(D96:P96)</f>
        <v>608662.582</v>
      </c>
    </row>
    <row r="97" spans="1:17" ht="15">
      <c r="A97" s="110"/>
      <c r="B97" s="111"/>
      <c r="C97" s="112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113"/>
    </row>
    <row r="98" spans="1:17" ht="15">
      <c r="A98" s="102"/>
      <c r="B98" s="103" t="s">
        <v>134</v>
      </c>
      <c r="C98" s="104">
        <f>2.52%/12</f>
        <v>0.0021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06"/>
    </row>
    <row r="99" spans="1:17" ht="15">
      <c r="A99" s="107"/>
      <c r="B99" s="55" t="s">
        <v>166</v>
      </c>
      <c r="C99" s="108"/>
      <c r="D99" s="56"/>
      <c r="E99" s="56">
        <f>+'3.0 Plant in Service'!D89</f>
        <v>42392.26343032221</v>
      </c>
      <c r="F99" s="56">
        <f>+'3.0 Plant in Service'!E89</f>
        <v>62102.4238128678</v>
      </c>
      <c r="G99" s="56">
        <f>+'3.0 Plant in Service'!F89</f>
        <v>130247.66570237011</v>
      </c>
      <c r="H99" s="56">
        <f>+'3.0 Plant in Service'!G89</f>
        <v>99194.37712408138</v>
      </c>
      <c r="I99" s="56">
        <f>+'3.0 Plant in Service'!H89</f>
        <v>372549.15617829165</v>
      </c>
      <c r="J99" s="56">
        <f>+'3.0 Plant in Service'!I89</f>
        <v>14630.75963536322</v>
      </c>
      <c r="K99" s="56">
        <f>+'3.0 Plant in Service'!J89</f>
        <v>265825.43520575226</v>
      </c>
      <c r="L99" s="56">
        <f>+'3.0 Plant in Service'!K89</f>
        <v>17290.954004861935</v>
      </c>
      <c r="M99" s="56">
        <f>+'3.0 Plant in Service'!L89</f>
        <v>57075.66621493255</v>
      </c>
      <c r="N99" s="56">
        <f>+'3.0 Plant in Service'!M89</f>
        <v>39486.911132408895</v>
      </c>
      <c r="O99" s="56">
        <f>+'3.0 Plant in Service'!N89</f>
        <v>75803.69957783568</v>
      </c>
      <c r="P99" s="56">
        <f>+'3.0 Plant in Service'!O89</f>
        <v>146303.3148420787</v>
      </c>
      <c r="Q99" s="109">
        <f>SUM(E99:P99)</f>
        <v>1322902.6268611662</v>
      </c>
    </row>
    <row r="100" spans="1:17" ht="15">
      <c r="A100" s="107"/>
      <c r="B100" s="55" t="s">
        <v>167</v>
      </c>
      <c r="C100" s="108"/>
      <c r="D100" s="56"/>
      <c r="E100" s="59">
        <f>+'3.0 Plant in Service'!D98</f>
        <v>-13920.699075574954</v>
      </c>
      <c r="F100" s="59">
        <f>+'3.0 Plant in Service'!E98</f>
        <v>-9726.731028190583</v>
      </c>
      <c r="G100" s="59">
        <f>+'3.0 Plant in Service'!F98</f>
        <v>-5995.376090847709</v>
      </c>
      <c r="H100" s="59">
        <f>+'3.0 Plant in Service'!G98</f>
        <v>-14286.84987086611</v>
      </c>
      <c r="I100" s="59">
        <f>+'3.0 Plant in Service'!H98</f>
        <v>-21330.138679792384</v>
      </c>
      <c r="J100" s="59">
        <f>+'3.0 Plant in Service'!I98</f>
        <v>-32162.548412264143</v>
      </c>
      <c r="K100" s="59">
        <f>+'3.0 Plant in Service'!J98</f>
        <v>-56110.765664551844</v>
      </c>
      <c r="L100" s="59">
        <f>+'3.0 Plant in Service'!K98</f>
        <v>-23514.051427214676</v>
      </c>
      <c r="M100" s="59">
        <f>+'3.0 Plant in Service'!L98</f>
        <v>-42480.748564683585</v>
      </c>
      <c r="N100" s="59">
        <f>+'3.0 Plant in Service'!M98</f>
        <v>-26692.364387453785</v>
      </c>
      <c r="O100" s="59">
        <f>+'3.0 Plant in Service'!N98</f>
        <v>-47655.24780919504</v>
      </c>
      <c r="P100" s="59">
        <f>+'3.0 Plant in Service'!O98</f>
        <v>-38834.4789893652</v>
      </c>
      <c r="Q100" s="109"/>
    </row>
    <row r="101" spans="1:17" ht="15">
      <c r="A101" s="107"/>
      <c r="B101" s="55" t="s">
        <v>219</v>
      </c>
      <c r="C101" s="108"/>
      <c r="D101" s="56"/>
      <c r="E101" s="56">
        <f aca="true" t="shared" si="34" ref="E101:P101">SUM(E99:E100)</f>
        <v>28471.564354747254</v>
      </c>
      <c r="F101" s="56">
        <f t="shared" si="34"/>
        <v>52375.692784677216</v>
      </c>
      <c r="G101" s="56">
        <f t="shared" si="34"/>
        <v>124252.2896115224</v>
      </c>
      <c r="H101" s="56">
        <f t="shared" si="34"/>
        <v>84907.52725321527</v>
      </c>
      <c r="I101" s="56">
        <f t="shared" si="34"/>
        <v>351219.01749849925</v>
      </c>
      <c r="J101" s="56">
        <f t="shared" si="34"/>
        <v>-17531.788776900925</v>
      </c>
      <c r="K101" s="56">
        <f t="shared" si="34"/>
        <v>209714.66954120042</v>
      </c>
      <c r="L101" s="56">
        <f t="shared" si="34"/>
        <v>-6223.097422352741</v>
      </c>
      <c r="M101" s="56">
        <f t="shared" si="34"/>
        <v>14594.917650248964</v>
      </c>
      <c r="N101" s="56">
        <f t="shared" si="34"/>
        <v>12794.54674495511</v>
      </c>
      <c r="O101" s="56">
        <f t="shared" si="34"/>
        <v>28148.45176864064</v>
      </c>
      <c r="P101" s="56">
        <f t="shared" si="34"/>
        <v>107468.8358527135</v>
      </c>
      <c r="Q101" s="109">
        <f>SUM(D101:P101)+D102</f>
        <v>2199640.626861166</v>
      </c>
    </row>
    <row r="102" spans="1:17" ht="15">
      <c r="A102" s="107"/>
      <c r="B102" s="55" t="s">
        <v>163</v>
      </c>
      <c r="C102" s="108"/>
      <c r="D102" s="56">
        <f>+Q25</f>
        <v>1209448.0000000002</v>
      </c>
      <c r="E102" s="56">
        <f aca="true" t="shared" si="35" ref="E102:P102">+E101+D102</f>
        <v>1237919.5643547475</v>
      </c>
      <c r="F102" s="56">
        <f t="shared" si="35"/>
        <v>1290295.2571394248</v>
      </c>
      <c r="G102" s="56">
        <f t="shared" si="35"/>
        <v>1414547.5467509471</v>
      </c>
      <c r="H102" s="56">
        <f t="shared" si="35"/>
        <v>1499455.0740041623</v>
      </c>
      <c r="I102" s="56">
        <f t="shared" si="35"/>
        <v>1850674.0915026616</v>
      </c>
      <c r="J102" s="56">
        <f t="shared" si="35"/>
        <v>1833142.3027257607</v>
      </c>
      <c r="K102" s="56">
        <f t="shared" si="35"/>
        <v>2042856.9722669611</v>
      </c>
      <c r="L102" s="56">
        <f t="shared" si="35"/>
        <v>2036633.8748446084</v>
      </c>
      <c r="M102" s="56">
        <f t="shared" si="35"/>
        <v>2051228.7924948572</v>
      </c>
      <c r="N102" s="56">
        <f t="shared" si="35"/>
        <v>2064023.3392398122</v>
      </c>
      <c r="O102" s="56">
        <f t="shared" si="35"/>
        <v>2092171.791008453</v>
      </c>
      <c r="P102" s="56">
        <f t="shared" si="35"/>
        <v>2199640.626861166</v>
      </c>
      <c r="Q102" s="109"/>
    </row>
    <row r="103" spans="1:17" ht="15">
      <c r="A103" s="107"/>
      <c r="B103" s="55"/>
      <c r="C103" s="108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109"/>
    </row>
    <row r="104" spans="1:17" ht="15">
      <c r="A104" s="107"/>
      <c r="B104" s="55" t="s">
        <v>164</v>
      </c>
      <c r="C104" s="108"/>
      <c r="D104" s="56"/>
      <c r="E104" s="56">
        <f>ROUND($C98*D102,0)</f>
        <v>2540</v>
      </c>
      <c r="F104" s="56">
        <f aca="true" t="shared" si="36" ref="F104:P104">ROUND($C98*E102,0)</f>
        <v>2600</v>
      </c>
      <c r="G104" s="56">
        <f t="shared" si="36"/>
        <v>2710</v>
      </c>
      <c r="H104" s="56">
        <f t="shared" si="36"/>
        <v>2971</v>
      </c>
      <c r="I104" s="56">
        <f t="shared" si="36"/>
        <v>3149</v>
      </c>
      <c r="J104" s="56">
        <f t="shared" si="36"/>
        <v>3886</v>
      </c>
      <c r="K104" s="56">
        <f t="shared" si="36"/>
        <v>3850</v>
      </c>
      <c r="L104" s="56">
        <f t="shared" si="36"/>
        <v>4290</v>
      </c>
      <c r="M104" s="56">
        <f t="shared" si="36"/>
        <v>4277</v>
      </c>
      <c r="N104" s="56">
        <f t="shared" si="36"/>
        <v>4308</v>
      </c>
      <c r="O104" s="56">
        <f t="shared" si="36"/>
        <v>4334</v>
      </c>
      <c r="P104" s="56">
        <f t="shared" si="36"/>
        <v>4394</v>
      </c>
      <c r="Q104" s="109"/>
    </row>
    <row r="105" spans="1:17" ht="15">
      <c r="A105" s="107"/>
      <c r="B105" s="55" t="s">
        <v>165</v>
      </c>
      <c r="C105" s="108"/>
      <c r="D105" s="56"/>
      <c r="E105" s="59">
        <f>ROUND($C98*E101*0.5,3)</f>
        <v>29.895</v>
      </c>
      <c r="F105" s="59">
        <f aca="true" t="shared" si="37" ref="F105:P105">ROUND($C98*F101*0.5,3)</f>
        <v>54.994</v>
      </c>
      <c r="G105" s="59">
        <f t="shared" si="37"/>
        <v>130.465</v>
      </c>
      <c r="H105" s="59">
        <f t="shared" si="37"/>
        <v>89.153</v>
      </c>
      <c r="I105" s="59">
        <f t="shared" si="37"/>
        <v>368.78</v>
      </c>
      <c r="J105" s="59">
        <f t="shared" si="37"/>
        <v>-18.408</v>
      </c>
      <c r="K105" s="59">
        <f t="shared" si="37"/>
        <v>220.2</v>
      </c>
      <c r="L105" s="59">
        <f t="shared" si="37"/>
        <v>-6.534</v>
      </c>
      <c r="M105" s="59">
        <f t="shared" si="37"/>
        <v>15.325</v>
      </c>
      <c r="N105" s="59">
        <f t="shared" si="37"/>
        <v>13.434</v>
      </c>
      <c r="O105" s="59">
        <f t="shared" si="37"/>
        <v>29.556</v>
      </c>
      <c r="P105" s="59">
        <f t="shared" si="37"/>
        <v>112.842</v>
      </c>
      <c r="Q105" s="109"/>
    </row>
    <row r="106" spans="1:17" ht="15">
      <c r="A106" s="107"/>
      <c r="B106" s="55" t="s">
        <v>275</v>
      </c>
      <c r="C106" s="108"/>
      <c r="D106" s="56"/>
      <c r="E106" s="56">
        <f aca="true" t="shared" si="38" ref="E106:P106">SUM(E104:E105)</f>
        <v>2569.895</v>
      </c>
      <c r="F106" s="56">
        <f t="shared" si="38"/>
        <v>2654.994</v>
      </c>
      <c r="G106" s="56">
        <f t="shared" si="38"/>
        <v>2840.465</v>
      </c>
      <c r="H106" s="56">
        <f t="shared" si="38"/>
        <v>3060.153</v>
      </c>
      <c r="I106" s="56">
        <f t="shared" si="38"/>
        <v>3517.7799999999997</v>
      </c>
      <c r="J106" s="56">
        <f t="shared" si="38"/>
        <v>3867.592</v>
      </c>
      <c r="K106" s="56">
        <f t="shared" si="38"/>
        <v>4070.2</v>
      </c>
      <c r="L106" s="56">
        <f t="shared" si="38"/>
        <v>4283.466</v>
      </c>
      <c r="M106" s="56">
        <f t="shared" si="38"/>
        <v>4292.325</v>
      </c>
      <c r="N106" s="56">
        <f t="shared" si="38"/>
        <v>4321.434</v>
      </c>
      <c r="O106" s="56">
        <f t="shared" si="38"/>
        <v>4363.556</v>
      </c>
      <c r="P106" s="56">
        <f t="shared" si="38"/>
        <v>4506.842</v>
      </c>
      <c r="Q106" s="109">
        <f>SUM(E106:P106)</f>
        <v>44348.702</v>
      </c>
    </row>
    <row r="107" spans="1:17" ht="15">
      <c r="A107" s="110"/>
      <c r="B107" s="111"/>
      <c r="C107" s="112"/>
      <c r="D107" s="59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3"/>
    </row>
    <row r="108" spans="1:17" ht="15">
      <c r="A108" s="102"/>
      <c r="B108" s="103" t="s">
        <v>135</v>
      </c>
      <c r="C108" s="104">
        <f>3.98%/12</f>
        <v>0.003316666666666667</v>
      </c>
      <c r="D108" s="62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6"/>
    </row>
    <row r="109" spans="1:17" ht="15">
      <c r="A109" s="107"/>
      <c r="B109" s="55" t="s">
        <v>166</v>
      </c>
      <c r="C109" s="108"/>
      <c r="D109" s="56"/>
      <c r="E109" s="56">
        <f>+'3.0 Plant in Service'!D90</f>
        <v>1097144.459369564</v>
      </c>
      <c r="F109" s="56">
        <f>+'3.0 Plant in Service'!E90</f>
        <v>1076101.5443720815</v>
      </c>
      <c r="G109" s="56">
        <f>+'3.0 Plant in Service'!F90</f>
        <v>1440237.1277296715</v>
      </c>
      <c r="H109" s="56">
        <f>+'3.0 Plant in Service'!G90</f>
        <v>1574435.5227747224</v>
      </c>
      <c r="I109" s="56">
        <f>+'3.0 Plant in Service'!H90</f>
        <v>1706521.1093863628</v>
      </c>
      <c r="J109" s="56">
        <f>+'3.0 Plant in Service'!I90</f>
        <v>1576620.4344810885</v>
      </c>
      <c r="K109" s="56">
        <f>+'3.0 Plant in Service'!J90</f>
        <v>1258019.564269658</v>
      </c>
      <c r="L109" s="56">
        <f>+'3.0 Plant in Service'!K90</f>
        <v>1653824.3615050942</v>
      </c>
      <c r="M109" s="56">
        <f>+'3.0 Plant in Service'!L90</f>
        <v>1609212.253741326</v>
      </c>
      <c r="N109" s="56">
        <f>+'3.0 Plant in Service'!M90</f>
        <v>1258222.4812342657</v>
      </c>
      <c r="O109" s="56">
        <f>+'3.0 Plant in Service'!N90</f>
        <v>1229330.0759411473</v>
      </c>
      <c r="P109" s="56">
        <f>+'3.0 Plant in Service'!O90</f>
        <v>1237369.0651950168</v>
      </c>
      <c r="Q109" s="109">
        <f>SUM(E109:P109)</f>
        <v>16717038</v>
      </c>
    </row>
    <row r="110" spans="1:17" ht="15">
      <c r="A110" s="107"/>
      <c r="B110" s="55" t="s">
        <v>167</v>
      </c>
      <c r="C110" s="108"/>
      <c r="D110" s="56"/>
      <c r="E110" s="59">
        <f>+'3.0 Plant in Service'!D99</f>
        <v>-261131.07673132105</v>
      </c>
      <c r="F110" s="59">
        <f>+'3.0 Plant in Service'!E99</f>
        <v>-272770.6394373798</v>
      </c>
      <c r="G110" s="59">
        <f>+'3.0 Plant in Service'!F99</f>
        <v>-277541.40632934205</v>
      </c>
      <c r="H110" s="59">
        <f>+'3.0 Plant in Service'!G99</f>
        <v>-437686.5468883188</v>
      </c>
      <c r="I110" s="59">
        <f>+'3.0 Plant in Service'!H99</f>
        <v>-444461.42472238117</v>
      </c>
      <c r="J110" s="59">
        <f>+'3.0 Plant in Service'!I99</f>
        <v>-507119.2773018261</v>
      </c>
      <c r="K110" s="59">
        <f>+'3.0 Plant in Service'!J99</f>
        <v>-397350.938509798</v>
      </c>
      <c r="L110" s="59">
        <f>+'3.0 Plant in Service'!K99</f>
        <v>-290648.80179505283</v>
      </c>
      <c r="M110" s="59">
        <f>+'3.0 Plant in Service'!L99</f>
        <v>-433456.4826125109</v>
      </c>
      <c r="N110" s="59">
        <f>+'3.0 Plant in Service'!M99</f>
        <v>-452192.31972346077</v>
      </c>
      <c r="O110" s="59">
        <f>+'3.0 Plant in Service'!N99</f>
        <v>-524944.8352707113</v>
      </c>
      <c r="P110" s="59">
        <f>+'3.0 Plant in Service'!O99</f>
        <v>-546965.2506778972</v>
      </c>
      <c r="Q110" s="109"/>
    </row>
    <row r="111" spans="1:17" ht="15">
      <c r="A111" s="107"/>
      <c r="B111" s="55" t="s">
        <v>219</v>
      </c>
      <c r="C111" s="108"/>
      <c r="D111" s="56"/>
      <c r="E111" s="56">
        <f aca="true" t="shared" si="39" ref="E111:P111">SUM(E109:E110)</f>
        <v>836013.3826382429</v>
      </c>
      <c r="F111" s="56">
        <f t="shared" si="39"/>
        <v>803330.9049347017</v>
      </c>
      <c r="G111" s="56">
        <f t="shared" si="39"/>
        <v>1162695.7214003294</v>
      </c>
      <c r="H111" s="56">
        <f t="shared" si="39"/>
        <v>1136748.9758864036</v>
      </c>
      <c r="I111" s="56">
        <f t="shared" si="39"/>
        <v>1262059.6846639817</v>
      </c>
      <c r="J111" s="56">
        <f t="shared" si="39"/>
        <v>1069501.1571792625</v>
      </c>
      <c r="K111" s="56">
        <f t="shared" si="39"/>
        <v>860668.6257598599</v>
      </c>
      <c r="L111" s="56">
        <f t="shared" si="39"/>
        <v>1363175.5597100414</v>
      </c>
      <c r="M111" s="56">
        <f t="shared" si="39"/>
        <v>1175755.7711288151</v>
      </c>
      <c r="N111" s="56">
        <f t="shared" si="39"/>
        <v>806030.1615108049</v>
      </c>
      <c r="O111" s="56">
        <f t="shared" si="39"/>
        <v>704385.240670436</v>
      </c>
      <c r="P111" s="56">
        <f t="shared" si="39"/>
        <v>690403.8145171196</v>
      </c>
      <c r="Q111" s="109">
        <f>SUM(D111:P111)+D112</f>
        <v>21305215</v>
      </c>
    </row>
    <row r="112" spans="1:17" ht="15">
      <c r="A112" s="107"/>
      <c r="B112" s="55" t="s">
        <v>163</v>
      </c>
      <c r="C112" s="108"/>
      <c r="D112" s="56">
        <f>+Q35</f>
        <v>9434446.000000002</v>
      </c>
      <c r="E112" s="56">
        <f aca="true" t="shared" si="40" ref="E112:P112">+E111+D112</f>
        <v>10270459.382638244</v>
      </c>
      <c r="F112" s="56">
        <f t="shared" si="40"/>
        <v>11073790.287572946</v>
      </c>
      <c r="G112" s="56">
        <f t="shared" si="40"/>
        <v>12236486.008973276</v>
      </c>
      <c r="H112" s="56">
        <f t="shared" si="40"/>
        <v>13373234.984859679</v>
      </c>
      <c r="I112" s="56">
        <f t="shared" si="40"/>
        <v>14635294.66952366</v>
      </c>
      <c r="J112" s="56">
        <f t="shared" si="40"/>
        <v>15704795.826702923</v>
      </c>
      <c r="K112" s="56">
        <f t="shared" si="40"/>
        <v>16565464.452462783</v>
      </c>
      <c r="L112" s="56">
        <f t="shared" si="40"/>
        <v>17928640.012172826</v>
      </c>
      <c r="M112" s="56">
        <f t="shared" si="40"/>
        <v>19104395.78330164</v>
      </c>
      <c r="N112" s="56">
        <f t="shared" si="40"/>
        <v>19910425.944812447</v>
      </c>
      <c r="O112" s="56">
        <f t="shared" si="40"/>
        <v>20614811.185482882</v>
      </c>
      <c r="P112" s="56">
        <f t="shared" si="40"/>
        <v>21305215</v>
      </c>
      <c r="Q112" s="109"/>
    </row>
    <row r="113" spans="1:17" ht="15">
      <c r="A113" s="107"/>
      <c r="B113" s="55"/>
      <c r="C113" s="108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109"/>
    </row>
    <row r="114" spans="1:17" ht="15">
      <c r="A114" s="107"/>
      <c r="B114" s="55" t="s">
        <v>164</v>
      </c>
      <c r="C114" s="108"/>
      <c r="D114" s="56"/>
      <c r="E114" s="56">
        <f>ROUND($C108*D112,0)</f>
        <v>31291</v>
      </c>
      <c r="F114" s="56">
        <f aca="true" t="shared" si="41" ref="F114:P114">ROUND($C108*E112,0)</f>
        <v>34064</v>
      </c>
      <c r="G114" s="56">
        <f t="shared" si="41"/>
        <v>36728</v>
      </c>
      <c r="H114" s="56">
        <f t="shared" si="41"/>
        <v>40584</v>
      </c>
      <c r="I114" s="56">
        <f t="shared" si="41"/>
        <v>44355</v>
      </c>
      <c r="J114" s="56">
        <f t="shared" si="41"/>
        <v>48540</v>
      </c>
      <c r="K114" s="56">
        <f t="shared" si="41"/>
        <v>52088</v>
      </c>
      <c r="L114" s="56">
        <f t="shared" si="41"/>
        <v>54942</v>
      </c>
      <c r="M114" s="56">
        <f t="shared" si="41"/>
        <v>59463</v>
      </c>
      <c r="N114" s="56">
        <f t="shared" si="41"/>
        <v>63363</v>
      </c>
      <c r="O114" s="56">
        <f t="shared" si="41"/>
        <v>66036</v>
      </c>
      <c r="P114" s="56">
        <f t="shared" si="41"/>
        <v>68372</v>
      </c>
      <c r="Q114" s="109"/>
    </row>
    <row r="115" spans="1:17" ht="15">
      <c r="A115" s="107"/>
      <c r="B115" s="55" t="s">
        <v>165</v>
      </c>
      <c r="C115" s="108"/>
      <c r="D115" s="56"/>
      <c r="E115" s="59">
        <f>ROUND($C108*E111*0.5,3)</f>
        <v>1386.389</v>
      </c>
      <c r="F115" s="59">
        <f aca="true" t="shared" si="42" ref="F115:P115">ROUND($C108*F111*0.5,3)</f>
        <v>1332.19</v>
      </c>
      <c r="G115" s="59">
        <f t="shared" si="42"/>
        <v>1928.137</v>
      </c>
      <c r="H115" s="59">
        <f t="shared" si="42"/>
        <v>1885.109</v>
      </c>
      <c r="I115" s="59">
        <f t="shared" si="42"/>
        <v>2092.916</v>
      </c>
      <c r="J115" s="59">
        <f t="shared" si="42"/>
        <v>1773.589</v>
      </c>
      <c r="K115" s="59">
        <f t="shared" si="42"/>
        <v>1427.275</v>
      </c>
      <c r="L115" s="59">
        <f t="shared" si="42"/>
        <v>2260.599</v>
      </c>
      <c r="M115" s="59">
        <f t="shared" si="42"/>
        <v>1949.795</v>
      </c>
      <c r="N115" s="59">
        <f t="shared" si="42"/>
        <v>1336.667</v>
      </c>
      <c r="O115" s="59">
        <f t="shared" si="42"/>
        <v>1168.106</v>
      </c>
      <c r="P115" s="59">
        <f t="shared" si="42"/>
        <v>1144.92</v>
      </c>
      <c r="Q115" s="109"/>
    </row>
    <row r="116" spans="1:17" ht="15">
      <c r="A116" s="107"/>
      <c r="B116" s="55" t="s">
        <v>276</v>
      </c>
      <c r="C116" s="108"/>
      <c r="D116" s="56"/>
      <c r="E116" s="56">
        <f aca="true" t="shared" si="43" ref="E116:P116">SUM(E114:E115)</f>
        <v>32677.389</v>
      </c>
      <c r="F116" s="56">
        <f t="shared" si="43"/>
        <v>35396.19</v>
      </c>
      <c r="G116" s="56">
        <f t="shared" si="43"/>
        <v>38656.137</v>
      </c>
      <c r="H116" s="56">
        <f t="shared" si="43"/>
        <v>42469.109</v>
      </c>
      <c r="I116" s="56">
        <f t="shared" si="43"/>
        <v>46447.916</v>
      </c>
      <c r="J116" s="56">
        <f t="shared" si="43"/>
        <v>50313.589</v>
      </c>
      <c r="K116" s="56">
        <f t="shared" si="43"/>
        <v>53515.275</v>
      </c>
      <c r="L116" s="56">
        <f t="shared" si="43"/>
        <v>57202.599</v>
      </c>
      <c r="M116" s="56">
        <f t="shared" si="43"/>
        <v>61412.795</v>
      </c>
      <c r="N116" s="56">
        <f t="shared" si="43"/>
        <v>64699.667</v>
      </c>
      <c r="O116" s="56">
        <f t="shared" si="43"/>
        <v>67204.106</v>
      </c>
      <c r="P116" s="56">
        <f t="shared" si="43"/>
        <v>69516.92</v>
      </c>
      <c r="Q116" s="109">
        <f>SUM(E116:P116)</f>
        <v>619511.692</v>
      </c>
    </row>
    <row r="117" spans="1:17" ht="15">
      <c r="A117" s="110"/>
      <c r="B117" s="111"/>
      <c r="C117" s="112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113"/>
    </row>
    <row r="118" spans="1:17" ht="15">
      <c r="A118" s="102"/>
      <c r="B118" s="103" t="s">
        <v>136</v>
      </c>
      <c r="C118" s="104">
        <f>1.77%/12</f>
        <v>0.001475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106"/>
    </row>
    <row r="119" spans="1:17" ht="15">
      <c r="A119" s="107"/>
      <c r="B119" s="55" t="s">
        <v>166</v>
      </c>
      <c r="C119" s="108"/>
      <c r="D119" s="56"/>
      <c r="E119" s="56">
        <f>+'3.0 Plant in Service'!D91</f>
        <v>13046.317572008309</v>
      </c>
      <c r="F119" s="56">
        <f>+'3.0 Plant in Service'!E91</f>
        <v>12686.73988538257</v>
      </c>
      <c r="G119" s="56">
        <f>+'3.0 Plant in Service'!F91</f>
        <v>11627.624353835352</v>
      </c>
      <c r="H119" s="56">
        <f>+'3.0 Plant in Service'!G91</f>
        <v>9946.211024883232</v>
      </c>
      <c r="I119" s="56">
        <f>+'3.0 Plant in Service'!H91</f>
        <v>9773.889200743368</v>
      </c>
      <c r="J119" s="56">
        <f>+'3.0 Plant in Service'!I91</f>
        <v>12895.79332239938</v>
      </c>
      <c r="K119" s="56">
        <f>+'3.0 Plant in Service'!J91</f>
        <v>16620.85414706825</v>
      </c>
      <c r="L119" s="56">
        <f>+'3.0 Plant in Service'!K91</f>
        <v>26988.013324742355</v>
      </c>
      <c r="M119" s="56">
        <f>+'3.0 Plant in Service'!L91</f>
        <v>35131.5875146315</v>
      </c>
      <c r="N119" s="56">
        <f>+'3.0 Plant in Service'!M91</f>
        <v>31619.13048564288</v>
      </c>
      <c r="O119" s="56">
        <f>+'3.0 Plant in Service'!N91</f>
        <v>14809.990125341212</v>
      </c>
      <c r="P119" s="56">
        <f>+'3.0 Plant in Service'!O91</f>
        <v>25917.849043321596</v>
      </c>
      <c r="Q119" s="109">
        <f>SUM(E119:P119)</f>
        <v>221064</v>
      </c>
    </row>
    <row r="120" spans="1:17" ht="15">
      <c r="A120" s="107"/>
      <c r="B120" s="55" t="s">
        <v>167</v>
      </c>
      <c r="C120" s="108"/>
      <c r="D120" s="56"/>
      <c r="E120" s="59">
        <f>+'3.0 Plant in Service'!D100</f>
        <v>-1083.0268822244816</v>
      </c>
      <c r="F120" s="59">
        <f>+'3.0 Plant in Service'!E100</f>
        <v>-1407.809873709644</v>
      </c>
      <c r="G120" s="59">
        <f>+'3.0 Plant in Service'!F100</f>
        <v>-1895.6328350574754</v>
      </c>
      <c r="H120" s="59">
        <f>+'3.0 Plant in Service'!G100</f>
        <v>-3106.098602378177</v>
      </c>
      <c r="I120" s="59">
        <f>+'3.0 Plant in Service'!H100</f>
        <v>-2789.498805468539</v>
      </c>
      <c r="J120" s="59">
        <f>+'3.0 Plant in Service'!I100</f>
        <v>-3262.113676650419</v>
      </c>
      <c r="K120" s="59">
        <f>+'3.0 Plant in Service'!J100</f>
        <v>-3153.1324736359516</v>
      </c>
      <c r="L120" s="59">
        <f>+'3.0 Plant in Service'!K100</f>
        <v>-4519.754853010118</v>
      </c>
      <c r="M120" s="59">
        <f>+'3.0 Plant in Service'!L100</f>
        <v>-2821.4321866759965</v>
      </c>
      <c r="N120" s="59">
        <f>+'3.0 Plant in Service'!M100</f>
        <v>-2426.523169996629</v>
      </c>
      <c r="O120" s="59">
        <f>+'3.0 Plant in Service'!N100</f>
        <v>-3076.4472412953423</v>
      </c>
      <c r="P120" s="59">
        <f>+'3.0 Plant in Service'!O100</f>
        <v>-368.5293998972261</v>
      </c>
      <c r="Q120" s="109"/>
    </row>
    <row r="121" spans="1:17" ht="15">
      <c r="A121" s="107"/>
      <c r="B121" s="55" t="s">
        <v>219</v>
      </c>
      <c r="C121" s="108"/>
      <c r="D121" s="56"/>
      <c r="E121" s="56">
        <f aca="true" t="shared" si="44" ref="E121:P121">SUM(E119:E120)</f>
        <v>11963.290689783827</v>
      </c>
      <c r="F121" s="56">
        <f t="shared" si="44"/>
        <v>11278.930011672926</v>
      </c>
      <c r="G121" s="56">
        <f t="shared" si="44"/>
        <v>9731.991518777877</v>
      </c>
      <c r="H121" s="56">
        <f t="shared" si="44"/>
        <v>6840.112422505055</v>
      </c>
      <c r="I121" s="56">
        <f t="shared" si="44"/>
        <v>6984.390395274829</v>
      </c>
      <c r="J121" s="56">
        <f t="shared" si="44"/>
        <v>9633.679645748962</v>
      </c>
      <c r="K121" s="56">
        <f t="shared" si="44"/>
        <v>13467.7216734323</v>
      </c>
      <c r="L121" s="56">
        <f t="shared" si="44"/>
        <v>22468.25847173224</v>
      </c>
      <c r="M121" s="56">
        <f t="shared" si="44"/>
        <v>32310.155327955505</v>
      </c>
      <c r="N121" s="56">
        <f t="shared" si="44"/>
        <v>29192.60731564625</v>
      </c>
      <c r="O121" s="56">
        <f t="shared" si="44"/>
        <v>11733.54288404587</v>
      </c>
      <c r="P121" s="56">
        <f t="shared" si="44"/>
        <v>25549.31964342437</v>
      </c>
      <c r="Q121" s="109">
        <f>SUM(D121:P121)+D122</f>
        <v>244360</v>
      </c>
    </row>
    <row r="122" spans="1:17" ht="15">
      <c r="A122" s="107"/>
      <c r="B122" s="55" t="s">
        <v>163</v>
      </c>
      <c r="C122" s="108"/>
      <c r="D122" s="56">
        <f>+Q45</f>
        <v>53206.000000000015</v>
      </c>
      <c r="E122" s="56">
        <f aca="true" t="shared" si="45" ref="E122:P122">+E121+D122</f>
        <v>65169.29068978384</v>
      </c>
      <c r="F122" s="56">
        <f t="shared" si="45"/>
        <v>76448.22070145677</v>
      </c>
      <c r="G122" s="56">
        <f t="shared" si="45"/>
        <v>86180.21222023465</v>
      </c>
      <c r="H122" s="56">
        <f t="shared" si="45"/>
        <v>93020.32464273971</v>
      </c>
      <c r="I122" s="56">
        <f t="shared" si="45"/>
        <v>100004.71503801453</v>
      </c>
      <c r="J122" s="56">
        <f t="shared" si="45"/>
        <v>109638.3946837635</v>
      </c>
      <c r="K122" s="56">
        <f t="shared" si="45"/>
        <v>123106.1163571958</v>
      </c>
      <c r="L122" s="56">
        <f t="shared" si="45"/>
        <v>145574.37482892803</v>
      </c>
      <c r="M122" s="56">
        <f t="shared" si="45"/>
        <v>177884.53015688353</v>
      </c>
      <c r="N122" s="56">
        <f t="shared" si="45"/>
        <v>207077.13747252978</v>
      </c>
      <c r="O122" s="56">
        <f t="shared" si="45"/>
        <v>218810.68035657564</v>
      </c>
      <c r="P122" s="56">
        <f t="shared" si="45"/>
        <v>244360</v>
      </c>
      <c r="Q122" s="109"/>
    </row>
    <row r="123" spans="1:17" ht="15">
      <c r="A123" s="107"/>
      <c r="B123" s="55"/>
      <c r="C123" s="108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109"/>
    </row>
    <row r="124" spans="1:17" ht="15">
      <c r="A124" s="107"/>
      <c r="B124" s="55" t="s">
        <v>164</v>
      </c>
      <c r="C124" s="108"/>
      <c r="D124" s="56"/>
      <c r="E124" s="56">
        <f>ROUND($C118*D122,0)</f>
        <v>78</v>
      </c>
      <c r="F124" s="56">
        <f aca="true" t="shared" si="46" ref="F124:P124">ROUND($C118*E122,0)</f>
        <v>96</v>
      </c>
      <c r="G124" s="56">
        <f t="shared" si="46"/>
        <v>113</v>
      </c>
      <c r="H124" s="56">
        <f t="shared" si="46"/>
        <v>127</v>
      </c>
      <c r="I124" s="56">
        <f t="shared" si="46"/>
        <v>137</v>
      </c>
      <c r="J124" s="56">
        <f t="shared" si="46"/>
        <v>148</v>
      </c>
      <c r="K124" s="56">
        <f t="shared" si="46"/>
        <v>162</v>
      </c>
      <c r="L124" s="56">
        <f t="shared" si="46"/>
        <v>182</v>
      </c>
      <c r="M124" s="56">
        <f t="shared" si="46"/>
        <v>215</v>
      </c>
      <c r="N124" s="56">
        <f t="shared" si="46"/>
        <v>262</v>
      </c>
      <c r="O124" s="56">
        <f t="shared" si="46"/>
        <v>305</v>
      </c>
      <c r="P124" s="56">
        <f t="shared" si="46"/>
        <v>323</v>
      </c>
      <c r="Q124" s="109"/>
    </row>
    <row r="125" spans="1:17" ht="15">
      <c r="A125" s="107"/>
      <c r="B125" s="55" t="s">
        <v>165</v>
      </c>
      <c r="C125" s="108"/>
      <c r="D125" s="56"/>
      <c r="E125" s="59">
        <f>ROUND($C118*E121*0.5,3)</f>
        <v>8.823</v>
      </c>
      <c r="F125" s="59">
        <f aca="true" t="shared" si="47" ref="F125:P125">ROUND($C118*F121*0.5,3)</f>
        <v>8.318</v>
      </c>
      <c r="G125" s="59">
        <f t="shared" si="47"/>
        <v>7.177</v>
      </c>
      <c r="H125" s="59">
        <f t="shared" si="47"/>
        <v>5.045</v>
      </c>
      <c r="I125" s="59">
        <f t="shared" si="47"/>
        <v>5.151</v>
      </c>
      <c r="J125" s="59">
        <f t="shared" si="47"/>
        <v>7.105</v>
      </c>
      <c r="K125" s="59">
        <f t="shared" si="47"/>
        <v>9.932</v>
      </c>
      <c r="L125" s="59">
        <f t="shared" si="47"/>
        <v>16.57</v>
      </c>
      <c r="M125" s="59">
        <f t="shared" si="47"/>
        <v>23.829</v>
      </c>
      <c r="N125" s="59">
        <f t="shared" si="47"/>
        <v>21.53</v>
      </c>
      <c r="O125" s="59">
        <f t="shared" si="47"/>
        <v>8.653</v>
      </c>
      <c r="P125" s="59">
        <f t="shared" si="47"/>
        <v>18.843</v>
      </c>
      <c r="Q125" s="109"/>
    </row>
    <row r="126" spans="1:17" ht="15">
      <c r="A126" s="107"/>
      <c r="B126" s="55" t="s">
        <v>277</v>
      </c>
      <c r="C126" s="108"/>
      <c r="D126" s="56"/>
      <c r="E126" s="56">
        <f aca="true" t="shared" si="48" ref="E126:P126">SUM(E124:E125)</f>
        <v>86.82300000000001</v>
      </c>
      <c r="F126" s="56">
        <f t="shared" si="48"/>
        <v>104.318</v>
      </c>
      <c r="G126" s="56">
        <f t="shared" si="48"/>
        <v>120.17699999999999</v>
      </c>
      <c r="H126" s="56">
        <f t="shared" si="48"/>
        <v>132.045</v>
      </c>
      <c r="I126" s="56">
        <f t="shared" si="48"/>
        <v>142.151</v>
      </c>
      <c r="J126" s="56">
        <f t="shared" si="48"/>
        <v>155.105</v>
      </c>
      <c r="K126" s="56">
        <f t="shared" si="48"/>
        <v>171.932</v>
      </c>
      <c r="L126" s="56">
        <f t="shared" si="48"/>
        <v>198.57</v>
      </c>
      <c r="M126" s="56">
        <f t="shared" si="48"/>
        <v>238.829</v>
      </c>
      <c r="N126" s="56">
        <f t="shared" si="48"/>
        <v>283.53</v>
      </c>
      <c r="O126" s="56">
        <f t="shared" si="48"/>
        <v>313.653</v>
      </c>
      <c r="P126" s="56">
        <f t="shared" si="48"/>
        <v>341.843</v>
      </c>
      <c r="Q126" s="109">
        <f>SUM(E126:P126)</f>
        <v>2288.9759999999997</v>
      </c>
    </row>
    <row r="127" spans="1:17" ht="15">
      <c r="A127" s="110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5"/>
    </row>
    <row r="128" spans="1:17" ht="15">
      <c r="A128" s="102"/>
      <c r="B128" s="103" t="s">
        <v>137</v>
      </c>
      <c r="C128" s="104">
        <f>1.94%/12</f>
        <v>0.0016166666666666666</v>
      </c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106"/>
    </row>
    <row r="129" spans="1:17" ht="15">
      <c r="A129" s="107"/>
      <c r="B129" s="55" t="s">
        <v>166</v>
      </c>
      <c r="C129" s="108"/>
      <c r="D129" s="56"/>
      <c r="E129" s="56">
        <f>+'3.0 Plant in Service'!D92</f>
        <v>23402.952586415056</v>
      </c>
      <c r="F129" s="56">
        <f>+'3.0 Plant in Service'!E92</f>
        <v>17614.7119311855</v>
      </c>
      <c r="G129" s="56">
        <f>+'3.0 Plant in Service'!F92</f>
        <v>12915.061773726571</v>
      </c>
      <c r="H129" s="56">
        <f>+'3.0 Plant in Service'!G92</f>
        <v>10408.2463812639</v>
      </c>
      <c r="I129" s="56">
        <f>+'3.0 Plant in Service'!H92</f>
        <v>5930.76251815214</v>
      </c>
      <c r="J129" s="56">
        <f>+'3.0 Plant in Service'!I92</f>
        <v>9872.449264354344</v>
      </c>
      <c r="K129" s="56">
        <f>+'3.0 Plant in Service'!J92</f>
        <v>6364.149522315884</v>
      </c>
      <c r="L129" s="56">
        <f>+'3.0 Plant in Service'!K92</f>
        <v>8509.831531668598</v>
      </c>
      <c r="M129" s="56">
        <f>+'3.0 Plant in Service'!L92</f>
        <v>14593.285307749693</v>
      </c>
      <c r="N129" s="56">
        <f>+'3.0 Plant in Service'!M92</f>
        <v>14245.31337707861</v>
      </c>
      <c r="O129" s="56">
        <f>+'3.0 Plant in Service'!N92</f>
        <v>14051.992559498034</v>
      </c>
      <c r="P129" s="56">
        <f>+'3.0 Plant in Service'!O92</f>
        <v>16927.243246591654</v>
      </c>
      <c r="Q129" s="109">
        <f>SUM(E129:P129)</f>
        <v>154836</v>
      </c>
    </row>
    <row r="130" spans="1:17" ht="15">
      <c r="A130" s="107"/>
      <c r="B130" s="55" t="s">
        <v>167</v>
      </c>
      <c r="C130" s="108"/>
      <c r="D130" s="56"/>
      <c r="E130" s="59">
        <f>+'3.0 Plant in Service'!D101</f>
        <v>-180.8271686960844</v>
      </c>
      <c r="F130" s="59">
        <f>+'3.0 Plant in Service'!E101</f>
        <v>-111.87649079163305</v>
      </c>
      <c r="G130" s="59">
        <f>+'3.0 Plant in Service'!F101</f>
        <v>-135.42223561193455</v>
      </c>
      <c r="H130" s="59">
        <f>+'3.0 Plant in Service'!G101</f>
        <v>-150.10353352433253</v>
      </c>
      <c r="I130" s="59">
        <f>+'3.0 Plant in Service'!H101</f>
        <v>-252.63437805489215</v>
      </c>
      <c r="J130" s="59">
        <f>+'3.0 Plant in Service'!I101</f>
        <v>-245.63339923034246</v>
      </c>
      <c r="K130" s="59">
        <f>+'3.0 Plant in Service'!J101</f>
        <v>-857.5279120133475</v>
      </c>
      <c r="L130" s="59">
        <f>+'3.0 Plant in Service'!K101</f>
        <v>-244.94698250596784</v>
      </c>
      <c r="M130" s="59">
        <f>+'3.0 Plant in Service'!L101</f>
        <v>-309.5274216469432</v>
      </c>
      <c r="N130" s="59">
        <f>+'3.0 Plant in Service'!M101</f>
        <v>-273.35892377927576</v>
      </c>
      <c r="O130" s="59">
        <f>+'3.0 Plant in Service'!N101</f>
        <v>-428.96557714444043</v>
      </c>
      <c r="P130" s="59">
        <f>+'3.0 Plant in Service'!O101</f>
        <v>-61.175977000806</v>
      </c>
      <c r="Q130" s="109"/>
    </row>
    <row r="131" spans="1:17" ht="15">
      <c r="A131" s="107"/>
      <c r="B131" s="55" t="s">
        <v>219</v>
      </c>
      <c r="C131" s="108"/>
      <c r="D131" s="56"/>
      <c r="E131" s="56">
        <f aca="true" t="shared" si="49" ref="E131:P131">SUM(E129:E130)</f>
        <v>23222.125417718973</v>
      </c>
      <c r="F131" s="56">
        <f t="shared" si="49"/>
        <v>17502.835440393865</v>
      </c>
      <c r="G131" s="56">
        <f t="shared" si="49"/>
        <v>12779.639538114636</v>
      </c>
      <c r="H131" s="56">
        <f t="shared" si="49"/>
        <v>10258.142847739568</v>
      </c>
      <c r="I131" s="56">
        <f t="shared" si="49"/>
        <v>5678.1281400972475</v>
      </c>
      <c r="J131" s="56">
        <f t="shared" si="49"/>
        <v>9626.815865124001</v>
      </c>
      <c r="K131" s="56">
        <f t="shared" si="49"/>
        <v>5506.621610302536</v>
      </c>
      <c r="L131" s="56">
        <f t="shared" si="49"/>
        <v>8264.88454916263</v>
      </c>
      <c r="M131" s="56">
        <f t="shared" si="49"/>
        <v>14283.75788610275</v>
      </c>
      <c r="N131" s="56">
        <f t="shared" si="49"/>
        <v>13971.954453299335</v>
      </c>
      <c r="O131" s="56">
        <f t="shared" si="49"/>
        <v>13623.026982353593</v>
      </c>
      <c r="P131" s="56">
        <f t="shared" si="49"/>
        <v>16866.067269590847</v>
      </c>
      <c r="Q131" s="109">
        <f>SUM(D131:P131)+D132</f>
        <v>241596</v>
      </c>
    </row>
    <row r="132" spans="1:17" ht="15">
      <c r="A132" s="107"/>
      <c r="B132" s="55" t="s">
        <v>163</v>
      </c>
      <c r="C132" s="108"/>
      <c r="D132" s="56">
        <f>+Q55</f>
        <v>90012</v>
      </c>
      <c r="E132" s="56">
        <f aca="true" t="shared" si="50" ref="E132:P132">+E131+D132</f>
        <v>113234.12541771897</v>
      </c>
      <c r="F132" s="56">
        <f t="shared" si="50"/>
        <v>130736.96085811284</v>
      </c>
      <c r="G132" s="56">
        <f t="shared" si="50"/>
        <v>143516.60039622747</v>
      </c>
      <c r="H132" s="56">
        <f t="shared" si="50"/>
        <v>153774.74324396704</v>
      </c>
      <c r="I132" s="56">
        <f t="shared" si="50"/>
        <v>159452.8713840643</v>
      </c>
      <c r="J132" s="56">
        <f t="shared" si="50"/>
        <v>169079.68724918828</v>
      </c>
      <c r="K132" s="56">
        <f t="shared" si="50"/>
        <v>174586.30885949082</v>
      </c>
      <c r="L132" s="56">
        <f t="shared" si="50"/>
        <v>182851.19340865346</v>
      </c>
      <c r="M132" s="56">
        <f t="shared" si="50"/>
        <v>197134.9512947562</v>
      </c>
      <c r="N132" s="56">
        <f t="shared" si="50"/>
        <v>211106.90574805555</v>
      </c>
      <c r="O132" s="56">
        <f t="shared" si="50"/>
        <v>224729.93273040914</v>
      </c>
      <c r="P132" s="56">
        <f t="shared" si="50"/>
        <v>241596</v>
      </c>
      <c r="Q132" s="109"/>
    </row>
    <row r="133" spans="1:17" ht="15">
      <c r="A133" s="107"/>
      <c r="B133" s="55"/>
      <c r="C133" s="108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109"/>
    </row>
    <row r="134" spans="1:17" ht="15">
      <c r="A134" s="107"/>
      <c r="B134" s="55" t="s">
        <v>164</v>
      </c>
      <c r="C134" s="108"/>
      <c r="D134" s="56"/>
      <c r="E134" s="56">
        <f>ROUND($C128*D132,0)</f>
        <v>146</v>
      </c>
      <c r="F134" s="56">
        <f aca="true" t="shared" si="51" ref="F134:P134">ROUND($C128*E132,0)</f>
        <v>183</v>
      </c>
      <c r="G134" s="56">
        <f t="shared" si="51"/>
        <v>211</v>
      </c>
      <c r="H134" s="56">
        <f t="shared" si="51"/>
        <v>232</v>
      </c>
      <c r="I134" s="56">
        <f t="shared" si="51"/>
        <v>249</v>
      </c>
      <c r="J134" s="56">
        <f t="shared" si="51"/>
        <v>258</v>
      </c>
      <c r="K134" s="56">
        <f t="shared" si="51"/>
        <v>273</v>
      </c>
      <c r="L134" s="56">
        <f t="shared" si="51"/>
        <v>282</v>
      </c>
      <c r="M134" s="56">
        <f t="shared" si="51"/>
        <v>296</v>
      </c>
      <c r="N134" s="56">
        <f t="shared" si="51"/>
        <v>319</v>
      </c>
      <c r="O134" s="56">
        <f t="shared" si="51"/>
        <v>341</v>
      </c>
      <c r="P134" s="56">
        <f t="shared" si="51"/>
        <v>363</v>
      </c>
      <c r="Q134" s="109"/>
    </row>
    <row r="135" spans="1:17" ht="15">
      <c r="A135" s="107"/>
      <c r="B135" s="55" t="s">
        <v>165</v>
      </c>
      <c r="C135" s="108"/>
      <c r="D135" s="56"/>
      <c r="E135" s="59">
        <f>ROUND($C128*E131*0.5,3)</f>
        <v>18.771</v>
      </c>
      <c r="F135" s="59">
        <f aca="true" t="shared" si="52" ref="F135:P135">ROUND($C128*F131*0.5,3)</f>
        <v>14.148</v>
      </c>
      <c r="G135" s="59">
        <f t="shared" si="52"/>
        <v>10.33</v>
      </c>
      <c r="H135" s="59">
        <f t="shared" si="52"/>
        <v>8.292</v>
      </c>
      <c r="I135" s="59">
        <f t="shared" si="52"/>
        <v>4.59</v>
      </c>
      <c r="J135" s="59">
        <f t="shared" si="52"/>
        <v>7.782</v>
      </c>
      <c r="K135" s="59">
        <f t="shared" si="52"/>
        <v>4.451</v>
      </c>
      <c r="L135" s="59">
        <f t="shared" si="52"/>
        <v>6.681</v>
      </c>
      <c r="M135" s="59">
        <f t="shared" si="52"/>
        <v>11.546</v>
      </c>
      <c r="N135" s="59">
        <f t="shared" si="52"/>
        <v>11.294</v>
      </c>
      <c r="O135" s="59">
        <f t="shared" si="52"/>
        <v>11.012</v>
      </c>
      <c r="P135" s="59">
        <f t="shared" si="52"/>
        <v>13.633</v>
      </c>
      <c r="Q135" s="109"/>
    </row>
    <row r="136" spans="1:17" ht="15">
      <c r="A136" s="107"/>
      <c r="B136" s="55" t="s">
        <v>278</v>
      </c>
      <c r="C136" s="108"/>
      <c r="D136" s="56"/>
      <c r="E136" s="56">
        <f aca="true" t="shared" si="53" ref="E136:P136">SUM(E134:E135)</f>
        <v>164.77100000000002</v>
      </c>
      <c r="F136" s="56">
        <f t="shared" si="53"/>
        <v>197.148</v>
      </c>
      <c r="G136" s="56">
        <f t="shared" si="53"/>
        <v>221.33</v>
      </c>
      <c r="H136" s="56">
        <f t="shared" si="53"/>
        <v>240.292</v>
      </c>
      <c r="I136" s="56">
        <f t="shared" si="53"/>
        <v>253.59</v>
      </c>
      <c r="J136" s="56">
        <f t="shared" si="53"/>
        <v>265.782</v>
      </c>
      <c r="K136" s="56">
        <f t="shared" si="53"/>
        <v>277.451</v>
      </c>
      <c r="L136" s="56">
        <f t="shared" si="53"/>
        <v>288.681</v>
      </c>
      <c r="M136" s="56">
        <f t="shared" si="53"/>
        <v>307.546</v>
      </c>
      <c r="N136" s="56">
        <f t="shared" si="53"/>
        <v>330.294</v>
      </c>
      <c r="O136" s="56">
        <f t="shared" si="53"/>
        <v>352.012</v>
      </c>
      <c r="P136" s="56">
        <f t="shared" si="53"/>
        <v>376.633</v>
      </c>
      <c r="Q136" s="109">
        <f>SUM(E136:P136)</f>
        <v>3275.5299999999997</v>
      </c>
    </row>
    <row r="137" spans="1:17" ht="15">
      <c r="A137" s="110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5"/>
    </row>
    <row r="138" spans="1:17" ht="15">
      <c r="A138" s="102"/>
      <c r="B138" s="117" t="s">
        <v>168</v>
      </c>
      <c r="C138" s="117"/>
      <c r="D138" s="117"/>
      <c r="E138" s="63">
        <f>+E96+E106+E116+E126+E136</f>
        <v>74495.299</v>
      </c>
      <c r="F138" s="63">
        <f aca="true" t="shared" si="54" ref="F138:P138">+F96+F106+F116+F126+F136</f>
        <v>78699.873</v>
      </c>
      <c r="G138" s="63">
        <f t="shared" si="54"/>
        <v>83822.398</v>
      </c>
      <c r="H138" s="63">
        <f t="shared" si="54"/>
        <v>89886.044</v>
      </c>
      <c r="I138" s="63">
        <f t="shared" si="54"/>
        <v>96366.026</v>
      </c>
      <c r="J138" s="63">
        <f t="shared" si="54"/>
        <v>103189.257</v>
      </c>
      <c r="K138" s="63">
        <f t="shared" si="54"/>
        <v>108825.573</v>
      </c>
      <c r="L138" s="63">
        <f t="shared" si="54"/>
        <v>114444.893</v>
      </c>
      <c r="M138" s="63">
        <f t="shared" si="54"/>
        <v>121531.788</v>
      </c>
      <c r="N138" s="63">
        <f t="shared" si="54"/>
        <v>129352.872</v>
      </c>
      <c r="O138" s="63">
        <f t="shared" si="54"/>
        <v>135694.07899999997</v>
      </c>
      <c r="P138" s="63">
        <f t="shared" si="54"/>
        <v>141779.37999999998</v>
      </c>
      <c r="Q138" s="106">
        <f>SUM(E138:P138)</f>
        <v>1278087.4819999998</v>
      </c>
    </row>
    <row r="139" spans="1:17" ht="15">
      <c r="A139" s="107"/>
      <c r="B139" s="55" t="s">
        <v>169</v>
      </c>
      <c r="C139" s="55"/>
      <c r="D139" s="60">
        <f>+Q62</f>
        <v>295323.475</v>
      </c>
      <c r="E139" s="60">
        <f aca="true" t="shared" si="55" ref="E139:P139">+E138+D139</f>
        <v>369818.774</v>
      </c>
      <c r="F139" s="60">
        <f t="shared" si="55"/>
        <v>448518.647</v>
      </c>
      <c r="G139" s="60">
        <f t="shared" si="55"/>
        <v>532341.045</v>
      </c>
      <c r="H139" s="60">
        <f t="shared" si="55"/>
        <v>622227.089</v>
      </c>
      <c r="I139" s="60">
        <f t="shared" si="55"/>
        <v>718593.115</v>
      </c>
      <c r="J139" s="60">
        <f t="shared" si="55"/>
        <v>821782.372</v>
      </c>
      <c r="K139" s="60">
        <f t="shared" si="55"/>
        <v>930607.945</v>
      </c>
      <c r="L139" s="60">
        <f t="shared" si="55"/>
        <v>1045052.838</v>
      </c>
      <c r="M139" s="60">
        <f t="shared" si="55"/>
        <v>1166584.626</v>
      </c>
      <c r="N139" s="60">
        <f t="shared" si="55"/>
        <v>1295937.498</v>
      </c>
      <c r="O139" s="60">
        <f t="shared" si="55"/>
        <v>1431631.5769999998</v>
      </c>
      <c r="P139" s="60">
        <f t="shared" si="55"/>
        <v>1573410.9569999997</v>
      </c>
      <c r="Q139" s="116"/>
    </row>
    <row r="140" spans="1:17" ht="15">
      <c r="A140" s="110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5"/>
    </row>
  </sheetData>
  <sheetProtection/>
  <mergeCells count="6">
    <mergeCell ref="A81:Q81"/>
    <mergeCell ref="A82:Q82"/>
    <mergeCell ref="A4:Q4"/>
    <mergeCell ref="A5:Q5"/>
    <mergeCell ref="A6:Q6"/>
    <mergeCell ref="A80:Q80"/>
  </mergeCells>
  <printOptions/>
  <pageMargins left="0.7" right="0.7" top="0.75" bottom="0.75" header="0.3" footer="0.3"/>
  <pageSetup fitToHeight="2" fitToWidth="1" horizontalDpi="1200" verticalDpi="1200" orientation="landscape" scale="44" r:id="rId1"/>
  <rowBreaks count="1" manualBreakCount="1">
    <brk id="7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2023-10-13T13:21:36Z</dcterms:created>
  <dcterms:modified xsi:type="dcterms:W3CDTF">2024-03-08T14:12:39Z</dcterms:modified>
  <cp:category/>
  <cp:version/>
  <cp:contentType/>
  <cp:contentStatus/>
</cp:coreProperties>
</file>