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li\Google Drive\Cunningham WD\RFI #1 Files\"/>
    </mc:Choice>
  </mc:AlternateContent>
  <xr:revisionPtr revIDLastSave="0" documentId="8_{393C4A23-D234-405B-91D4-CAFD4112346B}" xr6:coauthVersionLast="47" xr6:coauthVersionMax="47" xr10:uidLastSave="{00000000-0000-0000-0000-000000000000}"/>
  <bookViews>
    <workbookView xWindow="-120" yWindow="-120" windowWidth="29040" windowHeight="15840" xr2:uid="{54202314-2894-407E-8586-FA5D109A7F08}"/>
  </bookViews>
  <sheets>
    <sheet name="SAO" sheetId="3" r:id="rId1"/>
    <sheet name="Adj" sheetId="16" r:id="rId2"/>
    <sheet name="DeprAdj" sheetId="1" r:id="rId3"/>
    <sheet name="Rates" sheetId="2" r:id="rId4"/>
    <sheet name="Bills" sheetId="21" r:id="rId5"/>
    <sheet name="BAdata" sheetId="22" r:id="rId6"/>
    <sheet name="ExBA" sheetId="10" r:id="rId7"/>
    <sheet name="PropBA" sheetId="15" r:id="rId8"/>
    <sheet name="Notice" sheetId="12" r:id="rId9"/>
  </sheets>
  <definedNames>
    <definedName name="_xlnm.Print_Area" localSheetId="4">Bills!$B$2:$I$21</definedName>
    <definedName name="_xlnm.Print_Area" localSheetId="2">DeprAdj!$B$1:$K$21</definedName>
    <definedName name="_xlnm.Print_Area" localSheetId="6">ExBA!$A$1:$G$24</definedName>
    <definedName name="_xlnm.Print_Area" localSheetId="7">PropBA!$A$1:$G$24</definedName>
    <definedName name="_xlnm.Print_Area" localSheetId="3">Rates!$B$1:$N$15</definedName>
    <definedName name="_xlnm.Print_Area" localSheetId="0">SAO!$B$1:$I$50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1" l="1"/>
  <c r="F14" i="12"/>
  <c r="F13" i="12"/>
  <c r="F12" i="12"/>
  <c r="B23" i="15"/>
  <c r="B22" i="15"/>
  <c r="B21" i="15"/>
  <c r="D16" i="15"/>
  <c r="C16" i="15"/>
  <c r="F16" i="15" s="1"/>
  <c r="D15" i="15"/>
  <c r="C15" i="15"/>
  <c r="E15" i="15" s="1"/>
  <c r="D14" i="15"/>
  <c r="D17" i="15" s="1"/>
  <c r="E6" i="15" s="1"/>
  <c r="C14" i="15"/>
  <c r="C17" i="15" s="1"/>
  <c r="G13" i="15"/>
  <c r="F13" i="15"/>
  <c r="E13" i="15"/>
  <c r="F22" i="3"/>
  <c r="K7" i="16"/>
  <c r="K5" i="16"/>
  <c r="H19" i="3"/>
  <c r="H18" i="3"/>
  <c r="C16" i="10"/>
  <c r="C15" i="10"/>
  <c r="C14" i="10"/>
  <c r="D16" i="10"/>
  <c r="D15" i="10"/>
  <c r="D14" i="10"/>
  <c r="N12" i="22"/>
  <c r="N11" i="22"/>
  <c r="N10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N6" i="22"/>
  <c r="N5" i="22"/>
  <c r="N4" i="22"/>
  <c r="M7" i="22"/>
  <c r="L7" i="22"/>
  <c r="K7" i="22"/>
  <c r="J7" i="22"/>
  <c r="I7" i="22"/>
  <c r="H7" i="22"/>
  <c r="G7" i="22"/>
  <c r="F7" i="22"/>
  <c r="E7" i="22"/>
  <c r="D7" i="22"/>
  <c r="C7" i="22"/>
  <c r="B7" i="22"/>
  <c r="D6" i="15" l="1"/>
  <c r="C21" i="15"/>
  <c r="F15" i="15"/>
  <c r="F17" i="15" s="1"/>
  <c r="D22" i="15" s="1"/>
  <c r="E14" i="15"/>
  <c r="E16" i="15"/>
  <c r="G16" i="15" s="1"/>
  <c r="G17" i="15" s="1"/>
  <c r="D23" i="15" s="1"/>
  <c r="N13" i="22"/>
  <c r="N7" i="22"/>
  <c r="I15" i="1"/>
  <c r="J15" i="1" s="1"/>
  <c r="I14" i="1"/>
  <c r="J14" i="1" s="1"/>
  <c r="I13" i="1"/>
  <c r="J13" i="1" s="1"/>
  <c r="I12" i="1"/>
  <c r="E16" i="1"/>
  <c r="I16" i="1" s="1"/>
  <c r="J16" i="1" s="1"/>
  <c r="G11" i="1"/>
  <c r="E11" i="1"/>
  <c r="E17" i="15" l="1"/>
  <c r="D21" i="15" s="1"/>
  <c r="D24" i="15" s="1"/>
  <c r="C24" i="15"/>
  <c r="H32" i="3"/>
  <c r="H29" i="3"/>
  <c r="H28" i="3"/>
  <c r="H27" i="3"/>
  <c r="H26" i="3"/>
  <c r="H25" i="3"/>
  <c r="H24" i="3"/>
  <c r="H23" i="3"/>
  <c r="H22" i="3"/>
  <c r="H21" i="3"/>
  <c r="D15" i="21" l="1"/>
  <c r="D16" i="21" s="1"/>
  <c r="D17" i="21" s="1"/>
  <c r="D18" i="21" s="1"/>
  <c r="D13" i="21"/>
  <c r="G18" i="1"/>
  <c r="I11" i="1"/>
  <c r="J11" i="1" l="1"/>
  <c r="B23" i="10"/>
  <c r="B22" i="10"/>
  <c r="B21" i="10"/>
  <c r="D17" i="10"/>
  <c r="C17" i="10"/>
  <c r="G13" i="10"/>
  <c r="F13" i="10"/>
  <c r="E13" i="10"/>
  <c r="E15" i="10" s="1"/>
  <c r="F15" i="10" s="1"/>
  <c r="J13" i="2"/>
  <c r="J12" i="2"/>
  <c r="J11" i="2"/>
  <c r="I10" i="2"/>
  <c r="E6" i="10" l="1"/>
  <c r="J15" i="10"/>
  <c r="C21" i="10"/>
  <c r="D6" i="10"/>
  <c r="E16" i="10"/>
  <c r="E14" i="10"/>
  <c r="F16" i="10"/>
  <c r="G16" i="10" s="1"/>
  <c r="G17" i="10" l="1"/>
  <c r="D23" i="10" s="1"/>
  <c r="F23" i="10" s="1"/>
  <c r="F17" i="10"/>
  <c r="D22" i="10" s="1"/>
  <c r="F22" i="10" s="1"/>
  <c r="J14" i="10"/>
  <c r="E17" i="10"/>
  <c r="D21" i="10" s="1"/>
  <c r="F21" i="10"/>
  <c r="C24" i="10"/>
  <c r="J16" i="10" l="1"/>
  <c r="D24" i="10"/>
  <c r="F24" i="10"/>
  <c r="F6" i="10" s="1"/>
  <c r="F8" i="10" s="1"/>
  <c r="H10" i="3" s="1"/>
  <c r="F10" i="3" l="1"/>
  <c r="H46" i="3"/>
  <c r="J17" i="10"/>
  <c r="E14" i="3" l="1"/>
  <c r="D16" i="16"/>
  <c r="H13" i="3" l="1"/>
  <c r="H43" i="3" s="1"/>
  <c r="J12" i="1" l="1"/>
  <c r="I18" i="1"/>
  <c r="J18" i="1" l="1"/>
  <c r="F31" i="3" s="1"/>
  <c r="M18" i="1"/>
  <c r="E30" i="3" l="1"/>
  <c r="E33" i="3" l="1"/>
  <c r="D11" i="16"/>
  <c r="H14" i="3" l="1"/>
  <c r="E16" i="16"/>
  <c r="E18" i="16" s="1"/>
  <c r="C17" i="16"/>
  <c r="E34" i="3"/>
  <c r="H20" i="3" l="1"/>
  <c r="H31" i="3" l="1"/>
  <c r="H30" i="3" l="1"/>
  <c r="H33" i="3" s="1"/>
  <c r="H38" i="3" l="1"/>
  <c r="H40" i="3" s="1"/>
  <c r="H42" i="3" s="1"/>
  <c r="H45" i="3" s="1"/>
  <c r="H47" i="3" s="1"/>
  <c r="H49" i="3" s="1"/>
  <c r="P8" i="2" s="1"/>
  <c r="H34" i="3" l="1"/>
  <c r="M11" i="2" l="1"/>
  <c r="M13" i="2"/>
  <c r="G22" i="12" s="1"/>
  <c r="M12" i="2"/>
  <c r="G21" i="12" s="1"/>
  <c r="G14" i="21" l="1"/>
  <c r="G20" i="12"/>
  <c r="E22" i="15"/>
  <c r="F22" i="15" s="1"/>
  <c r="L12" i="2"/>
  <c r="G13" i="12" s="1"/>
  <c r="E23" i="15"/>
  <c r="F23" i="15" s="1"/>
  <c r="L13" i="2"/>
  <c r="G14" i="12" s="1"/>
  <c r="E21" i="15"/>
  <c r="F21" i="15" s="1"/>
  <c r="L11" i="2"/>
  <c r="G13" i="21"/>
  <c r="R13" i="2"/>
  <c r="P13" i="2"/>
  <c r="P11" i="2"/>
  <c r="R11" i="2"/>
  <c r="R12" i="2"/>
  <c r="P12" i="2"/>
  <c r="E13" i="21" l="1"/>
  <c r="E14" i="21" s="1"/>
  <c r="G12" i="12"/>
  <c r="F22" i="12"/>
  <c r="H22" i="12" s="1"/>
  <c r="I22" i="12" s="1"/>
  <c r="H14" i="12"/>
  <c r="I14" i="12" s="1"/>
  <c r="H13" i="12"/>
  <c r="I13" i="12" s="1"/>
  <c r="F21" i="12"/>
  <c r="H21" i="12" s="1"/>
  <c r="I21" i="12" s="1"/>
  <c r="H13" i="21"/>
  <c r="L13" i="21" s="1"/>
  <c r="G15" i="21"/>
  <c r="G16" i="21" s="1"/>
  <c r="F24" i="15"/>
  <c r="F6" i="15" s="1"/>
  <c r="F8" i="15" s="1"/>
  <c r="F13" i="21"/>
  <c r="K13" i="21" s="1"/>
  <c r="H12" i="12" l="1"/>
  <c r="I12" i="12" s="1"/>
  <c r="F20" i="12"/>
  <c r="I20" i="12" s="1"/>
  <c r="G17" i="21"/>
  <c r="E15" i="21"/>
  <c r="H15" i="21" s="1"/>
  <c r="L15" i="21" s="1"/>
  <c r="F14" i="21"/>
  <c r="K14" i="21" s="1"/>
  <c r="H14" i="21"/>
  <c r="L14" i="21" s="1"/>
  <c r="E16" i="21" l="1"/>
  <c r="F15" i="21"/>
  <c r="K15" i="21" s="1"/>
  <c r="G18" i="21"/>
  <c r="E17" i="21" l="1"/>
  <c r="F16" i="21"/>
  <c r="K16" i="21" s="1"/>
  <c r="H16" i="21"/>
  <c r="L16" i="21" s="1"/>
  <c r="E18" i="21" l="1"/>
  <c r="F17" i="21"/>
  <c r="K17" i="21" s="1"/>
  <c r="H17" i="21"/>
  <c r="L17" i="21" s="1"/>
  <c r="F18" i="21" l="1"/>
  <c r="K18" i="21" s="1"/>
  <c r="H18" i="21"/>
  <c r="L18" i="21" s="1"/>
</calcChain>
</file>

<file path=xl/sharedStrings.xml><?xml version="1.0" encoding="utf-8"?>
<sst xmlns="http://schemas.openxmlformats.org/spreadsheetml/2006/main" count="257" uniqueCount="168">
  <si>
    <t>DEPRECIATION EXPENSE ADJUSTMENTS</t>
  </si>
  <si>
    <t>Asset</t>
  </si>
  <si>
    <t>TOTALS</t>
  </si>
  <si>
    <t>Date in</t>
  </si>
  <si>
    <t>Service</t>
  </si>
  <si>
    <t>various</t>
  </si>
  <si>
    <t>Original</t>
  </si>
  <si>
    <t>Life</t>
  </si>
  <si>
    <t>Depr. Exp.</t>
  </si>
  <si>
    <t>Adjustment</t>
  </si>
  <si>
    <t>Operating Revenues</t>
  </si>
  <si>
    <t>Total Operating Revenues</t>
  </si>
  <si>
    <t>Operating Expenses</t>
  </si>
  <si>
    <t>Total Operating Expenses</t>
  </si>
  <si>
    <t>Pro Forma Operating Expenses</t>
  </si>
  <si>
    <t>Required Revenue Increase</t>
  </si>
  <si>
    <t>Percent Increase</t>
  </si>
  <si>
    <t>Other Operating Revenue</t>
  </si>
  <si>
    <t>Operation and Maintenance</t>
  </si>
  <si>
    <t>Total Operation and Mnt. Expenses</t>
  </si>
  <si>
    <t>Depreciation Expense</t>
  </si>
  <si>
    <t>Taxes Other Than Income</t>
  </si>
  <si>
    <t>Salaries and Wages - Employees</t>
  </si>
  <si>
    <t>Salaries and Wages - Officers</t>
  </si>
  <si>
    <t>Purchased Power</t>
  </si>
  <si>
    <t>Contractual Services</t>
  </si>
  <si>
    <t>Miscellaneous Expenses</t>
  </si>
  <si>
    <t>Adjustments</t>
  </si>
  <si>
    <t>SCHEDULE OF ADJUSTED OPERATIONS</t>
  </si>
  <si>
    <t>Transportation Expenses</t>
  </si>
  <si>
    <t>Net Utility Operating Income</t>
  </si>
  <si>
    <t>Total Revenue Requirement</t>
  </si>
  <si>
    <t>Forfeited Discounts</t>
  </si>
  <si>
    <t>Other Water Revenues:</t>
  </si>
  <si>
    <t>Depreciation</t>
  </si>
  <si>
    <t>Expense</t>
  </si>
  <si>
    <t>Totals</t>
  </si>
  <si>
    <t>Table A</t>
  </si>
  <si>
    <t>Ref.</t>
  </si>
  <si>
    <t>Revenue</t>
  </si>
  <si>
    <t>Gallons Sold</t>
  </si>
  <si>
    <t>FIRST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</si>
  <si>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</si>
  <si>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</si>
  <si>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</si>
  <si>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</si>
  <si>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</si>
  <si>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</si>
  <si>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</si>
  <si>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</si>
  <si>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Reported</t>
  </si>
  <si>
    <t>Existing</t>
  </si>
  <si>
    <t>Change</t>
  </si>
  <si>
    <t>Interest Income</t>
  </si>
  <si>
    <t>Water Loss Adjustment:</t>
  </si>
  <si>
    <t>Capitalized Expense Adjustments:</t>
  </si>
  <si>
    <t>Produced &amp; Purchased</t>
  </si>
  <si>
    <t>Sold</t>
  </si>
  <si>
    <t>Uses:</t>
  </si>
  <si>
    <t xml:space="preserve">  WTP</t>
  </si>
  <si>
    <t xml:space="preserve">  Flushing</t>
  </si>
  <si>
    <t xml:space="preserve">  Fire</t>
  </si>
  <si>
    <t xml:space="preserve">  Other</t>
  </si>
  <si>
    <t>Line Brks.</t>
  </si>
  <si>
    <t xml:space="preserve">  water loss percentage</t>
  </si>
  <si>
    <t>check</t>
  </si>
  <si>
    <t xml:space="preserve">  allowable in rates</t>
  </si>
  <si>
    <t xml:space="preserve">  adjustment percentage</t>
  </si>
  <si>
    <t>Total Metered Sales</t>
  </si>
  <si>
    <t>Materials and Supplies</t>
  </si>
  <si>
    <t>First</t>
  </si>
  <si>
    <t>Over</t>
  </si>
  <si>
    <t>No. of Bills</t>
  </si>
  <si>
    <t>gallons</t>
  </si>
  <si>
    <t>Minimum Bill</t>
  </si>
  <si>
    <t>per 1,000 gallons</t>
  </si>
  <si>
    <t>Gallons</t>
  </si>
  <si>
    <t>Bill</t>
  </si>
  <si>
    <t>CURRENT AND PROPOSED RATES</t>
  </si>
  <si>
    <t>COMPARISION OF EXISTING AND PROPOSED BILLS</t>
  </si>
  <si>
    <t>Pro Forma</t>
  </si>
  <si>
    <t>Test Year</t>
  </si>
  <si>
    <t xml:space="preserve">  SUMMARY  </t>
  </si>
  <si>
    <t>Cost *</t>
  </si>
  <si>
    <t>per Month*</t>
  </si>
  <si>
    <t>Table C</t>
  </si>
  <si>
    <t>MONTHLY WATER RATES</t>
  </si>
  <si>
    <t>Dollar</t>
  </si>
  <si>
    <t>Percent</t>
  </si>
  <si>
    <t>Increase</t>
  </si>
  <si>
    <t>Current</t>
  </si>
  <si>
    <t>Proposed</t>
  </si>
  <si>
    <t>Rental of Equipment</t>
  </si>
  <si>
    <t>Bad Debt</t>
  </si>
  <si>
    <t>Pro forma</t>
  </si>
  <si>
    <t>Other</t>
  </si>
  <si>
    <t>Other Water Revenues</t>
  </si>
  <si>
    <t>Proposed Rates</t>
  </si>
  <si>
    <t>PROPOSED RATE SCHEDULE</t>
  </si>
  <si>
    <t>Tank Overflow</t>
  </si>
  <si>
    <t xml:space="preserve"> Percentage Rate Increase</t>
  </si>
  <si>
    <t>Next</t>
  </si>
  <si>
    <t>Pro Forma Retail Sales Revenue</t>
  </si>
  <si>
    <t>NEXT</t>
  </si>
  <si>
    <t>Less applicable billing adjustments</t>
  </si>
  <si>
    <t>CURRENT RATE SCHEDULE</t>
  </si>
  <si>
    <t>Cunningham Water District</t>
  </si>
  <si>
    <t>Divided by:  Operating Ratio</t>
  </si>
  <si>
    <t xml:space="preserve">  Subtotal</t>
  </si>
  <si>
    <t>Plus:</t>
  </si>
  <si>
    <t>Interest Expense</t>
  </si>
  <si>
    <t>Less:</t>
  </si>
  <si>
    <t>Revenue Required From Sales of Water</t>
  </si>
  <si>
    <t>Revenue from Sales with Present Rates</t>
  </si>
  <si>
    <t>Chemicals</t>
  </si>
  <si>
    <t>Water Testing</t>
  </si>
  <si>
    <t>Insurance</t>
  </si>
  <si>
    <t>All Meter Sizes</t>
  </si>
  <si>
    <t>ADJUSTMENT NOT REQ'D</t>
  </si>
  <si>
    <t>Storage Building</t>
  </si>
  <si>
    <t>Well</t>
  </si>
  <si>
    <t>Meters</t>
  </si>
  <si>
    <t>Tank Improvements</t>
  </si>
  <si>
    <t>Plant</t>
  </si>
  <si>
    <t>Water Mains</t>
  </si>
  <si>
    <t>varies</t>
  </si>
  <si>
    <t>*  Includes only costs of assets that contributed to depreciation expense in the test year.</t>
  </si>
  <si>
    <t>(2022)</t>
  </si>
  <si>
    <t xml:space="preserve">   REVENUE REQUIREMENTS</t>
  </si>
  <si>
    <t>0 - 2</t>
  </si>
  <si>
    <t>2 - 5</t>
  </si>
  <si>
    <t>over 5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</si>
  <si>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</si>
  <si>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</si>
  <si>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</si>
  <si>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</si>
  <si>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</si>
  <si>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</si>
  <si>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</si>
  <si>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</si>
  <si>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</si>
  <si>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</si>
  <si>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</si>
  <si>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</si>
  <si>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Usage</t>
  </si>
  <si>
    <t>Bills</t>
  </si>
  <si>
    <t>ALL METERS</t>
  </si>
  <si>
    <t xml:space="preserve">     All Meters</t>
  </si>
  <si>
    <t>No meters set in test year</t>
  </si>
  <si>
    <t>Materials &amp; Supplies Adjustment:</t>
  </si>
  <si>
    <t>Total for pump repair</t>
  </si>
  <si>
    <t>Amortize over 10 years</t>
  </si>
  <si>
    <t>A</t>
  </si>
  <si>
    <t>B</t>
  </si>
  <si>
    <t>C</t>
  </si>
  <si>
    <t>D</t>
  </si>
  <si>
    <t>CURRENT BILLING ANALYSIS - 2022 USAGE &amp; EXISTING RATES</t>
  </si>
  <si>
    <t>PROPOSED BILLING ANALYSIS - 2022 USAGE &amp; PROPOSED RATES</t>
  </si>
  <si>
    <t>* Highlighted usage represents the average customer's bill.</t>
  </si>
  <si>
    <t>Phase 2</t>
  </si>
  <si>
    <t>Phase 1</t>
  </si>
  <si>
    <t xml:space="preserve"> </t>
  </si>
  <si>
    <t>gallons*</t>
  </si>
  <si>
    <t>gallons**</t>
  </si>
  <si>
    <t>PHASE 1</t>
  </si>
  <si>
    <t>PHASE 2</t>
  </si>
  <si>
    <t>* Lump sum minimum bill               ** Price per 1,000 gallons</t>
  </si>
  <si>
    <t>Table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</si>
</sst>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_(&quot;$&quot;* #,##0_);_(&quot;$&quot;* \(#,##0\);_(&quot;$&quot;* &quot;-&quot;??_);_(@_)"/>
    <numFmt numFmtId="166" formatCode="mm/dd/yy;@"/>
    <numFmt numFmtId="167" formatCode="_([$$-409]* #,##0_);_([$$-409]* \(#,##0\);_([$$-409]* &quot;-&quot;??_);_(@_)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0.000%"/>
  </numFmts>
  <fonts count="32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1"/>
      <color rgb="FF59B589"/>
      <name val="Calibri"/>
      <family val="2"/>
      <scheme val="minor"/>
    </font>
    <font>
      <sz val="10"/>
      <name val="Cambria"/>
      <family val="1"/>
      <scheme val="major"/>
    </font>
    <font>
      <sz val="12"/>
      <color rgb="FFFF0000"/>
      <name val="Calibri"/>
      <family val="2"/>
      <scheme val="minor"/>
    </font>
    <font>
      <b/>
      <i/>
      <u/>
      <sz val="11"/>
      <name val="Calibri"/>
      <family val="2"/>
      <scheme val="minor"/>
    </font>
    <font>
      <u val="singleAccounting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10"/>
      <name val="Cambria"/>
      <family val="1"/>
      <scheme val="major"/>
    </font>
    <font>
      <sz val="11"/>
      <name val="Cambria"/>
      <family val="1"/>
      <scheme val="major"/>
    </font>
    <font>
      <b/>
      <u val="singleAccounting"/>
      <sz val="14"/>
      <name val="Calibri"/>
      <family val="2"/>
      <scheme val="minor"/>
    </font>
    <font>
      <u val="doub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8" fontId="4" fillId="0" borderId="0" xfId="1" applyNumberFormat="1" applyFont="1"/>
    <xf numFmtId="44" fontId="4" fillId="0" borderId="0" xfId="2" applyFont="1" applyBorder="1"/>
    <xf numFmtId="44" fontId="4" fillId="0" borderId="2" xfId="2" applyFont="1" applyBorder="1"/>
    <xf numFmtId="3" fontId="4" fillId="0" borderId="0" xfId="0" applyNumberFormat="1" applyFont="1" applyAlignment="1">
      <alignment horizontal="right"/>
    </xf>
    <xf numFmtId="165" fontId="4" fillId="0" borderId="0" xfId="4" applyNumberFormat="1" applyFont="1"/>
    <xf numFmtId="0" fontId="5" fillId="0" borderId="0" xfId="0" applyFont="1"/>
    <xf numFmtId="37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7" fontId="4" fillId="0" borderId="0" xfId="0" applyNumberFormat="1" applyFont="1"/>
    <xf numFmtId="168" fontId="4" fillId="0" borderId="0" xfId="5" applyNumberFormat="1" applyFont="1"/>
    <xf numFmtId="37" fontId="4" fillId="0" borderId="1" xfId="0" applyNumberFormat="1" applyFont="1" applyBorder="1"/>
    <xf numFmtId="168" fontId="4" fillId="0" borderId="1" xfId="5" applyNumberFormat="1" applyFont="1" applyBorder="1"/>
    <xf numFmtId="0" fontId="3" fillId="0" borderId="0" xfId="0" applyFont="1" applyAlignment="1">
      <alignment horizontal="left"/>
    </xf>
    <xf numFmtId="44" fontId="4" fillId="0" borderId="0" xfId="4" applyFont="1"/>
    <xf numFmtId="0" fontId="4" fillId="0" borderId="1" xfId="0" applyFont="1" applyBorder="1"/>
    <xf numFmtId="43" fontId="4" fillId="0" borderId="1" xfId="5" applyFont="1" applyBorder="1"/>
    <xf numFmtId="3" fontId="4" fillId="0" borderId="0" xfId="0" applyNumberFormat="1" applyFont="1"/>
    <xf numFmtId="0" fontId="9" fillId="0" borderId="0" xfId="0" applyFont="1"/>
    <xf numFmtId="168" fontId="4" fillId="0" borderId="0" xfId="1" applyNumberFormat="1" applyFont="1" applyAlignment="1">
      <alignment vertical="center"/>
    </xf>
    <xf numFmtId="168" fontId="4" fillId="0" borderId="0" xfId="1" applyNumberFormat="1" applyFont="1" applyAlignment="1"/>
    <xf numFmtId="43" fontId="4" fillId="0" borderId="0" xfId="5" applyFont="1"/>
    <xf numFmtId="3" fontId="4" fillId="0" borderId="1" xfId="0" applyNumberFormat="1" applyFont="1" applyBorder="1"/>
    <xf numFmtId="171" fontId="4" fillId="0" borderId="0" xfId="6" applyNumberFormat="1" applyFont="1"/>
    <xf numFmtId="168" fontId="4" fillId="0" borderId="0" xfId="5" applyNumberFormat="1" applyFont="1" applyAlignment="1">
      <alignment vertical="center"/>
    </xf>
    <xf numFmtId="0" fontId="4" fillId="0" borderId="3" xfId="0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0" fontId="4" fillId="0" borderId="2" xfId="0" applyFont="1" applyBorder="1"/>
    <xf numFmtId="0" fontId="4" fillId="0" borderId="7" xfId="0" applyFont="1" applyBorder="1"/>
    <xf numFmtId="3" fontId="13" fillId="0" borderId="0" xfId="0" applyNumberFormat="1" applyFont="1" applyAlignment="1">
      <alignment horizontal="left" vertical="center"/>
    </xf>
    <xf numFmtId="43" fontId="4" fillId="0" borderId="0" xfId="0" applyNumberFormat="1" applyFont="1"/>
    <xf numFmtId="165" fontId="4" fillId="0" borderId="0" xfId="2" applyNumberFormat="1" applyFont="1"/>
    <xf numFmtId="165" fontId="4" fillId="0" borderId="0" xfId="0" applyNumberFormat="1" applyFont="1"/>
    <xf numFmtId="168" fontId="4" fillId="0" borderId="0" xfId="5" applyNumberFormat="1" applyFont="1" applyFill="1"/>
    <xf numFmtId="168" fontId="4" fillId="0" borderId="1" xfId="5" applyNumberFormat="1" applyFont="1" applyFill="1" applyBorder="1"/>
    <xf numFmtId="168" fontId="4" fillId="0" borderId="0" xfId="5" applyNumberFormat="1" applyFont="1" applyBorder="1"/>
    <xf numFmtId="168" fontId="4" fillId="0" borderId="0" xfId="0" applyNumberFormat="1" applyFont="1"/>
    <xf numFmtId="0" fontId="5" fillId="0" borderId="0" xfId="0" applyFont="1" applyAlignment="1">
      <alignment horizontal="right"/>
    </xf>
    <xf numFmtId="171" fontId="12" fillId="0" borderId="0" xfId="6" applyNumberFormat="1" applyFont="1"/>
    <xf numFmtId="168" fontId="4" fillId="0" borderId="3" xfId="5" applyNumberFormat="1" applyFont="1" applyBorder="1"/>
    <xf numFmtId="168" fontId="4" fillId="0" borderId="4" xfId="5" applyNumberFormat="1" applyFont="1" applyBorder="1"/>
    <xf numFmtId="168" fontId="4" fillId="0" borderId="5" xfId="5" applyNumberFormat="1" applyFont="1" applyBorder="1"/>
    <xf numFmtId="168" fontId="4" fillId="0" borderId="2" xfId="5" applyNumberFormat="1" applyFont="1" applyBorder="1"/>
    <xf numFmtId="168" fontId="4" fillId="0" borderId="7" xfId="5" applyNumberFormat="1" applyFont="1" applyBorder="1"/>
    <xf numFmtId="168" fontId="4" fillId="0" borderId="8" xfId="5" applyNumberFormat="1" applyFont="1" applyBorder="1"/>
    <xf numFmtId="168" fontId="7" fillId="0" borderId="0" xfId="5" applyNumberFormat="1" applyFont="1" applyBorder="1" applyAlignment="1">
      <alignment horizontal="center"/>
    </xf>
    <xf numFmtId="168" fontId="7" fillId="0" borderId="6" xfId="5" applyNumberFormat="1" applyFont="1" applyBorder="1" applyAlignment="1">
      <alignment horizontal="center"/>
    </xf>
    <xf numFmtId="168" fontId="7" fillId="0" borderId="2" xfId="5" applyNumberFormat="1" applyFont="1" applyBorder="1" applyAlignment="1">
      <alignment horizontal="center"/>
    </xf>
    <xf numFmtId="43" fontId="4" fillId="0" borderId="2" xfId="5" applyFont="1" applyBorder="1"/>
    <xf numFmtId="169" fontId="4" fillId="0" borderId="6" xfId="6" applyNumberFormat="1" applyFont="1" applyBorder="1"/>
    <xf numFmtId="168" fontId="4" fillId="2" borderId="0" xfId="5" applyNumberFormat="1" applyFont="1" applyFill="1" applyBorder="1"/>
    <xf numFmtId="43" fontId="4" fillId="2" borderId="2" xfId="5" applyFont="1" applyFill="1" applyBorder="1"/>
    <xf numFmtId="43" fontId="4" fillId="0" borderId="7" xfId="5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1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12" fillId="0" borderId="0" xfId="0" applyFont="1" applyAlignment="1">
      <alignment horizontal="center"/>
    </xf>
    <xf numFmtId="44" fontId="4" fillId="0" borderId="0" xfId="0" applyNumberFormat="1" applyFont="1"/>
    <xf numFmtId="0" fontId="11" fillId="0" borderId="0" xfId="0" applyFont="1"/>
    <xf numFmtId="3" fontId="8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3" fontId="17" fillId="0" borderId="0" xfId="0" applyNumberFormat="1" applyFont="1"/>
    <xf numFmtId="43" fontId="4" fillId="0" borderId="0" xfId="1" applyFont="1"/>
    <xf numFmtId="43" fontId="7" fillId="0" borderId="0" xfId="1" applyFont="1"/>
    <xf numFmtId="3" fontId="5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43" fontId="7" fillId="0" borderId="0" xfId="0" applyNumberFormat="1" applyFont="1"/>
    <xf numFmtId="168" fontId="7" fillId="0" borderId="0" xfId="1" applyNumberFormat="1" applyFont="1" applyAlignment="1">
      <alignment vertical="center"/>
    </xf>
    <xf numFmtId="43" fontId="7" fillId="0" borderId="0" xfId="5" applyFont="1" applyAlignment="1">
      <alignment horizontal="center"/>
    </xf>
    <xf numFmtId="9" fontId="4" fillId="0" borderId="0" xfId="3" applyFont="1"/>
    <xf numFmtId="43" fontId="4" fillId="0" borderId="0" xfId="1" applyFont="1" applyAlignment="1">
      <alignment horizontal="right"/>
    </xf>
    <xf numFmtId="168" fontId="4" fillId="0" borderId="0" xfId="1" quotePrefix="1" applyNumberFormat="1" applyFont="1" applyAlignment="1">
      <alignment vertical="center"/>
    </xf>
    <xf numFmtId="43" fontId="4" fillId="0" borderId="0" xfId="1" applyFont="1" applyBorder="1"/>
    <xf numFmtId="171" fontId="3" fillId="0" borderId="0" xfId="6" applyNumberFormat="1" applyFont="1"/>
    <xf numFmtId="3" fontId="3" fillId="0" borderId="0" xfId="0" applyNumberFormat="1" applyFont="1"/>
    <xf numFmtId="43" fontId="3" fillId="0" borderId="0" xfId="1" applyFont="1"/>
    <xf numFmtId="43" fontId="3" fillId="0" borderId="0" xfId="1" applyFont="1" applyAlignment="1">
      <alignment horizontal="right"/>
    </xf>
    <xf numFmtId="0" fontId="3" fillId="0" borderId="0" xfId="0" applyFont="1"/>
    <xf numFmtId="168" fontId="3" fillId="0" borderId="0" xfId="0" applyNumberFormat="1" applyFont="1"/>
    <xf numFmtId="44" fontId="9" fillId="0" borderId="0" xfId="0" applyNumberFormat="1" applyFont="1"/>
    <xf numFmtId="168" fontId="4" fillId="0" borderId="9" xfId="5" applyNumberFormat="1" applyFont="1" applyBorder="1"/>
    <xf numFmtId="168" fontId="7" fillId="0" borderId="10" xfId="5" applyNumberFormat="1" applyFont="1" applyBorder="1" applyAlignment="1">
      <alignment horizontal="center"/>
    </xf>
    <xf numFmtId="44" fontId="4" fillId="0" borderId="10" xfId="2" applyFont="1" applyBorder="1"/>
    <xf numFmtId="43" fontId="4" fillId="2" borderId="10" xfId="5" applyFont="1" applyFill="1" applyBorder="1"/>
    <xf numFmtId="43" fontId="4" fillId="0" borderId="10" xfId="5" applyFont="1" applyBorder="1"/>
    <xf numFmtId="43" fontId="4" fillId="0" borderId="11" xfId="5" applyFont="1" applyBorder="1"/>
    <xf numFmtId="43" fontId="7" fillId="0" borderId="6" xfId="1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8" fontId="4" fillId="0" borderId="0" xfId="5" applyNumberFormat="1" applyFont="1" applyAlignment="1">
      <alignment horizontal="right"/>
    </xf>
    <xf numFmtId="168" fontId="7" fillId="0" borderId="0" xfId="5" applyNumberFormat="1" applyFont="1"/>
    <xf numFmtId="165" fontId="4" fillId="0" borderId="0" xfId="4" applyNumberFormat="1" applyFont="1" applyBorder="1"/>
    <xf numFmtId="0" fontId="15" fillId="0" borderId="0" xfId="0" applyFont="1"/>
    <xf numFmtId="168" fontId="15" fillId="0" borderId="0" xfId="5" applyNumberFormat="1" applyFont="1"/>
    <xf numFmtId="0" fontId="19" fillId="0" borderId="0" xfId="0" applyFont="1"/>
    <xf numFmtId="170" fontId="4" fillId="0" borderId="0" xfId="5" applyNumberFormat="1" applyFont="1" applyAlignment="1"/>
    <xf numFmtId="170" fontId="4" fillId="0" borderId="4" xfId="5" applyNumberFormat="1" applyFont="1" applyBorder="1"/>
    <xf numFmtId="3" fontId="4" fillId="0" borderId="6" xfId="0" applyNumberFormat="1" applyFont="1" applyBorder="1"/>
    <xf numFmtId="170" fontId="4" fillId="0" borderId="0" xfId="5" applyNumberFormat="1" applyFont="1" applyBorder="1" applyAlignment="1"/>
    <xf numFmtId="170" fontId="5" fillId="0" borderId="0" xfId="5" applyNumberFormat="1" applyFont="1" applyBorder="1" applyAlignment="1">
      <alignment horizontal="centerContinuous"/>
    </xf>
    <xf numFmtId="170" fontId="5" fillId="0" borderId="0" xfId="5" applyNumberFormat="1" applyFont="1" applyBorder="1" applyAlignment="1">
      <alignment horizontal="center"/>
    </xf>
    <xf numFmtId="170" fontId="4" fillId="0" borderId="0" xfId="5" applyNumberFormat="1" applyFont="1" applyBorder="1" applyAlignment="1">
      <alignment horizontal="center"/>
    </xf>
    <xf numFmtId="170" fontId="3" fillId="0" borderId="0" xfId="5" applyNumberFormat="1" applyFont="1" applyBorder="1" applyAlignment="1"/>
    <xf numFmtId="170" fontId="4" fillId="0" borderId="1" xfId="5" applyNumberFormat="1" applyFont="1" applyBorder="1" applyAlignment="1"/>
    <xf numFmtId="3" fontId="4" fillId="0" borderId="8" xfId="0" applyNumberFormat="1" applyFont="1" applyBorder="1"/>
    <xf numFmtId="3" fontId="3" fillId="0" borderId="1" xfId="0" applyNumberFormat="1" applyFont="1" applyBorder="1"/>
    <xf numFmtId="164" fontId="4" fillId="0" borderId="1" xfId="0" applyNumberFormat="1" applyFont="1" applyBorder="1"/>
    <xf numFmtId="167" fontId="3" fillId="0" borderId="1" xfId="0" applyNumberFormat="1" applyFont="1" applyBorder="1"/>
    <xf numFmtId="170" fontId="3" fillId="0" borderId="1" xfId="5" applyNumberFormat="1" applyFont="1" applyBorder="1" applyAlignment="1"/>
    <xf numFmtId="3" fontId="20" fillId="0" borderId="0" xfId="0" applyNumberFormat="1" applyFont="1"/>
    <xf numFmtId="43" fontId="4" fillId="2" borderId="0" xfId="1" applyFont="1" applyFill="1" applyBorder="1"/>
    <xf numFmtId="10" fontId="4" fillId="0" borderId="0" xfId="3" applyNumberFormat="1" applyFont="1"/>
    <xf numFmtId="168" fontId="4" fillId="0" borderId="0" xfId="1" applyNumberFormat="1" applyFont="1" applyBorder="1"/>
    <xf numFmtId="168" fontId="4" fillId="0" borderId="0" xfId="1" quotePrefix="1" applyNumberFormat="1" applyFont="1" applyAlignment="1">
      <alignment horizontal="left" vertical="center"/>
    </xf>
    <xf numFmtId="168" fontId="16" fillId="0" borderId="0" xfId="5" quotePrefix="1" applyNumberFormat="1" applyFont="1"/>
    <xf numFmtId="3" fontId="8" fillId="0" borderId="6" xfId="0" applyNumberFormat="1" applyFont="1" applyBorder="1" applyAlignment="1">
      <alignment horizontal="center" vertical="center"/>
    </xf>
    <xf numFmtId="165" fontId="3" fillId="0" borderId="0" xfId="2" applyNumberFormat="1" applyFont="1" applyBorder="1"/>
    <xf numFmtId="0" fontId="15" fillId="0" borderId="4" xfId="0" applyFont="1" applyBorder="1"/>
    <xf numFmtId="10" fontId="10" fillId="0" borderId="0" xfId="6" applyNumberFormat="1" applyFont="1" applyAlignment="1"/>
    <xf numFmtId="0" fontId="10" fillId="0" borderId="0" xfId="0" applyFont="1"/>
    <xf numFmtId="168" fontId="4" fillId="0" borderId="0" xfId="5" applyNumberFormat="1" applyFont="1" applyBorder="1" applyAlignment="1"/>
    <xf numFmtId="44" fontId="4" fillId="0" borderId="0" xfId="4" applyFont="1" applyBorder="1" applyAlignment="1"/>
    <xf numFmtId="10" fontId="9" fillId="0" borderId="0" xfId="6" applyNumberFormat="1" applyFont="1" applyAlignment="1"/>
    <xf numFmtId="43" fontId="4" fillId="0" borderId="0" xfId="5" applyFont="1" applyBorder="1" applyAlignment="1"/>
    <xf numFmtId="43" fontId="9" fillId="0" borderId="0" xfId="5" applyFont="1" applyAlignment="1"/>
    <xf numFmtId="168" fontId="4" fillId="0" borderId="1" xfId="5" applyNumberFormat="1" applyFont="1" applyBorder="1" applyAlignment="1"/>
    <xf numFmtId="0" fontId="15" fillId="0" borderId="1" xfId="0" applyFont="1" applyBorder="1"/>
    <xf numFmtId="168" fontId="9" fillId="0" borderId="0" xfId="5" applyNumberFormat="1" applyFont="1" applyAlignment="1"/>
    <xf numFmtId="168" fontId="4" fillId="0" borderId="0" xfId="5" applyNumberFormat="1" applyFont="1" applyAlignment="1"/>
    <xf numFmtId="43" fontId="4" fillId="0" borderId="0" xfId="5" applyFont="1" applyAlignment="1"/>
    <xf numFmtId="0" fontId="23" fillId="0" borderId="0" xfId="0" applyFont="1"/>
    <xf numFmtId="168" fontId="7" fillId="0" borderId="0" xfId="5" applyNumberFormat="1" applyFont="1" applyFill="1"/>
    <xf numFmtId="168" fontId="21" fillId="0" borderId="0" xfId="5" applyNumberFormat="1" applyFont="1"/>
    <xf numFmtId="168" fontId="18" fillId="0" borderId="0" xfId="1" applyNumberFormat="1" applyFont="1" applyAlignment="1">
      <alignment horizontal="center"/>
    </xf>
    <xf numFmtId="168" fontId="3" fillId="0" borderId="0" xfId="1" applyNumberFormat="1" applyFont="1" applyAlignment="1">
      <alignment horizontal="center" vertical="center"/>
    </xf>
    <xf numFmtId="168" fontId="22" fillId="0" borderId="0" xfId="1" applyNumberFormat="1" applyFont="1" applyAlignment="1">
      <alignment horizontal="left" vertical="center"/>
    </xf>
    <xf numFmtId="168" fontId="24" fillId="0" borderId="0" xfId="1" applyNumberFormat="1" applyFont="1"/>
    <xf numFmtId="168" fontId="25" fillId="0" borderId="0" xfId="1" applyNumberFormat="1" applyFont="1"/>
    <xf numFmtId="44" fontId="4" fillId="0" borderId="0" xfId="2" applyFont="1"/>
    <xf numFmtId="0" fontId="3" fillId="0" borderId="0" xfId="0" applyFont="1" applyAlignment="1">
      <alignment horizontal="right"/>
    </xf>
    <xf numFmtId="168" fontId="12" fillId="0" borderId="0" xfId="1" applyNumberFormat="1" applyFont="1"/>
    <xf numFmtId="44" fontId="24" fillId="0" borderId="0" xfId="2" applyFont="1" applyAlignment="1"/>
    <xf numFmtId="168" fontId="4" fillId="0" borderId="3" xfId="1" applyNumberFormat="1" applyFont="1" applyBorder="1"/>
    <xf numFmtId="168" fontId="4" fillId="0" borderId="4" xfId="1" applyNumberFormat="1" applyFont="1" applyBorder="1"/>
    <xf numFmtId="168" fontId="18" fillId="0" borderId="4" xfId="1" applyNumberFormat="1" applyFont="1" applyBorder="1" applyAlignment="1">
      <alignment horizontal="center"/>
    </xf>
    <xf numFmtId="168" fontId="4" fillId="0" borderId="2" xfId="1" applyNumberFormat="1" applyFont="1" applyBorder="1" applyAlignment="1">
      <alignment vertical="center"/>
    </xf>
    <xf numFmtId="168" fontId="4" fillId="0" borderId="0" xfId="1" applyNumberFormat="1" applyFont="1" applyBorder="1" applyAlignment="1">
      <alignment vertical="center"/>
    </xf>
    <xf numFmtId="168" fontId="5" fillId="0" borderId="0" xfId="1" applyNumberFormat="1" applyFont="1" applyBorder="1" applyAlignment="1">
      <alignment horizontal="center" vertical="center"/>
    </xf>
    <xf numFmtId="168" fontId="28" fillId="0" borderId="0" xfId="1" applyNumberFormat="1" applyFont="1" applyBorder="1" applyAlignment="1">
      <alignment horizontal="center" vertical="center"/>
    </xf>
    <xf numFmtId="168" fontId="12" fillId="0" borderId="2" xfId="1" applyNumberFormat="1" applyFont="1" applyBorder="1" applyAlignment="1">
      <alignment vertical="center"/>
    </xf>
    <xf numFmtId="168" fontId="18" fillId="0" borderId="0" xfId="1" applyNumberFormat="1" applyFont="1" applyBorder="1" applyAlignment="1">
      <alignment horizontal="center" vertical="center"/>
    </xf>
    <xf numFmtId="168" fontId="7" fillId="0" borderId="0" xfId="1" applyNumberFormat="1" applyFont="1" applyBorder="1" applyAlignment="1">
      <alignment vertical="center"/>
    </xf>
    <xf numFmtId="168" fontId="3" fillId="0" borderId="2" xfId="1" applyNumberFormat="1" applyFont="1" applyBorder="1" applyAlignment="1">
      <alignment vertical="center"/>
    </xf>
    <xf numFmtId="168" fontId="18" fillId="0" borderId="0" xfId="1" applyNumberFormat="1" applyFont="1" applyBorder="1" applyAlignment="1">
      <alignment horizontal="center"/>
    </xf>
    <xf numFmtId="168" fontId="3" fillId="0" borderId="0" xfId="1" applyNumberFormat="1" applyFont="1" applyBorder="1" applyAlignment="1">
      <alignment vertical="center"/>
    </xf>
    <xf numFmtId="168" fontId="4" fillId="0" borderId="7" xfId="1" applyNumberFormat="1" applyFont="1" applyBorder="1"/>
    <xf numFmtId="168" fontId="4" fillId="0" borderId="1" xfId="1" applyNumberFormat="1" applyFont="1" applyBorder="1"/>
    <xf numFmtId="168" fontId="18" fillId="0" borderId="1" xfId="1" applyNumberFormat="1" applyFont="1" applyBorder="1" applyAlignment="1">
      <alignment horizontal="center"/>
    </xf>
    <xf numFmtId="168" fontId="10" fillId="0" borderId="7" xfId="1" applyNumberFormat="1" applyFont="1" applyBorder="1" applyAlignment="1">
      <alignment horizontal="center" vertical="center"/>
    </xf>
    <xf numFmtId="168" fontId="10" fillId="0" borderId="1" xfId="1" applyNumberFormat="1" applyFont="1" applyBorder="1" applyAlignment="1">
      <alignment horizontal="center" vertical="center"/>
    </xf>
    <xf numFmtId="168" fontId="3" fillId="0" borderId="0" xfId="1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vertical="center"/>
    </xf>
    <xf numFmtId="168" fontId="15" fillId="0" borderId="0" xfId="1" applyNumberFormat="1" applyFont="1" applyBorder="1" applyAlignment="1">
      <alignment vertical="center"/>
    </xf>
    <xf numFmtId="3" fontId="22" fillId="0" borderId="0" xfId="0" applyNumberFormat="1" applyFont="1"/>
    <xf numFmtId="3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9" fontId="4" fillId="0" borderId="0" xfId="6" applyFont="1" applyBorder="1"/>
    <xf numFmtId="168" fontId="7" fillId="0" borderId="0" xfId="5" applyNumberFormat="1" applyFont="1" applyBorder="1"/>
    <xf numFmtId="168" fontId="4" fillId="0" borderId="0" xfId="5" applyNumberFormat="1" applyFont="1" applyBorder="1" applyAlignment="1">
      <alignment vertical="center"/>
    </xf>
    <xf numFmtId="168" fontId="12" fillId="0" borderId="0" xfId="5" applyNumberFormat="1" applyFont="1" applyBorder="1"/>
    <xf numFmtId="43" fontId="4" fillId="0" borderId="2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3" fontId="15" fillId="0" borderId="0" xfId="0" applyNumberFormat="1" applyFont="1" applyAlignment="1">
      <alignment horizontal="right"/>
    </xf>
    <xf numFmtId="3" fontId="4" fillId="0" borderId="3" xfId="0" applyNumberFormat="1" applyFont="1" applyBorder="1"/>
    <xf numFmtId="3" fontId="8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/>
    <xf numFmtId="3" fontId="5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Continuous"/>
    </xf>
    <xf numFmtId="3" fontId="5" fillId="0" borderId="2" xfId="0" applyNumberFormat="1" applyFont="1" applyBorder="1" applyAlignment="1">
      <alignment horizontal="center"/>
    </xf>
    <xf numFmtId="3" fontId="3" fillId="0" borderId="2" xfId="0" applyNumberFormat="1" applyFont="1" applyBorder="1"/>
    <xf numFmtId="166" fontId="4" fillId="0" borderId="0" xfId="0" applyNumberFormat="1" applyFont="1" applyAlignment="1">
      <alignment horizontal="center"/>
    </xf>
    <xf numFmtId="165" fontId="4" fillId="0" borderId="0" xfId="2" applyNumberFormat="1" applyFont="1" applyBorder="1"/>
    <xf numFmtId="3" fontId="5" fillId="0" borderId="2" xfId="0" applyNumberFormat="1" applyFont="1" applyBorder="1"/>
    <xf numFmtId="166" fontId="4" fillId="0" borderId="0" xfId="0" quotePrefix="1" applyNumberFormat="1" applyFont="1" applyAlignment="1">
      <alignment horizontal="center"/>
    </xf>
    <xf numFmtId="164" fontId="4" fillId="0" borderId="0" xfId="0" applyNumberFormat="1" applyFont="1"/>
    <xf numFmtId="167" fontId="3" fillId="0" borderId="0" xfId="0" applyNumberFormat="1" applyFont="1"/>
    <xf numFmtId="3" fontId="4" fillId="0" borderId="7" xfId="0" applyNumberFormat="1" applyFont="1" applyBorder="1"/>
    <xf numFmtId="170" fontId="4" fillId="0" borderId="0" xfId="5" applyNumberFormat="1" applyFont="1" applyBorder="1" applyAlignment="1">
      <alignment horizontal="right"/>
    </xf>
    <xf numFmtId="43" fontId="6" fillId="0" borderId="0" xfId="1" quotePrefix="1" applyFont="1" applyBorder="1" applyAlignment="1">
      <alignment horizontal="center" vertical="center"/>
    </xf>
    <xf numFmtId="168" fontId="25" fillId="0" borderId="0" xfId="1" applyNumberFormat="1" applyFont="1" applyBorder="1"/>
    <xf numFmtId="168" fontId="7" fillId="0" borderId="0" xfId="1" applyNumberFormat="1" applyFont="1" applyBorder="1"/>
    <xf numFmtId="3" fontId="4" fillId="0" borderId="0" xfId="0" applyNumberFormat="1" applyFont="1" applyAlignment="1">
      <alignment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10" fontId="4" fillId="0" borderId="0" xfId="0" applyNumberFormat="1" applyFont="1" applyAlignment="1">
      <alignment vertical="center"/>
    </xf>
    <xf numFmtId="168" fontId="24" fillId="0" borderId="0" xfId="1" applyNumberFormat="1" applyFont="1" applyBorder="1"/>
    <xf numFmtId="168" fontId="25" fillId="0" borderId="5" xfId="1" applyNumberFormat="1" applyFont="1" applyBorder="1"/>
    <xf numFmtId="168" fontId="25" fillId="0" borderId="6" xfId="1" applyNumberFormat="1" applyFont="1" applyBorder="1" applyAlignment="1">
      <alignment vertical="center"/>
    </xf>
    <xf numFmtId="168" fontId="27" fillId="0" borderId="6" xfId="1" applyNumberFormat="1" applyFont="1" applyBorder="1" applyAlignment="1">
      <alignment horizontal="center" vertical="center"/>
    </xf>
    <xf numFmtId="168" fontId="25" fillId="0" borderId="6" xfId="1" applyNumberFormat="1" applyFont="1" applyBorder="1"/>
    <xf numFmtId="168" fontId="26" fillId="0" borderId="6" xfId="1" applyNumberFormat="1" applyFont="1" applyBorder="1" applyAlignment="1">
      <alignment vertical="center"/>
    </xf>
    <xf numFmtId="168" fontId="25" fillId="0" borderId="8" xfId="1" applyNumberFormat="1" applyFont="1" applyBorder="1"/>
    <xf numFmtId="168" fontId="27" fillId="0" borderId="8" xfId="1" applyNumberFormat="1" applyFont="1" applyBorder="1" applyAlignment="1">
      <alignment horizontal="center" vertical="center"/>
    </xf>
    <xf numFmtId="0" fontId="13" fillId="0" borderId="2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center" vertical="center"/>
    </xf>
    <xf numFmtId="168" fontId="4" fillId="0" borderId="0" xfId="1" quotePrefix="1" applyNumberFormat="1" applyFont="1"/>
    <xf numFmtId="168" fontId="7" fillId="0" borderId="0" xfId="1" applyNumberFormat="1" applyFont="1" applyAlignment="1">
      <alignment horizontal="center"/>
    </xf>
    <xf numFmtId="9" fontId="4" fillId="0" borderId="0" xfId="3" applyFont="1" applyAlignment="1">
      <alignment vertical="center"/>
    </xf>
    <xf numFmtId="168" fontId="4" fillId="0" borderId="0" xfId="1" applyNumberFormat="1" applyFont="1" applyAlignment="1">
      <alignment horizontal="right" vertical="center"/>
    </xf>
    <xf numFmtId="168" fontId="14" fillId="0" borderId="0" xfId="1" applyNumberFormat="1" applyFont="1" applyAlignment="1">
      <alignment horizontal="right" vertical="center"/>
    </xf>
    <xf numFmtId="168" fontId="4" fillId="0" borderId="0" xfId="1" applyNumberFormat="1" applyFont="1" applyAlignment="1">
      <alignment horizontal="right"/>
    </xf>
    <xf numFmtId="43" fontId="6" fillId="0" borderId="0" xfId="1" applyFont="1" applyAlignment="1">
      <alignment horizontal="center"/>
    </xf>
    <xf numFmtId="43" fontId="4" fillId="2" borderId="0" xfId="5" applyFont="1" applyFill="1" applyBorder="1"/>
    <xf numFmtId="43" fontId="4" fillId="0" borderId="0" xfId="5" applyFont="1" applyBorder="1"/>
    <xf numFmtId="0" fontId="0" fillId="0" borderId="10" xfId="0" applyBorder="1"/>
    <xf numFmtId="43" fontId="4" fillId="3" borderId="0" xfId="1" applyFont="1" applyFill="1"/>
    <xf numFmtId="43" fontId="4" fillId="3" borderId="3" xfId="1" applyFont="1" applyFill="1" applyBorder="1"/>
    <xf numFmtId="43" fontId="4" fillId="3" borderId="4" xfId="1" applyFont="1" applyFill="1" applyBorder="1"/>
    <xf numFmtId="43" fontId="4" fillId="3" borderId="5" xfId="1" applyFont="1" applyFill="1" applyBorder="1"/>
    <xf numFmtId="43" fontId="4" fillId="3" borderId="2" xfId="1" applyFont="1" applyFill="1" applyBorder="1"/>
    <xf numFmtId="43" fontId="4" fillId="3" borderId="6" xfId="1" applyFont="1" applyFill="1" applyBorder="1"/>
    <xf numFmtId="43" fontId="4" fillId="3" borderId="7" xfId="1" applyFont="1" applyFill="1" applyBorder="1"/>
    <xf numFmtId="43" fontId="10" fillId="3" borderId="1" xfId="1" applyFont="1" applyFill="1" applyBorder="1" applyAlignment="1">
      <alignment horizontal="center" vertical="center"/>
    </xf>
    <xf numFmtId="43" fontId="4" fillId="3" borderId="8" xfId="1" applyFont="1" applyFill="1" applyBorder="1"/>
    <xf numFmtId="43" fontId="4" fillId="3" borderId="0" xfId="1" applyFont="1" applyFill="1" applyBorder="1"/>
    <xf numFmtId="43" fontId="3" fillId="3" borderId="2" xfId="1" applyFont="1" applyFill="1" applyBorder="1" applyAlignment="1">
      <alignment horizontal="center"/>
    </xf>
    <xf numFmtId="43" fontId="3" fillId="3" borderId="0" xfId="1" applyFont="1" applyFill="1" applyBorder="1" applyAlignment="1">
      <alignment horizontal="center"/>
    </xf>
    <xf numFmtId="43" fontId="6" fillId="3" borderId="2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43" fontId="5" fillId="3" borderId="0" xfId="1" applyFont="1" applyFill="1" applyBorder="1" applyAlignment="1">
      <alignment horizontal="left"/>
    </xf>
    <xf numFmtId="43" fontId="4" fillId="3" borderId="0" xfId="1" applyFont="1" applyFill="1" applyBorder="1" applyAlignment="1">
      <alignment horizontal="right"/>
    </xf>
    <xf numFmtId="168" fontId="4" fillId="3" borderId="0" xfId="1" applyNumberFormat="1" applyFont="1" applyFill="1" applyBorder="1" applyAlignment="1"/>
    <xf numFmtId="44" fontId="4" fillId="3" borderId="2" xfId="2" applyFont="1" applyFill="1" applyBorder="1"/>
    <xf numFmtId="44" fontId="4" fillId="3" borderId="0" xfId="2" applyFont="1" applyFill="1" applyBorder="1"/>
    <xf numFmtId="169" fontId="4" fillId="3" borderId="0" xfId="3" applyNumberFormat="1" applyFont="1" applyFill="1" applyBorder="1"/>
    <xf numFmtId="43" fontId="4" fillId="3" borderId="1" xfId="1" applyFont="1" applyFill="1" applyBorder="1"/>
    <xf numFmtId="168" fontId="10" fillId="0" borderId="2" xfId="1" applyNumberFormat="1" applyFont="1" applyBorder="1" applyAlignment="1">
      <alignment horizontal="center" vertical="center"/>
    </xf>
    <xf numFmtId="168" fontId="10" fillId="0" borderId="0" xfId="1" applyNumberFormat="1" applyFont="1" applyBorder="1" applyAlignment="1">
      <alignment horizontal="center" vertical="center"/>
    </xf>
    <xf numFmtId="43" fontId="30" fillId="0" borderId="2" xfId="1" applyFont="1" applyBorder="1" applyAlignment="1">
      <alignment horizontal="center" vertical="center"/>
    </xf>
    <xf numFmtId="43" fontId="30" fillId="0" borderId="0" xfId="1" applyFont="1" applyBorder="1" applyAlignment="1">
      <alignment horizontal="center" vertical="center"/>
    </xf>
    <xf numFmtId="168" fontId="8" fillId="0" borderId="2" xfId="1" applyNumberFormat="1" applyFont="1" applyBorder="1" applyAlignment="1">
      <alignment horizontal="center" vertical="center"/>
    </xf>
    <xf numFmtId="168" fontId="8" fillId="0" borderId="0" xfId="1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168" fontId="7" fillId="0" borderId="2" xfId="5" applyNumberFormat="1" applyFont="1" applyBorder="1" applyAlignment="1">
      <alignment horizontal="center"/>
    </xf>
    <xf numFmtId="168" fontId="7" fillId="0" borderId="0" xfId="5" applyNumberFormat="1" applyFont="1" applyBorder="1" applyAlignment="1">
      <alignment horizontal="center"/>
    </xf>
    <xf numFmtId="43" fontId="4" fillId="3" borderId="0" xfId="1" applyFont="1" applyFill="1" applyAlignment="1">
      <alignment horizontal="center"/>
    </xf>
    <xf numFmtId="43" fontId="6" fillId="3" borderId="3" xfId="1" applyFont="1" applyFill="1" applyBorder="1" applyAlignment="1">
      <alignment horizontal="center"/>
    </xf>
    <xf numFmtId="43" fontId="6" fillId="3" borderId="4" xfId="1" applyFont="1" applyFill="1" applyBorder="1" applyAlignment="1">
      <alignment horizontal="center"/>
    </xf>
    <xf numFmtId="43" fontId="6" fillId="3" borderId="2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43" fontId="10" fillId="3" borderId="0" xfId="1" applyFont="1" applyFill="1" applyBorder="1" applyAlignment="1">
      <alignment horizontal="center" vertical="center"/>
    </xf>
    <xf numFmtId="168" fontId="31" fillId="0" borderId="0" xfId="1" applyNumberFormat="1" applyFont="1"/>
  </cellXfs>
  <cellStyles count="7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Percent" xfId="3" builtinId="5"/>
    <cellStyle name="Percent 2" xfId="6" xr:uid="{00000000-0005-0000-0000-000006000000}"/>
  </cellStyles>
  <dxfs count="0"/>
  <tableStyles count="0" defaultTableStyle="TableStyleMedium9" defaultPivotStyle="PivotStyleLight16"/>
  <colors>
    <mruColors>
      <color rgb="FF59B589"/>
      <color rgb="FFFFFF99"/>
      <color rgb="FFFFFFCC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"/>
  <sheetViews>
    <sheetView tabSelected="1" workbookViewId="0"/>
  </sheetViews>
  <sheetFormatPr defaultColWidth="8.88671875" defaultRowHeight="15" x14ac:dyDescent="0.25"/>
  <cols>
    <col min="1" max="1" width="4" style="3" customWidth="1"/>
    <col min="2" max="2" width="2.33203125" style="3" customWidth="1"/>
    <col min="3" max="3" width="2.6640625" style="3" customWidth="1"/>
    <col min="4" max="4" width="24.109375" style="3" customWidth="1"/>
    <col min="5" max="5" width="10.88671875" style="3" customWidth="1"/>
    <col min="6" max="6" width="10.21875" style="3" customWidth="1"/>
    <col min="7" max="7" width="4.88671875" style="146" customWidth="1"/>
    <col min="8" max="8" width="10.33203125" style="3" customWidth="1"/>
    <col min="9" max="9" width="0.77734375" style="150" customWidth="1"/>
    <col min="10" max="10" width="10.44140625" style="3" customWidth="1"/>
    <col min="11" max="14" width="9.6640625" style="3" customWidth="1"/>
    <col min="15" max="15" width="9.33203125" style="3" customWidth="1"/>
    <col min="16" max="253" width="9.6640625" style="3" customWidth="1"/>
    <col min="254" max="16384" width="8.88671875" style="3"/>
  </cols>
  <sheetData>
    <row r="1" spans="1:16" x14ac:dyDescent="0.25">
      <c r="A1" s="125"/>
      <c r="B1" s="125"/>
      <c r="C1" s="125"/>
      <c r="D1" s="125"/>
      <c r="E1" s="125"/>
      <c r="F1" s="125"/>
      <c r="G1" s="166"/>
      <c r="H1" s="125"/>
      <c r="I1" s="204"/>
    </row>
    <row r="2" spans="1:16" ht="6.95" customHeight="1" x14ac:dyDescent="0.25">
      <c r="A2" s="125"/>
      <c r="B2" s="155"/>
      <c r="C2" s="156"/>
      <c r="D2" s="156"/>
      <c r="E2" s="156"/>
      <c r="F2" s="156"/>
      <c r="G2" s="157"/>
      <c r="H2" s="156"/>
      <c r="I2" s="211"/>
    </row>
    <row r="3" spans="1:16" ht="18.75" x14ac:dyDescent="0.25">
      <c r="A3" s="125"/>
      <c r="B3" s="255" t="s">
        <v>28</v>
      </c>
      <c r="C3" s="256"/>
      <c r="D3" s="256"/>
      <c r="E3" s="256"/>
      <c r="F3" s="256"/>
      <c r="G3" s="256"/>
      <c r="H3" s="256"/>
      <c r="I3" s="212"/>
      <c r="J3" s="21"/>
      <c r="K3" s="21"/>
      <c r="L3" s="21"/>
      <c r="M3" s="21"/>
      <c r="N3" s="21"/>
      <c r="O3" s="21"/>
    </row>
    <row r="4" spans="1:16" ht="18.75" customHeight="1" x14ac:dyDescent="0.25">
      <c r="A4" s="125"/>
      <c r="B4" s="251" t="s">
        <v>106</v>
      </c>
      <c r="C4" s="252"/>
      <c r="D4" s="252"/>
      <c r="E4" s="252"/>
      <c r="F4" s="252"/>
      <c r="G4" s="252"/>
      <c r="H4" s="252"/>
      <c r="I4" s="213"/>
      <c r="J4" s="148"/>
      <c r="K4" s="21"/>
      <c r="L4" s="147"/>
      <c r="M4" s="147"/>
      <c r="N4" s="147"/>
      <c r="O4" s="147"/>
    </row>
    <row r="5" spans="1:16" ht="6.95" customHeight="1" x14ac:dyDescent="0.25">
      <c r="A5" s="125"/>
      <c r="B5" s="171"/>
      <c r="C5" s="172"/>
      <c r="D5" s="172"/>
      <c r="E5" s="172"/>
      <c r="F5" s="172"/>
      <c r="G5" s="172"/>
      <c r="H5" s="172"/>
      <c r="I5" s="217"/>
      <c r="J5" s="148"/>
      <c r="K5" s="21"/>
      <c r="L5" s="147"/>
      <c r="M5" s="147"/>
      <c r="N5" s="147"/>
      <c r="O5" s="147"/>
    </row>
    <row r="6" spans="1:16" ht="6.95" customHeight="1" x14ac:dyDescent="0.25">
      <c r="A6" s="125"/>
      <c r="B6" s="158"/>
      <c r="C6" s="159"/>
      <c r="D6" s="159"/>
      <c r="E6" s="160"/>
      <c r="F6" s="160"/>
      <c r="G6" s="161"/>
      <c r="H6" s="160"/>
      <c r="I6" s="212"/>
      <c r="J6" s="21"/>
      <c r="K6" s="21"/>
      <c r="L6" s="21"/>
      <c r="M6" s="21"/>
      <c r="N6" s="21"/>
      <c r="O6" s="21"/>
    </row>
    <row r="7" spans="1:16" x14ac:dyDescent="0.25">
      <c r="A7" s="125"/>
      <c r="B7" s="158"/>
      <c r="C7" s="159"/>
      <c r="D7" s="159"/>
      <c r="E7" s="173" t="s">
        <v>81</v>
      </c>
      <c r="F7" s="160"/>
      <c r="G7" s="161"/>
      <c r="H7" s="160"/>
      <c r="I7" s="212"/>
      <c r="J7" s="21"/>
      <c r="K7" s="21"/>
      <c r="L7" s="21"/>
      <c r="M7" s="21"/>
      <c r="N7" s="21"/>
      <c r="O7" s="21"/>
    </row>
    <row r="8" spans="1:16" ht="17.25" x14ac:dyDescent="0.25">
      <c r="A8" s="125"/>
      <c r="B8" s="158"/>
      <c r="C8" s="159"/>
      <c r="D8" s="159"/>
      <c r="E8" s="203" t="s">
        <v>127</v>
      </c>
      <c r="F8" s="160" t="s">
        <v>27</v>
      </c>
      <c r="G8" s="161" t="s">
        <v>38</v>
      </c>
      <c r="H8" s="160" t="s">
        <v>80</v>
      </c>
      <c r="I8" s="212"/>
      <c r="J8" s="21"/>
      <c r="K8" s="21"/>
      <c r="L8" s="21"/>
      <c r="M8" s="21"/>
      <c r="N8" s="21"/>
      <c r="O8" s="21"/>
    </row>
    <row r="9" spans="1:16" x14ac:dyDescent="0.25">
      <c r="A9" s="125"/>
      <c r="B9" s="162" t="s">
        <v>10</v>
      </c>
      <c r="C9" s="159"/>
      <c r="D9" s="159"/>
      <c r="E9" s="159"/>
      <c r="F9" s="159"/>
      <c r="G9" s="163"/>
      <c r="H9" s="159"/>
      <c r="I9" s="212"/>
      <c r="J9" s="21"/>
      <c r="K9" s="21"/>
      <c r="L9" s="21"/>
      <c r="M9" s="21"/>
      <c r="N9" s="21"/>
      <c r="O9" s="21"/>
    </row>
    <row r="10" spans="1:16" x14ac:dyDescent="0.25">
      <c r="A10" s="125"/>
      <c r="B10" s="158"/>
      <c r="C10" s="159" t="s">
        <v>68</v>
      </c>
      <c r="D10" s="159"/>
      <c r="E10" s="159">
        <v>47935</v>
      </c>
      <c r="F10" s="159">
        <f>H10-E10</f>
        <v>-2708.9262999999992</v>
      </c>
      <c r="G10" s="163" t="s">
        <v>152</v>
      </c>
      <c r="H10" s="174">
        <f>ExBA!F8</f>
        <v>45226.073700000001</v>
      </c>
      <c r="I10" s="212"/>
      <c r="J10" s="21"/>
      <c r="K10" s="21"/>
      <c r="L10" s="222"/>
      <c r="M10" s="222"/>
      <c r="N10" s="21"/>
      <c r="O10" s="21"/>
    </row>
    <row r="11" spans="1:16" x14ac:dyDescent="0.25">
      <c r="A11" s="125"/>
      <c r="B11" s="158"/>
      <c r="C11" s="159" t="s">
        <v>33</v>
      </c>
      <c r="D11" s="159"/>
      <c r="E11" s="159"/>
      <c r="F11" s="159"/>
      <c r="G11" s="163"/>
      <c r="H11" s="159"/>
      <c r="I11" s="212"/>
      <c r="J11" s="21"/>
      <c r="K11" s="21"/>
      <c r="L11" s="21"/>
      <c r="M11" s="21"/>
      <c r="N11" s="21"/>
      <c r="O11" s="21"/>
    </row>
    <row r="12" spans="1:16" x14ac:dyDescent="0.25">
      <c r="A12" s="125"/>
      <c r="B12" s="158"/>
      <c r="C12" s="159"/>
      <c r="D12" s="159" t="s">
        <v>32</v>
      </c>
      <c r="E12" s="159">
        <v>0</v>
      </c>
      <c r="F12" s="159"/>
      <c r="G12" s="163"/>
      <c r="H12" s="159">
        <v>0</v>
      </c>
      <c r="I12" s="212"/>
      <c r="J12" s="21"/>
      <c r="K12" s="21"/>
      <c r="L12" s="21"/>
      <c r="M12" s="21"/>
      <c r="N12" s="21"/>
      <c r="P12" s="21"/>
    </row>
    <row r="13" spans="1:16" ht="17.25" x14ac:dyDescent="0.25">
      <c r="A13" s="125"/>
      <c r="B13" s="158"/>
      <c r="C13" s="159"/>
      <c r="D13" s="159" t="s">
        <v>96</v>
      </c>
      <c r="E13" s="164">
        <v>0</v>
      </c>
      <c r="F13" s="159"/>
      <c r="G13" s="163"/>
      <c r="H13" s="164">
        <f>E13+F13</f>
        <v>0</v>
      </c>
      <c r="I13" s="212"/>
      <c r="J13" s="21"/>
      <c r="K13" s="21"/>
      <c r="L13" s="21"/>
      <c r="M13" s="21"/>
      <c r="N13" s="21"/>
      <c r="O13" s="21"/>
      <c r="P13" s="79"/>
    </row>
    <row r="14" spans="1:16" x14ac:dyDescent="0.25">
      <c r="A14" s="125"/>
      <c r="B14" s="165" t="s">
        <v>11</v>
      </c>
      <c r="C14" s="159"/>
      <c r="D14" s="159"/>
      <c r="E14" s="159">
        <f>SUM(E10:E13)</f>
        <v>47935</v>
      </c>
      <c r="F14" s="159"/>
      <c r="G14" s="163"/>
      <c r="H14" s="174">
        <f>SUM(H10:H13)</f>
        <v>45226.073700000001</v>
      </c>
      <c r="I14" s="212"/>
      <c r="J14" s="21"/>
      <c r="K14" s="223"/>
      <c r="L14" s="21"/>
      <c r="M14" s="21"/>
      <c r="N14" s="21"/>
      <c r="O14" s="21"/>
      <c r="P14" s="21"/>
    </row>
    <row r="15" spans="1:16" x14ac:dyDescent="0.25">
      <c r="A15" s="125"/>
      <c r="B15" s="158"/>
      <c r="C15" s="159"/>
      <c r="D15" s="159"/>
      <c r="E15" s="159"/>
      <c r="F15" s="159"/>
      <c r="G15" s="163"/>
      <c r="H15" s="159"/>
      <c r="I15" s="212"/>
      <c r="J15" s="21"/>
      <c r="K15" s="223"/>
      <c r="L15" s="21"/>
      <c r="N15" s="21"/>
      <c r="O15" s="21"/>
    </row>
    <row r="16" spans="1:16" x14ac:dyDescent="0.25">
      <c r="A16" s="125"/>
      <c r="B16" s="162" t="s">
        <v>12</v>
      </c>
      <c r="C16" s="159"/>
      <c r="D16" s="159"/>
      <c r="E16" s="159"/>
      <c r="F16" s="159"/>
      <c r="G16" s="163"/>
      <c r="H16" s="159"/>
      <c r="I16" s="212"/>
      <c r="J16" s="21"/>
      <c r="K16" s="223"/>
      <c r="L16" s="21"/>
      <c r="N16" s="21"/>
      <c r="O16" s="21"/>
    </row>
    <row r="17" spans="1:15" x14ac:dyDescent="0.25">
      <c r="A17" s="125"/>
      <c r="B17" s="158"/>
      <c r="C17" s="159" t="s">
        <v>18</v>
      </c>
      <c r="D17" s="159"/>
      <c r="E17" s="159"/>
      <c r="F17" s="159"/>
      <c r="G17" s="163"/>
      <c r="H17" s="159"/>
      <c r="I17" s="212"/>
      <c r="J17" s="21"/>
      <c r="K17" s="223"/>
      <c r="L17" s="21"/>
      <c r="M17" s="21"/>
      <c r="N17" s="21"/>
      <c r="O17" s="21"/>
    </row>
    <row r="18" spans="1:15" x14ac:dyDescent="0.25">
      <c r="A18" s="125"/>
      <c r="B18" s="158"/>
      <c r="C18" s="159"/>
      <c r="D18" s="159" t="s">
        <v>22</v>
      </c>
      <c r="E18" s="159">
        <v>0</v>
      </c>
      <c r="F18" s="159"/>
      <c r="G18" s="166"/>
      <c r="H18" s="159">
        <f t="shared" ref="H18:H19" si="0">E18+F18</f>
        <v>0</v>
      </c>
      <c r="I18" s="214"/>
      <c r="J18" s="21"/>
      <c r="K18" s="223"/>
      <c r="L18" s="21"/>
      <c r="M18" s="21"/>
      <c r="N18" s="21"/>
      <c r="O18" s="21"/>
    </row>
    <row r="19" spans="1:15" x14ac:dyDescent="0.25">
      <c r="A19" s="125"/>
      <c r="B19" s="158"/>
      <c r="C19" s="159"/>
      <c r="D19" s="159" t="s">
        <v>23</v>
      </c>
      <c r="E19" s="159">
        <v>0</v>
      </c>
      <c r="F19" s="159"/>
      <c r="G19" s="163"/>
      <c r="H19" s="159">
        <f t="shared" si="0"/>
        <v>0</v>
      </c>
      <c r="I19" s="214"/>
      <c r="K19" s="223"/>
      <c r="L19" s="21"/>
      <c r="M19" s="21"/>
      <c r="N19" s="21"/>
      <c r="O19" s="21"/>
    </row>
    <row r="20" spans="1:15" x14ac:dyDescent="0.25">
      <c r="A20" s="125"/>
      <c r="B20" s="158"/>
      <c r="C20" s="159"/>
      <c r="D20" s="159" t="s">
        <v>24</v>
      </c>
      <c r="E20" s="159">
        <v>2476.98</v>
      </c>
      <c r="F20" s="159"/>
      <c r="G20" s="166"/>
      <c r="H20" s="159">
        <f t="shared" ref="H20:H29" si="1">E20+F20</f>
        <v>2476.98</v>
      </c>
      <c r="I20" s="212"/>
      <c r="J20" s="21"/>
      <c r="K20" s="223"/>
      <c r="L20" s="21"/>
      <c r="M20" s="21"/>
      <c r="N20" s="21"/>
      <c r="O20" s="21"/>
    </row>
    <row r="21" spans="1:15" x14ac:dyDescent="0.25">
      <c r="A21" s="125"/>
      <c r="B21" s="158"/>
      <c r="C21" s="159"/>
      <c r="D21" s="159" t="s">
        <v>114</v>
      </c>
      <c r="E21" s="159">
        <v>4609.8</v>
      </c>
      <c r="F21" s="159"/>
      <c r="G21" s="166"/>
      <c r="H21" s="159">
        <f t="shared" si="1"/>
        <v>4609.8</v>
      </c>
      <c r="I21" s="212"/>
      <c r="J21" s="21"/>
      <c r="K21" s="223"/>
      <c r="L21" s="21"/>
      <c r="M21" s="21"/>
      <c r="N21" s="21"/>
      <c r="O21" s="21"/>
    </row>
    <row r="22" spans="1:15" x14ac:dyDescent="0.25">
      <c r="A22" s="125"/>
      <c r="B22" s="158"/>
      <c r="C22" s="159"/>
      <c r="D22" s="159" t="s">
        <v>69</v>
      </c>
      <c r="E22" s="159">
        <v>22767.48</v>
      </c>
      <c r="F22" s="159">
        <f>Adj!K7</f>
        <v>-15061</v>
      </c>
      <c r="G22" s="166" t="s">
        <v>153</v>
      </c>
      <c r="H22" s="159">
        <f t="shared" si="1"/>
        <v>7706.48</v>
      </c>
      <c r="I22" s="212"/>
      <c r="J22" s="21"/>
      <c r="K22" s="224"/>
      <c r="L22" s="21"/>
      <c r="M22" s="21"/>
      <c r="N22" s="21"/>
      <c r="O22" s="21"/>
    </row>
    <row r="23" spans="1:15" x14ac:dyDescent="0.25">
      <c r="A23" s="125"/>
      <c r="B23" s="158"/>
      <c r="C23" s="159"/>
      <c r="D23" s="159" t="s">
        <v>25</v>
      </c>
      <c r="E23" s="159">
        <v>22520</v>
      </c>
      <c r="F23" s="159"/>
      <c r="G23" s="166"/>
      <c r="H23" s="159">
        <f t="shared" si="1"/>
        <v>22520</v>
      </c>
      <c r="I23" s="215"/>
      <c r="J23" s="21"/>
      <c r="K23" s="223"/>
      <c r="L23" s="21"/>
      <c r="M23" s="21"/>
      <c r="N23" s="21"/>
      <c r="O23" s="21"/>
    </row>
    <row r="24" spans="1:15" x14ac:dyDescent="0.25">
      <c r="A24" s="125"/>
      <c r="B24" s="158"/>
      <c r="C24" s="159"/>
      <c r="D24" s="159" t="s">
        <v>115</v>
      </c>
      <c r="E24" s="159">
        <v>2871.5</v>
      </c>
      <c r="F24" s="159"/>
      <c r="G24" s="166"/>
      <c r="H24" s="159">
        <f t="shared" si="1"/>
        <v>2871.5</v>
      </c>
      <c r="I24" s="215"/>
      <c r="J24" s="21"/>
      <c r="K24" s="223"/>
      <c r="L24" s="21"/>
      <c r="M24" s="21"/>
      <c r="N24" s="21"/>
      <c r="O24" s="21"/>
    </row>
    <row r="25" spans="1:15" x14ac:dyDescent="0.25">
      <c r="A25" s="125"/>
      <c r="B25" s="158"/>
      <c r="C25" s="159"/>
      <c r="D25" s="159" t="s">
        <v>92</v>
      </c>
      <c r="E25" s="159">
        <v>0</v>
      </c>
      <c r="F25" s="159"/>
      <c r="G25" s="166"/>
      <c r="H25" s="159">
        <f t="shared" si="1"/>
        <v>0</v>
      </c>
      <c r="I25" s="215"/>
      <c r="J25" s="21"/>
      <c r="K25" s="223"/>
      <c r="L25" s="21"/>
      <c r="M25" s="21"/>
      <c r="N25" s="21"/>
      <c r="O25" s="21"/>
    </row>
    <row r="26" spans="1:15" x14ac:dyDescent="0.25">
      <c r="A26" s="125"/>
      <c r="B26" s="158"/>
      <c r="C26" s="159"/>
      <c r="D26" s="159" t="s">
        <v>29</v>
      </c>
      <c r="E26" s="159">
        <v>0</v>
      </c>
      <c r="F26" s="159"/>
      <c r="G26" s="163"/>
      <c r="H26" s="159">
        <f t="shared" si="1"/>
        <v>0</v>
      </c>
      <c r="I26" s="212"/>
      <c r="J26" s="21"/>
      <c r="K26" s="223"/>
      <c r="L26" s="21"/>
      <c r="M26" s="21"/>
      <c r="N26" s="21"/>
      <c r="O26" s="21"/>
    </row>
    <row r="27" spans="1:15" x14ac:dyDescent="0.25">
      <c r="A27" s="125"/>
      <c r="B27" s="158"/>
      <c r="C27" s="159"/>
      <c r="D27" s="159" t="s">
        <v>116</v>
      </c>
      <c r="E27" s="159">
        <v>1766.6</v>
      </c>
      <c r="F27" s="159"/>
      <c r="G27" s="163"/>
      <c r="H27" s="159">
        <f t="shared" si="1"/>
        <v>1766.6</v>
      </c>
      <c r="I27" s="212"/>
      <c r="J27" s="21"/>
      <c r="K27" s="225"/>
      <c r="L27" s="21"/>
      <c r="M27" s="21"/>
      <c r="N27" s="21"/>
      <c r="O27" s="21"/>
    </row>
    <row r="28" spans="1:15" x14ac:dyDescent="0.25">
      <c r="A28" s="125"/>
      <c r="B28" s="158"/>
      <c r="C28" s="159"/>
      <c r="D28" s="159" t="s">
        <v>93</v>
      </c>
      <c r="E28" s="159">
        <v>0</v>
      </c>
      <c r="F28" s="159"/>
      <c r="G28" s="163"/>
      <c r="H28" s="159">
        <f t="shared" si="1"/>
        <v>0</v>
      </c>
      <c r="I28" s="212"/>
      <c r="J28" s="21"/>
      <c r="K28" s="223"/>
      <c r="L28" s="21"/>
      <c r="M28" s="21"/>
      <c r="N28" s="21"/>
      <c r="O28" s="21"/>
    </row>
    <row r="29" spans="1:15" ht="17.25" x14ac:dyDescent="0.25">
      <c r="A29" s="125"/>
      <c r="B29" s="158"/>
      <c r="C29" s="159"/>
      <c r="D29" s="159" t="s">
        <v>26</v>
      </c>
      <c r="E29" s="164">
        <v>5087.18</v>
      </c>
      <c r="F29" s="159"/>
      <c r="G29" s="166"/>
      <c r="H29" s="164">
        <f t="shared" si="1"/>
        <v>5087.18</v>
      </c>
      <c r="I29" s="212"/>
      <c r="J29" s="21"/>
      <c r="K29" s="21"/>
      <c r="L29" s="21"/>
      <c r="M29" s="21"/>
      <c r="N29" s="21"/>
      <c r="O29" s="21"/>
    </row>
    <row r="30" spans="1:15" x14ac:dyDescent="0.25">
      <c r="A30" s="125"/>
      <c r="B30" s="158"/>
      <c r="C30" s="167" t="s">
        <v>19</v>
      </c>
      <c r="D30" s="159"/>
      <c r="E30" s="159">
        <f>SUM(E18:E29)</f>
        <v>62099.54</v>
      </c>
      <c r="F30" s="159"/>
      <c r="G30" s="163"/>
      <c r="H30" s="174">
        <f>SUM(H18:H29)</f>
        <v>47038.54</v>
      </c>
      <c r="I30" s="212"/>
      <c r="J30" s="21"/>
      <c r="K30" s="21"/>
      <c r="L30" s="21"/>
      <c r="M30" s="21"/>
      <c r="N30" s="21"/>
      <c r="O30" s="21"/>
    </row>
    <row r="31" spans="1:15" x14ac:dyDescent="0.25">
      <c r="A31" s="125"/>
      <c r="B31" s="158"/>
      <c r="C31" s="159" t="s">
        <v>20</v>
      </c>
      <c r="D31" s="159"/>
      <c r="E31" s="159">
        <v>12170</v>
      </c>
      <c r="F31" s="159">
        <f>DeprAdj!J18</f>
        <v>210.22566666666671</v>
      </c>
      <c r="G31" s="166" t="s">
        <v>154</v>
      </c>
      <c r="H31" s="159">
        <f>E31+F31</f>
        <v>12380.225666666667</v>
      </c>
      <c r="I31" s="212"/>
      <c r="J31" s="21"/>
      <c r="K31" s="21"/>
      <c r="L31" s="21"/>
      <c r="M31" s="21"/>
      <c r="N31" s="21"/>
      <c r="O31" s="21"/>
    </row>
    <row r="32" spans="1:15" ht="17.25" x14ac:dyDescent="0.4">
      <c r="A32" s="125"/>
      <c r="B32" s="158"/>
      <c r="C32" s="159" t="s">
        <v>21</v>
      </c>
      <c r="D32" s="159"/>
      <c r="E32" s="205">
        <v>0</v>
      </c>
      <c r="F32" s="175"/>
      <c r="G32" s="166"/>
      <c r="H32" s="164">
        <f>E32+F32</f>
        <v>0</v>
      </c>
      <c r="I32" s="212"/>
      <c r="J32" s="21"/>
      <c r="K32" s="21"/>
      <c r="L32" s="21"/>
      <c r="M32" s="21"/>
      <c r="N32" s="21"/>
      <c r="O32" s="21"/>
    </row>
    <row r="33" spans="1:15" x14ac:dyDescent="0.25">
      <c r="A33" s="125"/>
      <c r="B33" s="165" t="s">
        <v>13</v>
      </c>
      <c r="C33" s="159"/>
      <c r="D33" s="159"/>
      <c r="E33" s="159">
        <f>SUM(E30:E32)</f>
        <v>74269.540000000008</v>
      </c>
      <c r="F33" s="159"/>
      <c r="G33" s="163"/>
      <c r="H33" s="174">
        <f>SUM(H30:H32)</f>
        <v>59418.765666666666</v>
      </c>
      <c r="I33" s="212"/>
      <c r="J33" s="21"/>
      <c r="K33" s="21"/>
      <c r="L33" s="21"/>
      <c r="M33" s="21"/>
      <c r="N33" s="21"/>
      <c r="O33" s="21"/>
    </row>
    <row r="34" spans="1:15" x14ac:dyDescent="0.25">
      <c r="A34" s="125"/>
      <c r="B34" s="165" t="s">
        <v>30</v>
      </c>
      <c r="C34" s="159"/>
      <c r="D34" s="159"/>
      <c r="E34" s="159">
        <f>E14-E33</f>
        <v>-26334.540000000008</v>
      </c>
      <c r="F34" s="159"/>
      <c r="G34" s="163"/>
      <c r="H34" s="159">
        <f>H14-H33</f>
        <v>-14192.691966666665</v>
      </c>
      <c r="I34" s="212"/>
      <c r="J34" s="21"/>
      <c r="K34" s="21"/>
      <c r="L34" s="21"/>
      <c r="M34" s="21"/>
      <c r="N34" s="21"/>
      <c r="O34" s="21"/>
    </row>
    <row r="35" spans="1:15" ht="20.100000000000001" customHeight="1" x14ac:dyDescent="0.25">
      <c r="A35" s="125"/>
      <c r="B35" s="165"/>
      <c r="C35" s="159"/>
      <c r="D35" s="159"/>
      <c r="E35" s="159"/>
      <c r="F35" s="159"/>
      <c r="G35" s="163"/>
      <c r="H35" s="159"/>
      <c r="I35" s="212"/>
      <c r="J35" s="21"/>
      <c r="K35" s="21"/>
      <c r="L35" s="21"/>
      <c r="M35" s="21"/>
      <c r="N35" s="21"/>
      <c r="O35" s="21"/>
    </row>
    <row r="36" spans="1:15" ht="21" x14ac:dyDescent="0.25">
      <c r="A36" s="125"/>
      <c r="B36" s="253" t="s">
        <v>128</v>
      </c>
      <c r="C36" s="254"/>
      <c r="D36" s="254"/>
      <c r="E36" s="254"/>
      <c r="F36" s="254"/>
      <c r="G36" s="254"/>
      <c r="H36" s="254"/>
      <c r="I36" s="212"/>
      <c r="J36" s="21"/>
      <c r="K36" s="21"/>
      <c r="L36" s="21"/>
      <c r="M36" s="21"/>
      <c r="N36" s="21"/>
      <c r="O36" s="21"/>
    </row>
    <row r="37" spans="1:15" ht="6.95" customHeight="1" x14ac:dyDescent="0.25">
      <c r="A37" s="125"/>
      <c r="B37" s="218"/>
      <c r="C37" s="219"/>
      <c r="D37" s="219"/>
      <c r="E37" s="219"/>
      <c r="F37" s="219"/>
      <c r="G37" s="219"/>
      <c r="H37" s="219"/>
      <c r="I37" s="212"/>
      <c r="J37" s="21"/>
      <c r="K37" s="21"/>
      <c r="L37" s="21"/>
      <c r="M37" s="21"/>
      <c r="N37" s="21"/>
      <c r="O37" s="21"/>
    </row>
    <row r="38" spans="1:15" x14ac:dyDescent="0.25">
      <c r="A38" s="125"/>
      <c r="B38" s="165" t="s">
        <v>14</v>
      </c>
      <c r="C38" s="159"/>
      <c r="D38" s="159"/>
      <c r="E38" s="125"/>
      <c r="F38" s="159"/>
      <c r="G38" s="163"/>
      <c r="H38" s="174">
        <f>H33</f>
        <v>59418.765666666666</v>
      </c>
      <c r="I38" s="212"/>
      <c r="J38" s="21"/>
      <c r="K38" s="21"/>
      <c r="L38" s="21"/>
      <c r="M38" s="21"/>
      <c r="N38" s="21"/>
      <c r="O38" s="21"/>
    </row>
    <row r="39" spans="1:15" x14ac:dyDescent="0.25">
      <c r="A39" s="125"/>
      <c r="B39" s="183" t="s">
        <v>107</v>
      </c>
      <c r="C39" s="206"/>
      <c r="D39" s="206"/>
      <c r="E39" s="19"/>
      <c r="F39" s="206"/>
      <c r="G39" s="207" t="s">
        <v>155</v>
      </c>
      <c r="H39" s="179">
        <v>0.88</v>
      </c>
      <c r="I39" s="212"/>
      <c r="J39" s="21"/>
      <c r="K39" s="21"/>
      <c r="L39" s="21"/>
      <c r="M39" s="21"/>
      <c r="N39" s="21"/>
      <c r="O39" s="21"/>
    </row>
    <row r="40" spans="1:15" x14ac:dyDescent="0.25">
      <c r="A40" s="125"/>
      <c r="B40" s="183" t="s">
        <v>108</v>
      </c>
      <c r="C40" s="19"/>
      <c r="D40" s="19"/>
      <c r="E40" s="19"/>
      <c r="F40" s="206"/>
      <c r="G40" s="208"/>
      <c r="H40" s="38">
        <f>H38/H39</f>
        <v>67521.324621212116</v>
      </c>
      <c r="I40" s="212"/>
      <c r="J40" s="21"/>
      <c r="K40" s="21"/>
      <c r="L40" s="21"/>
      <c r="M40" s="21"/>
      <c r="N40" s="21"/>
      <c r="O40" s="21"/>
    </row>
    <row r="41" spans="1:15" ht="17.25" x14ac:dyDescent="0.4">
      <c r="A41" s="125"/>
      <c r="B41" s="183" t="s">
        <v>109</v>
      </c>
      <c r="C41" s="206"/>
      <c r="D41" s="206" t="s">
        <v>110</v>
      </c>
      <c r="E41" s="19"/>
      <c r="F41" s="206"/>
      <c r="G41" s="207"/>
      <c r="H41" s="180">
        <v>0</v>
      </c>
      <c r="I41" s="212"/>
      <c r="J41" s="21"/>
      <c r="K41" s="21"/>
      <c r="L41" s="21"/>
      <c r="M41" s="21"/>
      <c r="N41" s="21"/>
      <c r="O41" s="21"/>
    </row>
    <row r="42" spans="1:15" x14ac:dyDescent="0.25">
      <c r="A42" s="125"/>
      <c r="B42" s="184" t="s">
        <v>31</v>
      </c>
      <c r="C42" s="206"/>
      <c r="D42" s="206"/>
      <c r="E42" s="19"/>
      <c r="F42" s="206"/>
      <c r="G42" s="208"/>
      <c r="H42" s="38">
        <f>H40+H41</f>
        <v>67521.324621212116</v>
      </c>
      <c r="I42" s="212"/>
      <c r="J42" s="21"/>
      <c r="K42" s="21"/>
      <c r="L42" s="21"/>
      <c r="M42" s="21"/>
      <c r="N42" s="21"/>
      <c r="O42" s="21"/>
    </row>
    <row r="43" spans="1:15" x14ac:dyDescent="0.25">
      <c r="A43" s="125"/>
      <c r="B43" s="183" t="s">
        <v>111</v>
      </c>
      <c r="C43" s="206"/>
      <c r="D43" s="206" t="s">
        <v>17</v>
      </c>
      <c r="E43" s="19"/>
      <c r="F43" s="206"/>
      <c r="G43" s="208"/>
      <c r="H43" s="38">
        <f>-SUM(H12:H13)</f>
        <v>0</v>
      </c>
      <c r="I43" s="212"/>
      <c r="J43" s="21"/>
      <c r="K43" s="21"/>
      <c r="L43" s="21"/>
      <c r="M43" s="21"/>
      <c r="N43" s="21"/>
      <c r="O43" s="21"/>
    </row>
    <row r="44" spans="1:15" ht="17.25" x14ac:dyDescent="0.4">
      <c r="A44" s="125"/>
      <c r="B44" s="183"/>
      <c r="C44" s="206"/>
      <c r="D44" s="206" t="s">
        <v>53</v>
      </c>
      <c r="E44" s="133"/>
      <c r="F44" s="181"/>
      <c r="G44" s="208"/>
      <c r="H44" s="180">
        <v>-3.69</v>
      </c>
      <c r="I44" s="212"/>
      <c r="J44" s="21"/>
      <c r="K44" s="21"/>
      <c r="L44" s="21"/>
      <c r="M44" s="21"/>
      <c r="N44" s="21"/>
      <c r="O44" s="21"/>
    </row>
    <row r="45" spans="1:15" x14ac:dyDescent="0.25">
      <c r="A45" s="125"/>
      <c r="B45" s="184" t="s">
        <v>112</v>
      </c>
      <c r="C45" s="206"/>
      <c r="D45" s="206"/>
      <c r="E45" s="19"/>
      <c r="F45" s="206"/>
      <c r="G45" s="208"/>
      <c r="H45" s="38">
        <f>SUM(H42:H44)</f>
        <v>67517.634621212113</v>
      </c>
      <c r="I45" s="212"/>
      <c r="J45" s="21"/>
      <c r="K45" s="21"/>
      <c r="L45" s="21"/>
      <c r="M45" s="21"/>
      <c r="N45" s="21"/>
      <c r="O45" s="21"/>
    </row>
    <row r="46" spans="1:15" x14ac:dyDescent="0.25">
      <c r="A46" s="125"/>
      <c r="B46" s="183" t="s">
        <v>111</v>
      </c>
      <c r="C46" s="206"/>
      <c r="D46" s="206" t="s">
        <v>113</v>
      </c>
      <c r="E46" s="19"/>
      <c r="F46" s="206"/>
      <c r="G46" s="208"/>
      <c r="H46" s="182">
        <f>SUM(H9:H10)</f>
        <v>45226.073700000001</v>
      </c>
      <c r="I46" s="212"/>
      <c r="J46" s="21"/>
      <c r="K46" s="21"/>
      <c r="L46" s="21"/>
      <c r="M46" s="21"/>
      <c r="N46" s="21"/>
      <c r="O46" s="21"/>
    </row>
    <row r="47" spans="1:15" x14ac:dyDescent="0.25">
      <c r="A47" s="125"/>
      <c r="B47" s="184" t="s">
        <v>15</v>
      </c>
      <c r="C47" s="206"/>
      <c r="D47" s="206"/>
      <c r="E47" s="19"/>
      <c r="F47" s="206"/>
      <c r="G47" s="208"/>
      <c r="H47" s="104">
        <f>H45-H46</f>
        <v>22291.560921212113</v>
      </c>
      <c r="I47" s="212"/>
      <c r="J47" s="83"/>
      <c r="K47" s="21"/>
      <c r="L47" s="21"/>
      <c r="M47" s="21"/>
      <c r="N47" s="21"/>
      <c r="O47" s="21"/>
    </row>
    <row r="48" spans="1:15" ht="6.95" customHeight="1" x14ac:dyDescent="0.25">
      <c r="A48" s="125"/>
      <c r="B48" s="183"/>
      <c r="C48" s="206"/>
      <c r="D48" s="206"/>
      <c r="E48" s="19"/>
      <c r="F48" s="206"/>
      <c r="G48" s="208"/>
      <c r="H48" s="206"/>
      <c r="I48" s="212"/>
      <c r="J48" s="21"/>
      <c r="K48" s="21"/>
      <c r="L48" s="21"/>
      <c r="M48" s="21"/>
      <c r="N48" s="21"/>
      <c r="O48" s="21"/>
    </row>
    <row r="49" spans="1:15" x14ac:dyDescent="0.25">
      <c r="A49" s="125"/>
      <c r="B49" s="184" t="s">
        <v>16</v>
      </c>
      <c r="C49" s="206"/>
      <c r="D49" s="206"/>
      <c r="E49" s="19"/>
      <c r="F49" s="206"/>
      <c r="G49" s="208"/>
      <c r="H49" s="209">
        <f>ROUND(H47/H46,4)</f>
        <v>0.4929</v>
      </c>
      <c r="I49" s="214"/>
      <c r="J49" s="21"/>
      <c r="K49" s="126"/>
      <c r="L49" s="21"/>
      <c r="M49" s="21"/>
      <c r="N49" s="21"/>
      <c r="O49" s="21"/>
    </row>
    <row r="50" spans="1:15" ht="6.95" customHeight="1" x14ac:dyDescent="0.25">
      <c r="A50" s="125"/>
      <c r="B50" s="168"/>
      <c r="C50" s="169"/>
      <c r="D50" s="169"/>
      <c r="E50" s="169"/>
      <c r="F50" s="169"/>
      <c r="G50" s="170"/>
      <c r="H50" s="169"/>
      <c r="I50" s="216"/>
    </row>
    <row r="51" spans="1:15" x14ac:dyDescent="0.25">
      <c r="A51" s="125"/>
      <c r="B51" s="125"/>
      <c r="C51" s="125"/>
      <c r="D51" s="125"/>
      <c r="E51" s="125"/>
      <c r="F51" s="125"/>
      <c r="G51" s="166"/>
      <c r="H51" s="125"/>
      <c r="I51" s="204"/>
    </row>
    <row r="52" spans="1:15" x14ac:dyDescent="0.25">
      <c r="A52" s="125"/>
      <c r="B52" s="125"/>
      <c r="C52" s="125"/>
      <c r="D52" s="125"/>
      <c r="E52" s="210"/>
      <c r="F52" s="210"/>
      <c r="G52" s="166"/>
      <c r="H52" s="125"/>
      <c r="I52" s="204"/>
    </row>
    <row r="53" spans="1:15" x14ac:dyDescent="0.25">
      <c r="E53" s="149"/>
      <c r="F53" s="149"/>
    </row>
    <row r="54" spans="1:15" x14ac:dyDescent="0.25">
      <c r="E54" s="149"/>
      <c r="F54" s="154"/>
    </row>
  </sheetData>
  <mergeCells count="3">
    <mergeCell ref="B4:H4"/>
    <mergeCell ref="B36:H36"/>
    <mergeCell ref="B3:H3"/>
  </mergeCells>
  <printOptions horizontalCentered="1"/>
  <pageMargins left="0.6" right="0.5" top="0.7" bottom="0.5" header="0" footer="0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5"/>
  <sheetViews>
    <sheetView workbookViewId="0"/>
  </sheetViews>
  <sheetFormatPr defaultColWidth="8.88671875" defaultRowHeight="15" x14ac:dyDescent="0.25"/>
  <cols>
    <col min="1" max="1" width="3.77734375" style="1" customWidth="1"/>
    <col min="2" max="2" width="8.44140625" style="1" customWidth="1"/>
    <col min="3" max="3" width="10.109375" style="1" customWidth="1"/>
    <col min="4" max="4" width="10.21875" style="1" bestFit="1" customWidth="1"/>
    <col min="5" max="7" width="9.77734375" style="1" customWidth="1"/>
    <col min="8" max="8" width="8.88671875" style="1"/>
    <col min="9" max="9" width="10.5546875" style="1" customWidth="1"/>
    <col min="10" max="10" width="9.5546875" style="1" customWidth="1"/>
    <col min="11" max="12" width="8.88671875" style="1"/>
    <col min="13" max="13" width="9.88671875" style="1" customWidth="1"/>
    <col min="14" max="14" width="10.77734375" style="1" customWidth="1"/>
    <col min="15" max="15" width="10.5546875" style="1" customWidth="1"/>
    <col min="16" max="18" width="8.88671875" style="1"/>
    <col min="19" max="19" width="6.88671875" style="1" customWidth="1"/>
    <col min="20" max="20" width="9.5546875" style="1" bestFit="1" customWidth="1"/>
    <col min="21" max="16384" width="8.88671875" style="1"/>
  </cols>
  <sheetData>
    <row r="1" spans="1:20" ht="18.75" x14ac:dyDescent="0.25">
      <c r="B1" s="32" t="s">
        <v>106</v>
      </c>
      <c r="E1" s="76"/>
      <c r="F1" s="76"/>
      <c r="G1" s="76"/>
    </row>
    <row r="2" spans="1:20" x14ac:dyDescent="0.25">
      <c r="D2" s="75"/>
      <c r="E2" s="76"/>
      <c r="F2" s="76"/>
      <c r="G2" s="76"/>
    </row>
    <row r="3" spans="1:20" x14ac:dyDescent="0.25">
      <c r="A3" s="3"/>
      <c r="B3" s="122" t="s">
        <v>54</v>
      </c>
      <c r="C3" s="19"/>
      <c r="D3" s="19"/>
      <c r="E3" s="19"/>
      <c r="F3" s="19"/>
      <c r="I3" s="122" t="s">
        <v>149</v>
      </c>
    </row>
    <row r="4" spans="1:20" x14ac:dyDescent="0.25">
      <c r="A4" s="3"/>
      <c r="B4" s="19" t="s">
        <v>56</v>
      </c>
      <c r="C4" s="19"/>
      <c r="D4" s="19">
        <v>7950</v>
      </c>
      <c r="E4" s="19"/>
      <c r="F4" s="16"/>
      <c r="I4" s="1" t="s">
        <v>150</v>
      </c>
      <c r="K4" s="3">
        <v>16735</v>
      </c>
    </row>
    <row r="5" spans="1:20" x14ac:dyDescent="0.25">
      <c r="A5" s="3"/>
      <c r="B5" s="19" t="s">
        <v>57</v>
      </c>
      <c r="C5" s="19"/>
      <c r="D5" s="19">
        <v>6711</v>
      </c>
      <c r="E5" s="19"/>
      <c r="F5" s="19"/>
      <c r="I5" s="1" t="s">
        <v>151</v>
      </c>
      <c r="K5" s="3">
        <f>ROUND(K4/10,0)</f>
        <v>1674</v>
      </c>
    </row>
    <row r="6" spans="1:20" x14ac:dyDescent="0.25">
      <c r="A6" s="3"/>
      <c r="B6" s="19" t="s">
        <v>58</v>
      </c>
      <c r="C6" s="19"/>
      <c r="D6" s="19"/>
      <c r="E6" s="19"/>
      <c r="F6" s="19"/>
      <c r="K6" s="3"/>
    </row>
    <row r="7" spans="1:20" ht="17.25" x14ac:dyDescent="0.4">
      <c r="A7" s="3"/>
      <c r="B7" s="1" t="s">
        <v>59</v>
      </c>
      <c r="C7" s="1">
        <v>0</v>
      </c>
      <c r="D7" s="19"/>
      <c r="E7" s="19"/>
      <c r="F7" s="19"/>
      <c r="H7" s="10"/>
      <c r="I7" s="1" t="s">
        <v>9</v>
      </c>
      <c r="K7" s="278">
        <f>K5-K4</f>
        <v>-15061</v>
      </c>
      <c r="M7" s="72"/>
    </row>
    <row r="8" spans="1:20" x14ac:dyDescent="0.25">
      <c r="A8" s="3"/>
      <c r="B8" s="19" t="s">
        <v>60</v>
      </c>
      <c r="C8" s="19">
        <v>0</v>
      </c>
      <c r="D8" s="19"/>
      <c r="E8" s="19"/>
      <c r="F8" s="19"/>
      <c r="R8" s="67"/>
      <c r="S8" s="67"/>
      <c r="T8" s="67"/>
    </row>
    <row r="9" spans="1:20" x14ac:dyDescent="0.25">
      <c r="A9" s="3"/>
      <c r="B9" s="19" t="s">
        <v>61</v>
      </c>
      <c r="C9" s="19">
        <v>350</v>
      </c>
      <c r="D9" s="19"/>
      <c r="E9" s="19"/>
      <c r="F9" s="19"/>
      <c r="H9" s="10"/>
      <c r="R9" s="12"/>
      <c r="T9" s="12"/>
    </row>
    <row r="10" spans="1:20" ht="17.25" x14ac:dyDescent="0.4">
      <c r="A10" s="3"/>
      <c r="B10" s="19" t="s">
        <v>62</v>
      </c>
      <c r="C10" s="24">
        <v>0</v>
      </c>
      <c r="D10" s="19"/>
      <c r="E10" s="19"/>
      <c r="F10" s="19"/>
      <c r="H10" s="10"/>
      <c r="R10" s="12"/>
      <c r="T10" s="103"/>
    </row>
    <row r="11" spans="1:20" x14ac:dyDescent="0.25">
      <c r="A11" s="3"/>
      <c r="B11" s="19"/>
      <c r="C11" s="19"/>
      <c r="D11" s="19">
        <f>SUM(C7:C10)</f>
        <v>350</v>
      </c>
      <c r="E11" s="19"/>
      <c r="F11" s="19"/>
      <c r="H11" s="10"/>
      <c r="I11" s="122" t="s">
        <v>55</v>
      </c>
      <c r="T11" s="39"/>
    </row>
    <row r="12" spans="1:20" x14ac:dyDescent="0.25">
      <c r="A12" s="3"/>
      <c r="B12" s="19"/>
      <c r="C12" s="19"/>
      <c r="D12" s="19"/>
      <c r="E12" s="19"/>
      <c r="F12" s="19"/>
      <c r="H12" s="10"/>
      <c r="S12" s="10"/>
      <c r="T12" s="153"/>
    </row>
    <row r="13" spans="1:20" x14ac:dyDescent="0.25">
      <c r="A13" s="3"/>
      <c r="B13" s="19" t="s">
        <v>63</v>
      </c>
      <c r="C13" s="19">
        <v>889</v>
      </c>
      <c r="D13" s="19"/>
      <c r="E13" s="19"/>
      <c r="F13" s="19"/>
      <c r="H13" s="10"/>
      <c r="I13" s="1" t="s">
        <v>148</v>
      </c>
      <c r="S13" s="152"/>
      <c r="T13" s="90"/>
    </row>
    <row r="14" spans="1:20" x14ac:dyDescent="0.25">
      <c r="A14" s="3"/>
      <c r="B14" s="19" t="s">
        <v>99</v>
      </c>
      <c r="C14" s="19">
        <v>0</v>
      </c>
      <c r="D14" s="19"/>
      <c r="E14" s="19"/>
      <c r="F14" s="19"/>
      <c r="H14" s="10"/>
    </row>
    <row r="15" spans="1:20" x14ac:dyDescent="0.25">
      <c r="A15" s="3"/>
      <c r="B15" s="19" t="s">
        <v>95</v>
      </c>
      <c r="C15" s="24">
        <v>0</v>
      </c>
      <c r="D15" s="19"/>
      <c r="E15" s="19"/>
      <c r="F15" s="19"/>
      <c r="R15" s="3"/>
      <c r="S15" s="73"/>
      <c r="T15" s="151"/>
    </row>
    <row r="16" spans="1:20" x14ac:dyDescent="0.25">
      <c r="A16" s="3"/>
      <c r="B16" s="19"/>
      <c r="C16" s="19"/>
      <c r="D16" s="19">
        <f>C13+C14+C15</f>
        <v>889</v>
      </c>
      <c r="E16" s="25">
        <f>D16/D4</f>
        <v>0.11182389937106918</v>
      </c>
      <c r="F16" s="19" t="s">
        <v>64</v>
      </c>
      <c r="R16" s="3"/>
      <c r="S16" s="73"/>
      <c r="T16" s="73"/>
    </row>
    <row r="17" spans="1:20" x14ac:dyDescent="0.25">
      <c r="A17" s="3"/>
      <c r="B17" s="6" t="s">
        <v>65</v>
      </c>
      <c r="C17" s="19">
        <f>SUM(D5:D16)</f>
        <v>7950</v>
      </c>
      <c r="E17" s="41">
        <v>0.15</v>
      </c>
      <c r="F17" s="19" t="s">
        <v>66</v>
      </c>
      <c r="H17" s="10"/>
      <c r="R17" s="3"/>
      <c r="S17" s="73"/>
      <c r="T17" s="73"/>
    </row>
    <row r="18" spans="1:20" x14ac:dyDescent="0.25">
      <c r="A18" s="3"/>
      <c r="B18" s="26"/>
      <c r="C18" s="19"/>
      <c r="D18" s="185" t="s">
        <v>118</v>
      </c>
      <c r="E18" s="85">
        <f>E16-E17</f>
        <v>-3.8176100628930815E-2</v>
      </c>
      <c r="F18" s="86" t="s">
        <v>67</v>
      </c>
      <c r="H18" s="10"/>
      <c r="R18" s="3"/>
      <c r="S18" s="73"/>
      <c r="T18" s="73"/>
    </row>
    <row r="19" spans="1:20" x14ac:dyDescent="0.25">
      <c r="A19" s="3"/>
      <c r="H19" s="10"/>
      <c r="R19" s="3"/>
      <c r="S19" s="73"/>
      <c r="T19" s="73"/>
    </row>
    <row r="20" spans="1:20" x14ac:dyDescent="0.25">
      <c r="A20" s="3"/>
      <c r="H20" s="10"/>
      <c r="R20" s="3"/>
      <c r="S20" s="73"/>
      <c r="T20" s="73"/>
    </row>
    <row r="21" spans="1:20" ht="17.25" x14ac:dyDescent="0.4">
      <c r="A21" s="3"/>
      <c r="R21" s="39"/>
      <c r="S21" s="73"/>
      <c r="T21" s="74"/>
    </row>
    <row r="22" spans="1:20" x14ac:dyDescent="0.25">
      <c r="A22" s="3"/>
      <c r="B22" s="72"/>
      <c r="C22" s="23"/>
      <c r="D22" s="23"/>
      <c r="E22" s="12"/>
      <c r="T22" s="68"/>
    </row>
    <row r="23" spans="1:20" x14ac:dyDescent="0.25">
      <c r="A23" s="3"/>
      <c r="B23" s="19"/>
      <c r="C23" s="23"/>
      <c r="D23" s="23"/>
      <c r="E23" s="12"/>
      <c r="H23" s="3"/>
    </row>
    <row r="24" spans="1:20" ht="17.25" x14ac:dyDescent="0.4">
      <c r="C24" s="80"/>
      <c r="D24" s="80"/>
      <c r="E24" s="80"/>
      <c r="F24" s="80"/>
      <c r="H24" s="3"/>
    </row>
    <row r="25" spans="1:20" ht="17.25" x14ac:dyDescent="0.4">
      <c r="C25" s="80"/>
      <c r="D25" s="80"/>
      <c r="E25" s="80"/>
      <c r="F25" s="80"/>
      <c r="H25" s="3"/>
      <c r="I25" s="3"/>
      <c r="J25" s="3"/>
      <c r="K25" s="3"/>
    </row>
    <row r="26" spans="1:20" x14ac:dyDescent="0.25">
      <c r="B26" s="19"/>
      <c r="C26" s="73"/>
      <c r="D26" s="81"/>
      <c r="E26" s="73"/>
      <c r="F26" s="73"/>
      <c r="H26" s="3"/>
      <c r="I26" s="3"/>
      <c r="J26" s="3"/>
      <c r="K26" s="3"/>
      <c r="O26" s="34"/>
    </row>
    <row r="27" spans="1:20" x14ac:dyDescent="0.25">
      <c r="B27" s="19"/>
      <c r="C27" s="73"/>
      <c r="D27" s="81"/>
      <c r="E27" s="73"/>
      <c r="F27" s="73"/>
      <c r="G27" s="105"/>
      <c r="H27" s="3"/>
      <c r="I27" s="3"/>
      <c r="J27" s="3"/>
      <c r="K27" s="3"/>
    </row>
    <row r="28" spans="1:20" x14ac:dyDescent="0.25">
      <c r="B28" s="19"/>
      <c r="C28" s="73"/>
      <c r="D28" s="81"/>
      <c r="E28" s="73"/>
      <c r="F28" s="73"/>
      <c r="H28" s="3"/>
      <c r="I28" s="3"/>
      <c r="J28" s="3"/>
      <c r="K28" s="3"/>
    </row>
    <row r="29" spans="1:20" x14ac:dyDescent="0.25">
      <c r="B29" s="19"/>
      <c r="C29" s="73"/>
      <c r="D29" s="81"/>
      <c r="E29" s="73"/>
      <c r="F29" s="73"/>
      <c r="G29" s="3"/>
      <c r="H29" s="3"/>
      <c r="I29" s="3"/>
      <c r="J29" s="3"/>
      <c r="K29" s="3"/>
      <c r="M29" s="105"/>
      <c r="N29" s="105"/>
    </row>
    <row r="30" spans="1:20" ht="17.25" x14ac:dyDescent="0.4">
      <c r="B30" s="19"/>
      <c r="C30" s="73"/>
      <c r="D30" s="81"/>
      <c r="E30" s="73"/>
      <c r="F30" s="74"/>
      <c r="G30" s="3"/>
      <c r="H30" s="3"/>
      <c r="I30" s="3"/>
      <c r="J30" s="3"/>
      <c r="K30" s="3"/>
      <c r="L30" s="89"/>
      <c r="M30" s="89"/>
      <c r="N30" s="89"/>
      <c r="O30" s="129"/>
    </row>
    <row r="31" spans="1:20" x14ac:dyDescent="0.25">
      <c r="B31" s="19"/>
      <c r="C31" s="73"/>
      <c r="E31" s="82"/>
      <c r="F31" s="73"/>
      <c r="H31" s="3"/>
    </row>
    <row r="32" spans="1:20" x14ac:dyDescent="0.25">
      <c r="B32" s="19"/>
      <c r="C32" s="73"/>
      <c r="E32" s="82"/>
      <c r="F32" s="73"/>
      <c r="H32" s="3"/>
    </row>
    <row r="33" spans="2:16" ht="17.25" x14ac:dyDescent="0.4">
      <c r="B33" s="19"/>
      <c r="C33" s="73"/>
      <c r="E33" s="82"/>
      <c r="F33" s="74"/>
      <c r="H33" s="3"/>
    </row>
    <row r="34" spans="2:16" x14ac:dyDescent="0.25">
      <c r="B34" s="19"/>
      <c r="C34" s="73"/>
      <c r="D34" s="87"/>
      <c r="E34" s="88"/>
      <c r="F34" s="87"/>
      <c r="H34" s="3"/>
    </row>
    <row r="35" spans="2:16" x14ac:dyDescent="0.25">
      <c r="B35" s="19"/>
      <c r="C35" s="73"/>
      <c r="D35" s="73"/>
      <c r="E35" s="73"/>
      <c r="F35" s="73"/>
      <c r="H35" s="3"/>
      <c r="P35" s="3"/>
    </row>
    <row r="36" spans="2:16" x14ac:dyDescent="0.25">
      <c r="B36" s="73"/>
      <c r="D36" s="73"/>
      <c r="E36" s="73"/>
      <c r="F36" s="73"/>
      <c r="H36" s="3"/>
      <c r="P36" s="3"/>
    </row>
    <row r="37" spans="2:16" x14ac:dyDescent="0.25">
      <c r="B37" s="19"/>
      <c r="C37" s="73"/>
      <c r="D37" s="73"/>
      <c r="E37" s="73"/>
      <c r="F37" s="73"/>
      <c r="H37" s="3"/>
      <c r="P37" s="3"/>
    </row>
    <row r="38" spans="2:16" x14ac:dyDescent="0.25">
      <c r="B38" s="19"/>
      <c r="C38" s="73"/>
      <c r="D38" s="73"/>
      <c r="E38" s="73"/>
      <c r="F38" s="73"/>
      <c r="H38" s="3"/>
    </row>
    <row r="39" spans="2:16" x14ac:dyDescent="0.25">
      <c r="E39" s="73"/>
      <c r="F39" s="73"/>
    </row>
    <row r="40" spans="2:16" x14ac:dyDescent="0.25">
      <c r="F40" s="73"/>
      <c r="G40" s="3"/>
    </row>
    <row r="41" spans="2:16" x14ac:dyDescent="0.25">
      <c r="G41" s="3"/>
    </row>
    <row r="42" spans="2:16" x14ac:dyDescent="0.25">
      <c r="G42" s="3"/>
    </row>
    <row r="43" spans="2:16" ht="17.25" x14ac:dyDescent="0.4">
      <c r="D43" s="73"/>
      <c r="F43" s="77"/>
      <c r="G43" s="3"/>
    </row>
    <row r="44" spans="2:16" x14ac:dyDescent="0.25">
      <c r="D44" s="73"/>
      <c r="E44" s="12"/>
      <c r="G44" s="3"/>
    </row>
    <row r="45" spans="2:16" x14ac:dyDescent="0.25">
      <c r="B45" s="23"/>
      <c r="C45" s="23"/>
      <c r="D45" s="73"/>
      <c r="G45" s="3"/>
    </row>
    <row r="46" spans="2:16" x14ac:dyDescent="0.25">
      <c r="B46" s="23"/>
      <c r="D46" s="73"/>
      <c r="E46" s="39"/>
      <c r="F46" s="33"/>
    </row>
    <row r="47" spans="2:16" ht="17.25" x14ac:dyDescent="0.4">
      <c r="B47" s="23"/>
      <c r="D47" s="73"/>
      <c r="F47" s="78"/>
      <c r="N47" s="3"/>
      <c r="O47" s="3"/>
    </row>
    <row r="48" spans="2:16" x14ac:dyDescent="0.25">
      <c r="B48" s="23"/>
      <c r="D48" s="73"/>
      <c r="F48" s="33"/>
      <c r="N48" s="3"/>
      <c r="O48" s="3"/>
    </row>
    <row r="49" spans="4:12" x14ac:dyDescent="0.25">
      <c r="D49" s="73"/>
      <c r="F49" s="3"/>
    </row>
    <row r="50" spans="4:12" x14ac:dyDescent="0.25">
      <c r="D50" s="73"/>
      <c r="F50" s="33"/>
      <c r="I50" s="3"/>
      <c r="J50" s="3"/>
      <c r="K50" s="3"/>
      <c r="L50" s="3"/>
    </row>
    <row r="51" spans="4:12" x14ac:dyDescent="0.25">
      <c r="D51" s="73"/>
      <c r="I51" s="3"/>
      <c r="J51" s="3"/>
      <c r="K51" s="3"/>
      <c r="L51" s="3"/>
    </row>
    <row r="52" spans="4:12" x14ac:dyDescent="0.25">
      <c r="D52" s="73"/>
      <c r="I52" s="3"/>
      <c r="J52" s="3"/>
      <c r="K52" s="3"/>
      <c r="L52" s="3"/>
    </row>
    <row r="53" spans="4:12" x14ac:dyDescent="0.25">
      <c r="D53" s="73"/>
    </row>
    <row r="60" spans="4:12" x14ac:dyDescent="0.25">
      <c r="E60" s="3"/>
      <c r="F60" s="3"/>
    </row>
    <row r="61" spans="4:12" x14ac:dyDescent="0.25">
      <c r="E61" s="3"/>
      <c r="F61" s="3"/>
    </row>
    <row r="62" spans="4:12" x14ac:dyDescent="0.25">
      <c r="E62" s="3"/>
      <c r="F62" s="3"/>
    </row>
    <row r="63" spans="4:12" x14ac:dyDescent="0.25">
      <c r="E63" s="3"/>
      <c r="F63" s="3"/>
    </row>
    <row r="64" spans="4:12" x14ac:dyDescent="0.25">
      <c r="E64" s="3"/>
      <c r="F64" s="3"/>
    </row>
    <row r="65" spans="5:6" x14ac:dyDescent="0.25">
      <c r="E65" s="3"/>
      <c r="F6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D21"/>
  <sheetViews>
    <sheetView workbookViewId="0"/>
  </sheetViews>
  <sheetFormatPr defaultColWidth="8.88671875" defaultRowHeight="15" x14ac:dyDescent="0.25"/>
  <cols>
    <col min="1" max="1" width="1.88671875" style="19" customWidth="1"/>
    <col min="2" max="2" width="1.6640625" style="19" customWidth="1"/>
    <col min="3" max="3" width="22.109375" style="19" customWidth="1"/>
    <col min="4" max="4" width="7.33203125" style="19" customWidth="1"/>
    <col min="5" max="5" width="10.44140625" style="19" customWidth="1"/>
    <col min="6" max="6" width="6.21875" style="19" customWidth="1"/>
    <col min="7" max="7" width="8.5546875" style="19" customWidth="1"/>
    <col min="8" max="8" width="6.6640625" style="19" customWidth="1"/>
    <col min="9" max="9" width="9" style="19" customWidth="1"/>
    <col min="10" max="10" width="10" style="19" customWidth="1"/>
    <col min="11" max="11" width="1.77734375" style="19" customWidth="1"/>
    <col min="12" max="12" width="2.33203125" style="19" customWidth="1"/>
    <col min="13" max="15" width="9.6640625" style="19" customWidth="1"/>
    <col min="16" max="16" width="12.21875" style="19" customWidth="1"/>
    <col min="17" max="17" width="9.6640625" style="22" customWidth="1"/>
    <col min="18" max="238" width="9.6640625" style="19" customWidth="1"/>
    <col min="239" max="16384" width="8.88671875" style="1"/>
  </cols>
  <sheetData>
    <row r="1" spans="1:19" x14ac:dyDescent="0.25">
      <c r="A1" s="1"/>
      <c r="F1" s="108"/>
      <c r="H1" s="108"/>
    </row>
    <row r="2" spans="1:19" ht="6.95" customHeight="1" x14ac:dyDescent="0.25">
      <c r="A2" s="1"/>
      <c r="B2" s="186"/>
      <c r="C2" s="28"/>
      <c r="D2" s="28"/>
      <c r="E2" s="28"/>
      <c r="F2" s="109"/>
      <c r="G2" s="28"/>
      <c r="H2" s="109"/>
      <c r="I2" s="28"/>
      <c r="J2" s="28"/>
      <c r="K2" s="29"/>
    </row>
    <row r="3" spans="1:19" ht="18.75" x14ac:dyDescent="0.3">
      <c r="A3" s="1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</row>
    <row r="4" spans="1:19" ht="18.75" x14ac:dyDescent="0.3">
      <c r="A4" s="1"/>
      <c r="B4" s="260" t="s">
        <v>0</v>
      </c>
      <c r="C4" s="261"/>
      <c r="D4" s="261"/>
      <c r="E4" s="261"/>
      <c r="F4" s="261"/>
      <c r="G4" s="261"/>
      <c r="H4" s="261"/>
      <c r="I4" s="261"/>
      <c r="J4" s="261"/>
      <c r="K4" s="262"/>
    </row>
    <row r="5" spans="1:19" ht="15" customHeight="1" x14ac:dyDescent="0.25">
      <c r="A5" s="1"/>
      <c r="B5" s="263" t="s">
        <v>106</v>
      </c>
      <c r="C5" s="264"/>
      <c r="D5" s="264"/>
      <c r="E5" s="264"/>
      <c r="F5" s="264"/>
      <c r="G5" s="264"/>
      <c r="H5" s="264"/>
      <c r="I5" s="264"/>
      <c r="J5" s="264"/>
      <c r="K5" s="265"/>
    </row>
    <row r="6" spans="1:19" ht="15" customHeight="1" x14ac:dyDescent="0.25">
      <c r="A6" s="1"/>
      <c r="B6" s="187"/>
      <c r="C6" s="70"/>
      <c r="D6" s="70"/>
      <c r="E6" s="70"/>
      <c r="F6" s="70"/>
      <c r="G6" s="70"/>
      <c r="H6" s="70"/>
      <c r="I6" s="70"/>
      <c r="J6" s="70"/>
      <c r="K6" s="110"/>
    </row>
    <row r="7" spans="1:19" ht="15" customHeight="1" x14ac:dyDescent="0.25">
      <c r="A7" s="1"/>
      <c r="B7" s="188"/>
      <c r="F7" s="111"/>
      <c r="H7" s="111"/>
      <c r="J7" s="189" t="s">
        <v>34</v>
      </c>
      <c r="K7" s="110"/>
    </row>
    <row r="8" spans="1:19" ht="15" customHeight="1" x14ac:dyDescent="0.25">
      <c r="A8" s="1"/>
      <c r="B8" s="190"/>
      <c r="C8" s="191"/>
      <c r="D8" s="191" t="s">
        <v>3</v>
      </c>
      <c r="E8" s="191" t="s">
        <v>6</v>
      </c>
      <c r="F8" s="112" t="s">
        <v>50</v>
      </c>
      <c r="G8" s="192"/>
      <c r="H8" s="112" t="s">
        <v>94</v>
      </c>
      <c r="I8" s="192"/>
      <c r="J8" s="189" t="s">
        <v>35</v>
      </c>
      <c r="K8" s="110"/>
    </row>
    <row r="9" spans="1:19" ht="15" customHeight="1" x14ac:dyDescent="0.25">
      <c r="A9" s="1"/>
      <c r="B9" s="193"/>
      <c r="C9" s="189" t="s">
        <v>1</v>
      </c>
      <c r="D9" s="189" t="s">
        <v>4</v>
      </c>
      <c r="E9" s="189" t="s">
        <v>83</v>
      </c>
      <c r="F9" s="113" t="s">
        <v>7</v>
      </c>
      <c r="G9" s="189" t="s">
        <v>8</v>
      </c>
      <c r="H9" s="113" t="s">
        <v>7</v>
      </c>
      <c r="I9" s="189" t="s">
        <v>8</v>
      </c>
      <c r="J9" s="189" t="s">
        <v>9</v>
      </c>
      <c r="K9" s="110"/>
    </row>
    <row r="10" spans="1:19" ht="15" customHeight="1" x14ac:dyDescent="0.25">
      <c r="A10" s="1"/>
      <c r="B10" s="194"/>
      <c r="D10" s="195"/>
      <c r="E10" s="39"/>
      <c r="F10" s="111"/>
      <c r="G10" s="39"/>
      <c r="H10" s="111"/>
      <c r="I10" s="39"/>
      <c r="J10" s="39"/>
      <c r="K10" s="110"/>
    </row>
    <row r="11" spans="1:19" ht="15" customHeight="1" x14ac:dyDescent="0.25">
      <c r="A11" s="1"/>
      <c r="B11" s="194"/>
      <c r="C11" s="19" t="s">
        <v>119</v>
      </c>
      <c r="D11" s="195" t="s">
        <v>5</v>
      </c>
      <c r="E11" s="196">
        <f>1100+2332</f>
        <v>3432</v>
      </c>
      <c r="F11" s="111">
        <v>20</v>
      </c>
      <c r="G11" s="196">
        <f>55+116.6</f>
        <v>171.6</v>
      </c>
      <c r="H11" s="111">
        <v>37.5</v>
      </c>
      <c r="I11" s="125">
        <f>E11/H11</f>
        <v>91.52</v>
      </c>
      <c r="J11" s="196">
        <f>I11-G11</f>
        <v>-80.08</v>
      </c>
      <c r="K11" s="110"/>
    </row>
    <row r="12" spans="1:19" ht="15" customHeight="1" x14ac:dyDescent="0.25">
      <c r="A12" s="1"/>
      <c r="B12" s="188"/>
      <c r="C12" s="19" t="s">
        <v>120</v>
      </c>
      <c r="D12" s="195">
        <v>43045</v>
      </c>
      <c r="E12" s="125">
        <v>13485</v>
      </c>
      <c r="F12" s="114">
        <v>20</v>
      </c>
      <c r="G12" s="125">
        <v>674.25</v>
      </c>
      <c r="H12" s="111">
        <v>30</v>
      </c>
      <c r="I12" s="125">
        <f t="shared" ref="I12:I16" si="0">E12/H12</f>
        <v>449.5</v>
      </c>
      <c r="J12" s="125">
        <f>I12-G12</f>
        <v>-224.75</v>
      </c>
      <c r="K12" s="110"/>
    </row>
    <row r="13" spans="1:19" ht="15" customHeight="1" x14ac:dyDescent="0.25">
      <c r="A13" s="1"/>
      <c r="B13" s="194"/>
      <c r="C13" s="19" t="s">
        <v>121</v>
      </c>
      <c r="D13" s="195">
        <v>37987</v>
      </c>
      <c r="E13" s="38">
        <v>1485</v>
      </c>
      <c r="F13" s="114">
        <v>20</v>
      </c>
      <c r="G13" s="125">
        <v>74.25</v>
      </c>
      <c r="H13" s="111">
        <v>40</v>
      </c>
      <c r="I13" s="125">
        <f t="shared" si="0"/>
        <v>37.125</v>
      </c>
      <c r="J13" s="125">
        <f t="shared" ref="J13:J16" si="1">I13-G13</f>
        <v>-37.125</v>
      </c>
      <c r="K13" s="110"/>
      <c r="P13" s="1"/>
      <c r="Q13" s="1"/>
      <c r="R13" s="1"/>
      <c r="S13" s="1"/>
    </row>
    <row r="14" spans="1:19" ht="15" customHeight="1" x14ac:dyDescent="0.25">
      <c r="A14" s="1"/>
      <c r="B14" s="197"/>
      <c r="C14" s="19" t="s">
        <v>122</v>
      </c>
      <c r="D14" s="195">
        <v>44439</v>
      </c>
      <c r="E14" s="125">
        <v>89469.48</v>
      </c>
      <c r="F14" s="114">
        <v>20</v>
      </c>
      <c r="G14" s="125">
        <v>4473.47</v>
      </c>
      <c r="H14" s="111">
        <v>20</v>
      </c>
      <c r="I14" s="125">
        <f t="shared" si="0"/>
        <v>4473.4740000000002</v>
      </c>
      <c r="J14" s="125">
        <f t="shared" si="1"/>
        <v>3.9999999999054126E-3</v>
      </c>
      <c r="K14" s="110"/>
      <c r="P14" s="1"/>
      <c r="Q14" s="1"/>
      <c r="R14" s="1"/>
      <c r="S14" s="1"/>
    </row>
    <row r="15" spans="1:19" ht="15" customHeight="1" x14ac:dyDescent="0.25">
      <c r="A15" s="1"/>
      <c r="B15" s="194"/>
      <c r="C15" s="19" t="s">
        <v>123</v>
      </c>
      <c r="D15" s="198">
        <v>35431</v>
      </c>
      <c r="E15" s="38">
        <v>178817.5</v>
      </c>
      <c r="F15" s="114">
        <v>50</v>
      </c>
      <c r="G15" s="38">
        <v>3576.35</v>
      </c>
      <c r="H15" s="111">
        <v>37.5</v>
      </c>
      <c r="I15" s="125">
        <f t="shared" si="0"/>
        <v>4768.4666666666662</v>
      </c>
      <c r="J15" s="125">
        <f t="shared" si="1"/>
        <v>1192.1166666666663</v>
      </c>
      <c r="K15" s="110"/>
      <c r="P15" s="1"/>
      <c r="Q15" s="1"/>
      <c r="R15" s="1"/>
      <c r="S15" s="1"/>
    </row>
    <row r="16" spans="1:19" ht="15" customHeight="1" x14ac:dyDescent="0.25">
      <c r="A16" s="1"/>
      <c r="B16" s="197"/>
      <c r="C16" s="19" t="s">
        <v>124</v>
      </c>
      <c r="D16" s="195" t="s">
        <v>5</v>
      </c>
      <c r="E16" s="38">
        <f>33831+23238+100896+197+61+1762</f>
        <v>159985</v>
      </c>
      <c r="F16" s="202" t="s">
        <v>125</v>
      </c>
      <c r="G16" s="38">
        <v>3199.7</v>
      </c>
      <c r="H16" s="111">
        <v>62.5</v>
      </c>
      <c r="I16" s="125">
        <f t="shared" si="0"/>
        <v>2559.7600000000002</v>
      </c>
      <c r="J16" s="125">
        <f t="shared" si="1"/>
        <v>-639.9399999999996</v>
      </c>
      <c r="K16" s="110"/>
      <c r="P16" s="1"/>
      <c r="Q16" s="1"/>
      <c r="R16" s="1"/>
      <c r="S16" s="1"/>
    </row>
    <row r="17" spans="1:13" x14ac:dyDescent="0.25">
      <c r="A17" s="1"/>
      <c r="B17" s="197"/>
      <c r="D17" s="198"/>
      <c r="E17" s="104"/>
      <c r="F17" s="114"/>
      <c r="G17" s="104"/>
      <c r="H17" s="111"/>
      <c r="I17" s="104"/>
      <c r="J17" s="104"/>
      <c r="K17" s="110"/>
    </row>
    <row r="18" spans="1:13" x14ac:dyDescent="0.25">
      <c r="A18" s="1"/>
      <c r="B18" s="188"/>
      <c r="C18" s="86" t="s">
        <v>2</v>
      </c>
      <c r="E18" s="199"/>
      <c r="F18" s="111"/>
      <c r="G18" s="200">
        <f>SUM(G11:G17)</f>
        <v>12169.619999999999</v>
      </c>
      <c r="H18" s="115"/>
      <c r="I18" s="200">
        <f>SUM(I11:I17)</f>
        <v>12379.845666666666</v>
      </c>
      <c r="J18" s="200">
        <f>SUM(J11:J17)</f>
        <v>210.22566666666671</v>
      </c>
      <c r="K18" s="110"/>
      <c r="M18" s="19">
        <f>I18-G18</f>
        <v>210.22566666666717</v>
      </c>
    </row>
    <row r="19" spans="1:13" ht="15" customHeight="1" x14ac:dyDescent="0.25">
      <c r="A19" s="1"/>
      <c r="B19" s="201"/>
      <c r="C19" s="118"/>
      <c r="D19" s="24"/>
      <c r="E19" s="119"/>
      <c r="F19" s="116"/>
      <c r="G19" s="120"/>
      <c r="H19" s="121"/>
      <c r="I19" s="120"/>
      <c r="J19" s="120"/>
      <c r="K19" s="117"/>
    </row>
    <row r="21" spans="1:13" x14ac:dyDescent="0.25">
      <c r="C21" s="19" t="s">
        <v>126</v>
      </c>
      <c r="F21" s="176"/>
    </row>
  </sheetData>
  <mergeCells count="3">
    <mergeCell ref="B3:K3"/>
    <mergeCell ref="B4:K4"/>
    <mergeCell ref="B5:K5"/>
  </mergeCells>
  <printOptions horizontalCentered="1"/>
  <pageMargins left="0.65" right="0.55000000000000004" top="1.5" bottom="0.35" header="0" footer="0"/>
  <pageSetup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S17"/>
  <sheetViews>
    <sheetView workbookViewId="0"/>
  </sheetViews>
  <sheetFormatPr defaultColWidth="8.88671875" defaultRowHeight="15.75" x14ac:dyDescent="0.25"/>
  <cols>
    <col min="1" max="1" width="3.33203125" style="20" customWidth="1"/>
    <col min="2" max="2" width="1.109375" style="20" customWidth="1"/>
    <col min="3" max="3" width="4.77734375" style="20" customWidth="1"/>
    <col min="4" max="4" width="5.88671875" style="20" customWidth="1"/>
    <col min="5" max="5" width="6" style="20" customWidth="1"/>
    <col min="6" max="6" width="7.33203125" style="20" customWidth="1"/>
    <col min="7" max="7" width="13.33203125" style="20" customWidth="1"/>
    <col min="8" max="8" width="1.21875" style="20" customWidth="1"/>
    <col min="9" max="9" width="4.77734375" style="20" customWidth="1"/>
    <col min="10" max="10" width="5.77734375" style="20" customWidth="1"/>
    <col min="11" max="11" width="6" style="20" customWidth="1"/>
    <col min="12" max="13" width="7.77734375" style="20" customWidth="1"/>
    <col min="14" max="14" width="13.33203125" style="20" customWidth="1"/>
    <col min="15" max="15" width="4.21875" style="20" customWidth="1"/>
    <col min="16" max="187" width="9.6640625" style="20" customWidth="1"/>
    <col min="188" max="16384" width="8.88671875" style="20"/>
  </cols>
  <sheetData>
    <row r="1" spans="2:19" x14ac:dyDescent="0.25">
      <c r="F1" s="107"/>
      <c r="M1" s="107"/>
    </row>
    <row r="2" spans="2:19" x14ac:dyDescent="0.25">
      <c r="B2" s="27"/>
      <c r="C2" s="63"/>
      <c r="D2" s="63"/>
      <c r="E2" s="63"/>
      <c r="F2" s="130"/>
      <c r="G2" s="63"/>
      <c r="H2" s="63"/>
      <c r="I2" s="63"/>
      <c r="J2" s="63"/>
      <c r="K2" s="63"/>
      <c r="L2" s="63"/>
      <c r="M2" s="130"/>
      <c r="N2" s="64"/>
    </row>
    <row r="3" spans="2:19" ht="18.75" x14ac:dyDescent="0.3">
      <c r="B3" s="30"/>
      <c r="C3" s="266" t="s">
        <v>167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7"/>
    </row>
    <row r="4" spans="2:19" ht="18.75" x14ac:dyDescent="0.3">
      <c r="B4" s="30"/>
      <c r="C4" s="266" t="s">
        <v>78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7"/>
    </row>
    <row r="5" spans="2:19" ht="18.75" x14ac:dyDescent="0.25">
      <c r="B5" s="30"/>
      <c r="C5" s="264" t="s">
        <v>106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5"/>
      <c r="O5" s="70"/>
      <c r="P5" s="70"/>
      <c r="Q5" s="70"/>
      <c r="R5" s="70"/>
    </row>
    <row r="6" spans="2:19" x14ac:dyDescent="0.25">
      <c r="B6" s="30"/>
      <c r="C6" s="1"/>
      <c r="D6" s="1"/>
      <c r="E6" s="1"/>
      <c r="F6" s="105"/>
      <c r="G6" s="1"/>
      <c r="H6" s="1"/>
      <c r="I6" s="1"/>
      <c r="J6" s="1"/>
      <c r="K6" s="1"/>
      <c r="L6" s="1"/>
      <c r="M6" s="105"/>
      <c r="N6" s="65"/>
    </row>
    <row r="7" spans="2:19" x14ac:dyDescent="0.25">
      <c r="B7" s="27"/>
      <c r="C7" s="63"/>
      <c r="D7" s="63"/>
      <c r="E7" s="63"/>
      <c r="F7" s="130"/>
      <c r="G7" s="64"/>
      <c r="H7" s="27"/>
      <c r="I7" s="63"/>
      <c r="J7" s="63"/>
      <c r="K7" s="63"/>
      <c r="L7" s="63"/>
      <c r="M7" s="130"/>
      <c r="N7" s="64"/>
    </row>
    <row r="8" spans="2:19" x14ac:dyDescent="0.25">
      <c r="B8" s="30"/>
      <c r="C8" s="268" t="s">
        <v>105</v>
      </c>
      <c r="D8" s="268"/>
      <c r="E8" s="268"/>
      <c r="F8" s="268"/>
      <c r="G8" s="269"/>
      <c r="H8" s="1"/>
      <c r="I8" s="268" t="s">
        <v>98</v>
      </c>
      <c r="J8" s="268"/>
      <c r="K8" s="268"/>
      <c r="L8" s="268"/>
      <c r="M8" s="268"/>
      <c r="N8" s="269"/>
      <c r="P8" s="131">
        <f>SAO!H49</f>
        <v>0.4929</v>
      </c>
      <c r="Q8" s="132" t="s">
        <v>100</v>
      </c>
    </row>
    <row r="9" spans="2:19" ht="6.95" customHeight="1" x14ac:dyDescent="0.25">
      <c r="B9" s="30"/>
      <c r="C9" s="1"/>
      <c r="D9" s="1"/>
      <c r="E9" s="1"/>
      <c r="F9" s="105"/>
      <c r="G9" s="65"/>
      <c r="H9" s="1"/>
      <c r="I9" s="1"/>
      <c r="J9" s="1"/>
      <c r="K9" s="1"/>
      <c r="L9" s="1"/>
      <c r="M9" s="105"/>
      <c r="N9" s="65"/>
    </row>
    <row r="10" spans="2:19" ht="18" x14ac:dyDescent="0.4">
      <c r="B10" s="30"/>
      <c r="C10" s="8" t="s">
        <v>117</v>
      </c>
      <c r="D10" s="1"/>
      <c r="E10" s="1"/>
      <c r="F10" s="105"/>
      <c r="G10" s="65"/>
      <c r="H10" s="1"/>
      <c r="I10" s="8" t="str">
        <f>C10</f>
        <v>All Meter Sizes</v>
      </c>
      <c r="J10" s="1"/>
      <c r="K10" s="1" t="s">
        <v>161</v>
      </c>
      <c r="L10" s="226" t="s">
        <v>160</v>
      </c>
      <c r="M10" s="226" t="s">
        <v>159</v>
      </c>
      <c r="N10" s="65"/>
    </row>
    <row r="11" spans="2:19" x14ac:dyDescent="0.25">
      <c r="B11" s="30"/>
      <c r="C11" s="10" t="s">
        <v>70</v>
      </c>
      <c r="D11" s="133">
        <v>2000</v>
      </c>
      <c r="E11" s="1" t="s">
        <v>73</v>
      </c>
      <c r="F11" s="134">
        <v>15.72</v>
      </c>
      <c r="G11" s="65" t="s">
        <v>74</v>
      </c>
      <c r="H11" s="1"/>
      <c r="I11" s="10" t="s">
        <v>70</v>
      </c>
      <c r="J11" s="133">
        <f>D11</f>
        <v>2000</v>
      </c>
      <c r="K11" s="1" t="s">
        <v>73</v>
      </c>
      <c r="L11" s="134">
        <f>(M11+F11)/2</f>
        <v>19.594999999999999</v>
      </c>
      <c r="M11" s="134">
        <f>ROUND(F11*(1+$P$8),2)</f>
        <v>23.47</v>
      </c>
      <c r="N11" s="65" t="s">
        <v>74</v>
      </c>
      <c r="P11" s="135">
        <f>(M11-F11)/F11</f>
        <v>0.49300254452926195</v>
      </c>
      <c r="R11" s="91">
        <f>M11-F11</f>
        <v>7.7499999999999982</v>
      </c>
    </row>
    <row r="12" spans="2:19" x14ac:dyDescent="0.25">
      <c r="B12" s="30"/>
      <c r="C12" s="10" t="s">
        <v>101</v>
      </c>
      <c r="D12" s="133">
        <v>3000</v>
      </c>
      <c r="E12" s="1" t="s">
        <v>73</v>
      </c>
      <c r="F12" s="136">
        <v>4.47</v>
      </c>
      <c r="G12" s="65" t="s">
        <v>75</v>
      </c>
      <c r="H12" s="1"/>
      <c r="I12" s="10" t="s">
        <v>101</v>
      </c>
      <c r="J12" s="133">
        <f t="shared" ref="J12:J13" si="0">D12</f>
        <v>3000</v>
      </c>
      <c r="K12" s="1" t="s">
        <v>73</v>
      </c>
      <c r="L12" s="136">
        <f t="shared" ref="L12:L13" si="1">(M12+F12)/2</f>
        <v>5.57</v>
      </c>
      <c r="M12" s="136">
        <f>ROUND(F12*(1+$P$8),2)</f>
        <v>6.67</v>
      </c>
      <c r="N12" s="65" t="s">
        <v>75</v>
      </c>
      <c r="P12" s="135">
        <f>(M12-F12)/F12</f>
        <v>0.4921700223713647</v>
      </c>
      <c r="R12" s="137">
        <f>M12-F12</f>
        <v>2.2000000000000002</v>
      </c>
    </row>
    <row r="13" spans="2:19" x14ac:dyDescent="0.25">
      <c r="B13" s="30"/>
      <c r="C13" s="10" t="s">
        <v>71</v>
      </c>
      <c r="D13" s="133">
        <v>5000</v>
      </c>
      <c r="E13" s="1" t="s">
        <v>73</v>
      </c>
      <c r="F13" s="136">
        <v>3.12</v>
      </c>
      <c r="G13" s="65" t="s">
        <v>75</v>
      </c>
      <c r="H13" s="1"/>
      <c r="I13" s="10" t="s">
        <v>101</v>
      </c>
      <c r="J13" s="133">
        <f t="shared" si="0"/>
        <v>5000</v>
      </c>
      <c r="K13" s="1" t="s">
        <v>73</v>
      </c>
      <c r="L13" s="136">
        <f t="shared" si="1"/>
        <v>3.89</v>
      </c>
      <c r="M13" s="136">
        <f>ROUND(F13*(1+$P$8),2)</f>
        <v>4.66</v>
      </c>
      <c r="N13" s="65" t="s">
        <v>75</v>
      </c>
      <c r="P13" s="135">
        <f>(M13-F13)/F13</f>
        <v>0.49358974358974356</v>
      </c>
      <c r="R13" s="137">
        <f>M13-F13</f>
        <v>1.54</v>
      </c>
    </row>
    <row r="14" spans="2:19" x14ac:dyDescent="0.25">
      <c r="B14" s="31"/>
      <c r="C14" s="138"/>
      <c r="D14" s="17"/>
      <c r="E14" s="17"/>
      <c r="F14" s="139"/>
      <c r="G14" s="66"/>
      <c r="H14" s="17"/>
      <c r="I14" s="17"/>
      <c r="J14" s="17"/>
      <c r="K14" s="17"/>
      <c r="L14" s="17"/>
      <c r="M14" s="139"/>
      <c r="N14" s="66"/>
    </row>
    <row r="15" spans="2:19" x14ac:dyDescent="0.25">
      <c r="C15" s="140"/>
      <c r="F15" s="107"/>
      <c r="M15" s="107"/>
    </row>
    <row r="16" spans="2:19" x14ac:dyDescent="0.25">
      <c r="C16" s="140"/>
      <c r="F16" s="107"/>
      <c r="M16" s="107"/>
      <c r="Q16" s="141"/>
      <c r="R16" s="1"/>
      <c r="S16" s="68"/>
    </row>
    <row r="17" spans="3:19" x14ac:dyDescent="0.25">
      <c r="C17" s="140"/>
      <c r="F17" s="107"/>
      <c r="M17" s="107"/>
      <c r="Q17" s="141"/>
      <c r="R17" s="1"/>
      <c r="S17" s="142"/>
    </row>
  </sheetData>
  <mergeCells count="5">
    <mergeCell ref="C3:N3"/>
    <mergeCell ref="C8:G8"/>
    <mergeCell ref="I8:N8"/>
    <mergeCell ref="C4:N4"/>
    <mergeCell ref="C5:N5"/>
  </mergeCells>
  <printOptions horizontalCentered="1"/>
  <pageMargins left="0.55000000000000004" right="0.45" top="1.7" bottom="0.5" header="0" footer="0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3"/>
  <sheetViews>
    <sheetView workbookViewId="0"/>
  </sheetViews>
  <sheetFormatPr defaultRowHeight="15" x14ac:dyDescent="0.2"/>
  <cols>
    <col min="2" max="2" width="1.77734375" customWidth="1"/>
    <col min="3" max="3" width="10.21875" customWidth="1"/>
    <col min="4" max="4" width="8.21875" customWidth="1"/>
    <col min="5" max="8" width="7.77734375" customWidth="1"/>
    <col min="9" max="9" width="1.77734375" customWidth="1"/>
  </cols>
  <sheetData>
    <row r="1" spans="1:15" ht="15.7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20"/>
      <c r="B3" s="57"/>
      <c r="C3" s="58"/>
      <c r="D3" s="58"/>
      <c r="E3" s="58"/>
      <c r="F3" s="58"/>
      <c r="G3" s="58"/>
      <c r="H3" s="58"/>
      <c r="I3" s="59"/>
      <c r="J3" s="20"/>
      <c r="K3" s="20"/>
      <c r="L3" s="20"/>
      <c r="M3" s="20"/>
      <c r="N3" s="20"/>
      <c r="O3" s="20"/>
    </row>
    <row r="4" spans="1:15" ht="18.75" x14ac:dyDescent="0.3">
      <c r="A4" s="20"/>
      <c r="B4" s="56"/>
      <c r="C4" s="266" t="s">
        <v>85</v>
      </c>
      <c r="D4" s="266"/>
      <c r="E4" s="266"/>
      <c r="F4" s="266"/>
      <c r="G4" s="266"/>
      <c r="H4" s="266"/>
      <c r="I4" s="60"/>
      <c r="J4" s="20"/>
      <c r="K4" s="20"/>
      <c r="L4" s="107"/>
      <c r="M4" s="20"/>
      <c r="N4" s="20"/>
      <c r="O4" s="20"/>
    </row>
    <row r="5" spans="1:15" ht="18.75" x14ac:dyDescent="0.3">
      <c r="A5" s="20"/>
      <c r="B5" s="56"/>
      <c r="C5" s="266" t="s">
        <v>79</v>
      </c>
      <c r="D5" s="266"/>
      <c r="E5" s="266"/>
      <c r="F5" s="266"/>
      <c r="G5" s="266"/>
      <c r="H5" s="266"/>
      <c r="I5" s="60"/>
      <c r="J5" s="20"/>
      <c r="K5" s="20"/>
      <c r="L5" s="20"/>
      <c r="M5" s="20"/>
      <c r="N5" s="20"/>
      <c r="O5" s="20"/>
    </row>
    <row r="6" spans="1:15" ht="18.75" x14ac:dyDescent="0.25">
      <c r="A6" s="20"/>
      <c r="B6" s="56"/>
      <c r="C6" s="264" t="s">
        <v>106</v>
      </c>
      <c r="D6" s="264"/>
      <c r="E6" s="264"/>
      <c r="F6" s="264"/>
      <c r="G6" s="264"/>
      <c r="H6" s="264"/>
      <c r="I6" s="128"/>
      <c r="J6" s="70"/>
      <c r="K6" s="70"/>
      <c r="L6" s="70"/>
      <c r="M6" s="70"/>
      <c r="N6" s="70"/>
      <c r="O6" s="20"/>
    </row>
    <row r="7" spans="1:15" ht="15.75" x14ac:dyDescent="0.25">
      <c r="A7" s="20"/>
      <c r="B7" s="61"/>
      <c r="C7" s="62"/>
      <c r="D7" s="62"/>
      <c r="E7" s="20"/>
      <c r="F7" s="20"/>
      <c r="G7" s="20"/>
      <c r="H7" s="20"/>
      <c r="I7" s="60"/>
      <c r="J7" s="20"/>
      <c r="K7" s="20"/>
      <c r="L7" s="20"/>
      <c r="M7" s="20"/>
      <c r="N7" s="20"/>
      <c r="O7" s="20"/>
    </row>
    <row r="8" spans="1:15" ht="15.75" x14ac:dyDescent="0.25">
      <c r="B8" s="42"/>
      <c r="C8" s="43"/>
      <c r="D8" s="92"/>
      <c r="E8" s="42"/>
      <c r="F8" s="43"/>
      <c r="G8" s="43"/>
      <c r="H8" s="43"/>
      <c r="I8" s="44"/>
    </row>
    <row r="9" spans="1:15" ht="18" x14ac:dyDescent="0.4">
      <c r="B9" s="45"/>
      <c r="D9" s="229"/>
      <c r="E9" s="270" t="s">
        <v>97</v>
      </c>
      <c r="F9" s="271"/>
      <c r="G9" s="271"/>
      <c r="H9" s="271"/>
      <c r="I9" s="49"/>
    </row>
    <row r="10" spans="1:15" ht="18" x14ac:dyDescent="0.4">
      <c r="B10" s="45"/>
      <c r="C10" s="48" t="s">
        <v>76</v>
      </c>
      <c r="D10" s="93" t="s">
        <v>51</v>
      </c>
      <c r="E10" s="270" t="s">
        <v>160</v>
      </c>
      <c r="F10" s="271"/>
      <c r="G10" s="270" t="s">
        <v>159</v>
      </c>
      <c r="H10" s="271"/>
      <c r="I10" s="49"/>
      <c r="J10" s="1"/>
      <c r="K10" s="1"/>
      <c r="L10" s="1"/>
      <c r="M10" s="1"/>
      <c r="N10" s="1"/>
    </row>
    <row r="11" spans="1:15" ht="18" x14ac:dyDescent="0.4">
      <c r="B11" s="45"/>
      <c r="C11" s="48" t="s">
        <v>84</v>
      </c>
      <c r="D11" s="93" t="s">
        <v>77</v>
      </c>
      <c r="E11" s="100" t="s">
        <v>77</v>
      </c>
      <c r="F11" s="100" t="s">
        <v>52</v>
      </c>
      <c r="G11" s="99" t="s">
        <v>77</v>
      </c>
      <c r="H11" s="100" t="s">
        <v>52</v>
      </c>
      <c r="I11" s="98"/>
      <c r="J11" s="1"/>
      <c r="K11" s="1"/>
      <c r="L11" s="1"/>
      <c r="M11" s="1"/>
      <c r="N11" s="1"/>
    </row>
    <row r="12" spans="1:15" ht="18" x14ac:dyDescent="0.4">
      <c r="B12" s="45"/>
      <c r="C12" s="48"/>
      <c r="D12" s="93"/>
      <c r="E12" s="50"/>
      <c r="F12" s="48"/>
      <c r="G12" s="50"/>
      <c r="H12" s="48"/>
      <c r="I12" s="49"/>
      <c r="J12" s="1"/>
      <c r="K12" s="1"/>
      <c r="L12" s="1"/>
      <c r="M12" s="1"/>
      <c r="N12" s="1"/>
    </row>
    <row r="13" spans="1:15" ht="15.75" x14ac:dyDescent="0.25">
      <c r="B13" s="45"/>
      <c r="C13" s="38">
        <v>2000</v>
      </c>
      <c r="D13" s="94">
        <f>Rates!F11</f>
        <v>15.72</v>
      </c>
      <c r="E13" s="5">
        <f>Rates!L11</f>
        <v>19.594999999999999</v>
      </c>
      <c r="F13" s="4">
        <f>E13-D13</f>
        <v>3.8749999999999982</v>
      </c>
      <c r="G13" s="5">
        <f>Rates!M11</f>
        <v>23.47</v>
      </c>
      <c r="H13" s="4">
        <f>G13-E13</f>
        <v>3.875</v>
      </c>
      <c r="I13" s="52"/>
      <c r="J13" s="1"/>
      <c r="K13" s="124">
        <f>F13/D13</f>
        <v>0.24650127226463092</v>
      </c>
      <c r="L13" s="124">
        <f>H13/E13</f>
        <v>0.19775452921663692</v>
      </c>
      <c r="M13" s="1"/>
      <c r="N13" s="1"/>
    </row>
    <row r="14" spans="1:15" ht="15.75" x14ac:dyDescent="0.25">
      <c r="B14" s="45"/>
      <c r="C14" s="53">
        <v>4000</v>
      </c>
      <c r="D14" s="95">
        <f>ROUND(Rates!F11+2*Rates!F12,2)</f>
        <v>24.66</v>
      </c>
      <c r="E14" s="54">
        <f>ROUND(E13+2*Rates!L12,2)</f>
        <v>30.74</v>
      </c>
      <c r="F14" s="227">
        <f t="shared" ref="F14:F18" si="0">E14-D14</f>
        <v>6.0799999999999983</v>
      </c>
      <c r="G14" s="54">
        <f>ROUND(Rates!M11+2*Rates!M12,2)</f>
        <v>36.81</v>
      </c>
      <c r="H14" s="123">
        <f t="shared" ref="H14:H18" si="1">G14-E14</f>
        <v>6.0700000000000038</v>
      </c>
      <c r="I14" s="52"/>
      <c r="J14" s="1"/>
      <c r="K14" s="124">
        <f t="shared" ref="K14:K18" si="2">F14/D14</f>
        <v>0.24655312246553115</v>
      </c>
      <c r="L14" s="124">
        <f>ROUND(H14/E14,4)</f>
        <v>0.19750000000000001</v>
      </c>
      <c r="M14" s="1"/>
      <c r="N14" s="1"/>
    </row>
    <row r="15" spans="1:15" ht="15.75" x14ac:dyDescent="0.25">
      <c r="B15" s="45"/>
      <c r="C15" s="38">
        <v>6000</v>
      </c>
      <c r="D15" s="96">
        <f>D14+Rates!F12+Rates!F13</f>
        <v>32.25</v>
      </c>
      <c r="E15" s="51">
        <f>E14+Rates!L12+Rates!L13</f>
        <v>40.200000000000003</v>
      </c>
      <c r="F15" s="228">
        <f t="shared" si="0"/>
        <v>7.9500000000000028</v>
      </c>
      <c r="G15" s="51">
        <f>G14+Rates!M12+Rates!M13</f>
        <v>48.14</v>
      </c>
      <c r="H15" s="84">
        <f t="shared" si="1"/>
        <v>7.9399999999999977</v>
      </c>
      <c r="I15" s="52"/>
      <c r="J15" s="1"/>
      <c r="K15" s="124">
        <f t="shared" si="2"/>
        <v>0.24651162790697684</v>
      </c>
      <c r="L15" s="124">
        <f t="shared" ref="L15:L18" si="3">H15/E15</f>
        <v>0.19751243781094521</v>
      </c>
      <c r="M15" s="1"/>
      <c r="N15" s="1"/>
    </row>
    <row r="16" spans="1:15" ht="15.75" x14ac:dyDescent="0.25">
      <c r="B16" s="45"/>
      <c r="C16" s="38">
        <v>8000</v>
      </c>
      <c r="D16" s="96">
        <f>D15+2*Rates!F13</f>
        <v>38.49</v>
      </c>
      <c r="E16" s="51">
        <f>E15+2*Rates!L13</f>
        <v>47.980000000000004</v>
      </c>
      <c r="F16" s="228">
        <f t="shared" si="0"/>
        <v>9.490000000000002</v>
      </c>
      <c r="G16" s="51">
        <f>G15+2*Rates!M13</f>
        <v>57.46</v>
      </c>
      <c r="H16" s="84">
        <f t="shared" si="1"/>
        <v>9.4799999999999969</v>
      </c>
      <c r="I16" s="52"/>
      <c r="J16" s="1"/>
      <c r="K16" s="124">
        <f t="shared" si="2"/>
        <v>0.24655754741491301</v>
      </c>
      <c r="L16" s="124">
        <f t="shared" si="3"/>
        <v>0.19758232596915373</v>
      </c>
      <c r="M16" s="1"/>
      <c r="N16" s="1"/>
    </row>
    <row r="17" spans="2:14" ht="15.75" x14ac:dyDescent="0.25">
      <c r="B17" s="45"/>
      <c r="C17" s="38">
        <v>10000</v>
      </c>
      <c r="D17" s="96">
        <f>D16+2*Rates!F13</f>
        <v>44.730000000000004</v>
      </c>
      <c r="E17" s="51">
        <f>E16+2*Rates!L13</f>
        <v>55.760000000000005</v>
      </c>
      <c r="F17" s="228">
        <f t="shared" si="0"/>
        <v>11.030000000000001</v>
      </c>
      <c r="G17" s="51">
        <f>G16+2*Rates!M13</f>
        <v>66.78</v>
      </c>
      <c r="H17" s="84">
        <f t="shared" si="1"/>
        <v>11.019999999999996</v>
      </c>
      <c r="I17" s="52"/>
      <c r="J17" s="1"/>
      <c r="K17" s="124">
        <f t="shared" si="2"/>
        <v>0.24659065504135927</v>
      </c>
      <c r="L17" s="124">
        <f t="shared" si="3"/>
        <v>0.19763271162123378</v>
      </c>
      <c r="M17" s="1"/>
      <c r="N17" s="1"/>
    </row>
    <row r="18" spans="2:14" ht="15.75" x14ac:dyDescent="0.25">
      <c r="B18" s="45"/>
      <c r="C18" s="38">
        <v>15000</v>
      </c>
      <c r="D18" s="96">
        <f>D17+5*Rates!F13</f>
        <v>60.330000000000005</v>
      </c>
      <c r="E18" s="51">
        <f>E17+5*Rates!L13</f>
        <v>75.210000000000008</v>
      </c>
      <c r="F18" s="228">
        <f t="shared" si="0"/>
        <v>14.880000000000003</v>
      </c>
      <c r="G18" s="51">
        <f>G17+5*Rates!M13</f>
        <v>90.08</v>
      </c>
      <c r="H18" s="84">
        <f t="shared" si="1"/>
        <v>14.86999999999999</v>
      </c>
      <c r="I18" s="52"/>
      <c r="J18" s="1"/>
      <c r="K18" s="124">
        <f t="shared" si="2"/>
        <v>0.24664346096469419</v>
      </c>
      <c r="L18" s="124">
        <f t="shared" si="3"/>
        <v>0.1977130700704692</v>
      </c>
      <c r="M18" s="1"/>
      <c r="N18" s="1"/>
    </row>
    <row r="19" spans="2:14" ht="15.75" x14ac:dyDescent="0.25">
      <c r="B19" s="46"/>
      <c r="C19" s="14"/>
      <c r="D19" s="97"/>
      <c r="E19" s="55"/>
      <c r="F19" s="18"/>
      <c r="G19" s="18"/>
      <c r="H19" s="18"/>
      <c r="I19" s="47"/>
      <c r="J19" s="1"/>
      <c r="K19" s="1"/>
      <c r="L19" s="1"/>
      <c r="M19" s="1"/>
      <c r="N19" s="1"/>
    </row>
    <row r="20" spans="2:14" ht="15.75" x14ac:dyDescent="0.25">
      <c r="J20" s="1"/>
      <c r="K20" s="1"/>
      <c r="L20" s="1"/>
      <c r="M20" s="1"/>
      <c r="N20" s="1"/>
    </row>
    <row r="21" spans="2:14" ht="15.75" x14ac:dyDescent="0.25">
      <c r="C21" s="127" t="s">
        <v>158</v>
      </c>
      <c r="J21" s="1"/>
      <c r="K21" s="1"/>
      <c r="L21" s="1"/>
      <c r="M21" s="1"/>
      <c r="N21" s="1"/>
    </row>
    <row r="22" spans="2:14" ht="15.75" x14ac:dyDescent="0.25">
      <c r="J22" s="1"/>
      <c r="K22" s="1"/>
      <c r="L22" s="1"/>
      <c r="M22" s="1"/>
      <c r="N22" s="1"/>
    </row>
    <row r="23" spans="2:14" ht="15.75" x14ac:dyDescent="0.25">
      <c r="J23" s="1"/>
      <c r="K23" s="1"/>
      <c r="L23" s="1"/>
      <c r="M23" s="1"/>
      <c r="N23" s="1"/>
    </row>
  </sheetData>
  <mergeCells count="6">
    <mergeCell ref="E10:F10"/>
    <mergeCell ref="G10:H10"/>
    <mergeCell ref="C4:H4"/>
    <mergeCell ref="C5:H5"/>
    <mergeCell ref="C6:H6"/>
    <mergeCell ref="E9:H9"/>
  </mergeCells>
  <printOptions horizontalCentered="1"/>
  <pageMargins left="0.7" right="0.7" top="1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AC1D9-A89D-409E-95B8-D06FFE096741}">
  <dimension ref="A2:R13"/>
  <sheetViews>
    <sheetView workbookViewId="0"/>
  </sheetViews>
  <sheetFormatPr defaultColWidth="8.88671875" defaultRowHeight="15" x14ac:dyDescent="0.25"/>
  <cols>
    <col min="1" max="16384" width="8.88671875" style="3"/>
  </cols>
  <sheetData>
    <row r="2" spans="1:18" ht="17.25" x14ac:dyDescent="0.4">
      <c r="A2" s="221"/>
      <c r="B2" s="221" t="s">
        <v>132</v>
      </c>
      <c r="C2" s="221" t="s">
        <v>133</v>
      </c>
      <c r="D2" s="221" t="s">
        <v>134</v>
      </c>
      <c r="E2" s="221" t="s">
        <v>135</v>
      </c>
      <c r="F2" s="221" t="s">
        <v>136</v>
      </c>
      <c r="G2" s="221" t="s">
        <v>137</v>
      </c>
      <c r="H2" s="221" t="s">
        <v>138</v>
      </c>
      <c r="I2" s="221" t="s">
        <v>139</v>
      </c>
      <c r="J2" s="221" t="s">
        <v>140</v>
      </c>
      <c r="K2" s="221" t="s">
        <v>141</v>
      </c>
      <c r="L2" s="221" t="s">
        <v>142</v>
      </c>
      <c r="M2" s="221" t="s">
        <v>143</v>
      </c>
      <c r="N2" s="221" t="s">
        <v>36</v>
      </c>
    </row>
    <row r="3" spans="1:18" ht="17.25" x14ac:dyDescent="0.4">
      <c r="A3" s="221" t="s">
        <v>144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8" x14ac:dyDescent="0.25">
      <c r="A4" s="220" t="s">
        <v>129</v>
      </c>
      <c r="B4" s="3">
        <v>89840</v>
      </c>
      <c r="C4" s="3">
        <v>37720</v>
      </c>
      <c r="D4" s="3">
        <v>46370</v>
      </c>
      <c r="E4" s="3">
        <v>45240</v>
      </c>
      <c r="F4" s="3">
        <v>45150</v>
      </c>
      <c r="G4" s="3">
        <v>56460</v>
      </c>
      <c r="H4" s="3">
        <v>44750</v>
      </c>
      <c r="I4" s="3">
        <v>38520</v>
      </c>
      <c r="J4" s="3">
        <v>31950</v>
      </c>
      <c r="K4" s="3">
        <v>33780</v>
      </c>
      <c r="L4" s="3">
        <v>44350</v>
      </c>
      <c r="M4" s="3">
        <v>39550</v>
      </c>
      <c r="N4" s="3">
        <f>SUM(B4:M4)</f>
        <v>553680</v>
      </c>
    </row>
    <row r="5" spans="1:18" x14ac:dyDescent="0.25">
      <c r="A5" s="220" t="s">
        <v>130</v>
      </c>
      <c r="B5" s="3">
        <v>183050</v>
      </c>
      <c r="C5" s="3">
        <v>181080</v>
      </c>
      <c r="D5" s="3">
        <v>240280</v>
      </c>
      <c r="E5" s="3">
        <v>250760</v>
      </c>
      <c r="F5" s="3">
        <v>224120</v>
      </c>
      <c r="G5" s="3">
        <v>207510</v>
      </c>
      <c r="H5" s="3">
        <v>199130</v>
      </c>
      <c r="I5" s="3">
        <v>216110</v>
      </c>
      <c r="J5" s="3">
        <v>241640</v>
      </c>
      <c r="K5" s="3">
        <v>240380</v>
      </c>
      <c r="L5" s="3">
        <v>249370</v>
      </c>
      <c r="M5" s="3">
        <v>234600</v>
      </c>
      <c r="N5" s="3">
        <f t="shared" ref="N5:N6" si="0">SUM(B5:M5)</f>
        <v>2668030</v>
      </c>
    </row>
    <row r="6" spans="1:18" x14ac:dyDescent="0.25">
      <c r="A6" s="3" t="s">
        <v>131</v>
      </c>
      <c r="B6" s="3">
        <v>296100</v>
      </c>
      <c r="C6" s="3">
        <v>483640</v>
      </c>
      <c r="D6" s="3">
        <v>288730</v>
      </c>
      <c r="E6" s="3">
        <v>173870</v>
      </c>
      <c r="F6" s="3">
        <v>236620</v>
      </c>
      <c r="G6" s="3">
        <v>213690</v>
      </c>
      <c r="H6" s="3">
        <v>429880</v>
      </c>
      <c r="I6" s="3">
        <v>414920</v>
      </c>
      <c r="J6" s="3">
        <v>380150</v>
      </c>
      <c r="K6" s="3">
        <v>349410</v>
      </c>
      <c r="L6" s="3">
        <v>262390</v>
      </c>
      <c r="M6" s="3">
        <v>303180</v>
      </c>
      <c r="N6" s="3">
        <f t="shared" si="0"/>
        <v>3832580</v>
      </c>
    </row>
    <row r="7" spans="1:18" x14ac:dyDescent="0.25">
      <c r="A7" s="3" t="s">
        <v>36</v>
      </c>
      <c r="B7" s="3">
        <f>SUM(B4:B6)</f>
        <v>568990</v>
      </c>
      <c r="C7" s="3">
        <f t="shared" ref="C7:N7" si="1">SUM(C4:C6)</f>
        <v>702440</v>
      </c>
      <c r="D7" s="3">
        <f t="shared" si="1"/>
        <v>575380</v>
      </c>
      <c r="E7" s="3">
        <f t="shared" si="1"/>
        <v>469870</v>
      </c>
      <c r="F7" s="3">
        <f t="shared" si="1"/>
        <v>505890</v>
      </c>
      <c r="G7" s="3">
        <f t="shared" si="1"/>
        <v>477660</v>
      </c>
      <c r="H7" s="3">
        <f t="shared" si="1"/>
        <v>673760</v>
      </c>
      <c r="I7" s="3">
        <f t="shared" si="1"/>
        <v>669550</v>
      </c>
      <c r="J7" s="3">
        <f t="shared" si="1"/>
        <v>653740</v>
      </c>
      <c r="K7" s="3">
        <f t="shared" si="1"/>
        <v>623570</v>
      </c>
      <c r="L7" s="3">
        <f t="shared" si="1"/>
        <v>556110</v>
      </c>
      <c r="M7" s="3">
        <f t="shared" si="1"/>
        <v>577330</v>
      </c>
      <c r="N7" s="3">
        <f t="shared" si="1"/>
        <v>7054290</v>
      </c>
    </row>
    <row r="8" spans="1:18" x14ac:dyDescent="0.25">
      <c r="R8" s="81"/>
    </row>
    <row r="9" spans="1:18" ht="17.25" x14ac:dyDescent="0.4">
      <c r="A9" s="221" t="s">
        <v>145</v>
      </c>
    </row>
    <row r="10" spans="1:18" x14ac:dyDescent="0.25">
      <c r="A10" s="220" t="s">
        <v>129</v>
      </c>
      <c r="B10" s="3">
        <v>74</v>
      </c>
      <c r="C10" s="3">
        <v>55</v>
      </c>
      <c r="D10" s="3">
        <v>62</v>
      </c>
      <c r="E10" s="3">
        <v>58</v>
      </c>
      <c r="F10" s="3">
        <v>57</v>
      </c>
      <c r="G10" s="3">
        <v>69</v>
      </c>
      <c r="H10" s="3">
        <v>48</v>
      </c>
      <c r="I10" s="3">
        <v>47</v>
      </c>
      <c r="J10" s="3">
        <v>42</v>
      </c>
      <c r="K10" s="3">
        <v>45</v>
      </c>
      <c r="L10" s="3">
        <v>51</v>
      </c>
      <c r="M10" s="3">
        <v>47</v>
      </c>
      <c r="N10" s="3">
        <f>SUM(B10:M10)</f>
        <v>655</v>
      </c>
    </row>
    <row r="11" spans="1:18" x14ac:dyDescent="0.25">
      <c r="A11" s="220" t="s">
        <v>130</v>
      </c>
      <c r="B11" s="3">
        <v>55</v>
      </c>
      <c r="C11" s="3">
        <v>53</v>
      </c>
      <c r="D11" s="3">
        <v>74</v>
      </c>
      <c r="E11" s="3">
        <v>76</v>
      </c>
      <c r="F11" s="3">
        <v>66</v>
      </c>
      <c r="G11" s="3">
        <v>62</v>
      </c>
      <c r="H11" s="3">
        <v>63</v>
      </c>
      <c r="I11" s="3">
        <v>64</v>
      </c>
      <c r="J11" s="3">
        <v>73</v>
      </c>
      <c r="K11" s="3">
        <v>71</v>
      </c>
      <c r="L11" s="3">
        <v>75</v>
      </c>
      <c r="M11" s="3">
        <v>69</v>
      </c>
      <c r="N11" s="3">
        <f t="shared" ref="N11:N12" si="2">SUM(B11:M11)</f>
        <v>801</v>
      </c>
    </row>
    <row r="12" spans="1:18" x14ac:dyDescent="0.25">
      <c r="A12" s="3" t="s">
        <v>131</v>
      </c>
      <c r="B12" s="3">
        <v>29</v>
      </c>
      <c r="C12" s="3">
        <v>49</v>
      </c>
      <c r="D12" s="3">
        <v>20</v>
      </c>
      <c r="E12" s="3">
        <v>22</v>
      </c>
      <c r="F12" s="3">
        <v>30</v>
      </c>
      <c r="G12" s="3">
        <v>27</v>
      </c>
      <c r="H12" s="3">
        <v>46</v>
      </c>
      <c r="I12" s="3">
        <v>45</v>
      </c>
      <c r="J12" s="3">
        <v>40</v>
      </c>
      <c r="K12" s="3">
        <v>39</v>
      </c>
      <c r="L12" s="3">
        <v>29</v>
      </c>
      <c r="M12" s="3">
        <v>39</v>
      </c>
      <c r="N12" s="3">
        <f t="shared" si="2"/>
        <v>415</v>
      </c>
    </row>
    <row r="13" spans="1:18" x14ac:dyDescent="0.25">
      <c r="A13" s="3" t="s">
        <v>36</v>
      </c>
      <c r="B13" s="3">
        <f>SUM(B10:B12)</f>
        <v>158</v>
      </c>
      <c r="C13" s="3">
        <f t="shared" ref="C13" si="3">SUM(C10:C12)</f>
        <v>157</v>
      </c>
      <c r="D13" s="3">
        <f t="shared" ref="D13" si="4">SUM(D10:D12)</f>
        <v>156</v>
      </c>
      <c r="E13" s="3">
        <f t="shared" ref="E13" si="5">SUM(E10:E12)</f>
        <v>156</v>
      </c>
      <c r="F13" s="3">
        <f t="shared" ref="F13" si="6">SUM(F10:F12)</f>
        <v>153</v>
      </c>
      <c r="G13" s="3">
        <f t="shared" ref="G13" si="7">SUM(G10:G12)</f>
        <v>158</v>
      </c>
      <c r="H13" s="3">
        <f t="shared" ref="H13" si="8">SUM(H10:H12)</f>
        <v>157</v>
      </c>
      <c r="I13" s="3">
        <f t="shared" ref="I13" si="9">SUM(I10:I12)</f>
        <v>156</v>
      </c>
      <c r="J13" s="3">
        <f t="shared" ref="J13" si="10">SUM(J10:J12)</f>
        <v>155</v>
      </c>
      <c r="K13" s="3">
        <f t="shared" ref="K13" si="11">SUM(K10:K12)</f>
        <v>155</v>
      </c>
      <c r="L13" s="3">
        <f t="shared" ref="L13" si="12">SUM(L10:L12)</f>
        <v>155</v>
      </c>
      <c r="M13" s="3">
        <f t="shared" ref="M13" si="13">SUM(M10:M12)</f>
        <v>155</v>
      </c>
      <c r="N13" s="3">
        <f t="shared" ref="N13" si="14">SUM(N10:N12)</f>
        <v>1871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5"/>
  <sheetViews>
    <sheetView workbookViewId="0">
      <selection activeCell="A3" sqref="A3"/>
    </sheetView>
  </sheetViews>
  <sheetFormatPr defaultColWidth="8.88671875" defaultRowHeight="15" x14ac:dyDescent="0.25"/>
  <cols>
    <col min="1" max="1" width="8.44140625" style="1" customWidth="1"/>
    <col min="2" max="2" width="6.77734375" style="1" customWidth="1"/>
    <col min="3" max="3" width="6.6640625" style="1" customWidth="1"/>
    <col min="4" max="8" width="9.77734375" style="1" customWidth="1"/>
    <col min="9" max="9" width="10.21875" style="1" customWidth="1"/>
    <col min="10" max="10" width="9.21875" style="1" bestFit="1" customWidth="1"/>
    <col min="11" max="11" width="9.6640625" style="1" customWidth="1"/>
    <col min="12" max="12" width="11.44140625" style="1" customWidth="1"/>
    <col min="13" max="16384" width="8.88671875" style="1"/>
  </cols>
  <sheetData>
    <row r="1" spans="1:13" ht="18.75" x14ac:dyDescent="0.3">
      <c r="A1" s="266" t="s">
        <v>156</v>
      </c>
      <c r="B1" s="266"/>
      <c r="C1" s="266"/>
      <c r="D1" s="266"/>
      <c r="E1" s="266"/>
      <c r="F1" s="266"/>
      <c r="G1" s="266"/>
      <c r="H1" s="178"/>
      <c r="I1" s="178"/>
    </row>
    <row r="2" spans="1:13" ht="15.75" x14ac:dyDescent="0.25">
      <c r="A2" s="264" t="s">
        <v>106</v>
      </c>
      <c r="B2" s="264"/>
      <c r="C2" s="264"/>
      <c r="D2" s="264"/>
      <c r="E2" s="264"/>
      <c r="F2" s="264"/>
      <c r="G2" s="264"/>
      <c r="H2" s="177"/>
      <c r="I2" s="177"/>
    </row>
    <row r="4" spans="1:13" x14ac:dyDescent="0.25">
      <c r="B4" s="40" t="s">
        <v>82</v>
      </c>
      <c r="J4" s="143"/>
    </row>
    <row r="5" spans="1:13" x14ac:dyDescent="0.25">
      <c r="B5" s="71"/>
      <c r="C5" s="17"/>
      <c r="D5" s="101" t="s">
        <v>72</v>
      </c>
      <c r="E5" s="101" t="s">
        <v>40</v>
      </c>
      <c r="F5" s="101" t="s">
        <v>39</v>
      </c>
      <c r="H5" s="2"/>
    </row>
    <row r="6" spans="1:13" x14ac:dyDescent="0.25">
      <c r="B6" s="1" t="s">
        <v>147</v>
      </c>
      <c r="D6" s="12">
        <f>C17</f>
        <v>1871</v>
      </c>
      <c r="E6" s="102">
        <f>D17</f>
        <v>7054290</v>
      </c>
      <c r="F6" s="7">
        <f>F24</f>
        <v>45226.073700000001</v>
      </c>
      <c r="H6" s="7"/>
      <c r="I6" s="33"/>
      <c r="J6" s="3"/>
    </row>
    <row r="7" spans="1:13" ht="17.25" x14ac:dyDescent="0.4">
      <c r="E7" s="102" t="s">
        <v>104</v>
      </c>
      <c r="F7" s="103">
        <v>0</v>
      </c>
      <c r="H7" s="12"/>
      <c r="I7" s="39"/>
      <c r="K7" s="39"/>
      <c r="L7" s="106"/>
    </row>
    <row r="8" spans="1:13" ht="17.25" x14ac:dyDescent="0.4">
      <c r="E8" s="82" t="s">
        <v>102</v>
      </c>
      <c r="F8" s="35">
        <f>F6-F7</f>
        <v>45226.073700000001</v>
      </c>
      <c r="H8" s="35"/>
      <c r="I8" s="35"/>
      <c r="K8" s="39"/>
      <c r="L8" s="145"/>
    </row>
    <row r="9" spans="1:13" x14ac:dyDescent="0.25">
      <c r="C9" s="39"/>
      <c r="D9" s="39"/>
      <c r="F9" s="10"/>
      <c r="G9" s="36"/>
      <c r="I9" s="35"/>
    </row>
    <row r="10" spans="1:13" ht="18" x14ac:dyDescent="0.4">
      <c r="F10" s="10"/>
      <c r="G10" s="144"/>
      <c r="I10" s="35"/>
      <c r="J10"/>
      <c r="K10"/>
      <c r="L10"/>
    </row>
    <row r="11" spans="1:13" ht="15.75" x14ac:dyDescent="0.25">
      <c r="A11" s="69" t="s">
        <v>146</v>
      </c>
      <c r="J11"/>
      <c r="K11"/>
      <c r="L11"/>
    </row>
    <row r="12" spans="1:13" ht="15.75" x14ac:dyDescent="0.25">
      <c r="E12" s="2" t="s">
        <v>41</v>
      </c>
      <c r="F12" s="2" t="s">
        <v>103</v>
      </c>
      <c r="G12" s="2" t="s">
        <v>42</v>
      </c>
      <c r="I12"/>
      <c r="J12"/>
      <c r="K12"/>
    </row>
    <row r="13" spans="1:13" ht="15.75" x14ac:dyDescent="0.25">
      <c r="B13" s="101" t="s">
        <v>43</v>
      </c>
      <c r="C13" s="9" t="s">
        <v>44</v>
      </c>
      <c r="D13" s="9" t="s">
        <v>45</v>
      </c>
      <c r="E13" s="9">
        <f>B14</f>
        <v>2000</v>
      </c>
      <c r="F13" s="9">
        <f>B15</f>
        <v>3000</v>
      </c>
      <c r="G13" s="9">
        <f>B16</f>
        <v>5000</v>
      </c>
      <c r="I13"/>
      <c r="J13" s="101" t="s">
        <v>46</v>
      </c>
      <c r="K13"/>
      <c r="L13"/>
      <c r="M13"/>
    </row>
    <row r="14" spans="1:13" ht="15.75" x14ac:dyDescent="0.25">
      <c r="A14" s="10" t="s">
        <v>41</v>
      </c>
      <c r="B14" s="11">
        <v>2000</v>
      </c>
      <c r="C14" s="36">
        <f>BAdata!N10</f>
        <v>655</v>
      </c>
      <c r="D14" s="36">
        <f>BAdata!N4</f>
        <v>553680</v>
      </c>
      <c r="E14" s="36">
        <f>D14</f>
        <v>553680</v>
      </c>
      <c r="F14" s="36"/>
      <c r="G14" s="36"/>
      <c r="I14"/>
      <c r="J14" s="36">
        <f>SUM(E14:G14)</f>
        <v>553680</v>
      </c>
      <c r="K14"/>
      <c r="L14"/>
      <c r="M14"/>
    </row>
    <row r="15" spans="1:13" ht="15.75" x14ac:dyDescent="0.25">
      <c r="A15" s="10" t="s">
        <v>103</v>
      </c>
      <c r="B15" s="11">
        <v>3000</v>
      </c>
      <c r="C15" s="36">
        <f>BAdata!N11</f>
        <v>801</v>
      </c>
      <c r="D15" s="36">
        <f>BAdata!N5</f>
        <v>2668030</v>
      </c>
      <c r="E15" s="36">
        <f>C15*E$13</f>
        <v>1602000</v>
      </c>
      <c r="F15" s="36">
        <f>D15-E15</f>
        <v>1066030</v>
      </c>
      <c r="G15" s="36"/>
      <c r="I15"/>
      <c r="J15" s="36">
        <f>SUM(E15:G15)</f>
        <v>2668030</v>
      </c>
      <c r="K15"/>
      <c r="L15"/>
      <c r="M15"/>
    </row>
    <row r="16" spans="1:13" ht="15.75" x14ac:dyDescent="0.25">
      <c r="A16" s="10" t="s">
        <v>42</v>
      </c>
      <c r="B16" s="13">
        <v>5000</v>
      </c>
      <c r="C16" s="37">
        <f>BAdata!N12</f>
        <v>415</v>
      </c>
      <c r="D16" s="37">
        <f>BAdata!N6</f>
        <v>3832580</v>
      </c>
      <c r="E16" s="37">
        <f>C16*E$13</f>
        <v>830000</v>
      </c>
      <c r="F16" s="37">
        <f>$C16*F$13</f>
        <v>1245000</v>
      </c>
      <c r="G16" s="37">
        <f>D16-(F16+E16)</f>
        <v>1757580</v>
      </c>
      <c r="I16"/>
      <c r="J16" s="37">
        <f>SUM(E16:G16)</f>
        <v>3832580</v>
      </c>
      <c r="K16"/>
      <c r="L16"/>
      <c r="M16"/>
    </row>
    <row r="17" spans="1:13" ht="15.75" x14ac:dyDescent="0.25">
      <c r="A17" s="10"/>
      <c r="B17" s="11"/>
      <c r="C17" s="38">
        <f>SUM(C14:C16)</f>
        <v>1871</v>
      </c>
      <c r="D17" s="38">
        <f>SUM(D14:D16)</f>
        <v>7054290</v>
      </c>
      <c r="E17" s="38">
        <f>SUM(E14:E16)</f>
        <v>2985680</v>
      </c>
      <c r="F17" s="38">
        <f>SUM(F14:F16)</f>
        <v>2311030</v>
      </c>
      <c r="G17" s="38">
        <f>SUM(G14:G16)</f>
        <v>1757580</v>
      </c>
      <c r="I17"/>
      <c r="J17" s="38">
        <f>SUM(J14:J16)</f>
        <v>7054290</v>
      </c>
      <c r="K17"/>
      <c r="L17"/>
      <c r="M17"/>
    </row>
    <row r="18" spans="1:13" ht="15.75" x14ac:dyDescent="0.25">
      <c r="A18" s="10"/>
      <c r="B18" s="11"/>
      <c r="D18" s="11"/>
      <c r="E18" s="11"/>
      <c r="F18" s="11"/>
      <c r="G18" s="11"/>
      <c r="H18" s="11"/>
      <c r="I18" s="11"/>
      <c r="J18"/>
      <c r="K18"/>
      <c r="L18"/>
      <c r="M18"/>
    </row>
    <row r="19" spans="1:13" ht="15.75" x14ac:dyDescent="0.25">
      <c r="A19" s="15" t="s">
        <v>47</v>
      </c>
      <c r="B19" s="15"/>
      <c r="D19" s="11"/>
      <c r="E19" s="11"/>
      <c r="F19" s="11"/>
      <c r="G19" s="11"/>
      <c r="H19" s="11"/>
      <c r="I19" s="11"/>
      <c r="J19"/>
      <c r="K19"/>
      <c r="L19"/>
      <c r="M19"/>
    </row>
    <row r="20" spans="1:13" ht="15.75" x14ac:dyDescent="0.25">
      <c r="A20" s="10"/>
      <c r="B20" s="101"/>
      <c r="C20" s="9" t="s">
        <v>44</v>
      </c>
      <c r="D20" s="101" t="s">
        <v>45</v>
      </c>
      <c r="E20" s="9" t="s">
        <v>48</v>
      </c>
      <c r="F20" s="9" t="s">
        <v>49</v>
      </c>
      <c r="G20" s="11"/>
      <c r="H20" s="11"/>
      <c r="I20" s="11"/>
      <c r="J20"/>
      <c r="K20"/>
      <c r="L20"/>
      <c r="M20"/>
    </row>
    <row r="21" spans="1:13" ht="15.75" x14ac:dyDescent="0.25">
      <c r="A21" s="10" t="s">
        <v>41</v>
      </c>
      <c r="B21" s="11">
        <f>B14</f>
        <v>2000</v>
      </c>
      <c r="C21" s="12">
        <f>C17</f>
        <v>1871</v>
      </c>
      <c r="D21" s="36">
        <f>E17</f>
        <v>2985680</v>
      </c>
      <c r="E21" s="16">
        <v>15.72</v>
      </c>
      <c r="F21" s="7">
        <f>E21*C21</f>
        <v>29412.120000000003</v>
      </c>
      <c r="G21" s="11"/>
      <c r="I21" s="23"/>
      <c r="J21"/>
      <c r="K21"/>
      <c r="L21"/>
      <c r="M21"/>
    </row>
    <row r="22" spans="1:13" ht="15.75" x14ac:dyDescent="0.25">
      <c r="A22" s="10" t="s">
        <v>103</v>
      </c>
      <c r="B22" s="11">
        <f>B15</f>
        <v>3000</v>
      </c>
      <c r="D22" s="36">
        <f>F17</f>
        <v>2311030</v>
      </c>
      <c r="E22" s="23">
        <v>4.47</v>
      </c>
      <c r="F22" s="12">
        <f>E22*(D22/1000)</f>
        <v>10330.304100000001</v>
      </c>
      <c r="G22" s="11"/>
      <c r="I22" s="23"/>
      <c r="J22"/>
      <c r="K22"/>
      <c r="L22"/>
      <c r="M22"/>
    </row>
    <row r="23" spans="1:13" ht="15.75" x14ac:dyDescent="0.25">
      <c r="A23" s="10" t="s">
        <v>42</v>
      </c>
      <c r="B23" s="13">
        <f>B16</f>
        <v>5000</v>
      </c>
      <c r="C23" s="17"/>
      <c r="D23" s="37">
        <f>G17</f>
        <v>1757580</v>
      </c>
      <c r="E23" s="18">
        <v>3.12</v>
      </c>
      <c r="F23" s="14">
        <f>E23*(D23/1000)</f>
        <v>5483.6495999999997</v>
      </c>
      <c r="G23" s="11"/>
      <c r="L23"/>
      <c r="M23"/>
    </row>
    <row r="24" spans="1:13" ht="15.75" x14ac:dyDescent="0.25">
      <c r="A24" s="10"/>
      <c r="B24" s="11" t="s">
        <v>46</v>
      </c>
      <c r="C24" s="12">
        <f>SUM(C21:C23)</f>
        <v>1871</v>
      </c>
      <c r="D24" s="38">
        <f>SUM(D21:D23)</f>
        <v>7054290</v>
      </c>
      <c r="F24" s="7">
        <f>SUM(F21:F23)</f>
        <v>45226.073700000001</v>
      </c>
      <c r="G24" s="11"/>
      <c r="H24" s="11"/>
      <c r="I24" s="11"/>
      <c r="L24"/>
      <c r="M24"/>
    </row>
    <row r="25" spans="1:13" x14ac:dyDescent="0.25">
      <c r="A25" s="10"/>
      <c r="B25" s="11"/>
      <c r="C25" s="12"/>
      <c r="D25" s="38"/>
      <c r="F25" s="7"/>
      <c r="G25" s="11"/>
      <c r="H25" s="11"/>
      <c r="I25" s="11"/>
    </row>
  </sheetData>
  <mergeCells count="2">
    <mergeCell ref="A1:G1"/>
    <mergeCell ref="A2:G2"/>
  </mergeCells>
  <printOptions horizontalCentered="1"/>
  <pageMargins left="0.6" right="0.6" top="0.9" bottom="1" header="0.3" footer="0.3"/>
  <pageSetup fitToHeight="2"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4"/>
  <sheetViews>
    <sheetView workbookViewId="0">
      <selection activeCell="A3" sqref="A3"/>
    </sheetView>
  </sheetViews>
  <sheetFormatPr defaultColWidth="8.88671875" defaultRowHeight="15" x14ac:dyDescent="0.25"/>
  <cols>
    <col min="1" max="1" width="8.44140625" style="1" customWidth="1"/>
    <col min="2" max="2" width="6.77734375" style="1" customWidth="1"/>
    <col min="3" max="3" width="6.6640625" style="1" customWidth="1"/>
    <col min="4" max="7" width="9.77734375" style="1" customWidth="1"/>
    <col min="8" max="16384" width="8.88671875" style="1"/>
  </cols>
  <sheetData>
    <row r="1" spans="1:7" ht="18.75" x14ac:dyDescent="0.3">
      <c r="A1" s="266" t="s">
        <v>157</v>
      </c>
      <c r="B1" s="266"/>
      <c r="C1" s="266"/>
      <c r="D1" s="266"/>
      <c r="E1" s="266"/>
      <c r="F1" s="266"/>
      <c r="G1" s="266"/>
    </row>
    <row r="2" spans="1:7" ht="15.75" x14ac:dyDescent="0.25">
      <c r="A2" s="264" t="s">
        <v>106</v>
      </c>
      <c r="B2" s="264"/>
      <c r="C2" s="264"/>
      <c r="D2" s="264"/>
      <c r="E2" s="264"/>
      <c r="F2" s="264"/>
      <c r="G2" s="264"/>
    </row>
    <row r="4" spans="1:7" x14ac:dyDescent="0.25">
      <c r="B4" s="40" t="s">
        <v>82</v>
      </c>
    </row>
    <row r="5" spans="1:7" x14ac:dyDescent="0.25">
      <c r="B5" s="71"/>
      <c r="C5" s="17"/>
      <c r="D5" s="101" t="s">
        <v>72</v>
      </c>
      <c r="E5" s="101" t="s">
        <v>40</v>
      </c>
      <c r="F5" s="101" t="s">
        <v>39</v>
      </c>
    </row>
    <row r="6" spans="1:7" x14ac:dyDescent="0.25">
      <c r="B6" s="1" t="s">
        <v>147</v>
      </c>
      <c r="D6" s="12">
        <f>C17</f>
        <v>1871</v>
      </c>
      <c r="E6" s="102">
        <f>D17</f>
        <v>7054290</v>
      </c>
      <c r="F6" s="7">
        <f>F24</f>
        <v>67517.262899999987</v>
      </c>
    </row>
    <row r="7" spans="1:7" ht="17.25" x14ac:dyDescent="0.4">
      <c r="E7" s="102" t="s">
        <v>104</v>
      </c>
      <c r="F7" s="103">
        <v>0</v>
      </c>
    </row>
    <row r="8" spans="1:7" x14ac:dyDescent="0.25">
      <c r="E8" s="82" t="s">
        <v>102</v>
      </c>
      <c r="F8" s="35">
        <f>F6-F7</f>
        <v>67517.262899999987</v>
      </c>
    </row>
    <row r="9" spans="1:7" x14ac:dyDescent="0.25">
      <c r="C9" s="39"/>
      <c r="D9" s="39"/>
      <c r="F9" s="10"/>
      <c r="G9" s="36"/>
    </row>
    <row r="10" spans="1:7" ht="17.25" x14ac:dyDescent="0.4">
      <c r="F10" s="10"/>
      <c r="G10" s="144"/>
    </row>
    <row r="11" spans="1:7" ht="15.75" x14ac:dyDescent="0.25">
      <c r="A11" s="69" t="s">
        <v>146</v>
      </c>
    </row>
    <row r="12" spans="1:7" x14ac:dyDescent="0.25">
      <c r="E12" s="2" t="s">
        <v>41</v>
      </c>
      <c r="F12" s="2" t="s">
        <v>103</v>
      </c>
      <c r="G12" s="2" t="s">
        <v>42</v>
      </c>
    </row>
    <row r="13" spans="1:7" x14ac:dyDescent="0.25">
      <c r="B13" s="101" t="s">
        <v>43</v>
      </c>
      <c r="C13" s="9" t="s">
        <v>44</v>
      </c>
      <c r="D13" s="9" t="s">
        <v>45</v>
      </c>
      <c r="E13" s="9">
        <f>B14</f>
        <v>2000</v>
      </c>
      <c r="F13" s="9">
        <f>B15</f>
        <v>3000</v>
      </c>
      <c r="G13" s="9">
        <f>B16</f>
        <v>5000</v>
      </c>
    </row>
    <row r="14" spans="1:7" x14ac:dyDescent="0.25">
      <c r="A14" s="10" t="s">
        <v>41</v>
      </c>
      <c r="B14" s="11">
        <v>2000</v>
      </c>
      <c r="C14" s="36">
        <f>BAdata!N10</f>
        <v>655</v>
      </c>
      <c r="D14" s="36">
        <f>BAdata!N4</f>
        <v>553680</v>
      </c>
      <c r="E14" s="36">
        <f>D14</f>
        <v>553680</v>
      </c>
      <c r="F14" s="36"/>
      <c r="G14" s="36"/>
    </row>
    <row r="15" spans="1:7" x14ac:dyDescent="0.25">
      <c r="A15" s="10" t="s">
        <v>103</v>
      </c>
      <c r="B15" s="11">
        <v>3000</v>
      </c>
      <c r="C15" s="36">
        <f>BAdata!N11</f>
        <v>801</v>
      </c>
      <c r="D15" s="36">
        <f>BAdata!N5</f>
        <v>2668030</v>
      </c>
      <c r="E15" s="36">
        <f>C15*E$13</f>
        <v>1602000</v>
      </c>
      <c r="F15" s="36">
        <f>D15-E15</f>
        <v>1066030</v>
      </c>
      <c r="G15" s="36"/>
    </row>
    <row r="16" spans="1:7" x14ac:dyDescent="0.25">
      <c r="A16" s="10" t="s">
        <v>42</v>
      </c>
      <c r="B16" s="13">
        <v>5000</v>
      </c>
      <c r="C16" s="37">
        <f>BAdata!N12</f>
        <v>415</v>
      </c>
      <c r="D16" s="37">
        <f>BAdata!N6</f>
        <v>3832580</v>
      </c>
      <c r="E16" s="37">
        <f>C16*E$13</f>
        <v>830000</v>
      </c>
      <c r="F16" s="37">
        <f>$C16*F$13</f>
        <v>1245000</v>
      </c>
      <c r="G16" s="37">
        <f>D16-(F16+E16)</f>
        <v>1757580</v>
      </c>
    </row>
    <row r="17" spans="1:10" x14ac:dyDescent="0.25">
      <c r="A17" s="10"/>
      <c r="B17" s="11"/>
      <c r="C17" s="38">
        <f>SUM(C14:C16)</f>
        <v>1871</v>
      </c>
      <c r="D17" s="38">
        <f>SUM(D14:D16)</f>
        <v>7054290</v>
      </c>
      <c r="E17" s="38">
        <f>SUM(E14:E16)</f>
        <v>2985680</v>
      </c>
      <c r="F17" s="38">
        <f>SUM(F14:F16)</f>
        <v>2311030</v>
      </c>
      <c r="G17" s="38">
        <f>SUM(G14:G16)</f>
        <v>1757580</v>
      </c>
    </row>
    <row r="18" spans="1:10" x14ac:dyDescent="0.25">
      <c r="A18" s="10"/>
      <c r="B18" s="11"/>
      <c r="D18" s="11"/>
      <c r="E18" s="11"/>
      <c r="F18" s="11"/>
      <c r="G18" s="11"/>
    </row>
    <row r="19" spans="1:10" x14ac:dyDescent="0.25">
      <c r="A19" s="15" t="s">
        <v>47</v>
      </c>
      <c r="B19" s="15"/>
      <c r="D19" s="11"/>
      <c r="E19" s="11"/>
      <c r="F19" s="11"/>
      <c r="G19" s="11"/>
    </row>
    <row r="20" spans="1:10" x14ac:dyDescent="0.25">
      <c r="A20" s="10"/>
      <c r="B20" s="101"/>
      <c r="C20" s="9" t="s">
        <v>44</v>
      </c>
      <c r="D20" s="101" t="s">
        <v>45</v>
      </c>
      <c r="E20" s="9" t="s">
        <v>48</v>
      </c>
      <c r="F20" s="9" t="s">
        <v>49</v>
      </c>
      <c r="G20" s="11"/>
    </row>
    <row r="21" spans="1:10" x14ac:dyDescent="0.25">
      <c r="A21" s="10" t="s">
        <v>41</v>
      </c>
      <c r="B21" s="11">
        <f>B14</f>
        <v>2000</v>
      </c>
      <c r="C21" s="12">
        <f>C17</f>
        <v>1871</v>
      </c>
      <c r="D21" s="36">
        <f>E17</f>
        <v>2985680</v>
      </c>
      <c r="E21" s="16">
        <f>Rates!M11</f>
        <v>23.47</v>
      </c>
      <c r="F21" s="7">
        <f>E21*C21</f>
        <v>43912.369999999995</v>
      </c>
      <c r="G21" s="11"/>
    </row>
    <row r="22" spans="1:10" x14ac:dyDescent="0.25">
      <c r="A22" s="10" t="s">
        <v>103</v>
      </c>
      <c r="B22" s="11">
        <f>B15</f>
        <v>3000</v>
      </c>
      <c r="D22" s="36">
        <f>F17</f>
        <v>2311030</v>
      </c>
      <c r="E22" s="23">
        <f>Rates!M12</f>
        <v>6.67</v>
      </c>
      <c r="F22" s="12">
        <f>E22*(D22/1000)</f>
        <v>15414.570100000001</v>
      </c>
      <c r="G22" s="11"/>
    </row>
    <row r="23" spans="1:10" x14ac:dyDescent="0.25">
      <c r="A23" s="10" t="s">
        <v>42</v>
      </c>
      <c r="B23" s="13">
        <f>B16</f>
        <v>5000</v>
      </c>
      <c r="C23" s="17"/>
      <c r="D23" s="37">
        <f>G17</f>
        <v>1757580</v>
      </c>
      <c r="E23" s="18">
        <f>Rates!M13</f>
        <v>4.66</v>
      </c>
      <c r="F23" s="14">
        <f>E23*(D23/1000)</f>
        <v>8190.3227999999999</v>
      </c>
      <c r="G23" s="11"/>
    </row>
    <row r="24" spans="1:10" x14ac:dyDescent="0.25">
      <c r="A24" s="10"/>
      <c r="B24" s="11" t="s">
        <v>46</v>
      </c>
      <c r="C24" s="12">
        <f>SUM(C21:C23)</f>
        <v>1871</v>
      </c>
      <c r="D24" s="38">
        <f>SUM(D21:D23)</f>
        <v>7054290</v>
      </c>
      <c r="F24" s="7">
        <f>SUM(F21:F23)</f>
        <v>67517.262899999987</v>
      </c>
      <c r="G24" s="11"/>
      <c r="J24" s="33"/>
    </row>
  </sheetData>
  <mergeCells count="2">
    <mergeCell ref="A1:G1"/>
    <mergeCell ref="A2:G2"/>
  </mergeCells>
  <printOptions horizontalCentered="1"/>
  <pageMargins left="0.6" right="0.6" top="1" bottom="1" header="0.3" footer="0.3"/>
  <pageSetup fitToHeight="2" orientation="portrait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K27"/>
  <sheetViews>
    <sheetView workbookViewId="0"/>
  </sheetViews>
  <sheetFormatPr defaultColWidth="8.77734375" defaultRowHeight="15" x14ac:dyDescent="0.25"/>
  <cols>
    <col min="1" max="1" width="8.77734375" style="73"/>
    <col min="2" max="2" width="0.88671875" style="73" customWidth="1"/>
    <col min="3" max="4" width="5.5546875" style="73" customWidth="1"/>
    <col min="5" max="5" width="7.77734375" style="73" customWidth="1"/>
    <col min="6" max="9" width="8.77734375" style="73"/>
    <col min="10" max="10" width="0.77734375" style="73" customWidth="1"/>
    <col min="11" max="16384" width="8.77734375" style="73"/>
  </cols>
  <sheetData>
    <row r="3" spans="1:1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ht="6" customHeight="1" x14ac:dyDescent="0.25">
      <c r="A5" s="230"/>
      <c r="B5" s="231"/>
      <c r="C5" s="232"/>
      <c r="D5" s="232"/>
      <c r="E5" s="232"/>
      <c r="F5" s="232"/>
      <c r="G5" s="232"/>
      <c r="H5" s="232"/>
      <c r="I5" s="232"/>
      <c r="J5" s="233"/>
      <c r="K5" s="230"/>
    </row>
    <row r="6" spans="1:11" ht="21.95" customHeight="1" x14ac:dyDescent="0.25">
      <c r="A6" s="230"/>
      <c r="B6" s="234"/>
      <c r="C6" s="277" t="s">
        <v>86</v>
      </c>
      <c r="D6" s="277"/>
      <c r="E6" s="277"/>
      <c r="F6" s="277"/>
      <c r="G6" s="277"/>
      <c r="H6" s="277"/>
      <c r="I6" s="277"/>
      <c r="J6" s="235"/>
      <c r="K6" s="230"/>
    </row>
    <row r="7" spans="1:11" ht="6" customHeight="1" x14ac:dyDescent="0.25">
      <c r="A7" s="230"/>
      <c r="B7" s="236"/>
      <c r="C7" s="237"/>
      <c r="D7" s="237"/>
      <c r="E7" s="237"/>
      <c r="F7" s="237"/>
      <c r="G7" s="237"/>
      <c r="H7" s="237"/>
      <c r="I7" s="237"/>
      <c r="J7" s="238"/>
      <c r="K7" s="230"/>
    </row>
    <row r="8" spans="1:11" ht="21.95" customHeight="1" x14ac:dyDescent="0.4">
      <c r="A8" s="230"/>
      <c r="B8" s="234"/>
      <c r="C8" s="239"/>
      <c r="D8" s="239"/>
      <c r="E8" s="239"/>
      <c r="F8" s="273" t="s">
        <v>164</v>
      </c>
      <c r="G8" s="274"/>
      <c r="H8" s="274"/>
      <c r="I8" s="274"/>
      <c r="J8" s="235"/>
      <c r="K8" s="230"/>
    </row>
    <row r="9" spans="1:11" x14ac:dyDescent="0.25">
      <c r="A9" s="230"/>
      <c r="B9" s="234"/>
      <c r="C9" s="239"/>
      <c r="D9" s="239"/>
      <c r="E9" s="239"/>
      <c r="F9" s="240"/>
      <c r="G9" s="241" t="s">
        <v>91</v>
      </c>
      <c r="H9" s="241" t="s">
        <v>87</v>
      </c>
      <c r="I9" s="241" t="s">
        <v>88</v>
      </c>
      <c r="J9" s="235"/>
      <c r="K9" s="230"/>
    </row>
    <row r="10" spans="1:11" ht="17.25" x14ac:dyDescent="0.4">
      <c r="A10" s="230"/>
      <c r="B10" s="234"/>
      <c r="C10" s="239"/>
      <c r="D10" s="239"/>
      <c r="E10" s="239"/>
      <c r="F10" s="242" t="s">
        <v>90</v>
      </c>
      <c r="G10" s="243" t="s">
        <v>160</v>
      </c>
      <c r="H10" s="243" t="s">
        <v>89</v>
      </c>
      <c r="I10" s="243" t="s">
        <v>89</v>
      </c>
      <c r="J10" s="235"/>
      <c r="K10" s="230"/>
    </row>
    <row r="11" spans="1:11" x14ac:dyDescent="0.25">
      <c r="A11" s="230"/>
      <c r="B11" s="234"/>
      <c r="C11" s="244" t="s">
        <v>117</v>
      </c>
      <c r="D11" s="239"/>
      <c r="E11" s="239"/>
      <c r="F11" s="234"/>
      <c r="G11" s="239"/>
      <c r="H11" s="239"/>
      <c r="I11" s="239"/>
      <c r="J11" s="235"/>
      <c r="K11" s="230"/>
    </row>
    <row r="12" spans="1:11" x14ac:dyDescent="0.25">
      <c r="A12" s="230"/>
      <c r="B12" s="234"/>
      <c r="C12" s="245" t="s">
        <v>70</v>
      </c>
      <c r="D12" s="246">
        <v>2000</v>
      </c>
      <c r="E12" s="239" t="s">
        <v>162</v>
      </c>
      <c r="F12" s="247">
        <f>Rates!F11</f>
        <v>15.72</v>
      </c>
      <c r="G12" s="248">
        <f>Rates!L11</f>
        <v>19.594999999999999</v>
      </c>
      <c r="H12" s="248">
        <f>G12-F12</f>
        <v>3.8749999999999982</v>
      </c>
      <c r="I12" s="249">
        <f>H12/F12</f>
        <v>0.24650127226463092</v>
      </c>
      <c r="J12" s="235"/>
      <c r="K12" s="230"/>
    </row>
    <row r="13" spans="1:11" x14ac:dyDescent="0.25">
      <c r="A13" s="230"/>
      <c r="B13" s="234"/>
      <c r="C13" s="245" t="s">
        <v>101</v>
      </c>
      <c r="D13" s="246">
        <v>3000</v>
      </c>
      <c r="E13" s="239" t="s">
        <v>163</v>
      </c>
      <c r="F13" s="234">
        <f>Rates!F12</f>
        <v>4.47</v>
      </c>
      <c r="G13" s="239">
        <f>Rates!L12</f>
        <v>5.57</v>
      </c>
      <c r="H13" s="239">
        <f t="shared" ref="H13:H14" si="0">G13-F13</f>
        <v>1.1000000000000005</v>
      </c>
      <c r="I13" s="249">
        <f t="shared" ref="I13:I14" si="1">H13/F13</f>
        <v>0.24608501118568246</v>
      </c>
      <c r="J13" s="235"/>
      <c r="K13" s="230"/>
    </row>
    <row r="14" spans="1:11" x14ac:dyDescent="0.25">
      <c r="A14" s="230"/>
      <c r="B14" s="234"/>
      <c r="C14" s="245" t="s">
        <v>71</v>
      </c>
      <c r="D14" s="246">
        <v>5000</v>
      </c>
      <c r="E14" s="239" t="s">
        <v>163</v>
      </c>
      <c r="F14" s="234">
        <f>Rates!F13</f>
        <v>3.12</v>
      </c>
      <c r="G14" s="239">
        <f>Rates!L13</f>
        <v>3.89</v>
      </c>
      <c r="H14" s="239">
        <f t="shared" si="0"/>
        <v>0.77</v>
      </c>
      <c r="I14" s="249">
        <f t="shared" si="1"/>
        <v>0.24679487179487178</v>
      </c>
      <c r="J14" s="235"/>
      <c r="K14" s="230"/>
    </row>
    <row r="15" spans="1:11" ht="3.95" customHeight="1" x14ac:dyDescent="0.25">
      <c r="A15" s="230"/>
      <c r="B15" s="234"/>
      <c r="C15" s="239"/>
      <c r="D15" s="239"/>
      <c r="E15" s="239"/>
      <c r="F15" s="234"/>
      <c r="G15" s="239"/>
      <c r="H15" s="239"/>
      <c r="I15" s="239"/>
      <c r="J15" s="235"/>
      <c r="K15" s="230"/>
    </row>
    <row r="16" spans="1:11" ht="17.25" x14ac:dyDescent="0.4">
      <c r="A16" s="230"/>
      <c r="B16" s="234"/>
      <c r="C16" s="239"/>
      <c r="D16" s="239"/>
      <c r="E16" s="239"/>
      <c r="F16" s="275" t="s">
        <v>165</v>
      </c>
      <c r="G16" s="276"/>
      <c r="H16" s="276"/>
      <c r="I16" s="276"/>
      <c r="J16" s="235"/>
      <c r="K16" s="230"/>
    </row>
    <row r="17" spans="1:11" x14ac:dyDescent="0.25">
      <c r="A17" s="230"/>
      <c r="B17" s="234"/>
      <c r="C17" s="239"/>
      <c r="D17" s="239"/>
      <c r="E17" s="239"/>
      <c r="F17" s="240"/>
      <c r="G17" s="241" t="s">
        <v>91</v>
      </c>
      <c r="H17" s="241" t="s">
        <v>87</v>
      </c>
      <c r="I17" s="241" t="s">
        <v>88</v>
      </c>
      <c r="J17" s="235"/>
      <c r="K17" s="230"/>
    </row>
    <row r="18" spans="1:11" ht="17.25" x14ac:dyDescent="0.4">
      <c r="A18" s="230"/>
      <c r="B18" s="234"/>
      <c r="C18" s="239"/>
      <c r="D18" s="239"/>
      <c r="E18" s="239"/>
      <c r="F18" s="242" t="s">
        <v>160</v>
      </c>
      <c r="G18" s="243" t="s">
        <v>159</v>
      </c>
      <c r="H18" s="243" t="s">
        <v>89</v>
      </c>
      <c r="I18" s="243" t="s">
        <v>89</v>
      </c>
      <c r="J18" s="235"/>
      <c r="K18" s="230"/>
    </row>
    <row r="19" spans="1:11" x14ac:dyDescent="0.25">
      <c r="A19" s="230"/>
      <c r="B19" s="234"/>
      <c r="C19" s="244" t="s">
        <v>117</v>
      </c>
      <c r="D19" s="239"/>
      <c r="E19" s="239"/>
      <c r="F19" s="234"/>
      <c r="G19" s="239"/>
      <c r="H19" s="239"/>
      <c r="I19" s="239"/>
      <c r="J19" s="235"/>
      <c r="K19" s="230"/>
    </row>
    <row r="20" spans="1:11" x14ac:dyDescent="0.25">
      <c r="A20" s="230"/>
      <c r="B20" s="234"/>
      <c r="C20" s="245" t="s">
        <v>70</v>
      </c>
      <c r="D20" s="246">
        <v>2000</v>
      </c>
      <c r="E20" s="239" t="s">
        <v>162</v>
      </c>
      <c r="F20" s="247">
        <f>G12</f>
        <v>19.594999999999999</v>
      </c>
      <c r="G20" s="248">
        <f>Rates!M11</f>
        <v>23.47</v>
      </c>
      <c r="H20" s="248">
        <v>3.87</v>
      </c>
      <c r="I20" s="249">
        <f>H20/F20</f>
        <v>0.19749936208216384</v>
      </c>
      <c r="J20" s="235"/>
      <c r="K20" s="230"/>
    </row>
    <row r="21" spans="1:11" x14ac:dyDescent="0.25">
      <c r="A21" s="230"/>
      <c r="B21" s="234"/>
      <c r="C21" s="245" t="s">
        <v>101</v>
      </c>
      <c r="D21" s="246">
        <v>3000</v>
      </c>
      <c r="E21" s="239" t="s">
        <v>163</v>
      </c>
      <c r="F21" s="234">
        <f t="shared" ref="F21:F22" si="2">G13</f>
        <v>5.57</v>
      </c>
      <c r="G21" s="239">
        <f>Rates!M12</f>
        <v>6.67</v>
      </c>
      <c r="H21" s="239">
        <f t="shared" ref="H21:H22" si="3">G21-F21</f>
        <v>1.0999999999999996</v>
      </c>
      <c r="I21" s="249">
        <f t="shared" ref="I21:I22" si="4">H21/F21</f>
        <v>0.19748653500897659</v>
      </c>
      <c r="J21" s="235"/>
      <c r="K21" s="230"/>
    </row>
    <row r="22" spans="1:11" x14ac:dyDescent="0.25">
      <c r="A22" s="230"/>
      <c r="B22" s="234"/>
      <c r="C22" s="245" t="s">
        <v>71</v>
      </c>
      <c r="D22" s="246">
        <v>5000</v>
      </c>
      <c r="E22" s="239" t="s">
        <v>163</v>
      </c>
      <c r="F22" s="234">
        <f t="shared" si="2"/>
        <v>3.89</v>
      </c>
      <c r="G22" s="239">
        <f>Rates!M13</f>
        <v>4.66</v>
      </c>
      <c r="H22" s="239">
        <f t="shared" si="3"/>
        <v>0.77</v>
      </c>
      <c r="I22" s="249">
        <f t="shared" si="4"/>
        <v>0.19794344473007711</v>
      </c>
      <c r="J22" s="235"/>
      <c r="K22" s="230"/>
    </row>
    <row r="23" spans="1:11" ht="6" customHeight="1" x14ac:dyDescent="0.25">
      <c r="A23" s="230"/>
      <c r="B23" s="236"/>
      <c r="C23" s="250"/>
      <c r="D23" s="250"/>
      <c r="E23" s="250"/>
      <c r="F23" s="236"/>
      <c r="G23" s="250"/>
      <c r="H23" s="250"/>
      <c r="I23" s="250"/>
      <c r="J23" s="238"/>
      <c r="K23" s="230"/>
    </row>
    <row r="24" spans="1:11" ht="6.95" customHeight="1" x14ac:dyDescent="0.25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</row>
    <row r="25" spans="1:11" x14ac:dyDescent="0.25">
      <c r="A25" s="230"/>
      <c r="B25" s="230"/>
      <c r="C25" s="272" t="s">
        <v>166</v>
      </c>
      <c r="D25" s="272"/>
      <c r="E25" s="272"/>
      <c r="F25" s="272"/>
      <c r="G25" s="272"/>
      <c r="H25" s="272"/>
      <c r="I25" s="272"/>
      <c r="J25" s="230"/>
      <c r="K25" s="230"/>
    </row>
    <row r="26" spans="1:11" x14ac:dyDescent="0.25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</row>
    <row r="27" spans="1:11" x14ac:dyDescent="0.25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</row>
  </sheetData>
  <mergeCells count="4">
    <mergeCell ref="C25:I25"/>
    <mergeCell ref="F8:I8"/>
    <mergeCell ref="F16:I16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SAO</vt:lpstr>
      <vt:lpstr>Adj</vt:lpstr>
      <vt:lpstr>DeprAdj</vt:lpstr>
      <vt:lpstr>Rates</vt:lpstr>
      <vt:lpstr>Bills</vt:lpstr>
      <vt:lpstr>BAdata</vt:lpstr>
      <vt:lpstr>ExBA</vt:lpstr>
      <vt:lpstr>PropBA</vt:lpstr>
      <vt:lpstr>Notice</vt:lpstr>
      <vt:lpstr>Bills!Print_Area</vt:lpstr>
      <vt:lpstr>DeprAdj!Print_Area</vt:lpstr>
      <vt:lpstr>ExBA!Print_Area</vt:lpstr>
      <vt:lpstr>PropBA!Print_Area</vt:lpstr>
      <vt:lpstr>Rates!Print_Area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 Vilines</cp:lastModifiedBy>
  <cp:lastPrinted>2023-09-25T14:00:21Z</cp:lastPrinted>
  <dcterms:created xsi:type="dcterms:W3CDTF">2016-05-18T14:12:06Z</dcterms:created>
  <dcterms:modified xsi:type="dcterms:W3CDTF">2023-12-05T17:46:28Z</dcterms:modified>
</cp:coreProperties>
</file>