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18 PPA Review\04_All Filed Discovery\02_AG-KIUC\Source\Q1\"/>
    </mc:Choice>
  </mc:AlternateContent>
  <xr:revisionPtr revIDLastSave="0" documentId="13_ncr:1_{3C76319A-662A-4DBC-9080-99BAD7714820}" xr6:coauthVersionLast="47" xr6:coauthVersionMax="47" xr10:uidLastSave="{00000000-0000-0000-0000-000000000000}"/>
  <bookViews>
    <workbookView xWindow="-120" yWindow="-120" windowWidth="29040" windowHeight="15720" tabRatio="851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  <sheet name="Ln 5 and Ln 13" sheetId="14" r:id="rId13"/>
    <sheet name="Interest Expense Regulatory Ass" sheetId="17" r:id="rId14"/>
  </sheets>
  <externalReferences>
    <externalReference r:id="rId15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0">'PPA Form 1.0'!$A$1:$I$50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3.0'!$A$1:$G$42</definedName>
    <definedName name="_xlnm.Print_Area" localSheetId="4">'PPA Form 3.0a'!$A$1:$P$60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0" hidden="1">'PPA Form 1.0'!$A$1:$I$50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3.0a'!$A$1:$P$60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0" hidden="1">'PPA Form 1.0'!$A$1:$I$50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3.0a'!$A$1:$P$60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0" hidden="1">'PPA Form 1.0'!$A$1:$I$50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3.0a'!$A$1:$P$60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K34" i="4"/>
  <c r="J34" i="4"/>
  <c r="I34" i="4"/>
  <c r="L34" i="4"/>
  <c r="M34" i="4"/>
  <c r="N34" i="4"/>
  <c r="O34" i="4"/>
  <c r="H32" i="4"/>
  <c r="G32" i="4"/>
  <c r="F32" i="4"/>
  <c r="E32" i="4"/>
  <c r="D32" i="4"/>
  <c r="F40" i="4"/>
  <c r="E40" i="4"/>
  <c r="D40" i="4"/>
  <c r="A8" i="17"/>
  <c r="C11" i="17"/>
  <c r="C16" i="17" s="1"/>
  <c r="C18" i="17" s="1"/>
  <c r="C20" i="17" s="1"/>
  <c r="C14" i="17"/>
  <c r="C22" i="17"/>
  <c r="G34" i="17" l="1"/>
  <c r="G35" i="17"/>
  <c r="G26" i="17"/>
  <c r="G27" i="17"/>
  <c r="G28" i="17"/>
  <c r="G33" i="17"/>
  <c r="G21" i="1"/>
  <c r="D53" i="4"/>
  <c r="G36" i="17" l="1"/>
  <c r="H26" i="17"/>
  <c r="I26" i="17" s="1"/>
  <c r="G29" i="17"/>
  <c r="G37" i="17" s="1"/>
  <c r="O38" i="4"/>
  <c r="N38" i="4"/>
  <c r="M38" i="4"/>
  <c r="L38" i="4"/>
  <c r="K38" i="4"/>
  <c r="J38" i="4"/>
  <c r="I38" i="4"/>
  <c r="O30" i="4"/>
  <c r="N30" i="4"/>
  <c r="M30" i="4"/>
  <c r="L30" i="4"/>
  <c r="K30" i="4"/>
  <c r="J30" i="4"/>
  <c r="I30" i="4"/>
  <c r="H30" i="4"/>
  <c r="G30" i="4"/>
  <c r="F30" i="4"/>
  <c r="E30" i="4"/>
  <c r="D30" i="4"/>
  <c r="I36" i="4"/>
  <c r="O36" i="4"/>
  <c r="N36" i="4"/>
  <c r="M36" i="4"/>
  <c r="L36" i="4"/>
  <c r="K36" i="4"/>
  <c r="J36" i="4"/>
  <c r="J26" i="17" l="1"/>
  <c r="H27" i="17" s="1"/>
  <c r="I27" i="17" l="1"/>
  <c r="G19" i="1"/>
  <c r="J27" i="17" l="1"/>
  <c r="H28" i="17" s="1"/>
  <c r="C24" i="14"/>
  <c r="D24" i="14" s="1"/>
  <c r="C21" i="14"/>
  <c r="D21" i="14" s="1"/>
  <c r="C18" i="14"/>
  <c r="D18" i="14" s="1"/>
  <c r="I28" i="17" l="1"/>
  <c r="I29" i="17" s="1"/>
  <c r="J28" i="17"/>
  <c r="H33" i="17" s="1"/>
  <c r="D26" i="14"/>
  <c r="G37" i="1" s="1"/>
  <c r="C110" i="7"/>
  <c r="C103" i="7"/>
  <c r="C106" i="7" s="1"/>
  <c r="J33" i="17" l="1"/>
  <c r="H34" i="17" s="1"/>
  <c r="I33" i="17"/>
  <c r="C112" i="7"/>
  <c r="C114" i="7" s="1"/>
  <c r="C116" i="7" s="1"/>
  <c r="I34" i="17" l="1"/>
  <c r="J34" i="17"/>
  <c r="H35" i="17" s="1"/>
  <c r="P42" i="4"/>
  <c r="C28" i="3" s="1"/>
  <c r="G28" i="3" s="1"/>
  <c r="I35" i="17" l="1"/>
  <c r="I36" i="17" s="1"/>
  <c r="I37" i="17" s="1"/>
  <c r="G40" i="17" s="1"/>
  <c r="G41" i="17" s="1"/>
  <c r="P38" i="4"/>
  <c r="P36" i="4"/>
  <c r="P34" i="4"/>
  <c r="I32" i="4"/>
  <c r="J35" i="17" l="1"/>
  <c r="H17" i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F23" i="15" l="1"/>
  <c r="D29" i="15"/>
  <c r="C29" i="15"/>
  <c r="F20" i="15"/>
  <c r="F29" i="15" l="1"/>
  <c r="G27" i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D75" i="12" l="1"/>
  <c r="E75" i="12" s="1"/>
  <c r="D83" i="12"/>
  <c r="E83" i="12" s="1"/>
  <c r="D86" i="12"/>
  <c r="E86" i="12" s="1"/>
  <c r="D87" i="12"/>
  <c r="E87" i="12" s="1"/>
  <c r="E35" i="12"/>
  <c r="G35" i="12" s="1"/>
  <c r="D103" i="12"/>
  <c r="E103" i="12" s="1"/>
  <c r="E23" i="12"/>
  <c r="G23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H12" i="12"/>
  <c r="H13" i="12" s="1"/>
  <c r="H14" i="12" s="1"/>
  <c r="G26" i="12"/>
  <c r="G51" i="12"/>
  <c r="C53" i="12"/>
  <c r="E52" i="12"/>
  <c r="G15" i="12"/>
  <c r="C40" i="12"/>
  <c r="E39" i="12"/>
  <c r="J12" i="12"/>
  <c r="E53" i="12" l="1"/>
  <c r="C54" i="12"/>
  <c r="G27" i="12"/>
  <c r="G39" i="12"/>
  <c r="C41" i="12"/>
  <c r="E40" i="12"/>
  <c r="G16" i="12"/>
  <c r="I12" i="12"/>
  <c r="J13" i="12" s="1"/>
  <c r="H15" i="12"/>
  <c r="L12" i="12"/>
  <c r="C29" i="12"/>
  <c r="E28" i="12"/>
  <c r="G52" i="12"/>
  <c r="I13" i="12"/>
  <c r="J14" i="12" s="1"/>
  <c r="F14" i="12"/>
  <c r="C18" i="12"/>
  <c r="E17" i="12"/>
  <c r="G28" i="12" l="1"/>
  <c r="H16" i="12"/>
  <c r="C30" i="12"/>
  <c r="E29" i="12"/>
  <c r="C42" i="12"/>
  <c r="E41" i="12"/>
  <c r="C55" i="12"/>
  <c r="E54" i="12"/>
  <c r="I14" i="12"/>
  <c r="J15" i="12" s="1"/>
  <c r="F15" i="12"/>
  <c r="L13" i="12"/>
  <c r="L14" i="12" s="1"/>
  <c r="G53" i="12"/>
  <c r="G17" i="12"/>
  <c r="G40" i="12"/>
  <c r="C19" i="12"/>
  <c r="E18" i="12"/>
  <c r="L15" i="12" l="1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21" i="12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I19" i="12"/>
  <c r="J20" i="12" s="1"/>
  <c r="L20" i="12" s="1"/>
  <c r="F20" i="12"/>
  <c r="E59" i="12"/>
  <c r="C60" i="12"/>
  <c r="G46" i="12"/>
  <c r="G34" i="12"/>
  <c r="G33" i="12"/>
  <c r="G45" i="12"/>
  <c r="I20" i="12" l="1"/>
  <c r="J21" i="12" s="1"/>
  <c r="L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I25" i="12"/>
  <c r="J26" i="12" s="1"/>
  <c r="L26" i="12" s="1"/>
  <c r="F26" i="12"/>
  <c r="C66" i="12"/>
  <c r="E65" i="12"/>
  <c r="H64" i="12" l="1"/>
  <c r="E66" i="12"/>
  <c r="C67" i="12"/>
  <c r="G65" i="12"/>
  <c r="I26" i="12"/>
  <c r="J27" i="12" s="1"/>
  <c r="L27" i="12" s="1"/>
  <c r="F27" i="12"/>
  <c r="H65" i="12" l="1"/>
  <c r="G66" i="12"/>
  <c r="H66" i="12" s="1"/>
  <c r="I27" i="12"/>
  <c r="J28" i="12" s="1"/>
  <c r="L28" i="12" s="1"/>
  <c r="F28" i="12"/>
  <c r="E67" i="12"/>
  <c r="C68" i="12"/>
  <c r="G67" i="12" l="1"/>
  <c r="H67" i="12" s="1"/>
  <c r="I28" i="12"/>
  <c r="J29" i="12" s="1"/>
  <c r="L29" i="12" s="1"/>
  <c r="F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H72" i="12" l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G133" i="12"/>
  <c r="I34" i="12"/>
  <c r="J35" i="12" s="1"/>
  <c r="L35" i="12" s="1"/>
  <c r="F35" i="12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l="1"/>
  <c r="L49" i="12" s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L56" i="12" s="1"/>
  <c r="F56" i="12"/>
  <c r="I56" i="12" l="1"/>
  <c r="J57" i="12" s="1"/>
  <c r="L57" i="12" s="1"/>
  <c r="F57" i="12"/>
  <c r="I57" i="12" l="1"/>
  <c r="J58" i="12" s="1"/>
  <c r="L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 s="1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L83" i="12" s="1"/>
  <c r="I82" i="12"/>
  <c r="I83" i="12" l="1"/>
  <c r="K84" i="12"/>
  <c r="L84" i="12" s="1"/>
  <c r="K85" i="12" l="1"/>
  <c r="L85" i="12" s="1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L89" i="12" s="1"/>
  <c r="I88" i="12"/>
  <c r="K90" i="12" l="1"/>
  <c r="L90" i="12" s="1"/>
  <c r="I89" i="12"/>
  <c r="K91" i="12" l="1"/>
  <c r="L91" i="12" s="1"/>
  <c r="I90" i="12"/>
  <c r="K92" i="12" l="1"/>
  <c r="L92" i="12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L101" i="12" s="1"/>
  <c r="I100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L105" i="12" s="1"/>
  <c r="I104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I108" i="12"/>
  <c r="L109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L125" i="12" s="1"/>
  <c r="I124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I128" i="12"/>
  <c r="L129" i="12"/>
  <c r="K130" i="12" l="1"/>
  <c r="L130" i="12" s="1"/>
  <c r="I129" i="12"/>
  <c r="I130" i="12" l="1"/>
  <c r="K131" i="12"/>
  <c r="L131" i="12" s="1"/>
  <c r="K132" i="12" l="1"/>
  <c r="K133" i="12" s="1"/>
  <c r="I131" i="12"/>
  <c r="L132" i="12" l="1"/>
  <c r="I132" i="12" s="1"/>
  <c r="P40" i="4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48" i="11"/>
  <c r="S67" i="1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P44" i="4" s="1"/>
  <c r="A52" i="6"/>
  <c r="A53" i="6" s="1"/>
  <c r="A54" i="6" s="1"/>
  <c r="A58" i="6" s="1"/>
  <c r="A60" i="6" s="1"/>
  <c r="P30" i="4" l="1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 s="1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M55" i="4" s="1"/>
  <c r="N53" i="4"/>
  <c r="N55" i="4" s="1"/>
  <c r="P49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E39" i="3" s="1"/>
  <c r="J27" i="4"/>
  <c r="J28" i="4" s="1"/>
  <c r="J51" i="4"/>
  <c r="P51" i="4" s="1"/>
  <c r="K55" i="4"/>
  <c r="G11" i="1" l="1"/>
  <c r="J53" i="4"/>
  <c r="P53" i="4" s="1"/>
  <c r="E38" i="3"/>
  <c r="E40" i="3" s="1"/>
  <c r="B38" i="3"/>
  <c r="P28" i="4"/>
  <c r="P27" i="4"/>
  <c r="G24" i="3" s="1"/>
  <c r="G33" i="3" s="1"/>
  <c r="B39" i="3"/>
  <c r="H11" i="1" l="1"/>
  <c r="C39" i="3"/>
  <c r="C38" i="3"/>
  <c r="G15" i="1" l="1"/>
  <c r="G23" i="1" s="1"/>
  <c r="J55" i="4"/>
  <c r="G25" i="1" l="1"/>
  <c r="G33" i="1" s="1"/>
  <c r="H15" i="1"/>
  <c r="H23" i="1" s="1"/>
  <c r="A11" i="9"/>
  <c r="H25" i="1" l="1"/>
  <c r="H33" i="1" s="1"/>
  <c r="D23" i="9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49" i="1"/>
  <c r="A51" i="1" s="1"/>
  <c r="A53" i="1" s="1"/>
  <c r="A39" i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H39" i="1" s="1"/>
  <c r="F25" i="2"/>
  <c r="F29" i="2" s="1"/>
  <c r="C29" i="2"/>
  <c r="H43" i="1" l="1"/>
  <c r="H42" i="1"/>
  <c r="G39" i="1"/>
  <c r="G42" i="1" l="1"/>
  <c r="G43" i="1"/>
  <c r="H44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H51" i="1" l="1"/>
  <c r="H53" i="1" s="1"/>
  <c r="G53" i="1"/>
  <c r="G58" i="1" l="1"/>
  <c r="H9" i="2" s="1"/>
  <c r="G57" i="1"/>
  <c r="H58" i="1"/>
  <c r="H9" i="15" s="1"/>
  <c r="H57" i="1"/>
  <c r="G9" i="15" l="1"/>
  <c r="H59" i="1"/>
  <c r="H21" i="15"/>
  <c r="H23" i="15"/>
  <c r="H25" i="15"/>
  <c r="H27" i="15"/>
  <c r="H22" i="15"/>
  <c r="K22" i="15" s="1"/>
  <c r="H24" i="15"/>
  <c r="K24" i="15" s="1"/>
  <c r="H20" i="15"/>
  <c r="H26" i="15"/>
  <c r="G9" i="2"/>
  <c r="G59" i="1"/>
  <c r="H20" i="2"/>
  <c r="H23" i="2"/>
  <c r="H25" i="2"/>
  <c r="H27" i="2"/>
  <c r="H24" i="2"/>
  <c r="K24" i="2" s="1"/>
  <c r="H22" i="2"/>
  <c r="K22" i="2" s="1"/>
  <c r="H21" i="2"/>
  <c r="H26" i="2"/>
  <c r="H29" i="2" l="1"/>
  <c r="G20" i="2"/>
  <c r="G22" i="2"/>
  <c r="I22" i="2" s="1"/>
  <c r="M22" i="2" s="1"/>
  <c r="N22" i="2" s="1"/>
  <c r="G21" i="2"/>
  <c r="K21" i="2" s="1"/>
  <c r="M21" i="2" s="1"/>
  <c r="N21" i="2" s="1"/>
  <c r="I9" i="2"/>
  <c r="G25" i="2"/>
  <c r="K25" i="2" s="1"/>
  <c r="M25" i="2" s="1"/>
  <c r="N25" i="2" s="1"/>
  <c r="G27" i="2"/>
  <c r="K27" i="2" s="1"/>
  <c r="M27" i="2" s="1"/>
  <c r="N27" i="2" s="1"/>
  <c r="G26" i="2"/>
  <c r="K26" i="2" s="1"/>
  <c r="M26" i="2" s="1"/>
  <c r="N26" i="2" s="1"/>
  <c r="G24" i="2"/>
  <c r="I24" i="2" s="1"/>
  <c r="M24" i="2" s="1"/>
  <c r="N24" i="2" s="1"/>
  <c r="G23" i="2"/>
  <c r="K23" i="2" s="1"/>
  <c r="M23" i="2" s="1"/>
  <c r="N23" i="2" s="1"/>
  <c r="H29" i="15"/>
  <c r="G21" i="15"/>
  <c r="K21" i="15" s="1"/>
  <c r="M21" i="15" s="1"/>
  <c r="N21" i="15" s="1"/>
  <c r="G22" i="15"/>
  <c r="I22" i="15" s="1"/>
  <c r="M22" i="15" s="1"/>
  <c r="N22" i="15" s="1"/>
  <c r="G26" i="15"/>
  <c r="K26" i="15" s="1"/>
  <c r="M26" i="15" s="1"/>
  <c r="N26" i="15" s="1"/>
  <c r="G20" i="15"/>
  <c r="G23" i="15"/>
  <c r="K23" i="15" s="1"/>
  <c r="M23" i="15" s="1"/>
  <c r="N23" i="15" s="1"/>
  <c r="G24" i="15"/>
  <c r="I24" i="15" s="1"/>
  <c r="M24" i="15" s="1"/>
  <c r="N24" i="15" s="1"/>
  <c r="G25" i="15"/>
  <c r="K25" i="15" s="1"/>
  <c r="M25" i="15" s="1"/>
  <c r="N25" i="15" s="1"/>
  <c r="G27" i="15"/>
  <c r="K27" i="15" s="1"/>
  <c r="M27" i="15" s="1"/>
  <c r="N27" i="15" s="1"/>
  <c r="I9" i="15"/>
  <c r="G29" i="2" l="1"/>
  <c r="K20" i="2"/>
  <c r="M20" i="2" s="1"/>
  <c r="K20" i="15"/>
  <c r="M20" i="15" s="1"/>
  <c r="G29" i="15"/>
  <c r="N20" i="15" l="1"/>
  <c r="N29" i="15" s="1"/>
  <c r="M29" i="15"/>
  <c r="N20" i="2"/>
  <c r="N29" i="2" s="1"/>
  <c r="M29" i="2"/>
</calcChain>
</file>

<file path=xl/sharedStrings.xml><?xml version="1.0" encoding="utf-8"?>
<sst xmlns="http://schemas.openxmlformats.org/spreadsheetml/2006/main" count="799" uniqueCount="366">
  <si>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</si>
  <si>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</si>
  <si>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</si>
  <si>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</si>
  <si>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</si>
  <si>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</si>
  <si>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</si>
  <si>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</si>
  <si>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</si>
  <si>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</si>
  <si>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</si>
  <si>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</si>
  <si>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</si>
  <si>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</si>
  <si>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</si>
  <si>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</si>
  <si>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</si>
  <si>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</si>
  <si>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</si>
  <si>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</si>
  <si>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</si>
  <si>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</si>
  <si>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</si>
  <si>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</si>
  <si>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</si>
  <si>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</si>
  <si>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</si>
  <si>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</si>
  <si>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</si>
  <si>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</si>
  <si>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</si>
  <si>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</si>
  <si>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</si>
  <si>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</si>
  <si>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</si>
  <si>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</si>
  <si>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</si>
  <si>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</si>
  <si>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</si>
  <si>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</si>
  <si>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</si>
  <si>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</si>
  <si>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</si>
  <si>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</si>
  <si>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</si>
  <si>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</si>
  <si>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</si>
  <si>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</si>
  <si>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</si>
  <si>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</si>
  <si>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</si>
  <si>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</si>
  <si>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</si>
  <si>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</si>
  <si>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</si>
  <si>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</si>
  <si>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</si>
  <si>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</si>
  <si>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</si>
  <si>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</si>
  <si>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</si>
  <si>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</si>
  <si>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</si>
  <si>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</si>
  <si>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</si>
  <si>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</si>
  <si>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</si>
  <si>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</si>
  <si>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</si>
  <si>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</si>
  <si>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</si>
  <si>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</si>
  <si>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</si>
  <si>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</si>
  <si>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</si>
  <si>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</si>
  <si>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</si>
  <si>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</si>
  <si>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</si>
  <si>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</si>
  <si>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</si>
  <si>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</si>
  <si>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</si>
  <si>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</si>
  <si>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</si>
  <si>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</si>
  <si>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</si>
  <si>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</si>
  <si>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</si>
  <si>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</si>
  <si>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</si>
  <si>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</si>
  <si>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</si>
  <si>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</si>
  <si>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</si>
  <si>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</si>
  <si>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</si>
  <si>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</si>
  <si>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</si>
  <si>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</si>
  <si>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</si>
  <si>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</si>
  <si>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</si>
  <si>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</si>
  <si>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</si>
  <si>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</si>
  <si>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</si>
  <si>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</si>
  <si>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</si>
  <si>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</si>
  <si>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</si>
  <si>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</si>
  <si>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</si>
  <si>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</si>
  <si>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</si>
  <si>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</si>
  <si>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</si>
  <si>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</si>
  <si>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</si>
  <si>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</si>
  <si>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</si>
  <si>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</si>
  <si>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</si>
  <si>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</si>
  <si>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</si>
  <si>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</si>
  <si>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</si>
  <si>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</si>
  <si>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</si>
  <si>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</si>
  <si>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</si>
  <si>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</si>
  <si>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</si>
  <si>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</si>
  <si>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</si>
  <si>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</si>
  <si>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</si>
  <si>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</si>
  <si>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</si>
  <si>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</si>
  <si>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</si>
  <si>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</si>
  <si>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</si>
  <si>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</si>
  <si>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</si>
  <si>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</si>
  <si>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</si>
  <si>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</si>
  <si>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</si>
  <si>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</si>
  <si>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</si>
  <si>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</si>
  <si>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</si>
  <si>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</si>
  <si>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</si>
  <si>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</si>
  <si>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</si>
  <si>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</si>
  <si>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</si>
  <si>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</si>
  <si>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</si>
  <si>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</si>
  <si>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</si>
  <si>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</si>
  <si>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</si>
  <si>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</si>
  <si>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</si>
  <si>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</si>
  <si>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</si>
  <si>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</si>
  <si>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</si>
  <si>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</si>
  <si>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</si>
  <si>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</si>
  <si>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</si>
  <si>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</si>
  <si>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</si>
  <si>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</si>
  <si>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</si>
  <si>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</si>
  <si>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</si>
  <si>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</si>
  <si>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</si>
  <si>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</si>
  <si>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</si>
  <si>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</si>
  <si>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</si>
  <si>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</si>
  <si>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</si>
  <si>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</si>
  <si>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</si>
  <si>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</si>
  <si>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</si>
  <si>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</si>
  <si>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</si>
  <si>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</si>
  <si>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</si>
  <si>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</si>
  <si>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</si>
  <si>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</si>
  <si>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</si>
  <si>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</si>
  <si>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</si>
  <si>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</si>
  <si>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</si>
  <si>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</si>
  <si>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</si>
  <si>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</si>
  <si>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</si>
  <si>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</si>
  <si>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</si>
  <si>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</si>
  <si>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</si>
  <si>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</si>
  <si>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</si>
  <si>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</si>
  <si>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</si>
  <si>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</si>
  <si>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</si>
  <si>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</si>
  <si>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</si>
  <si>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</si>
  <si>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</si>
  <si>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</si>
  <si>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</si>
  <si>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</si>
  <si>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</si>
  <si>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</si>
  <si>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</si>
  <si>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</si>
  <si>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</si>
  <si>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</si>
  <si>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</si>
  <si>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</si>
  <si>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</si>
  <si>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</si>
  <si>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</si>
  <si>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</si>
  <si>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</si>
  <si>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</si>
  <si>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</si>
  <si>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</si>
  <si>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</si>
  <si>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</si>
  <si>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</si>
  <si>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</si>
  <si>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</si>
  <si>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</si>
  <si>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</si>
  <si>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</si>
  <si>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</si>
  <si>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</si>
  <si>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</si>
  <si>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</si>
  <si>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</si>
  <si>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</si>
  <si>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</si>
  <si>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</si>
  <si>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</si>
  <si>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</si>
  <si>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</si>
  <si>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</si>
  <si>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</si>
  <si>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</si>
  <si>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</si>
  <si>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</si>
  <si>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</si>
  <si>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</si>
  <si>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</si>
  <si>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</si>
  <si>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</si>
  <si>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</si>
  <si>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</si>
  <si>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</si>
  <si>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</si>
  <si>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</si>
  <si>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</si>
  <si>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</si>
  <si>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</si>
  <si>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</si>
  <si>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</si>
  <si>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</si>
  <si>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</si>
  <si>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</si>
  <si>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</si>
  <si>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</si>
  <si>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</si>
  <si>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</si>
  <si>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</si>
  <si>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</si>
  <si>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</si>
  <si>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</si>
  <si>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</si>
  <si>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</si>
  <si>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</si>
  <si>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</si>
  <si>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</si>
  <si>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</si>
  <si>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</si>
  <si>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</si>
  <si>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Phase 1</t>
  </si>
  <si>
    <t>Phase 2</t>
  </si>
  <si>
    <t>N/A This Filing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</si>
  <si>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</si>
  <si>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</si>
  <si>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</si>
  <si>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</si>
  <si>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</si>
  <si>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</si>
  <si>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</si>
  <si>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</si>
  <si>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</si>
  <si>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</si>
  <si>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</si>
  <si>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</si>
  <si>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</si>
  <si>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</si>
  <si>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</si>
  <si>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</si>
  <si>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</si>
  <si>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</si>
  <si>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</si>
  <si>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</si>
  <si>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</si>
  <si>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</si>
  <si>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</si>
  <si>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For  October 2023 Billing through ~January 14, 2024</t>
  </si>
  <si>
    <t>Actual June 2023 Over/Under Recovery Balance - Form 3.0a (Excluding amount to be securitized)</t>
  </si>
  <si>
    <t>For ~January 15, 2024 through New Rates</t>
  </si>
  <si>
    <t>d = c / 12-month amortization period</t>
  </si>
  <si>
    <t>Monthly Amortization - Oct 21 - Sept 22</t>
  </si>
  <si>
    <t>c = a + b</t>
  </si>
  <si>
    <t>Total Regulatory Asset</t>
  </si>
  <si>
    <t>Cumulative Total as of Q2 2021</t>
  </si>
  <si>
    <t>Total for Q2 2021</t>
  </si>
  <si>
    <t>June 1 - June 18 Deferral</t>
  </si>
  <si>
    <t>May 2021 Deferral</t>
  </si>
  <si>
    <t>April 2021 Deferral</t>
  </si>
  <si>
    <t>Cumulative Deferral</t>
  </si>
  <si>
    <t>Monthly Carrying Charge</t>
  </si>
  <si>
    <t>Cumulative Deferral Before Carrying Charge</t>
  </si>
  <si>
    <t>Monthly Interest Expense to Defer</t>
  </si>
  <si>
    <t>Deferral Period</t>
  </si>
  <si>
    <t>Total as of Q1 2021</t>
  </si>
  <si>
    <t>March 2021 Deferral</t>
  </si>
  <si>
    <t>February 2021 Deferral</t>
  </si>
  <si>
    <t>January 14 - January 31 Deferral</t>
  </si>
  <si>
    <t>Monthly Carrying Charge Rate</t>
  </si>
  <si>
    <t>February 22, 2021 order on rehearing, page 28</t>
  </si>
  <si>
    <t>Annual Carrying Charge Rate</t>
  </si>
  <si>
    <t>Monthly Jurisdictional Interest Expense Eligible for Deferral</t>
  </si>
  <si>
    <t>Application Section V, Workpaper S-3, Line 8</t>
  </si>
  <si>
    <t>GP-TOT Jurisdictional Allocation Factor</t>
  </si>
  <si>
    <t>Monthly Interest Expense Eligible for Deferral</t>
  </si>
  <si>
    <t>Months in Year</t>
  </si>
  <si>
    <t>Annual Interest Expense Eligible for Deferral</t>
  </si>
  <si>
    <t>Annual Interest Expense in Authorized Capital Structure</t>
  </si>
  <si>
    <t>KPSC Ordered Interest Rate in Authorized Capital Structure</t>
  </si>
  <si>
    <t>Application Section V, Workpaper S-3 Pg 2 of 4, Line 2</t>
  </si>
  <si>
    <t>Actual Annual Interest Expense</t>
  </si>
  <si>
    <t>Actual Interest Rate</t>
  </si>
  <si>
    <t>Maturity Date</t>
  </si>
  <si>
    <t>Senior Unsecured Notes - Principal Amount</t>
  </si>
  <si>
    <t>Reference</t>
  </si>
  <si>
    <t>Amount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</si>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</sst>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0.00000%"/>
    <numFmt numFmtId="185" formatCode="&quot;$&quot;#,##0.00"/>
    <numFmt numFmtId="186" formatCode="* #,##0.00;* \(#,##0.00\);* &quot;—&quot;;_(@_)"/>
    <numFmt numFmtId="187" formatCode="#0.000_)%;\(#0.000\)%;&quot;—&quot;_)\%;_(@_)"/>
    <numFmt numFmtId="188" formatCode="#0;&quot;-&quot;#0;#0;_(@_)"/>
    <numFmt numFmtId="189" formatCode="* #,##0.000;* \(#,##0.000\);* &quot;—&quot;;_(@_)"/>
    <numFmt numFmtId="190" formatCode="* #,##0;* \(#,##0\);* &quot;—&quot;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0"/>
      <name val="Arial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</fonts>
  <fills count="32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CCEE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9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  <xf numFmtId="0" fontId="66" fillId="0" borderId="0"/>
    <xf numFmtId="0" fontId="70" fillId="0" borderId="0" applyBorder="0">
      <alignment wrapText="1"/>
    </xf>
  </cellStyleXfs>
  <cellXfs count="414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4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3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1" xfId="54" applyNumberFormat="1" applyFont="1" applyFill="1" applyBorder="1"/>
    <xf numFmtId="171" fontId="39" fillId="0" borderId="0" xfId="0" applyNumberFormat="1" applyFont="1" applyFill="1" applyBorder="1"/>
    <xf numFmtId="182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171" fontId="39" fillId="0" borderId="0" xfId="54" applyNumberFormat="1" applyFont="1" applyFill="1" applyBorder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60" fillId="0" borderId="0" xfId="0" applyFont="1" applyFill="1" applyAlignment="1"/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50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1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2" fillId="25" borderId="0" xfId="56" applyNumberFormat="1" applyFont="1" applyFill="1" applyBorder="1"/>
    <xf numFmtId="10" fontId="42" fillId="25" borderId="0" xfId="56" applyNumberFormat="1" applyFont="1" applyFill="1" applyBorder="1"/>
    <xf numFmtId="10" fontId="62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1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3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4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5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5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171" fontId="4" fillId="28" borderId="0" xfId="0" applyNumberFormat="1" applyFont="1" applyFill="1" applyBorder="1"/>
    <xf numFmtId="15" fontId="0" fillId="0" borderId="0" xfId="0" applyNumberFormat="1"/>
    <xf numFmtId="0" fontId="0" fillId="0" borderId="0" xfId="0" applyNumberFormat="1"/>
    <xf numFmtId="0" fontId="66" fillId="0" borderId="0" xfId="789"/>
    <xf numFmtId="0" fontId="4" fillId="0" borderId="0" xfId="789" applyFont="1"/>
    <xf numFmtId="43" fontId="67" fillId="0" borderId="0" xfId="789" applyNumberFormat="1" applyFont="1"/>
    <xf numFmtId="0" fontId="68" fillId="0" borderId="0" xfId="789" applyFont="1" applyAlignment="1">
      <alignment wrapText="1"/>
    </xf>
    <xf numFmtId="43" fontId="27" fillId="29" borderId="0" xfId="789" applyNumberFormat="1" applyFont="1" applyFill="1"/>
    <xf numFmtId="0" fontId="69" fillId="0" borderId="0" xfId="789" applyFont="1" applyAlignment="1">
      <alignment wrapText="1"/>
    </xf>
    <xf numFmtId="0" fontId="70" fillId="0" borderId="29" xfId="789" applyFont="1" applyBorder="1" applyAlignment="1">
      <alignment wrapText="1"/>
    </xf>
    <xf numFmtId="0" fontId="71" fillId="0" borderId="29" xfId="789" applyFont="1" applyBorder="1" applyAlignment="1">
      <alignment horizontal="center" wrapText="1"/>
    </xf>
    <xf numFmtId="0" fontId="70" fillId="0" borderId="29" xfId="789" applyFont="1" applyBorder="1" applyAlignment="1">
      <alignment horizontal="center" wrapText="1"/>
    </xf>
    <xf numFmtId="0" fontId="70" fillId="0" borderId="30" xfId="789" applyFont="1" applyBorder="1" applyAlignment="1">
      <alignment wrapText="1"/>
    </xf>
    <xf numFmtId="0" fontId="72" fillId="30" borderId="31" xfId="789" applyFont="1" applyFill="1" applyBorder="1" applyAlignment="1">
      <alignment wrapText="1"/>
    </xf>
    <xf numFmtId="186" fontId="72" fillId="29" borderId="31" xfId="789" applyNumberFormat="1" applyFont="1" applyFill="1" applyBorder="1" applyAlignment="1">
      <alignment wrapText="1"/>
    </xf>
    <xf numFmtId="0" fontId="72" fillId="0" borderId="31" xfId="789" applyFont="1" applyBorder="1" applyAlignment="1">
      <alignment wrapText="1"/>
    </xf>
    <xf numFmtId="186" fontId="72" fillId="0" borderId="31" xfId="789" applyNumberFormat="1" applyFont="1" applyBorder="1" applyAlignment="1">
      <alignment wrapText="1"/>
    </xf>
    <xf numFmtId="186" fontId="70" fillId="0" borderId="31" xfId="789" applyNumberFormat="1" applyFont="1" applyBorder="1" applyAlignment="1">
      <alignment wrapText="1"/>
    </xf>
    <xf numFmtId="0" fontId="70" fillId="0" borderId="31" xfId="789" applyFont="1" applyBorder="1" applyAlignment="1">
      <alignment wrapText="1"/>
    </xf>
    <xf numFmtId="0" fontId="70" fillId="31" borderId="31" xfId="789" applyFont="1" applyFill="1" applyBorder="1" applyAlignment="1">
      <alignment horizontal="center" wrapText="1"/>
    </xf>
    <xf numFmtId="0" fontId="70" fillId="31" borderId="31" xfId="789" applyFont="1" applyFill="1" applyBorder="1" applyAlignment="1">
      <alignment wrapText="1"/>
    </xf>
    <xf numFmtId="0" fontId="70" fillId="0" borderId="0" xfId="790">
      <alignment wrapText="1"/>
    </xf>
    <xf numFmtId="0" fontId="70" fillId="30" borderId="31" xfId="789" applyFont="1" applyFill="1" applyBorder="1" applyAlignment="1">
      <alignment wrapText="1"/>
    </xf>
    <xf numFmtId="187" fontId="70" fillId="0" borderId="31" xfId="789" applyNumberFormat="1" applyFont="1" applyBorder="1" applyAlignment="1">
      <alignment horizontal="right" wrapText="1"/>
    </xf>
    <xf numFmtId="188" fontId="70" fillId="0" borderId="31" xfId="789" applyNumberFormat="1" applyFont="1" applyBorder="1" applyAlignment="1">
      <alignment horizontal="center" wrapText="1"/>
    </xf>
    <xf numFmtId="189" fontId="70" fillId="0" borderId="31" xfId="789" applyNumberFormat="1" applyFont="1" applyBorder="1" applyAlignment="1">
      <alignment wrapText="1"/>
    </xf>
    <xf numFmtId="188" fontId="70" fillId="0" borderId="31" xfId="789" applyNumberFormat="1" applyFont="1" applyBorder="1" applyAlignment="1">
      <alignment horizontal="right" wrapText="1"/>
    </xf>
    <xf numFmtId="0" fontId="70" fillId="0" borderId="31" xfId="789" applyFont="1" applyBorder="1" applyAlignment="1">
      <alignment horizontal="right" wrapText="1"/>
    </xf>
    <xf numFmtId="0" fontId="70" fillId="0" borderId="31" xfId="789" applyFont="1" applyBorder="1" applyAlignment="1">
      <alignment horizontal="center" wrapText="1"/>
    </xf>
    <xf numFmtId="14" fontId="70" fillId="0" borderId="31" xfId="789" applyNumberFormat="1" applyFont="1" applyBorder="1" applyAlignment="1">
      <alignment horizontal="right" wrapText="1"/>
    </xf>
    <xf numFmtId="190" fontId="70" fillId="0" borderId="31" xfId="789" applyNumberFormat="1" applyFont="1" applyBorder="1" applyAlignment="1">
      <alignment wrapText="1"/>
    </xf>
    <xf numFmtId="0" fontId="72" fillId="31" borderId="31" xfId="789" applyFont="1" applyFill="1" applyBorder="1" applyAlignment="1">
      <alignment wrapText="1"/>
    </xf>
    <xf numFmtId="0" fontId="72" fillId="31" borderId="31" xfId="789" applyFont="1" applyFill="1" applyBorder="1" applyAlignment="1">
      <alignment horizontal="center" wrapText="1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</cellXfs>
  <cellStyles count="791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15" xfId="789" xr:uid="{715647D4-897A-4575-A5BE-59D128CF1537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able (Normal)" xfId="790" xr:uid="{10057D7A-DA67-4B0D-88B2-6033068C0769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24</xdr:row>
      <xdr:rowOff>57150</xdr:rowOff>
    </xdr:from>
    <xdr:ext cx="5489407" cy="6699815"/>
    <xdr:pic>
      <xdr:nvPicPr>
        <xdr:cNvPr id="2" name="Picture 1">
          <a:extLst>
            <a:ext uri="{FF2B5EF4-FFF2-40B4-BE49-F238E27FC236}">
              <a16:creationId xmlns:a16="http://schemas.microsoft.com/office/drawing/2014/main" id="{8465DEE3-F944-4B37-9270-3888AEE7A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43350"/>
          <a:ext cx="5489407" cy="6699815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56</xdr:row>
      <xdr:rowOff>28575</xdr:rowOff>
    </xdr:from>
    <xdr:ext cx="5479880" cy="2577163"/>
    <xdr:pic>
      <xdr:nvPicPr>
        <xdr:cNvPr id="3" name="Picture 2">
          <a:extLst>
            <a:ext uri="{FF2B5EF4-FFF2-40B4-BE49-F238E27FC236}">
              <a16:creationId xmlns:a16="http://schemas.microsoft.com/office/drawing/2014/main" id="{A450EDA6-4256-477E-AF94-2B6B08F8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9096375"/>
          <a:ext cx="5479880" cy="25771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zoomScaleNormal="100" workbookViewId="0">
      <selection activeCell="K18" sqref="K18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5.28515625" style="49" bestFit="1" customWidth="1"/>
    <col min="8" max="8" width="13.140625" style="46" bestFit="1" customWidth="1"/>
    <col min="9" max="9" width="14.7109375" style="46" customWidth="1"/>
    <col min="10" max="10" width="12.85546875" style="46" bestFit="1" customWidth="1"/>
    <col min="11" max="11" width="13.28515625" style="46" bestFit="1" customWidth="1"/>
    <col min="12" max="12" width="21.42578125" style="46" bestFit="1" customWidth="1"/>
    <col min="13" max="13" width="43.5703125" style="46" bestFit="1" customWidth="1"/>
    <col min="14" max="14" width="13.28515625" style="46" bestFit="1" customWidth="1"/>
    <col min="15" max="15" width="10" style="46" bestFit="1" customWidth="1"/>
    <col min="16" max="16" width="9.140625" style="46"/>
    <col min="17" max="17" width="12.5703125" style="46" bestFit="1" customWidth="1"/>
    <col min="18" max="18" width="9.140625" style="46"/>
    <col min="19" max="19" width="10" style="46" bestFit="1" customWidth="1"/>
    <col min="20" max="16384" width="9.140625" style="46"/>
  </cols>
  <sheetData>
    <row r="1" spans="1:19">
      <c r="G1" s="48" t="s">
        <v>96</v>
      </c>
    </row>
    <row r="3" spans="1:19">
      <c r="A3" s="402" t="s">
        <v>0</v>
      </c>
      <c r="B3" s="402"/>
      <c r="C3" s="402"/>
      <c r="D3" s="402"/>
      <c r="E3" s="402"/>
      <c r="F3" s="402"/>
      <c r="G3" s="402"/>
    </row>
    <row r="4" spans="1:19">
      <c r="A4" s="401" t="s">
        <v>251</v>
      </c>
      <c r="B4" s="401"/>
      <c r="C4" s="401"/>
      <c r="D4" s="401"/>
      <c r="E4" s="401"/>
      <c r="F4" s="401"/>
      <c r="G4" s="401"/>
    </row>
    <row r="5" spans="1:19">
      <c r="A5" s="401" t="s">
        <v>295</v>
      </c>
      <c r="B5" s="401"/>
      <c r="C5" s="401"/>
      <c r="D5" s="401"/>
      <c r="E5" s="401"/>
      <c r="F5" s="401"/>
      <c r="G5" s="401"/>
    </row>
    <row r="6" spans="1:19" ht="12.75" customHeight="1">
      <c r="A6" s="402"/>
      <c r="B6" s="402"/>
      <c r="C6" s="402"/>
      <c r="D6" s="402"/>
      <c r="E6" s="402"/>
      <c r="F6" s="402"/>
      <c r="G6" s="402"/>
    </row>
    <row r="7" spans="1:19">
      <c r="A7" s="84"/>
      <c r="B7" s="84"/>
      <c r="C7" s="84"/>
      <c r="D7" s="84"/>
      <c r="E7" s="84"/>
      <c r="F7" s="84"/>
      <c r="G7" s="84"/>
      <c r="L7" s="47"/>
      <c r="M7" s="47"/>
    </row>
    <row r="8" spans="1:19">
      <c r="A8" s="84"/>
      <c r="B8" s="84"/>
      <c r="C8" s="84"/>
      <c r="D8" s="84"/>
      <c r="E8" s="84"/>
      <c r="F8" s="84"/>
      <c r="G8" s="84"/>
      <c r="L8" s="47"/>
      <c r="M8" s="47"/>
    </row>
    <row r="9" spans="1:19">
      <c r="A9" s="50" t="s">
        <v>103</v>
      </c>
      <c r="B9" s="50" t="s">
        <v>2</v>
      </c>
      <c r="G9" s="50" t="s">
        <v>300</v>
      </c>
      <c r="H9" s="50" t="s">
        <v>301</v>
      </c>
      <c r="I9" s="244"/>
    </row>
    <row r="10" spans="1:19" ht="5.25" customHeight="1">
      <c r="A10" s="50"/>
      <c r="B10" s="50"/>
      <c r="G10" s="50"/>
      <c r="H10" s="50"/>
    </row>
    <row r="11" spans="1:19" s="83" customFormat="1">
      <c r="A11" s="51">
        <v>-1</v>
      </c>
      <c r="B11" s="400" t="s">
        <v>303</v>
      </c>
      <c r="C11" s="400"/>
      <c r="D11" s="400"/>
      <c r="E11" s="400"/>
      <c r="F11" s="400"/>
      <c r="G11" s="85">
        <f>'PPA Form 3.0'!G22+'PPA Form 3.0'!G29+'PPA Form 3.0'!G31+'PPA Form 3.0'!G28</f>
        <v>133102318.71000001</v>
      </c>
      <c r="H11" s="85">
        <f>G11</f>
        <v>133102318.71000001</v>
      </c>
      <c r="K11" s="86"/>
      <c r="L11" s="87"/>
      <c r="M11" s="88"/>
    </row>
    <row r="12" spans="1:19" s="83" customFormat="1">
      <c r="A12" s="326"/>
      <c r="B12" s="325"/>
      <c r="C12" s="325"/>
      <c r="D12" s="325"/>
      <c r="E12" s="325"/>
      <c r="F12" s="325"/>
      <c r="G12" s="85"/>
      <c r="H12" s="85"/>
      <c r="L12" s="87"/>
      <c r="M12" s="88"/>
    </row>
    <row r="13" spans="1:19" s="83" customFormat="1" ht="14.45" customHeight="1">
      <c r="A13" s="51">
        <f>A11-1</f>
        <v>-2</v>
      </c>
      <c r="B13" s="89" t="s">
        <v>169</v>
      </c>
      <c r="C13" s="325"/>
      <c r="D13" s="325"/>
      <c r="E13" s="325"/>
      <c r="F13" s="325"/>
      <c r="G13" s="85">
        <f>'PPA Form 3.0'!G23+'PPA Form 3.0'!G30</f>
        <v>98165700</v>
      </c>
      <c r="H13" s="85">
        <f>G13</f>
        <v>98165700</v>
      </c>
      <c r="I13" s="88"/>
      <c r="K13" s="88"/>
      <c r="L13" s="87"/>
      <c r="M13" s="88"/>
    </row>
    <row r="14" spans="1:19" s="83" customFormat="1">
      <c r="A14" s="326"/>
      <c r="B14" s="325"/>
      <c r="C14" s="325"/>
      <c r="D14" s="325"/>
      <c r="E14" s="325"/>
      <c r="F14" s="325"/>
      <c r="G14" s="85"/>
      <c r="H14" s="85"/>
      <c r="L14" s="87"/>
      <c r="M14" s="88"/>
    </row>
    <row r="15" spans="1:19" s="83" customFormat="1">
      <c r="A15" s="51">
        <f>A13-1</f>
        <v>-3</v>
      </c>
      <c r="B15" s="89" t="s">
        <v>276</v>
      </c>
      <c r="C15" s="325"/>
      <c r="D15" s="325"/>
      <c r="E15" s="325"/>
      <c r="F15" s="325"/>
      <c r="G15" s="85">
        <f>'PPA Form 3.0'!G33</f>
        <v>34936618.710000008</v>
      </c>
      <c r="H15" s="85">
        <f>G15</f>
        <v>34936618.710000008</v>
      </c>
      <c r="K15" s="88"/>
      <c r="L15" s="87"/>
      <c r="M15" s="88"/>
      <c r="S15" s="88"/>
    </row>
    <row r="16" spans="1:19" s="83" customFormat="1">
      <c r="A16" s="51"/>
      <c r="B16" s="89"/>
      <c r="C16" s="325"/>
      <c r="D16" s="325"/>
      <c r="E16" s="325"/>
      <c r="F16" s="325"/>
      <c r="G16" s="85"/>
      <c r="H16" s="85"/>
      <c r="K16" s="90"/>
      <c r="L16" s="87"/>
      <c r="M16" s="88"/>
    </row>
    <row r="17" spans="1:13" s="83" customFormat="1">
      <c r="A17" s="51">
        <f>A15-1</f>
        <v>-4</v>
      </c>
      <c r="B17" s="89" t="s">
        <v>304</v>
      </c>
      <c r="C17" s="325"/>
      <c r="D17" s="325"/>
      <c r="E17" s="325"/>
      <c r="F17" s="325"/>
      <c r="G17" s="85">
        <v>0</v>
      </c>
      <c r="H17" s="85">
        <f>G17</f>
        <v>0</v>
      </c>
      <c r="K17" s="90"/>
      <c r="L17" s="87"/>
      <c r="M17" s="88"/>
    </row>
    <row r="18" spans="1:13" s="83" customFormat="1">
      <c r="A18" s="51"/>
      <c r="B18" s="89"/>
      <c r="C18" s="325"/>
      <c r="D18" s="325"/>
      <c r="E18" s="325"/>
      <c r="F18" s="325"/>
      <c r="G18" s="85"/>
      <c r="H18" s="85"/>
      <c r="L18" s="87"/>
      <c r="M18" s="88"/>
    </row>
    <row r="19" spans="1:13" s="83" customFormat="1">
      <c r="A19" s="324" t="s">
        <v>324</v>
      </c>
      <c r="B19" s="89" t="s">
        <v>173</v>
      </c>
      <c r="C19" s="89"/>
      <c r="D19" s="325"/>
      <c r="E19" s="325"/>
      <c r="F19" s="325"/>
      <c r="G19" s="85">
        <f>-'Ln 5 and Ln 13'!B3</f>
        <v>-40831141</v>
      </c>
      <c r="H19" s="85">
        <v>0</v>
      </c>
      <c r="L19" s="87"/>
      <c r="M19" s="88"/>
    </row>
    <row r="20" spans="1:13" s="83" customFormat="1">
      <c r="A20" s="51"/>
      <c r="B20" s="89"/>
      <c r="C20" s="325"/>
      <c r="D20" s="325"/>
      <c r="E20" s="325"/>
      <c r="F20" s="325"/>
      <c r="G20" s="85"/>
      <c r="H20" s="85"/>
      <c r="L20" s="87"/>
      <c r="M20" s="88"/>
    </row>
    <row r="21" spans="1:13" s="83" customFormat="1">
      <c r="A21" s="324" t="s">
        <v>325</v>
      </c>
      <c r="B21" s="89" t="s">
        <v>299</v>
      </c>
      <c r="C21" s="325"/>
      <c r="D21" s="325"/>
      <c r="E21" s="325"/>
      <c r="F21" s="325"/>
      <c r="G21" s="85">
        <f>-('Ln 5 and Ln 13'!B5/106)*365</f>
        <v>-8857661.2008962315</v>
      </c>
      <c r="H21" s="85">
        <v>0</v>
      </c>
      <c r="L21" s="87"/>
      <c r="M21" s="88"/>
    </row>
    <row r="22" spans="1:13" s="83" customFormat="1">
      <c r="A22" s="326"/>
      <c r="B22" s="325"/>
      <c r="C22" s="325"/>
      <c r="D22" s="325"/>
      <c r="E22" s="325"/>
      <c r="F22" s="325"/>
      <c r="G22" s="85"/>
      <c r="H22" s="85"/>
      <c r="L22" s="87"/>
      <c r="M22" s="88"/>
    </row>
    <row r="23" spans="1:13" s="83" customFormat="1">
      <c r="A23" s="51">
        <v>-6</v>
      </c>
      <c r="B23" s="83" t="s">
        <v>182</v>
      </c>
      <c r="G23" s="88">
        <f>G15+G17+G19+G21</f>
        <v>-14752183.490896223</v>
      </c>
      <c r="H23" s="88">
        <f>H15+H17+H19+H21</f>
        <v>34936618.710000008</v>
      </c>
      <c r="I23" s="88"/>
      <c r="L23" s="87"/>
      <c r="M23" s="88"/>
    </row>
    <row r="24" spans="1:13" s="83" customFormat="1">
      <c r="A24" s="51"/>
    </row>
    <row r="25" spans="1:13" s="83" customFormat="1">
      <c r="A25" s="51">
        <f>A23-1</f>
        <v>-7</v>
      </c>
      <c r="B25" s="89" t="s">
        <v>271</v>
      </c>
      <c r="C25" s="325"/>
      <c r="D25" s="325"/>
      <c r="E25" s="325"/>
      <c r="F25" s="325"/>
      <c r="G25" s="85">
        <f>G23*0.006093</f>
        <v>-89885.054010030697</v>
      </c>
      <c r="H25" s="85">
        <f>H23*0.006093</f>
        <v>212868.81780003005</v>
      </c>
    </row>
    <row r="26" spans="1:13" s="83" customFormat="1">
      <c r="A26" s="51"/>
      <c r="B26" s="89"/>
      <c r="C26" s="325"/>
      <c r="D26" s="325"/>
      <c r="E26" s="325"/>
      <c r="F26" s="325"/>
      <c r="G26" s="85"/>
      <c r="H26" s="85"/>
    </row>
    <row r="27" spans="1:13">
      <c r="A27" s="51">
        <f>A25-1</f>
        <v>-8</v>
      </c>
      <c r="B27" s="89" t="s">
        <v>183</v>
      </c>
      <c r="C27" s="325"/>
      <c r="D27" s="325"/>
      <c r="E27" s="325"/>
      <c r="F27" s="325"/>
      <c r="G27" s="85">
        <f>'Rockport Deferral'!D5</f>
        <v>13539509.601463126</v>
      </c>
      <c r="H27" s="85">
        <f>G27</f>
        <v>13539509.601463126</v>
      </c>
      <c r="I27" s="83"/>
      <c r="J27" s="83"/>
      <c r="K27" s="83"/>
    </row>
    <row r="28" spans="1:13" s="83" customFormat="1">
      <c r="A28" s="51"/>
      <c r="B28" s="89"/>
      <c r="C28" s="325"/>
      <c r="D28" s="325"/>
      <c r="E28" s="325"/>
      <c r="F28" s="325"/>
      <c r="G28" s="85"/>
      <c r="H28" s="85"/>
    </row>
    <row r="29" spans="1:13" s="83" customFormat="1">
      <c r="A29" s="51">
        <f>A27-1</f>
        <v>-9</v>
      </c>
      <c r="B29" s="89" t="s">
        <v>178</v>
      </c>
      <c r="C29" s="325"/>
      <c r="D29" s="325"/>
      <c r="E29" s="325"/>
      <c r="F29" s="325"/>
      <c r="G29" s="85">
        <v>22785645.301422402</v>
      </c>
      <c r="H29" s="85">
        <v>0</v>
      </c>
      <c r="I29" s="235"/>
    </row>
    <row r="30" spans="1:13" s="83" customFormat="1">
      <c r="A30" s="51"/>
      <c r="B30" s="89"/>
      <c r="C30" s="325"/>
      <c r="D30" s="325"/>
      <c r="E30" s="325"/>
      <c r="F30" s="325"/>
      <c r="G30" s="85"/>
      <c r="H30" s="85"/>
    </row>
    <row r="31" spans="1:13" s="83" customFormat="1">
      <c r="A31" s="51">
        <f>A29-1</f>
        <v>-10</v>
      </c>
      <c r="B31" s="89" t="s">
        <v>179</v>
      </c>
      <c r="C31" s="325"/>
      <c r="D31" s="325"/>
      <c r="E31" s="325"/>
      <c r="F31" s="325"/>
      <c r="G31" s="85">
        <v>0</v>
      </c>
      <c r="H31" s="85">
        <v>0</v>
      </c>
      <c r="I31" s="234" t="s">
        <v>302</v>
      </c>
    </row>
    <row r="32" spans="1:13" s="83" customFormat="1">
      <c r="A32" s="51"/>
      <c r="B32" s="89"/>
      <c r="C32" s="325"/>
      <c r="D32" s="325"/>
      <c r="E32" s="325"/>
      <c r="F32" s="325"/>
      <c r="G32" s="85"/>
      <c r="H32" s="85"/>
    </row>
    <row r="33" spans="1:17" s="83" customFormat="1">
      <c r="A33" s="51">
        <f>A31-1</f>
        <v>-11</v>
      </c>
      <c r="B33" s="89" t="s">
        <v>180</v>
      </c>
      <c r="C33" s="325"/>
      <c r="D33" s="325"/>
      <c r="E33" s="325"/>
      <c r="F33" s="325"/>
      <c r="G33" s="85">
        <f>G23+G25+G27+G29+G31</f>
        <v>21483086.357979275</v>
      </c>
      <c r="H33" s="85">
        <f>H23+H25+H27+H29+H31</f>
        <v>48688997.129263163</v>
      </c>
      <c r="O33" s="88"/>
    </row>
    <row r="34" spans="1:17" s="83" customFormat="1" ht="14.1" customHeight="1">
      <c r="A34" s="51"/>
      <c r="B34" s="89"/>
      <c r="C34" s="325"/>
      <c r="D34" s="325"/>
      <c r="E34" s="325"/>
      <c r="F34" s="325"/>
      <c r="G34" s="85"/>
      <c r="H34" s="85"/>
    </row>
    <row r="35" spans="1:17" s="83" customFormat="1">
      <c r="A35" s="51">
        <f>A33-1</f>
        <v>-12</v>
      </c>
      <c r="B35" s="46" t="s">
        <v>305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J35" s="46"/>
    </row>
    <row r="36" spans="1:17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J36" s="46"/>
      <c r="N36" s="90"/>
    </row>
    <row r="37" spans="1:17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6">
        <f>'Ln 5 and Ln 13'!D26</f>
        <v>19893023.742427956</v>
      </c>
      <c r="H37" s="336">
        <f>G37</f>
        <v>19893023.742427956</v>
      </c>
      <c r="I37" s="235"/>
      <c r="J37" s="46"/>
      <c r="K37" s="46"/>
      <c r="N37" s="88"/>
    </row>
    <row r="38" spans="1:17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J38" s="46"/>
      <c r="K38" s="46"/>
      <c r="N38" s="90"/>
      <c r="Q38" s="90"/>
    </row>
    <row r="39" spans="1:17" s="83" customFormat="1" ht="13.5" thickBot="1">
      <c r="A39" s="51">
        <f>A37-1</f>
        <v>-14</v>
      </c>
      <c r="B39" s="46" t="s">
        <v>252</v>
      </c>
      <c r="C39" s="46"/>
      <c r="D39" s="46"/>
      <c r="E39" s="46"/>
      <c r="F39" s="46"/>
      <c r="G39" s="337">
        <f>G33-G35+G37</f>
        <v>22512202.278082784</v>
      </c>
      <c r="H39" s="337">
        <f>H33-H35+H37</f>
        <v>49718113.049366668</v>
      </c>
      <c r="J39" s="46"/>
      <c r="K39" s="46"/>
    </row>
    <row r="40" spans="1:17" ht="13.5" thickTop="1">
      <c r="H40" s="83"/>
      <c r="I40" s="83"/>
      <c r="J40" s="83"/>
      <c r="K40" s="83"/>
    </row>
    <row r="41" spans="1:17">
      <c r="H41" s="83"/>
      <c r="I41" s="83"/>
      <c r="J41" s="83"/>
      <c r="K41" s="83"/>
    </row>
    <row r="42" spans="1:17">
      <c r="E42" s="45" t="s">
        <v>8</v>
      </c>
      <c r="F42" s="46" t="s">
        <v>3</v>
      </c>
      <c r="G42" s="338">
        <f>G39*'PPA Form 3.0'!$C$38</f>
        <v>21655257.712042764</v>
      </c>
      <c r="H42" s="338">
        <f>H39*'PPA Form 3.0'!$C$38</f>
        <v>47825554.236811139</v>
      </c>
      <c r="I42" s="83"/>
    </row>
    <row r="43" spans="1:17">
      <c r="D43" s="91"/>
      <c r="E43" s="45" t="s">
        <v>9</v>
      </c>
      <c r="F43" s="46" t="s">
        <v>5</v>
      </c>
      <c r="G43" s="339">
        <f>G39*'PPA Form 3.0'!$C$39</f>
        <v>856944.56604002404</v>
      </c>
      <c r="H43" s="339">
        <f>H39*'PPA Form 3.0'!$C$39</f>
        <v>1892558.8125555355</v>
      </c>
      <c r="I43" s="83"/>
    </row>
    <row r="44" spans="1:17">
      <c r="G44" s="53">
        <f>SUM(G42:G43)</f>
        <v>22512202.278082788</v>
      </c>
      <c r="H44" s="53">
        <f>SUM(H42:H43)</f>
        <v>49718113.049366675</v>
      </c>
    </row>
    <row r="45" spans="1:17">
      <c r="D45" s="93"/>
      <c r="E45" s="91"/>
    </row>
    <row r="46" spans="1:17">
      <c r="D46" s="93"/>
      <c r="E46" s="91"/>
    </row>
    <row r="47" spans="1:17">
      <c r="E47" s="93"/>
    </row>
    <row r="48" spans="1:17">
      <c r="A48" s="328"/>
      <c r="B48" s="329"/>
      <c r="C48" s="329"/>
      <c r="D48" s="330"/>
      <c r="E48" s="330"/>
      <c r="F48" s="329"/>
      <c r="G48" s="331"/>
      <c r="H48" s="329"/>
      <c r="I48" s="329"/>
    </row>
    <row r="49" spans="1:10">
      <c r="A49" s="51">
        <f>A35</f>
        <v>-12</v>
      </c>
      <c r="B49" s="89" t="s">
        <v>304</v>
      </c>
      <c r="G49" s="85"/>
      <c r="H49" s="85"/>
      <c r="I49" s="329"/>
    </row>
    <row r="50" spans="1:10">
      <c r="A50" s="51" t="s">
        <v>45</v>
      </c>
      <c r="G50" s="85"/>
      <c r="H50" s="85"/>
      <c r="I50" s="329"/>
    </row>
    <row r="51" spans="1:10">
      <c r="A51" s="51">
        <f>A49-1</f>
        <v>-13</v>
      </c>
      <c r="B51" s="46" t="s">
        <v>327</v>
      </c>
      <c r="G51" s="336">
        <f>'PPA Form 3.0a'!O58-52093669.94-4</f>
        <v>-0.19877548515796661</v>
      </c>
      <c r="H51" s="336">
        <f>G51</f>
        <v>-0.19877548515796661</v>
      </c>
      <c r="I51" s="329"/>
    </row>
    <row r="52" spans="1:10">
      <c r="A52" s="51"/>
      <c r="G52" s="85"/>
      <c r="H52" s="85"/>
      <c r="I52" s="329"/>
    </row>
    <row r="53" spans="1:10" ht="13.5" thickBot="1">
      <c r="A53" s="51">
        <f>A51-1</f>
        <v>-14</v>
      </c>
      <c r="B53" s="46" t="s">
        <v>252</v>
      </c>
      <c r="G53" s="337">
        <f>G33-G49+G51</f>
        <v>21483086.15920379</v>
      </c>
      <c r="H53" s="337">
        <f>H33-H49+H51</f>
        <v>48688996.930487677</v>
      </c>
      <c r="I53" s="329"/>
    </row>
    <row r="54" spans="1:10" ht="13.5" thickTop="1">
      <c r="A54" s="328"/>
      <c r="B54" s="329"/>
      <c r="C54" s="329"/>
      <c r="D54" s="332"/>
      <c r="E54" s="329"/>
      <c r="F54" s="333"/>
      <c r="G54" s="334"/>
      <c r="H54" s="329"/>
      <c r="I54" s="329"/>
    </row>
    <row r="55" spans="1:10">
      <c r="D55" s="94"/>
      <c r="F55" s="95"/>
      <c r="G55" s="96"/>
    </row>
    <row r="56" spans="1:10">
      <c r="D56" s="94"/>
      <c r="F56" s="95"/>
      <c r="G56" s="96"/>
    </row>
    <row r="57" spans="1:10">
      <c r="D57" s="94"/>
      <c r="E57" s="45" t="s">
        <v>8</v>
      </c>
      <c r="F57" s="46" t="s">
        <v>3</v>
      </c>
      <c r="G57" s="338">
        <f>G53*'PPA Form 3.0'!$C$38</f>
        <v>20665315.702164918</v>
      </c>
      <c r="H57" s="338">
        <f>H53*'PPA Form 3.0'!$C$38</f>
        <v>46835612.2269333</v>
      </c>
    </row>
    <row r="58" spans="1:10">
      <c r="D58" s="94"/>
      <c r="E58" s="45" t="s">
        <v>9</v>
      </c>
      <c r="F58" s="46" t="s">
        <v>5</v>
      </c>
      <c r="G58" s="339">
        <f>G53*'PPA Form 3.0'!$C$39</f>
        <v>817770.45703887392</v>
      </c>
      <c r="H58" s="339">
        <f>H53*'PPA Form 3.0'!$C$39</f>
        <v>1853384.7035543856</v>
      </c>
    </row>
    <row r="59" spans="1:10">
      <c r="D59" s="94"/>
      <c r="G59" s="53">
        <f>SUM(G57:G58)</f>
        <v>21483086.159203794</v>
      </c>
      <c r="H59" s="53">
        <f>SUM(H57:H58)</f>
        <v>48688996.930487685</v>
      </c>
      <c r="J59" s="53"/>
    </row>
    <row r="60" spans="1:10">
      <c r="D60" s="94"/>
      <c r="F60" s="95"/>
      <c r="G60" s="96"/>
    </row>
    <row r="61" spans="1:10">
      <c r="D61" s="94"/>
      <c r="F61" s="95"/>
      <c r="G61" s="96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5" activePane="bottomLeft" state="frozen"/>
      <selection pane="bottomLeft" activeCell="X80" sqref="X80"/>
    </sheetView>
  </sheetViews>
  <sheetFormatPr defaultColWidth="8.85546875" defaultRowHeight="12.75"/>
  <cols>
    <col min="1" max="1" width="10.7109375" style="247" customWidth="1"/>
    <col min="2" max="2" width="5" style="248" bestFit="1" customWidth="1"/>
    <col min="3" max="3" width="0.28515625" style="247" customWidth="1"/>
    <col min="4" max="4" width="12.7109375" style="247" customWidth="1"/>
    <col min="5" max="5" width="0.28515625" style="247" customWidth="1"/>
    <col min="6" max="6" width="15.7109375" style="247" customWidth="1"/>
    <col min="7" max="7" width="0.28515625" style="247" customWidth="1"/>
    <col min="8" max="8" width="12.85546875" style="247" customWidth="1"/>
    <col min="9" max="9" width="0.28515625" style="247" customWidth="1"/>
    <col min="10" max="10" width="12.7109375" style="247" customWidth="1"/>
    <col min="11" max="11" width="3.7109375" style="247" customWidth="1"/>
    <col min="12" max="12" width="0.28515625" style="247" customWidth="1"/>
    <col min="13" max="13" width="12.7109375" style="247" customWidth="1"/>
    <col min="14" max="14" width="0.28515625" style="247" customWidth="1"/>
    <col min="15" max="15" width="9.7109375" style="247" customWidth="1"/>
    <col min="16" max="16" width="0.28515625" style="247" customWidth="1"/>
    <col min="17" max="17" width="3.7109375" style="247" customWidth="1"/>
    <col min="18" max="18" width="0.28515625" style="247" customWidth="1"/>
    <col min="19" max="19" width="12" style="247" bestFit="1" customWidth="1"/>
    <col min="20" max="20" width="2.28515625" style="247" customWidth="1"/>
    <col min="21" max="16384" width="8.85546875" style="247"/>
  </cols>
  <sheetData>
    <row r="1" spans="2:20" ht="15" customHeight="1">
      <c r="B1" s="409" t="s">
        <v>71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</row>
    <row r="2" spans="2:20" ht="14.45" customHeight="1">
      <c r="B2" s="410" t="s">
        <v>107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</row>
    <row r="4" spans="2:20">
      <c r="J4" s="248" t="s">
        <v>45</v>
      </c>
    </row>
    <row r="5" spans="2:20" ht="13.5" thickBo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30" customHeight="1" thickBot="1">
      <c r="B6" s="251" t="s">
        <v>46</v>
      </c>
      <c r="C6" s="252"/>
      <c r="D6" s="253" t="s">
        <v>47</v>
      </c>
      <c r="E6" s="254"/>
      <c r="F6" s="255" t="s">
        <v>48</v>
      </c>
      <c r="G6" s="254"/>
      <c r="H6" s="255" t="s">
        <v>49</v>
      </c>
      <c r="I6" s="254"/>
      <c r="J6" s="255" t="s">
        <v>50</v>
      </c>
      <c r="K6" s="256"/>
      <c r="L6" s="254"/>
      <c r="M6" s="255" t="s">
        <v>51</v>
      </c>
      <c r="N6" s="257"/>
      <c r="O6" s="258" t="s">
        <v>52</v>
      </c>
      <c r="P6" s="258"/>
      <c r="Q6" s="257"/>
      <c r="R6" s="257"/>
      <c r="S6" s="259" t="s">
        <v>53</v>
      </c>
      <c r="T6" s="260"/>
    </row>
    <row r="7" spans="2:20" ht="30" customHeight="1" thickBot="1">
      <c r="B7" s="261"/>
      <c r="C7" s="262"/>
      <c r="D7" s="263"/>
      <c r="E7" s="262"/>
      <c r="F7" s="264" t="s">
        <v>98</v>
      </c>
      <c r="G7" s="262"/>
      <c r="H7" s="263"/>
      <c r="I7" s="262"/>
      <c r="J7" s="263"/>
      <c r="K7" s="265"/>
      <c r="L7" s="262"/>
      <c r="M7" s="263"/>
      <c r="N7" s="266"/>
      <c r="O7" s="267"/>
      <c r="P7" s="267"/>
      <c r="Q7" s="266"/>
      <c r="R7" s="266"/>
      <c r="S7" s="268"/>
      <c r="T7" s="260"/>
    </row>
    <row r="8" spans="2:20" ht="12.7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  <c r="L8" s="270"/>
      <c r="M8" s="270"/>
      <c r="N8" s="270"/>
      <c r="O8" s="270"/>
      <c r="P8" s="270"/>
      <c r="Q8" s="270"/>
      <c r="R8" s="270"/>
      <c r="S8" s="272"/>
      <c r="T8" s="250"/>
    </row>
    <row r="9" spans="2:20" ht="15" customHeight="1">
      <c r="B9" s="273">
        <v>1</v>
      </c>
      <c r="C9" s="266"/>
      <c r="D9" s="266" t="s">
        <v>54</v>
      </c>
      <c r="E9" s="266"/>
      <c r="F9" s="274">
        <v>648913758</v>
      </c>
      <c r="G9" s="266"/>
      <c r="H9" s="275">
        <f>ROUND(F9/$F$14,4)-0.01</f>
        <v>0.53449999999999998</v>
      </c>
      <c r="I9" s="266"/>
      <c r="J9" s="276">
        <v>4.36E-2</v>
      </c>
      <c r="K9" s="277"/>
      <c r="L9" s="266"/>
      <c r="M9" s="275">
        <f>ROUND(H9*J9,4)</f>
        <v>2.3300000000000001E-2</v>
      </c>
      <c r="N9" s="266"/>
      <c r="O9" s="278">
        <f>O38</f>
        <v>1.005425</v>
      </c>
      <c r="P9" s="266"/>
      <c r="Q9" s="279"/>
      <c r="R9" s="266"/>
      <c r="S9" s="280">
        <f>ROUND(M9*O9,6)</f>
        <v>2.3425999999999999E-2</v>
      </c>
      <c r="T9" s="281"/>
    </row>
    <row r="10" spans="2:20" ht="15">
      <c r="B10" s="273">
        <f>+B9+1</f>
        <v>2</v>
      </c>
      <c r="C10" s="266"/>
      <c r="D10" s="266" t="s">
        <v>55</v>
      </c>
      <c r="E10" s="266"/>
      <c r="F10" s="274">
        <v>0</v>
      </c>
      <c r="G10" s="266"/>
      <c r="H10" s="275">
        <v>3.2000000000000001E-2</v>
      </c>
      <c r="I10" s="266"/>
      <c r="J10" s="276">
        <v>1.2500000000000001E-2</v>
      </c>
      <c r="K10" s="277"/>
      <c r="L10" s="266"/>
      <c r="M10" s="275">
        <f>ROUND(H10*J10,4)</f>
        <v>4.0000000000000002E-4</v>
      </c>
      <c r="N10" s="266"/>
      <c r="O10" s="278">
        <f>O38</f>
        <v>1.005425</v>
      </c>
      <c r="P10" s="266"/>
      <c r="Q10" s="266"/>
      <c r="R10" s="266"/>
      <c r="S10" s="280">
        <f>ROUND(M10*O10,6)</f>
        <v>4.0200000000000001E-4</v>
      </c>
      <c r="T10" s="281"/>
    </row>
    <row r="11" spans="2:20" ht="33" customHeight="1">
      <c r="B11" s="273">
        <f>+B10+1</f>
        <v>3</v>
      </c>
      <c r="C11" s="266"/>
      <c r="D11" s="262" t="s">
        <v>56</v>
      </c>
      <c r="E11" s="266"/>
      <c r="F11" s="274">
        <v>46105009</v>
      </c>
      <c r="G11" s="266"/>
      <c r="H11" s="275">
        <v>1.67E-2</v>
      </c>
      <c r="I11" s="266"/>
      <c r="J11" s="276">
        <v>1.95E-2</v>
      </c>
      <c r="K11" s="277"/>
      <c r="L11" s="266"/>
      <c r="M11" s="275">
        <f>ROUND(H11*J11,4)</f>
        <v>2.9999999999999997E-4</v>
      </c>
      <c r="N11" s="266"/>
      <c r="O11" s="278">
        <f>O38</f>
        <v>1.005425</v>
      </c>
      <c r="P11" s="266"/>
      <c r="Q11" s="266"/>
      <c r="R11" s="266"/>
      <c r="S11" s="280">
        <f>ROUND(M11*O11,6)</f>
        <v>3.0200000000000002E-4</v>
      </c>
      <c r="T11" s="281"/>
    </row>
    <row r="12" spans="2:20" ht="15">
      <c r="B12" s="273">
        <f>+B11+1</f>
        <v>4</v>
      </c>
      <c r="C12" s="266"/>
      <c r="D12" s="266" t="s">
        <v>57</v>
      </c>
      <c r="E12" s="266"/>
      <c r="F12" s="274">
        <v>496766726</v>
      </c>
      <c r="G12" s="266"/>
      <c r="H12" s="275">
        <f>ROUND(F12/$F$14,4)</f>
        <v>0.4168</v>
      </c>
      <c r="I12" s="266"/>
      <c r="J12" s="282">
        <v>9.7000000000000003E-2</v>
      </c>
      <c r="K12" s="283" t="s">
        <v>58</v>
      </c>
      <c r="L12" s="266"/>
      <c r="M12" s="275">
        <f>ROUND(H12*J12,4)</f>
        <v>4.0399999999999998E-2</v>
      </c>
      <c r="N12" s="266"/>
      <c r="O12" s="284">
        <f>S38</f>
        <v>1.3521160000000001</v>
      </c>
      <c r="P12" s="266"/>
      <c r="Q12" s="285"/>
      <c r="R12" s="266"/>
      <c r="S12" s="280">
        <f>ROUND(M12*O12,6)</f>
        <v>5.4625E-2</v>
      </c>
      <c r="T12" s="281"/>
    </row>
    <row r="13" spans="2:20" ht="15">
      <c r="B13" s="273"/>
      <c r="C13" s="266"/>
      <c r="D13" s="266"/>
      <c r="E13" s="266"/>
      <c r="F13" s="274"/>
      <c r="G13" s="266"/>
      <c r="H13" s="286"/>
      <c r="I13" s="266"/>
      <c r="J13" s="287"/>
      <c r="K13" s="277"/>
      <c r="L13" s="266"/>
      <c r="M13" s="286"/>
      <c r="N13" s="266"/>
      <c r="O13" s="267"/>
      <c r="P13" s="266"/>
      <c r="Q13" s="266"/>
      <c r="R13" s="266"/>
      <c r="S13" s="288"/>
      <c r="T13" s="289"/>
    </row>
    <row r="14" spans="2:20" ht="15">
      <c r="B14" s="273">
        <f>+B12+1</f>
        <v>5</v>
      </c>
      <c r="C14" s="266"/>
      <c r="D14" s="266" t="s">
        <v>59</v>
      </c>
      <c r="E14" s="266"/>
      <c r="F14" s="290">
        <f>SUM(F9:F12)</f>
        <v>1191785493</v>
      </c>
      <c r="G14" s="266"/>
      <c r="H14" s="291">
        <f>SUM(H9:H12)</f>
        <v>1</v>
      </c>
      <c r="I14" s="266"/>
      <c r="J14" s="287"/>
      <c r="K14" s="277"/>
      <c r="L14" s="266"/>
      <c r="M14" s="291" t="s">
        <v>45</v>
      </c>
      <c r="N14" s="266"/>
      <c r="O14" s="266"/>
      <c r="P14" s="266"/>
      <c r="Q14" s="266"/>
      <c r="R14" s="266"/>
      <c r="S14" s="292">
        <f>SUM(S9:S13)</f>
        <v>7.8754999999999992E-2</v>
      </c>
      <c r="T14" s="293"/>
    </row>
    <row r="15" spans="2:20" ht="15">
      <c r="B15" s="273"/>
      <c r="C15" s="266"/>
      <c r="D15" s="266"/>
      <c r="E15" s="266"/>
      <c r="F15" s="266"/>
      <c r="G15" s="266"/>
      <c r="H15" s="266"/>
      <c r="I15" s="266"/>
      <c r="J15" s="266"/>
      <c r="K15" s="277"/>
      <c r="L15" s="266"/>
      <c r="M15" s="266"/>
      <c r="N15" s="266"/>
      <c r="O15" s="266"/>
      <c r="P15" s="266"/>
      <c r="Q15" s="266"/>
      <c r="R15" s="266"/>
      <c r="S15" s="294"/>
      <c r="T15" s="250"/>
    </row>
    <row r="16" spans="2:20" ht="15.75" thickBot="1">
      <c r="B16" s="295"/>
      <c r="C16" s="296"/>
      <c r="D16" s="296"/>
      <c r="E16" s="296"/>
      <c r="F16" s="296"/>
      <c r="G16" s="296"/>
      <c r="H16" s="296"/>
      <c r="I16" s="296"/>
      <c r="J16" s="296"/>
      <c r="K16" s="297"/>
      <c r="L16" s="296"/>
      <c r="M16" s="296"/>
      <c r="N16" s="296"/>
      <c r="O16" s="296"/>
      <c r="P16" s="296"/>
      <c r="Q16" s="296"/>
      <c r="R16" s="296"/>
      <c r="S16" s="298"/>
      <c r="T16" s="250"/>
    </row>
    <row r="17" spans="2:24" hidden="1">
      <c r="B17" s="29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49"/>
      <c r="Q17" s="250"/>
      <c r="R17" s="250"/>
      <c r="S17" s="300"/>
      <c r="T17" s="250"/>
    </row>
    <row r="18" spans="2:24" ht="12" hidden="1" customHeight="1">
      <c r="B18" s="29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49"/>
      <c r="Q18" s="250"/>
      <c r="R18" s="250"/>
      <c r="S18" s="300"/>
      <c r="T18" s="250"/>
    </row>
    <row r="19" spans="2:24" ht="12" customHeight="1"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49"/>
      <c r="Q19" s="250"/>
      <c r="R19" s="250"/>
      <c r="S19" s="250"/>
      <c r="T19" s="250"/>
    </row>
    <row r="20" spans="2:24" ht="12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49"/>
      <c r="Q20" s="250"/>
      <c r="R20" s="250"/>
      <c r="S20" s="250"/>
      <c r="T20" s="250"/>
    </row>
    <row r="21" spans="2:24" ht="12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01" t="s">
        <v>60</v>
      </c>
      <c r="P21" s="301"/>
      <c r="S21" s="301" t="s">
        <v>61</v>
      </c>
      <c r="T21" s="250"/>
    </row>
    <row r="22" spans="2:24" ht="15">
      <c r="B22" s="285">
        <v>6</v>
      </c>
      <c r="C22" s="266"/>
      <c r="D22" s="279" t="s">
        <v>62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302">
        <v>100</v>
      </c>
      <c r="P22" s="266"/>
      <c r="Q22" s="266"/>
      <c r="R22" s="266"/>
      <c r="S22" s="303">
        <f>O22</f>
        <v>100</v>
      </c>
      <c r="T22" s="266"/>
      <c r="U22" s="304"/>
    </row>
    <row r="23" spans="2:24" ht="15">
      <c r="B23" s="285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4"/>
      <c r="U23" s="304"/>
    </row>
    <row r="24" spans="2:24" ht="15">
      <c r="B24" s="285">
        <v>7</v>
      </c>
      <c r="C24" s="304"/>
      <c r="D24" s="306" t="s">
        <v>63</v>
      </c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7">
        <v>0.34</v>
      </c>
      <c r="P24" s="304"/>
      <c r="Q24" s="304"/>
      <c r="R24" s="304"/>
      <c r="S24" s="305">
        <f>O24</f>
        <v>0.34</v>
      </c>
      <c r="T24" s="304"/>
      <c r="U24" s="304"/>
    </row>
    <row r="25" spans="2:24" ht="15">
      <c r="B25" s="285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5"/>
      <c r="T25" s="304"/>
      <c r="U25" s="304"/>
    </row>
    <row r="26" spans="2:24" ht="15">
      <c r="B26" s="285">
        <v>8</v>
      </c>
      <c r="C26" s="304"/>
      <c r="D26" s="306" t="s">
        <v>64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>
        <v>0.1996</v>
      </c>
      <c r="P26" s="304"/>
      <c r="Q26" s="304"/>
      <c r="R26" s="304"/>
      <c r="S26" s="305">
        <f>O26</f>
        <v>0.1996</v>
      </c>
      <c r="T26" s="304"/>
      <c r="U26" s="304"/>
    </row>
    <row r="27" spans="2:24" ht="15">
      <c r="B27" s="285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6" t="s">
        <v>45</v>
      </c>
      <c r="P27" s="304"/>
      <c r="Q27" s="304"/>
      <c r="R27" s="304"/>
      <c r="S27" s="305"/>
      <c r="T27" s="304"/>
      <c r="U27" s="304"/>
    </row>
    <row r="28" spans="2:24" ht="15">
      <c r="B28" s="285">
        <v>9</v>
      </c>
      <c r="C28" s="304"/>
      <c r="D28" s="306" t="s">
        <v>65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7">
        <f>O22-O24-O26</f>
        <v>99.460399999999993</v>
      </c>
      <c r="P28" s="304"/>
      <c r="Q28" s="304"/>
      <c r="R28" s="304"/>
      <c r="S28" s="305">
        <f>S22-S24-S26</f>
        <v>99.460399999999993</v>
      </c>
      <c r="T28" s="304"/>
      <c r="U28" s="304"/>
    </row>
    <row r="29" spans="2:24" ht="15">
      <c r="B29" s="285"/>
      <c r="C29" s="304"/>
      <c r="D29" s="306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5"/>
      <c r="T29" s="304"/>
      <c r="U29" s="304"/>
      <c r="X29" s="247" t="s">
        <v>45</v>
      </c>
    </row>
    <row r="30" spans="2:24" ht="15">
      <c r="B30" s="285">
        <v>10</v>
      </c>
      <c r="C30" s="304"/>
      <c r="D30" s="304" t="s">
        <v>66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248"/>
      <c r="P30" s="304"/>
      <c r="Q30" s="304"/>
      <c r="R30" s="304"/>
      <c r="S30" s="305">
        <f>ROUND(S28*0.058742,6)</f>
        <v>5.8425029999999998</v>
      </c>
      <c r="T30" s="304"/>
      <c r="U30" s="304"/>
    </row>
    <row r="31" spans="2:24" ht="15">
      <c r="B31" s="285"/>
      <c r="C31" s="304"/>
      <c r="D31" s="306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8"/>
      <c r="P31" s="304"/>
      <c r="Q31" s="304"/>
      <c r="R31" s="304"/>
      <c r="S31" s="305"/>
      <c r="T31" s="304"/>
      <c r="U31" s="304"/>
    </row>
    <row r="32" spans="2:24" ht="15">
      <c r="B32" s="285">
        <v>11</v>
      </c>
      <c r="C32" s="304"/>
      <c r="D32" s="304" t="s">
        <v>67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8"/>
      <c r="P32" s="304"/>
      <c r="Q32" s="304"/>
      <c r="R32" s="304"/>
      <c r="S32" s="305">
        <f>S28-S30</f>
        <v>93.617896999999999</v>
      </c>
      <c r="T32" s="304"/>
      <c r="U32" s="304"/>
    </row>
    <row r="33" spans="1:21" ht="15">
      <c r="B33" s="285"/>
      <c r="C33" s="304"/>
      <c r="D33" s="306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5"/>
      <c r="T33" s="304"/>
      <c r="U33" s="304"/>
    </row>
    <row r="34" spans="1:21" ht="15">
      <c r="B34" s="285">
        <f>B32+1</f>
        <v>12</v>
      </c>
      <c r="C34" s="304"/>
      <c r="D34" s="304" t="s">
        <v>228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9">
        <f>S32*0.21</f>
        <v>19.659758369999999</v>
      </c>
      <c r="T34" s="304"/>
      <c r="U34" s="304"/>
    </row>
    <row r="35" spans="1:21" ht="15">
      <c r="B35" s="285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T35" s="304"/>
      <c r="U35" s="304"/>
    </row>
    <row r="36" spans="1:21" ht="15">
      <c r="B36" s="285">
        <f>B34+1</f>
        <v>13</v>
      </c>
      <c r="C36" s="304"/>
      <c r="D36" s="304" t="s">
        <v>68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5">
        <f>S32-S34</f>
        <v>73.958138630000008</v>
      </c>
      <c r="T36" s="304"/>
      <c r="U36" s="304"/>
    </row>
    <row r="37" spans="1:21" ht="15">
      <c r="B37" s="285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10"/>
      <c r="T37" s="304"/>
      <c r="U37" s="304"/>
    </row>
    <row r="38" spans="1:21" ht="15">
      <c r="B38" s="285">
        <f>B36+1</f>
        <v>14</v>
      </c>
      <c r="C38" s="304"/>
      <c r="D38" s="304" t="s">
        <v>69</v>
      </c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11">
        <f>ROUND(100/O28,6)</f>
        <v>1.005425</v>
      </c>
      <c r="P38" s="304"/>
      <c r="Q38" s="304"/>
      <c r="R38" s="304"/>
      <c r="S38" s="312">
        <f>ROUND(100/S36,6)</f>
        <v>1.3521160000000001</v>
      </c>
      <c r="T38" s="304"/>
      <c r="U38" s="304"/>
    </row>
    <row r="39" spans="1:21" ht="15">
      <c r="B39" s="285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10"/>
      <c r="T39" s="304"/>
      <c r="U39" s="304"/>
    </row>
    <row r="40" spans="1:21">
      <c r="A40" s="313"/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6"/>
      <c r="T40" s="304"/>
      <c r="U40" s="304"/>
    </row>
    <row r="41" spans="1:21">
      <c r="A41" s="248" t="s">
        <v>45</v>
      </c>
      <c r="B41" s="308"/>
      <c r="C41" s="304"/>
      <c r="D41" s="247" t="s">
        <v>45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10"/>
      <c r="T41" s="304"/>
      <c r="U41" s="304"/>
    </row>
    <row r="42" spans="1:21" ht="13.5" thickBot="1">
      <c r="A42" s="317" t="s">
        <v>45</v>
      </c>
      <c r="B42" s="318"/>
      <c r="C42" s="266" t="s">
        <v>70</v>
      </c>
      <c r="D42" s="266" t="s">
        <v>45</v>
      </c>
      <c r="E42" s="266"/>
      <c r="F42" s="266"/>
      <c r="G42" s="266"/>
      <c r="O42" s="304"/>
      <c r="P42" s="304"/>
      <c r="Q42" s="304"/>
      <c r="R42" s="304"/>
      <c r="S42" s="304"/>
      <c r="T42" s="304"/>
      <c r="U42" s="304"/>
    </row>
    <row r="43" spans="1:21" ht="26.25" thickBot="1">
      <c r="B43" s="251" t="s">
        <v>46</v>
      </c>
      <c r="C43" s="252"/>
      <c r="D43" s="253" t="s">
        <v>47</v>
      </c>
      <c r="E43" s="254"/>
      <c r="F43" s="255" t="s">
        <v>48</v>
      </c>
      <c r="G43" s="254"/>
      <c r="H43" s="255" t="s">
        <v>49</v>
      </c>
      <c r="I43" s="254"/>
      <c r="J43" s="255" t="s">
        <v>50</v>
      </c>
      <c r="K43" s="256"/>
      <c r="L43" s="254"/>
      <c r="M43" s="255" t="s">
        <v>51</v>
      </c>
      <c r="N43" s="257"/>
      <c r="O43" s="258" t="s">
        <v>52</v>
      </c>
      <c r="P43" s="258"/>
      <c r="Q43" s="257"/>
      <c r="R43" s="257"/>
      <c r="S43" s="259" t="s">
        <v>53</v>
      </c>
      <c r="T43" s="304"/>
      <c r="U43" s="304"/>
    </row>
    <row r="44" spans="1:21" ht="26.25" thickBot="1">
      <c r="B44" s="261"/>
      <c r="C44" s="262"/>
      <c r="D44" s="263"/>
      <c r="E44" s="262"/>
      <c r="F44" s="264" t="s">
        <v>269</v>
      </c>
      <c r="G44" s="262"/>
      <c r="H44" s="263"/>
      <c r="I44" s="262"/>
      <c r="J44" s="263"/>
      <c r="K44" s="265"/>
      <c r="L44" s="262"/>
      <c r="M44" s="263"/>
      <c r="N44" s="266"/>
      <c r="O44" s="267"/>
      <c r="P44" s="267"/>
      <c r="Q44" s="266"/>
      <c r="R44" s="266"/>
      <c r="S44" s="268"/>
      <c r="T44" s="266"/>
      <c r="U44" s="304"/>
    </row>
    <row r="45" spans="1:21">
      <c r="B45" s="269"/>
      <c r="C45" s="270"/>
      <c r="D45" s="270"/>
      <c r="E45" s="270"/>
      <c r="F45" s="270"/>
      <c r="G45" s="270"/>
      <c r="H45" s="270"/>
      <c r="I45" s="270"/>
      <c r="J45" s="270"/>
      <c r="K45" s="271"/>
      <c r="L45" s="270"/>
      <c r="M45" s="270"/>
      <c r="N45" s="270"/>
      <c r="O45" s="270"/>
      <c r="P45" s="270"/>
      <c r="Q45" s="270"/>
      <c r="R45" s="270"/>
      <c r="S45" s="272"/>
      <c r="T45" s="266"/>
      <c r="U45" s="304"/>
    </row>
    <row r="46" spans="1:21" ht="15">
      <c r="B46" s="273">
        <v>1</v>
      </c>
      <c r="C46" s="266"/>
      <c r="D46" s="266" t="s">
        <v>54</v>
      </c>
      <c r="E46" s="266"/>
      <c r="F46" s="274">
        <v>752127351</v>
      </c>
      <c r="G46" s="266"/>
      <c r="H46" s="275">
        <v>0.5373</v>
      </c>
      <c r="I46" s="266"/>
      <c r="J46" s="276">
        <v>3.8899999999999997E-2</v>
      </c>
      <c r="K46" s="277"/>
      <c r="L46" s="266"/>
      <c r="M46" s="275">
        <f>ROUND(H46*J46,4)</f>
        <v>2.0899999999999998E-2</v>
      </c>
      <c r="N46" s="266"/>
      <c r="O46" s="278">
        <f>O75</f>
        <v>1.0060929999999999</v>
      </c>
      <c r="P46" s="266"/>
      <c r="Q46" s="279"/>
      <c r="R46" s="266"/>
      <c r="S46" s="280">
        <f>ROUND(M46*O46,6)</f>
        <v>2.1027000000000001E-2</v>
      </c>
      <c r="T46" s="266"/>
      <c r="U46" s="304"/>
    </row>
    <row r="47" spans="1:21" ht="15">
      <c r="B47" s="273">
        <f>+B46+1</f>
        <v>2</v>
      </c>
      <c r="C47" s="266"/>
      <c r="D47" s="266" t="s">
        <v>55</v>
      </c>
      <c r="E47" s="266"/>
      <c r="F47" s="274">
        <v>0</v>
      </c>
      <c r="G47" s="266"/>
      <c r="H47" s="275">
        <v>0</v>
      </c>
      <c r="I47" s="266"/>
      <c r="J47" s="276">
        <v>2.23E-2</v>
      </c>
      <c r="K47" s="277"/>
      <c r="L47" s="266"/>
      <c r="M47" s="275">
        <f>ROUND(H47*J47,4)</f>
        <v>0</v>
      </c>
      <c r="N47" s="266"/>
      <c r="O47" s="278">
        <f>O75</f>
        <v>1.0060929999999999</v>
      </c>
      <c r="P47" s="266"/>
      <c r="Q47" s="266"/>
      <c r="R47" s="266"/>
      <c r="S47" s="280">
        <f>ROUND(M47*O47,6)</f>
        <v>0</v>
      </c>
      <c r="T47" s="266"/>
      <c r="U47" s="304"/>
    </row>
    <row r="48" spans="1:21" ht="26.25">
      <c r="B48" s="273">
        <f>+B47+1</f>
        <v>3</v>
      </c>
      <c r="C48" s="266"/>
      <c r="D48" s="262" t="s">
        <v>56</v>
      </c>
      <c r="E48" s="266"/>
      <c r="F48" s="274">
        <v>42248832</v>
      </c>
      <c r="G48" s="266"/>
      <c r="H48" s="275">
        <v>3.0200000000000001E-2</v>
      </c>
      <c r="I48" s="266"/>
      <c r="J48" s="276">
        <v>2.8000000000000001E-2</v>
      </c>
      <c r="K48" s="277"/>
      <c r="L48" s="266"/>
      <c r="M48" s="275">
        <f>ROUND(H48*J48,4)</f>
        <v>8.0000000000000004E-4</v>
      </c>
      <c r="N48" s="266"/>
      <c r="O48" s="278">
        <f>O75</f>
        <v>1.0060929999999999</v>
      </c>
      <c r="P48" s="266"/>
      <c r="Q48" s="266"/>
      <c r="R48" s="266"/>
      <c r="S48" s="280">
        <f>ROUND(M48*O48,6)</f>
        <v>8.0500000000000005E-4</v>
      </c>
      <c r="T48" s="266"/>
      <c r="U48" s="304"/>
    </row>
    <row r="49" spans="1:21" ht="15">
      <c r="B49" s="273">
        <f>+B48+1</f>
        <v>4</v>
      </c>
      <c r="C49" s="266"/>
      <c r="D49" s="266" t="s">
        <v>57</v>
      </c>
      <c r="E49" s="266"/>
      <c r="F49" s="274">
        <v>605509950</v>
      </c>
      <c r="G49" s="266"/>
      <c r="H49" s="275">
        <v>0.4325</v>
      </c>
      <c r="I49" s="266"/>
      <c r="J49" s="282">
        <v>9.0999999999999998E-2</v>
      </c>
      <c r="K49" s="283"/>
      <c r="L49" s="266"/>
      <c r="M49" s="275">
        <f>ROUND(H49*J49,4)</f>
        <v>3.9399999999999998E-2</v>
      </c>
      <c r="N49" s="266"/>
      <c r="O49" s="284">
        <f>S75</f>
        <v>1.3527309999999999</v>
      </c>
      <c r="P49" s="266"/>
      <c r="Q49" s="285"/>
      <c r="R49" s="266"/>
      <c r="S49" s="280">
        <f>ROUND(M49*O49,6)</f>
        <v>5.3297999999999998E-2</v>
      </c>
      <c r="T49" s="266"/>
      <c r="U49" s="304"/>
    </row>
    <row r="50" spans="1:21" ht="15">
      <c r="B50" s="273"/>
      <c r="C50" s="266"/>
      <c r="D50" s="266"/>
      <c r="E50" s="266"/>
      <c r="F50" s="274"/>
      <c r="G50" s="266"/>
      <c r="H50" s="286"/>
      <c r="I50" s="266"/>
      <c r="J50" s="287"/>
      <c r="K50" s="277"/>
      <c r="L50" s="266"/>
      <c r="M50" s="286"/>
      <c r="N50" s="266"/>
      <c r="O50" s="267"/>
      <c r="P50" s="266"/>
      <c r="Q50" s="266"/>
      <c r="R50" s="266"/>
      <c r="S50" s="280"/>
      <c r="T50" s="304"/>
      <c r="U50" s="304"/>
    </row>
    <row r="51" spans="1:21" ht="15">
      <c r="B51" s="273">
        <f>+B49+1</f>
        <v>5</v>
      </c>
      <c r="C51" s="266"/>
      <c r="D51" s="266" t="s">
        <v>59</v>
      </c>
      <c r="E51" s="266"/>
      <c r="F51" s="290">
        <f>SUM(F46:F49)</f>
        <v>1399886133</v>
      </c>
      <c r="G51" s="266"/>
      <c r="H51" s="291">
        <f>SUM(H46:H49)</f>
        <v>1</v>
      </c>
      <c r="I51" s="266"/>
      <c r="J51" s="287"/>
      <c r="K51" s="277"/>
      <c r="L51" s="266"/>
      <c r="M51" s="291" t="s">
        <v>45</v>
      </c>
      <c r="N51" s="266"/>
      <c r="O51" s="266"/>
      <c r="P51" s="266"/>
      <c r="Q51" s="266"/>
      <c r="R51" s="266"/>
      <c r="S51" s="319">
        <f>ROUND(SUM(S46:S50),3)</f>
        <v>7.4999999999999997E-2</v>
      </c>
    </row>
    <row r="52" spans="1:21" ht="15">
      <c r="B52" s="273"/>
      <c r="C52" s="266"/>
      <c r="D52" s="266"/>
      <c r="E52" s="266"/>
      <c r="F52" s="266"/>
      <c r="G52" s="266"/>
      <c r="H52" s="266"/>
      <c r="I52" s="266"/>
      <c r="J52" s="266"/>
      <c r="K52" s="277"/>
      <c r="L52" s="266"/>
      <c r="M52" s="266"/>
      <c r="N52" s="266"/>
      <c r="O52" s="266"/>
      <c r="P52" s="266"/>
      <c r="Q52" s="266"/>
      <c r="R52" s="266"/>
      <c r="S52" s="294"/>
    </row>
    <row r="53" spans="1:21" ht="15.75" thickBot="1">
      <c r="B53" s="295"/>
      <c r="C53" s="296"/>
      <c r="D53" s="296"/>
      <c r="E53" s="296"/>
      <c r="F53" s="296"/>
      <c r="G53" s="296"/>
      <c r="H53" s="296"/>
      <c r="I53" s="296"/>
      <c r="J53" s="296"/>
      <c r="K53" s="297"/>
      <c r="L53" s="296"/>
      <c r="M53" s="296"/>
      <c r="N53" s="296"/>
      <c r="O53" s="296"/>
      <c r="P53" s="296"/>
      <c r="Q53" s="296"/>
      <c r="R53" s="296"/>
      <c r="S53" s="298"/>
    </row>
    <row r="54" spans="1:21">
      <c r="A54" s="250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49"/>
      <c r="Q54" s="250"/>
      <c r="R54" s="250"/>
      <c r="S54" s="250"/>
      <c r="T54" s="250"/>
      <c r="U54" s="250"/>
    </row>
    <row r="55" spans="1:21">
      <c r="A55" s="250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49"/>
      <c r="Q55" s="250"/>
      <c r="R55" s="250"/>
      <c r="S55" s="250"/>
      <c r="T55" s="250"/>
      <c r="U55" s="250"/>
    </row>
    <row r="56" spans="1:21">
      <c r="A56" s="250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49"/>
      <c r="Q56" s="250"/>
      <c r="R56" s="250"/>
      <c r="S56" s="250"/>
      <c r="T56" s="250"/>
      <c r="U56" s="250"/>
    </row>
    <row r="57" spans="1:21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49"/>
      <c r="Q57" s="250"/>
      <c r="R57" s="250"/>
      <c r="S57" s="250"/>
    </row>
    <row r="58" spans="1:21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301" t="s">
        <v>60</v>
      </c>
      <c r="P58" s="301"/>
      <c r="S58" s="301" t="s">
        <v>61</v>
      </c>
    </row>
    <row r="59" spans="1:21" ht="15">
      <c r="B59" s="285">
        <v>6</v>
      </c>
      <c r="C59" s="266"/>
      <c r="D59" s="279" t="s">
        <v>62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302">
        <v>100</v>
      </c>
      <c r="P59" s="266"/>
      <c r="Q59" s="266"/>
      <c r="R59" s="266"/>
      <c r="S59" s="302">
        <f>O59</f>
        <v>100</v>
      </c>
    </row>
    <row r="60" spans="1:21" ht="15">
      <c r="B60" s="285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20"/>
    </row>
    <row r="61" spans="1:21" ht="15">
      <c r="B61" s="285">
        <v>7</v>
      </c>
      <c r="C61" s="304"/>
      <c r="D61" s="306" t="s">
        <v>63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7">
        <v>0.41</v>
      </c>
      <c r="P61" s="304"/>
      <c r="Q61" s="304"/>
      <c r="R61" s="304"/>
      <c r="S61" s="320">
        <f>O61</f>
        <v>0.41</v>
      </c>
    </row>
    <row r="62" spans="1:21" ht="15">
      <c r="B62" s="28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20"/>
    </row>
    <row r="63" spans="1:21" ht="15">
      <c r="B63" s="285">
        <v>8</v>
      </c>
      <c r="C63" s="304"/>
      <c r="D63" s="306" t="s">
        <v>64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>
        <v>0.1956</v>
      </c>
      <c r="P63" s="304"/>
      <c r="Q63" s="304"/>
      <c r="R63" s="304"/>
      <c r="S63" s="320">
        <f>O63</f>
        <v>0.1956</v>
      </c>
    </row>
    <row r="64" spans="1:21" ht="15">
      <c r="B64" s="28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6" t="s">
        <v>45</v>
      </c>
      <c r="P64" s="304"/>
      <c r="Q64" s="304"/>
      <c r="R64" s="304"/>
      <c r="S64" s="320"/>
    </row>
    <row r="65" spans="1:19" ht="15">
      <c r="B65" s="285">
        <v>9</v>
      </c>
      <c r="C65" s="304"/>
      <c r="D65" s="306" t="s">
        <v>65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7">
        <f>O59-O61-O63</f>
        <v>99.394400000000005</v>
      </c>
      <c r="P65" s="304"/>
      <c r="Q65" s="304"/>
      <c r="R65" s="304"/>
      <c r="S65" s="320">
        <f>S59-S61-S63</f>
        <v>99.394400000000005</v>
      </c>
    </row>
    <row r="66" spans="1:19" ht="15">
      <c r="B66" s="285"/>
      <c r="C66" s="304"/>
      <c r="D66" s="306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20"/>
    </row>
    <row r="67" spans="1:19" ht="15">
      <c r="B67" s="285">
        <v>10</v>
      </c>
      <c r="C67" s="304"/>
      <c r="D67" s="304" t="s">
        <v>266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248"/>
      <c r="P67" s="304"/>
      <c r="Q67" s="304"/>
      <c r="R67" s="304"/>
      <c r="S67" s="320">
        <f>S65*0.058545</f>
        <v>5.8190451479999998</v>
      </c>
    </row>
    <row r="68" spans="1:19" ht="15">
      <c r="B68" s="285"/>
      <c r="C68" s="304"/>
      <c r="D68" s="306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8"/>
      <c r="P68" s="304"/>
      <c r="Q68" s="304"/>
      <c r="R68" s="304"/>
      <c r="S68" s="320"/>
    </row>
    <row r="69" spans="1:19" ht="15">
      <c r="B69" s="285">
        <v>11</v>
      </c>
      <c r="C69" s="304"/>
      <c r="D69" s="304" t="s">
        <v>267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8"/>
      <c r="P69" s="304"/>
      <c r="Q69" s="304"/>
      <c r="R69" s="304"/>
      <c r="S69" s="320">
        <f>S65-S67</f>
        <v>93.575354852000004</v>
      </c>
    </row>
    <row r="70" spans="1:19" ht="15">
      <c r="B70" s="28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21"/>
    </row>
    <row r="71" spans="1:19" ht="15">
      <c r="B71" s="285">
        <v>12</v>
      </c>
      <c r="C71" s="304"/>
      <c r="D71" s="304" t="s">
        <v>268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21">
        <f>S69*0.21</f>
        <v>19.65082451892</v>
      </c>
    </row>
    <row r="72" spans="1:19" ht="15">
      <c r="B72" s="285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20"/>
    </row>
    <row r="73" spans="1:19" ht="15">
      <c r="B73" s="285">
        <v>13</v>
      </c>
      <c r="C73" s="304"/>
      <c r="D73" s="304" t="s">
        <v>68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20">
        <f>S69-S71</f>
        <v>73.92453033308</v>
      </c>
    </row>
    <row r="74" spans="1:19" ht="15">
      <c r="B74" s="28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19" ht="15">
      <c r="B75" s="285">
        <v>14</v>
      </c>
      <c r="C75" s="304"/>
      <c r="D75" s="304" t="s">
        <v>69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11">
        <f>ROUND(100/O65,6)</f>
        <v>1.0060929999999999</v>
      </c>
      <c r="P75" s="304"/>
      <c r="Q75" s="304"/>
      <c r="R75" s="304"/>
      <c r="S75" s="304">
        <f>ROUND(100/S73,6)</f>
        <v>1.3527309999999999</v>
      </c>
    </row>
    <row r="80" spans="1:19" ht="33" customHeight="1">
      <c r="A80" s="322" t="s">
        <v>187</v>
      </c>
      <c r="B80" s="308"/>
      <c r="C80" s="304"/>
      <c r="D80" s="411" t="s">
        <v>270</v>
      </c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291</v>
      </c>
      <c r="T2" s="176" t="s">
        <v>292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293</v>
      </c>
      <c r="T6" s="186">
        <f>T3/12</f>
        <v>6.3500000000000006E-3</v>
      </c>
      <c r="U6" s="176" t="s">
        <v>293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412"/>
      <c r="D8" s="412"/>
      <c r="E8" s="412"/>
      <c r="F8" s="412"/>
      <c r="G8" s="412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294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294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184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185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186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18" sqref="D18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68.42578125" style="46" customWidth="1"/>
    <col min="7" max="7" width="15.85546875" style="46" bestFit="1" customWidth="1"/>
    <col min="8" max="16384" width="9.140625" style="46"/>
  </cols>
  <sheetData>
    <row r="1" spans="1:7">
      <c r="B1" s="54" t="s">
        <v>168</v>
      </c>
    </row>
    <row r="2" spans="1:7">
      <c r="B2" s="54" t="s">
        <v>286</v>
      </c>
    </row>
    <row r="3" spans="1:7">
      <c r="B3" s="200"/>
    </row>
    <row r="4" spans="1:7">
      <c r="B4" s="54"/>
    </row>
    <row r="5" spans="1:7">
      <c r="B5" s="54"/>
    </row>
    <row r="6" spans="1:7">
      <c r="A6" s="51">
        <v>-1</v>
      </c>
      <c r="B6" s="54" t="s">
        <v>173</v>
      </c>
    </row>
    <row r="7" spans="1:7">
      <c r="A7" s="51"/>
      <c r="B7" s="54"/>
      <c r="C7" s="46" t="s">
        <v>181</v>
      </c>
      <c r="D7" s="201">
        <v>40831141.109999999</v>
      </c>
    </row>
    <row r="8" spans="1:7">
      <c r="A8" s="51"/>
      <c r="B8" s="54"/>
    </row>
    <row r="9" spans="1:7">
      <c r="B9" s="54"/>
    </row>
    <row r="10" spans="1:7">
      <c r="B10" s="54"/>
    </row>
    <row r="11" spans="1:7">
      <c r="A11" s="51">
        <f>A6-1</f>
        <v>-2</v>
      </c>
      <c r="B11" s="54" t="s">
        <v>170</v>
      </c>
    </row>
    <row r="12" spans="1:7">
      <c r="A12" s="51"/>
      <c r="B12" s="54"/>
      <c r="D12" s="413" t="s">
        <v>176</v>
      </c>
      <c r="E12" s="413"/>
    </row>
    <row r="13" spans="1:7" ht="13.5">
      <c r="C13" s="202" t="s">
        <v>158</v>
      </c>
      <c r="D13" s="202" t="s">
        <v>174</v>
      </c>
      <c r="E13" s="202" t="s">
        <v>175</v>
      </c>
      <c r="F13" s="202" t="s">
        <v>114</v>
      </c>
      <c r="G13" s="202"/>
    </row>
    <row r="14" spans="1:7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206" t="s">
        <v>287</v>
      </c>
      <c r="F14" s="207" t="s">
        <v>288</v>
      </c>
    </row>
    <row r="15" spans="1:7" s="205" customFormat="1" ht="38.25">
      <c r="A15" s="203"/>
      <c r="B15" s="204" t="s">
        <v>117</v>
      </c>
      <c r="C15" s="208" t="s">
        <v>167</v>
      </c>
      <c r="D15" s="209">
        <v>881014063.745</v>
      </c>
      <c r="E15" s="209" t="s">
        <v>287</v>
      </c>
      <c r="F15" s="207" t="s">
        <v>289</v>
      </c>
    </row>
    <row r="16" spans="1:7">
      <c r="B16" s="47" t="s">
        <v>166</v>
      </c>
      <c r="C16" s="46" t="s">
        <v>165</v>
      </c>
      <c r="D16" s="44">
        <f>D14/D15</f>
        <v>7.3880917435433402E-2</v>
      </c>
      <c r="E16" s="201" t="s">
        <v>287</v>
      </c>
      <c r="F16" s="46" t="s">
        <v>158</v>
      </c>
    </row>
    <row r="17" spans="1:6">
      <c r="B17" s="47"/>
      <c r="D17" s="210"/>
      <c r="E17" s="210"/>
    </row>
    <row r="18" spans="1:6">
      <c r="B18" s="47" t="s">
        <v>123</v>
      </c>
      <c r="C18" s="46" t="s">
        <v>164</v>
      </c>
      <c r="D18" s="44">
        <v>9.2999999999999999E-2</v>
      </c>
      <c r="E18" s="44"/>
      <c r="F18" s="211" t="s">
        <v>290</v>
      </c>
    </row>
    <row r="19" spans="1:6">
      <c r="B19" s="47"/>
    </row>
    <row r="20" spans="1:6">
      <c r="B20" s="47"/>
      <c r="C20" s="46" t="s">
        <v>163</v>
      </c>
      <c r="D20" s="212"/>
      <c r="E20" s="212"/>
    </row>
    <row r="21" spans="1:6">
      <c r="B21" s="47"/>
      <c r="C21" s="46" t="s">
        <v>162</v>
      </c>
      <c r="D21" s="213"/>
      <c r="E21" s="213"/>
    </row>
    <row r="22" spans="1:6">
      <c r="B22" s="47"/>
      <c r="C22" s="92"/>
      <c r="D22" s="214"/>
      <c r="E22" s="214"/>
    </row>
    <row r="23" spans="1:6" ht="25.5">
      <c r="B23" s="47" t="s">
        <v>161</v>
      </c>
      <c r="C23" s="215" t="s">
        <v>171</v>
      </c>
      <c r="D23" s="216">
        <f>(D18*D15)-D14</f>
        <v>16844180.625285</v>
      </c>
      <c r="E23" s="217" t="s">
        <v>287</v>
      </c>
      <c r="F23" s="46" t="s">
        <v>158</v>
      </c>
    </row>
    <row r="24" spans="1:6">
      <c r="B24" s="47"/>
      <c r="C24" s="92"/>
      <c r="D24" s="218"/>
      <c r="E24" s="218"/>
    </row>
    <row r="25" spans="1:6">
      <c r="B25" s="47" t="s">
        <v>128</v>
      </c>
      <c r="C25" s="92" t="s">
        <v>160</v>
      </c>
      <c r="D25" s="211">
        <v>1.3527309999999999</v>
      </c>
      <c r="E25" s="219"/>
      <c r="F25" s="211" t="s">
        <v>290</v>
      </c>
    </row>
    <row r="26" spans="1:6" ht="13.5">
      <c r="B26" s="220"/>
      <c r="C26" s="221"/>
      <c r="D26" s="222"/>
      <c r="E26" s="222"/>
    </row>
    <row r="27" spans="1:6">
      <c r="B27" s="47" t="s">
        <v>159</v>
      </c>
      <c r="C27" s="46" t="s">
        <v>176</v>
      </c>
      <c r="D27" s="223">
        <f>D25*D23</f>
        <v>22785645.301422402</v>
      </c>
      <c r="E27" s="224" t="s">
        <v>287</v>
      </c>
      <c r="F27" s="46" t="s">
        <v>158</v>
      </c>
    </row>
    <row r="29" spans="1:6" ht="13.5">
      <c r="B29" s="220" t="s">
        <v>157</v>
      </c>
      <c r="C29" s="225" t="s">
        <v>156</v>
      </c>
      <c r="D29" s="226">
        <f>D27</f>
        <v>22785645.301422402</v>
      </c>
      <c r="E29" s="227"/>
    </row>
    <row r="31" spans="1:6">
      <c r="A31" s="51">
        <v>-3</v>
      </c>
      <c r="B31" s="54" t="s">
        <v>177</v>
      </c>
      <c r="D31" s="201"/>
      <c r="E31" s="224" t="s">
        <v>287</v>
      </c>
    </row>
    <row r="33" spans="4:4">
      <c r="D33" s="46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H26"/>
  <sheetViews>
    <sheetView zoomScale="130" zoomScaleNormal="130" workbookViewId="0">
      <selection activeCell="B5" sqref="B5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  <col min="8" max="8" width="9.5703125" bestFit="1" customWidth="1"/>
  </cols>
  <sheetData>
    <row r="1" spans="1:8">
      <c r="A1" s="237" t="s">
        <v>314</v>
      </c>
      <c r="B1" s="238"/>
      <c r="C1" s="240"/>
      <c r="D1" s="240"/>
    </row>
    <row r="2" spans="1:8">
      <c r="A2" s="228"/>
      <c r="B2" s="228"/>
    </row>
    <row r="3" spans="1:8">
      <c r="A3" s="236" t="s">
        <v>296</v>
      </c>
      <c r="B3" s="229">
        <v>40831141</v>
      </c>
    </row>
    <row r="4" spans="1:8">
      <c r="A4" s="89" t="s">
        <v>297</v>
      </c>
      <c r="B4" s="72">
        <f>(B3*B11)+B3</f>
        <v>43403502.883000001</v>
      </c>
    </row>
    <row r="5" spans="1:8">
      <c r="A5" s="228"/>
      <c r="B5" s="229">
        <f>B4-B3</f>
        <v>2572361.8830000013</v>
      </c>
    </row>
    <row r="6" spans="1:8" ht="15.75" thickBot="1">
      <c r="A6" s="228"/>
      <c r="B6" s="228"/>
      <c r="H6" s="368"/>
    </row>
    <row r="7" spans="1:8">
      <c r="A7" s="228"/>
      <c r="B7" s="230" t="s">
        <v>298</v>
      </c>
      <c r="H7" s="368"/>
    </row>
    <row r="8" spans="1:8">
      <c r="A8" s="228"/>
      <c r="B8" s="231">
        <v>44903</v>
      </c>
      <c r="H8" s="369"/>
    </row>
    <row r="9" spans="1:8">
      <c r="A9" s="228"/>
      <c r="B9" s="231">
        <v>44926</v>
      </c>
    </row>
    <row r="10" spans="1:8">
      <c r="A10" s="228"/>
      <c r="B10" s="232">
        <f>B9-B8</f>
        <v>23</v>
      </c>
    </row>
    <row r="11" spans="1:8" ht="15.75" thickBot="1">
      <c r="A11" s="228"/>
      <c r="B11" s="233">
        <f>ROUND(B10/365,4)</f>
        <v>6.3E-2</v>
      </c>
    </row>
    <row r="15" spans="1:8">
      <c r="A15" s="239" t="s">
        <v>315</v>
      </c>
      <c r="B15" s="240"/>
      <c r="C15" s="240"/>
      <c r="D15" s="240"/>
    </row>
    <row r="17" spans="1:4">
      <c r="A17" s="236" t="s">
        <v>318</v>
      </c>
    </row>
    <row r="18" spans="1:4">
      <c r="A18" s="236" t="s">
        <v>319</v>
      </c>
      <c r="B18" s="229">
        <v>23062819.814075403</v>
      </c>
      <c r="C18" s="241">
        <f>3/12</f>
        <v>0.25</v>
      </c>
      <c r="D18" s="229">
        <f>B18*C18</f>
        <v>5765704.9535188507</v>
      </c>
    </row>
    <row r="19" spans="1:4">
      <c r="C19" s="241"/>
      <c r="D19" s="229"/>
    </row>
    <row r="20" spans="1:4">
      <c r="A20" s="236" t="s">
        <v>317</v>
      </c>
      <c r="C20" s="242"/>
      <c r="D20" s="229"/>
    </row>
    <row r="21" spans="1:4">
      <c r="A21" s="236" t="s">
        <v>316</v>
      </c>
      <c r="B21" s="229">
        <v>28713558.517867979</v>
      </c>
      <c r="C21" s="241">
        <f>3/12</f>
        <v>0.25</v>
      </c>
      <c r="D21" s="229">
        <f>B21*C21</f>
        <v>7178389.6294669947</v>
      </c>
    </row>
    <row r="22" spans="1:4">
      <c r="C22" s="242"/>
      <c r="D22" s="229"/>
    </row>
    <row r="23" spans="1:4">
      <c r="A23" s="236" t="s">
        <v>320</v>
      </c>
      <c r="C23" s="242"/>
      <c r="D23" s="229"/>
    </row>
    <row r="24" spans="1:4">
      <c r="A24" s="236" t="s">
        <v>321</v>
      </c>
      <c r="B24" s="229">
        <v>13897858.318884226</v>
      </c>
      <c r="C24" s="241">
        <f>6/12</f>
        <v>0.5</v>
      </c>
      <c r="D24" s="229">
        <f>B24*C24</f>
        <v>6948929.1594421128</v>
      </c>
    </row>
    <row r="25" spans="1:4">
      <c r="D25" s="229"/>
    </row>
    <row r="26" spans="1:4">
      <c r="A26" s="236" t="s">
        <v>322</v>
      </c>
      <c r="D26" s="229">
        <f>SUM(D18:D24)</f>
        <v>19893023.742427956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A05D-1EBC-4758-A843-F2C116931F40}">
  <sheetPr>
    <tabColor rgb="FFCCFFFF"/>
  </sheetPr>
  <dimension ref="A1:K51"/>
  <sheetViews>
    <sheetView showRuler="0" zoomScale="85" zoomScaleNormal="85" workbookViewId="0">
      <selection activeCell="K25" sqref="K25"/>
    </sheetView>
  </sheetViews>
  <sheetFormatPr defaultColWidth="13.7109375" defaultRowHeight="12.75"/>
  <cols>
    <col min="1" max="1" width="8.7109375" style="370" customWidth="1"/>
    <col min="2" max="2" width="55.85546875" style="370" customWidth="1"/>
    <col min="3" max="3" width="13.7109375" style="370"/>
    <col min="4" max="4" width="51.28515625" style="370" customWidth="1"/>
    <col min="5" max="5" width="3.7109375" style="370" customWidth="1"/>
    <col min="6" max="6" width="39.140625" style="370" bestFit="1" customWidth="1"/>
    <col min="7" max="7" width="14.85546875" style="370" customWidth="1"/>
    <col min="8" max="16384" width="13.7109375" style="370"/>
  </cols>
  <sheetData>
    <row r="1" spans="1:10" ht="15" customHeight="1"/>
    <row r="2" spans="1:10" ht="15" customHeight="1"/>
    <row r="3" spans="1:10" ht="15" customHeight="1"/>
    <row r="4" spans="1:10" ht="15" customHeight="1"/>
    <row r="5" spans="1:10" ht="15" customHeight="1"/>
    <row r="6" spans="1:10" ht="15" customHeight="1">
      <c r="A6" s="399" t="s">
        <v>365</v>
      </c>
      <c r="B6" s="398" t="s">
        <v>2</v>
      </c>
      <c r="C6" s="399" t="s">
        <v>364</v>
      </c>
      <c r="D6" s="398" t="s">
        <v>363</v>
      </c>
      <c r="E6" s="379"/>
      <c r="F6" s="388"/>
      <c r="G6" s="388"/>
      <c r="H6" s="388"/>
      <c r="I6" s="388"/>
      <c r="J6" s="388"/>
    </row>
    <row r="7" spans="1:10" ht="15" customHeight="1">
      <c r="A7" s="391">
        <v>1</v>
      </c>
      <c r="B7" s="385" t="s">
        <v>362</v>
      </c>
      <c r="C7" s="397">
        <v>40000000</v>
      </c>
      <c r="D7" s="385" t="s">
        <v>358</v>
      </c>
      <c r="E7" s="379"/>
      <c r="F7" s="388"/>
      <c r="G7" s="388"/>
      <c r="H7" s="388"/>
      <c r="I7" s="388"/>
      <c r="J7" s="388"/>
    </row>
    <row r="8" spans="1:10" ht="15" customHeight="1">
      <c r="A8" s="391">
        <f>A7+1</f>
        <v>2</v>
      </c>
      <c r="B8" s="385" t="s">
        <v>361</v>
      </c>
      <c r="C8" s="396">
        <v>44365</v>
      </c>
      <c r="D8" s="385" t="s">
        <v>358</v>
      </c>
      <c r="E8" s="379"/>
      <c r="F8" s="388"/>
      <c r="G8" s="388"/>
      <c r="H8" s="388"/>
      <c r="I8" s="388"/>
      <c r="J8" s="388"/>
    </row>
    <row r="9" spans="1:10" ht="15" customHeight="1">
      <c r="A9" s="395"/>
      <c r="B9" s="385"/>
      <c r="C9" s="394"/>
      <c r="D9" s="385"/>
      <c r="E9" s="379"/>
      <c r="F9" s="388"/>
      <c r="G9" s="388"/>
      <c r="H9" s="388"/>
      <c r="I9" s="388"/>
      <c r="J9" s="388"/>
    </row>
    <row r="10" spans="1:10" ht="15" customHeight="1">
      <c r="A10" s="391">
        <v>3</v>
      </c>
      <c r="B10" s="385" t="s">
        <v>360</v>
      </c>
      <c r="C10" s="390">
        <v>7.3189936616156998E-2</v>
      </c>
      <c r="D10" s="385" t="s">
        <v>358</v>
      </c>
      <c r="E10" s="379"/>
    </row>
    <row r="11" spans="1:10" ht="15" customHeight="1">
      <c r="A11" s="391">
        <v>4</v>
      </c>
      <c r="B11" s="385" t="s">
        <v>359</v>
      </c>
      <c r="C11" s="384">
        <f>C7*C10</f>
        <v>2927597.4646462798</v>
      </c>
      <c r="D11" s="385" t="s">
        <v>358</v>
      </c>
      <c r="E11" s="379"/>
    </row>
    <row r="12" spans="1:10" ht="15" customHeight="1">
      <c r="A12" s="395"/>
      <c r="B12" s="385"/>
      <c r="C12" s="394"/>
      <c r="D12" s="385"/>
      <c r="E12" s="379"/>
    </row>
    <row r="13" spans="1:10" ht="15" customHeight="1">
      <c r="A13" s="391">
        <v>5</v>
      </c>
      <c r="B13" s="385" t="s">
        <v>357</v>
      </c>
      <c r="C13" s="390">
        <v>3.5400000000000001E-2</v>
      </c>
      <c r="D13" s="385" t="s">
        <v>348</v>
      </c>
      <c r="E13" s="379"/>
    </row>
    <row r="14" spans="1:10" ht="15" customHeight="1">
      <c r="A14" s="391">
        <v>6</v>
      </c>
      <c r="B14" s="385" t="s">
        <v>356</v>
      </c>
      <c r="C14" s="384">
        <f>C7*C13</f>
        <v>1416000</v>
      </c>
      <c r="D14" s="389"/>
      <c r="E14" s="379"/>
    </row>
    <row r="15" spans="1:10" ht="15" customHeight="1">
      <c r="A15" s="395"/>
      <c r="B15" s="385"/>
      <c r="C15" s="394"/>
      <c r="D15" s="385"/>
      <c r="E15" s="379"/>
    </row>
    <row r="16" spans="1:10" ht="15" customHeight="1">
      <c r="A16" s="391">
        <v>7</v>
      </c>
      <c r="B16" s="385" t="s">
        <v>355</v>
      </c>
      <c r="C16" s="384">
        <f>C11-C14</f>
        <v>1511597.4646462798</v>
      </c>
      <c r="D16" s="389"/>
      <c r="E16" s="379"/>
    </row>
    <row r="17" spans="1:11" ht="15" customHeight="1">
      <c r="A17" s="391">
        <v>8</v>
      </c>
      <c r="B17" s="385" t="s">
        <v>354</v>
      </c>
      <c r="C17" s="393">
        <v>12</v>
      </c>
      <c r="D17" s="389"/>
      <c r="E17" s="379"/>
    </row>
    <row r="18" spans="1:11" ht="15" customHeight="1">
      <c r="A18" s="391">
        <v>9</v>
      </c>
      <c r="B18" s="385" t="s">
        <v>353</v>
      </c>
      <c r="C18" s="384">
        <f>C16/C17</f>
        <v>125966.45538718998</v>
      </c>
      <c r="D18" s="389"/>
      <c r="E18" s="379"/>
    </row>
    <row r="19" spans="1:11" ht="15" customHeight="1">
      <c r="A19" s="391">
        <v>10</v>
      </c>
      <c r="B19" s="385" t="s">
        <v>352</v>
      </c>
      <c r="C19" s="392">
        <v>0.98499999999999999</v>
      </c>
      <c r="D19" s="385" t="s">
        <v>351</v>
      </c>
      <c r="E19" s="379"/>
    </row>
    <row r="20" spans="1:11" ht="15" customHeight="1">
      <c r="A20" s="391">
        <v>11</v>
      </c>
      <c r="B20" s="385" t="s">
        <v>350</v>
      </c>
      <c r="C20" s="384">
        <f>C18*C19</f>
        <v>124076.95855638213</v>
      </c>
      <c r="D20" s="389"/>
      <c r="E20" s="379"/>
    </row>
    <row r="21" spans="1:11" ht="15" customHeight="1">
      <c r="A21" s="391">
        <v>12</v>
      </c>
      <c r="B21" s="385" t="s">
        <v>349</v>
      </c>
      <c r="C21" s="390">
        <v>3.8899999999999997E-2</v>
      </c>
      <c r="D21" s="385" t="s">
        <v>348</v>
      </c>
      <c r="E21" s="379"/>
    </row>
    <row r="22" spans="1:11" ht="15" customHeight="1">
      <c r="A22" s="391">
        <v>13</v>
      </c>
      <c r="B22" s="385" t="s">
        <v>347</v>
      </c>
      <c r="C22" s="390">
        <f>C21/12</f>
        <v>3.2416666666666666E-3</v>
      </c>
      <c r="D22" s="389"/>
      <c r="E22" s="379"/>
    </row>
    <row r="23" spans="1:11" ht="15" customHeight="1">
      <c r="A23" s="378"/>
      <c r="B23" s="376"/>
      <c r="C23" s="376"/>
      <c r="D23" s="376"/>
    </row>
    <row r="24" spans="1:11" ht="15" customHeight="1">
      <c r="B24" s="388"/>
      <c r="C24" s="388"/>
    </row>
    <row r="25" spans="1:11" ht="49.15" customHeight="1">
      <c r="B25" s="388"/>
      <c r="C25" s="388"/>
      <c r="F25" s="387" t="s">
        <v>342</v>
      </c>
      <c r="G25" s="386" t="s">
        <v>341</v>
      </c>
      <c r="H25" s="386" t="s">
        <v>340</v>
      </c>
      <c r="I25" s="386" t="s">
        <v>339</v>
      </c>
      <c r="J25" s="386" t="s">
        <v>338</v>
      </c>
      <c r="K25" s="379"/>
    </row>
    <row r="26" spans="1:11" ht="15" customHeight="1">
      <c r="F26" s="385" t="s">
        <v>346</v>
      </c>
      <c r="G26" s="384">
        <f>C20*(18/31)</f>
        <v>72044.685613383175</v>
      </c>
      <c r="H26" s="384">
        <f>G26</f>
        <v>72044.685613383175</v>
      </c>
      <c r="I26" s="384">
        <f>H26*($C$21/12)</f>
        <v>233.54485586338379</v>
      </c>
      <c r="J26" s="384">
        <f>G26+I26</f>
        <v>72278.230469246555</v>
      </c>
      <c r="K26" s="379"/>
    </row>
    <row r="27" spans="1:11" ht="15" customHeight="1">
      <c r="F27" s="385" t="s">
        <v>345</v>
      </c>
      <c r="G27" s="384">
        <f>C20</f>
        <v>124076.95855638213</v>
      </c>
      <c r="H27" s="384">
        <f>J26+G27</f>
        <v>196355.18902562867</v>
      </c>
      <c r="I27" s="384">
        <f>H27*($C$21/12)</f>
        <v>636.51807109141293</v>
      </c>
      <c r="J27" s="384">
        <f>H27+I27</f>
        <v>196991.70709672009</v>
      </c>
      <c r="K27" s="379"/>
    </row>
    <row r="28" spans="1:11" ht="15" customHeight="1">
      <c r="F28" s="385" t="s">
        <v>344</v>
      </c>
      <c r="G28" s="384">
        <f>C20</f>
        <v>124076.95855638213</v>
      </c>
      <c r="H28" s="384">
        <f>J27+G28</f>
        <v>321068.66565310222</v>
      </c>
      <c r="I28" s="384">
        <f>H28*($C$21/12)</f>
        <v>1040.7975911588064</v>
      </c>
      <c r="J28" s="384">
        <f>H28+I28</f>
        <v>322109.46324426105</v>
      </c>
      <c r="K28" s="379"/>
    </row>
    <row r="29" spans="1:11" ht="15" customHeight="1">
      <c r="F29" s="382" t="s">
        <v>343</v>
      </c>
      <c r="G29" s="383">
        <f>SUM(G26:G28)</f>
        <v>320198.60272614739</v>
      </c>
      <c r="H29" s="380"/>
      <c r="I29" s="383">
        <f>SUM(I26:I28)</f>
        <v>1910.8605181136031</v>
      </c>
      <c r="J29" s="380"/>
      <c r="K29" s="379"/>
    </row>
    <row r="30" spans="1:11" ht="15" customHeight="1">
      <c r="F30" s="376"/>
      <c r="G30" s="376"/>
      <c r="H30" s="376"/>
      <c r="I30" s="376"/>
      <c r="J30" s="376"/>
    </row>
    <row r="31" spans="1:11" ht="15" customHeight="1"/>
    <row r="32" spans="1:11" ht="49.15" customHeight="1">
      <c r="F32" s="387" t="s">
        <v>342</v>
      </c>
      <c r="G32" s="386" t="s">
        <v>341</v>
      </c>
      <c r="H32" s="386" t="s">
        <v>340</v>
      </c>
      <c r="I32" s="386" t="s">
        <v>339</v>
      </c>
      <c r="J32" s="386" t="s">
        <v>338</v>
      </c>
      <c r="K32" s="379"/>
    </row>
    <row r="33" spans="6:11" ht="15" customHeight="1">
      <c r="F33" s="385" t="s">
        <v>337</v>
      </c>
      <c r="G33" s="384">
        <f>C20</f>
        <v>124076.95855638213</v>
      </c>
      <c r="H33" s="384">
        <f>G33+J28</f>
        <v>446186.42180064321</v>
      </c>
      <c r="I33" s="384">
        <f>H33*($C$21/12)</f>
        <v>1446.3876506704185</v>
      </c>
      <c r="J33" s="384">
        <f>H33+I33</f>
        <v>447632.80945131363</v>
      </c>
      <c r="K33" s="379"/>
    </row>
    <row r="34" spans="6:11" ht="15" customHeight="1">
      <c r="F34" s="385" t="s">
        <v>336</v>
      </c>
      <c r="G34" s="384">
        <f>C20</f>
        <v>124076.95855638213</v>
      </c>
      <c r="H34" s="384">
        <f>J33+G34</f>
        <v>571709.76800769579</v>
      </c>
      <c r="I34" s="384">
        <f>H34*($C$21/12)</f>
        <v>1853.2924979582804</v>
      </c>
      <c r="J34" s="384">
        <f>H34+I34</f>
        <v>573563.06050565408</v>
      </c>
      <c r="K34" s="379"/>
    </row>
    <row r="35" spans="6:11" ht="15" customHeight="1">
      <c r="F35" s="385" t="s">
        <v>335</v>
      </c>
      <c r="G35" s="384">
        <f>C20*(18/30)</f>
        <v>74446.175133829282</v>
      </c>
      <c r="H35" s="384">
        <f>J34+G35</f>
        <v>648009.23563948332</v>
      </c>
      <c r="I35" s="384">
        <f>H35*($C$21/12)</f>
        <v>2100.6299388646585</v>
      </c>
      <c r="J35" s="384">
        <f>H35+I35</f>
        <v>650109.86557834793</v>
      </c>
      <c r="K35" s="379"/>
    </row>
    <row r="36" spans="6:11" ht="15" customHeight="1">
      <c r="F36" s="382" t="s">
        <v>334</v>
      </c>
      <c r="G36" s="383">
        <f>SUM(G33:G35)</f>
        <v>322600.09224659356</v>
      </c>
      <c r="H36" s="380"/>
      <c r="I36" s="383">
        <f>SUM(I33:I35)</f>
        <v>5400.3100874933571</v>
      </c>
      <c r="J36" s="380"/>
      <c r="K36" s="379"/>
    </row>
    <row r="37" spans="6:11" ht="15" customHeight="1">
      <c r="F37" s="382" t="s">
        <v>333</v>
      </c>
      <c r="G37" s="381">
        <f>G29+G36</f>
        <v>642798.69497274095</v>
      </c>
      <c r="H37" s="380"/>
      <c r="I37" s="381">
        <f>I29+I36</f>
        <v>7311.1706056069597</v>
      </c>
      <c r="J37" s="380"/>
      <c r="K37" s="379"/>
    </row>
    <row r="38" spans="6:11" ht="15" customHeight="1">
      <c r="F38" s="376"/>
      <c r="G38" s="377" t="s">
        <v>115</v>
      </c>
      <c r="H38" s="378"/>
      <c r="I38" s="377" t="s">
        <v>117</v>
      </c>
      <c r="J38" s="376"/>
    </row>
    <row r="39" spans="6:11" ht="15" customHeight="1"/>
    <row r="40" spans="6:11" ht="15" customHeight="1">
      <c r="F40" s="375" t="s">
        <v>332</v>
      </c>
      <c r="G40" s="374">
        <f>G37+I37</f>
        <v>650109.86557834793</v>
      </c>
      <c r="H40" s="371" t="s">
        <v>331</v>
      </c>
    </row>
    <row r="41" spans="6:11" ht="15" customHeight="1">
      <c r="F41" s="373" t="s">
        <v>330</v>
      </c>
      <c r="G41" s="372">
        <f>G40/12</f>
        <v>54175.822131528992</v>
      </c>
      <c r="H41" s="371" t="s">
        <v>329</v>
      </c>
    </row>
    <row r="42" spans="6:11" ht="15" customHeight="1"/>
    <row r="43" spans="6:11" ht="15" customHeight="1"/>
    <row r="44" spans="6:11" ht="15" customHeight="1"/>
    <row r="45" spans="6:11" ht="15" customHeight="1"/>
    <row r="46" spans="6:11" ht="15" customHeight="1"/>
    <row r="47" spans="6:11" ht="15" customHeight="1"/>
    <row r="48" spans="6:11" ht="15" customHeight="1"/>
    <row r="49" s="370" customFormat="1" ht="15" customHeight="1"/>
    <row r="50" s="370" customFormat="1" ht="15" customHeight="1"/>
    <row r="51" s="370" customFormat="1" ht="15" customHeight="1"/>
  </sheetData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K20" sqref="K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2:15" ht="18.75">
      <c r="B2" s="403" t="s">
        <v>95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2:15" ht="20.45" customHeight="1">
      <c r="B3" s="403" t="s">
        <v>326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1.0'!G57</f>
        <v>20665315.702164918</v>
      </c>
      <c r="H9" s="340">
        <f>'PPA Form 1.0'!G58</f>
        <v>817770.45703887392</v>
      </c>
      <c r="I9" s="340">
        <f>G9+H9</f>
        <v>21483086.159203794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9691422</v>
      </c>
      <c r="H20" s="342">
        <f>ROUND(H$9*(C20/C$29),0)</f>
        <v>278796</v>
      </c>
      <c r="I20" s="343">
        <f>ROUND(IF(D20&gt;0,G20/D20,0),2)</f>
        <v>0</v>
      </c>
      <c r="J20" s="156"/>
      <c r="K20" s="344">
        <f>ROUND(IF(D20&gt;0,H20/C20,(G20+H20)/C20),5)</f>
        <v>5.5799999999999999E-3</v>
      </c>
      <c r="L20" s="157"/>
      <c r="M20" s="342">
        <f>(C20*K20)+(D20*I20)</f>
        <v>9969872.0101200007</v>
      </c>
      <c r="N20" s="345">
        <f>M20-H20-G20</f>
        <v>-345.98987999930978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2594901</v>
      </c>
      <c r="H21" s="346">
        <f t="shared" ref="H21:H27" si="1">ROUND(H$9*(C21/C$29),0)</f>
        <v>92378</v>
      </c>
      <c r="I21" s="343">
        <f t="shared" ref="I21:I27" si="2">ROUND(IF(D21&gt;0,G21/D21,0),2)</f>
        <v>0</v>
      </c>
      <c r="J21" s="156"/>
      <c r="K21" s="344">
        <f>ROUND(IF(D21&gt;0,H21/C21,(G21+H21)/C21),5)</f>
        <v>4.5399999999999998E-3</v>
      </c>
      <c r="L21" s="158"/>
      <c r="M21" s="346">
        <f>(C21*K21)+(D21*I21)</f>
        <v>2687778.0503799999</v>
      </c>
      <c r="N21" s="345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1895972</v>
      </c>
      <c r="H22" s="346">
        <f t="shared" si="1"/>
        <v>73653</v>
      </c>
      <c r="I22" s="343">
        <f>ROUND(IF(D22&gt;0,G22/D22,0),2)</f>
        <v>1.24</v>
      </c>
      <c r="J22" s="156"/>
      <c r="K22" s="344">
        <f>ROUND(IF(D22&gt;0,H22/C22,(G22+H22)/C22),5)</f>
        <v>1.6000000000000001E-4</v>
      </c>
      <c r="L22" s="157"/>
      <c r="M22" s="346">
        <f t="shared" ref="M22:M27" si="4">(C22*K22)+(D22*I22)</f>
        <v>1971016.8785600001</v>
      </c>
      <c r="N22" s="345">
        <f>M22-H22-G22</f>
        <v>1391.8785600000992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6680</v>
      </c>
      <c r="H23" s="346">
        <f t="shared" si="1"/>
        <v>260</v>
      </c>
      <c r="I23" s="343">
        <f t="shared" si="2"/>
        <v>0</v>
      </c>
      <c r="J23" s="156"/>
      <c r="K23" s="344">
        <f t="shared" ref="K23:K27" si="5">ROUND(IF(D23&gt;0,H23/C23,(G23+H23)/C23),5)</f>
        <v>4.1700000000000001E-3</v>
      </c>
      <c r="L23" s="158"/>
      <c r="M23" s="346">
        <f t="shared" si="4"/>
        <v>6940.4395800000002</v>
      </c>
      <c r="N23" s="345">
        <f t="shared" ref="N23:N27" si="6">M23-H23-G23</f>
        <v>0.43958000000020547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6444752</v>
      </c>
      <c r="H24" s="346">
        <f t="shared" si="1"/>
        <v>365379</v>
      </c>
      <c r="I24" s="343">
        <f>ROUND(IF(D24&gt;0,G24/D24,0),2)</f>
        <v>1.63</v>
      </c>
      <c r="J24" s="156"/>
      <c r="K24" s="344">
        <f>ROUND(IF(D24&gt;0,H24/C24,(G24+H24)/C24),5)</f>
        <v>1.6000000000000001E-4</v>
      </c>
      <c r="L24" s="157"/>
      <c r="M24" s="346">
        <f t="shared" si="4"/>
        <v>6822406.5081599997</v>
      </c>
      <c r="N24" s="345">
        <f t="shared" si="6"/>
        <v>12275.508159999736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5116</v>
      </c>
      <c r="H25" s="346">
        <f t="shared" si="1"/>
        <v>269</v>
      </c>
      <c r="I25" s="343">
        <f t="shared" si="2"/>
        <v>0</v>
      </c>
      <c r="J25" s="156"/>
      <c r="K25" s="344">
        <f t="shared" si="5"/>
        <v>3.1199999999999999E-3</v>
      </c>
      <c r="L25" s="158"/>
      <c r="M25" s="346">
        <f t="shared" si="4"/>
        <v>5385.0607199999995</v>
      </c>
      <c r="N25" s="345">
        <f t="shared" si="6"/>
        <v>6.0719999999491847E-2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21558</v>
      </c>
      <c r="H26" s="346">
        <f t="shared" si="1"/>
        <v>5723</v>
      </c>
      <c r="I26" s="343">
        <f t="shared" si="2"/>
        <v>0</v>
      </c>
      <c r="J26" s="156"/>
      <c r="K26" s="344">
        <f t="shared" si="5"/>
        <v>7.3999999999999999E-4</v>
      </c>
      <c r="L26" s="158"/>
      <c r="M26" s="346">
        <f t="shared" si="4"/>
        <v>27142.412639999999</v>
      </c>
      <c r="N26" s="345">
        <f t="shared" si="6"/>
        <v>-138.58736000000135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4915</v>
      </c>
      <c r="H27" s="346">
        <f t="shared" si="1"/>
        <v>1312</v>
      </c>
      <c r="I27" s="343">
        <f t="shared" si="2"/>
        <v>0</v>
      </c>
      <c r="J27" s="156"/>
      <c r="K27" s="344">
        <f t="shared" si="5"/>
        <v>7.3999999999999999E-4</v>
      </c>
      <c r="L27" s="158"/>
      <c r="M27" s="346">
        <f t="shared" si="4"/>
        <v>6221.4338200000002</v>
      </c>
      <c r="N27" s="345">
        <f t="shared" si="6"/>
        <v>-5.5661799999998038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20665316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13676.793980000437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O20" sqref="O20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2:15" ht="18.75">
      <c r="B2" s="403" t="s">
        <v>95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2:15" ht="20.45" customHeight="1">
      <c r="B3" s="403" t="s">
        <v>328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323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40">
        <f>'PPA Form 1.0'!H57</f>
        <v>46835612.2269333</v>
      </c>
      <c r="H9" s="340">
        <f>'PPA Form 1.0'!H58</f>
        <v>1853384.7035543856</v>
      </c>
      <c r="I9" s="340">
        <f>G9+H9</f>
        <v>48688996.930487685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41">
        <v>2.4279999999999999E-4</v>
      </c>
      <c r="F20" s="156">
        <f>ROUND(C20*E20,0)</f>
        <v>433815</v>
      </c>
      <c r="G20" s="342">
        <f>ROUND(G$9*(F20/F$29),0)</f>
        <v>21964517</v>
      </c>
      <c r="H20" s="342">
        <f>ROUND(H$9*(C20/C$29),0)</f>
        <v>631860</v>
      </c>
      <c r="I20" s="343">
        <f>ROUND(IF(D20&gt;0,G20/D20,0),2)</f>
        <v>0</v>
      </c>
      <c r="J20" s="156"/>
      <c r="K20" s="344">
        <f>ROUND(IF(D20&gt;0,H20/C20,(G20+H20)/C20),5)</f>
        <v>1.265E-2</v>
      </c>
      <c r="L20" s="157"/>
      <c r="M20" s="342">
        <f>(C20*K20)+(D20*I20)</f>
        <v>22601949.987100001</v>
      </c>
      <c r="N20" s="345">
        <f>M20-H20-G20</f>
        <v>5572.9871000014246</v>
      </c>
      <c r="O20" s="335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41">
        <v>1.962E-4</v>
      </c>
      <c r="F21" s="156">
        <f>ROUND(C21*E21,0)</f>
        <v>116155</v>
      </c>
      <c r="G21" s="346">
        <f t="shared" ref="G21:G27" si="0">ROUND(G$9*(F21/F$29),0)</f>
        <v>5881052</v>
      </c>
      <c r="H21" s="346">
        <f t="shared" ref="H21:H27" si="1">ROUND(H$9*(C21/C$29),0)</f>
        <v>209365</v>
      </c>
      <c r="I21" s="343">
        <f t="shared" ref="I21:I27" si="2">ROUND(IF(D21&gt;0,G21/D21,0),2)</f>
        <v>0</v>
      </c>
      <c r="J21" s="156"/>
      <c r="K21" s="344">
        <f>ROUND(IF(D21&gt;0,H21/C21,(G21+H21)/C21),5)</f>
        <v>1.0290000000000001E-2</v>
      </c>
      <c r="L21" s="158"/>
      <c r="M21" s="346">
        <f>(C21*K21)+(D21*I21)</f>
        <v>6091902.2331300005</v>
      </c>
      <c r="N21" s="345">
        <f>M21-H21-G21</f>
        <v>1485.2331300005317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41">
        <v>1.7980000000000001E-4</v>
      </c>
      <c r="F22" s="156">
        <f t="shared" ref="F22:F27" si="3">ROUND(C22*E22,0)</f>
        <v>84869</v>
      </c>
      <c r="G22" s="346">
        <f t="shared" si="0"/>
        <v>4297008</v>
      </c>
      <c r="H22" s="346">
        <f t="shared" si="1"/>
        <v>166927</v>
      </c>
      <c r="I22" s="343">
        <f>ROUND(IF(D22&gt;0,G22/D22,0),2)</f>
        <v>2.81</v>
      </c>
      <c r="J22" s="156"/>
      <c r="K22" s="344">
        <f>ROUND(IF(D22&gt;0,H22/C22,(G22+H22)/C22),5)</f>
        <v>3.5E-4</v>
      </c>
      <c r="L22" s="157"/>
      <c r="M22" s="346">
        <f t="shared" ref="M22:M27" si="4">(C22*K22)+(D22*I22)</f>
        <v>4460640.2618500004</v>
      </c>
      <c r="N22" s="345">
        <f>M22-H22-G22</f>
        <v>-3294.7381499996409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41">
        <f>E22</f>
        <v>1.7980000000000001E-4</v>
      </c>
      <c r="F23" s="156">
        <f t="shared" si="3"/>
        <v>299</v>
      </c>
      <c r="G23" s="346">
        <f t="shared" si="0"/>
        <v>15139</v>
      </c>
      <c r="H23" s="346">
        <f t="shared" si="1"/>
        <v>589</v>
      </c>
      <c r="I23" s="343">
        <f t="shared" si="2"/>
        <v>0</v>
      </c>
      <c r="J23" s="156"/>
      <c r="K23" s="344">
        <f t="shared" ref="K23:K27" si="5">ROUND(IF(D23&gt;0,H23/C23,(G23+H23)/C23),5)</f>
        <v>9.4500000000000001E-3</v>
      </c>
      <c r="L23" s="158"/>
      <c r="M23" s="346">
        <f t="shared" si="4"/>
        <v>15728.3343</v>
      </c>
      <c r="N23" s="345">
        <f t="shared" ref="N23:N27" si="6">M23-H23-G23</f>
        <v>0.33430000000043947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41">
        <v>1.2320000000000001E-4</v>
      </c>
      <c r="F24" s="156">
        <f t="shared" si="3"/>
        <v>288485</v>
      </c>
      <c r="G24" s="346">
        <f t="shared" si="0"/>
        <v>14606304</v>
      </c>
      <c r="H24" s="346">
        <f t="shared" si="1"/>
        <v>828090</v>
      </c>
      <c r="I24" s="343">
        <f>ROUND(IF(D24&gt;0,G24/D24,0),2)</f>
        <v>3.69</v>
      </c>
      <c r="J24" s="156"/>
      <c r="K24" s="344">
        <f>ROUND(IF(D24&gt;0,H24/C24,(G24+H24)/C24),5)</f>
        <v>3.5E-4</v>
      </c>
      <c r="L24" s="157"/>
      <c r="M24" s="346">
        <f t="shared" si="4"/>
        <v>15416001.389349999</v>
      </c>
      <c r="N24" s="345">
        <f t="shared" si="6"/>
        <v>-18392.610650001094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41">
        <v>1.326E-4</v>
      </c>
      <c r="F25" s="156">
        <f t="shared" si="3"/>
        <v>229</v>
      </c>
      <c r="G25" s="346">
        <f t="shared" si="0"/>
        <v>11595</v>
      </c>
      <c r="H25" s="346">
        <f t="shared" si="1"/>
        <v>610</v>
      </c>
      <c r="I25" s="343">
        <f t="shared" si="2"/>
        <v>0</v>
      </c>
      <c r="J25" s="156"/>
      <c r="K25" s="344">
        <f t="shared" si="5"/>
        <v>7.0699999999999999E-3</v>
      </c>
      <c r="L25" s="158"/>
      <c r="M25" s="346">
        <f t="shared" si="4"/>
        <v>12202.685669999999</v>
      </c>
      <c r="N25" s="345">
        <f t="shared" si="6"/>
        <v>-2.314330000001064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41">
        <v>2.6299999999999999E-5</v>
      </c>
      <c r="F26" s="156">
        <f t="shared" si="3"/>
        <v>965</v>
      </c>
      <c r="G26" s="346">
        <f t="shared" si="0"/>
        <v>48859</v>
      </c>
      <c r="H26" s="346">
        <f t="shared" si="1"/>
        <v>12971</v>
      </c>
      <c r="I26" s="343">
        <f t="shared" si="2"/>
        <v>0</v>
      </c>
      <c r="J26" s="156"/>
      <c r="K26" s="344">
        <f t="shared" si="5"/>
        <v>1.6900000000000001E-3</v>
      </c>
      <c r="L26" s="158"/>
      <c r="M26" s="346">
        <f t="shared" si="4"/>
        <v>61987.401840000006</v>
      </c>
      <c r="N26" s="345">
        <f t="shared" si="6"/>
        <v>157.4018400000059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41">
        <v>2.62E-5</v>
      </c>
      <c r="F27" s="156">
        <f t="shared" si="3"/>
        <v>220</v>
      </c>
      <c r="G27" s="346">
        <f t="shared" si="0"/>
        <v>11139</v>
      </c>
      <c r="H27" s="346">
        <f t="shared" si="1"/>
        <v>2973</v>
      </c>
      <c r="I27" s="343">
        <f t="shared" si="2"/>
        <v>0</v>
      </c>
      <c r="J27" s="156"/>
      <c r="K27" s="344">
        <f t="shared" si="5"/>
        <v>1.6800000000000001E-3</v>
      </c>
      <c r="L27" s="158"/>
      <c r="M27" s="346">
        <f t="shared" si="4"/>
        <v>14124.336240000001</v>
      </c>
      <c r="N27" s="345">
        <f t="shared" si="6"/>
        <v>12.336240000000544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7">
        <f>SUM(C20:C27)</f>
        <v>5240828637</v>
      </c>
      <c r="D29" s="347">
        <f>SUM(D20:D27)</f>
        <v>5484299.5999999996</v>
      </c>
      <c r="E29" s="161"/>
      <c r="F29" s="347">
        <f>SUM(F20:F27)</f>
        <v>925037</v>
      </c>
      <c r="G29" s="162">
        <f>SUM(G20:G27)</f>
        <v>46835613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-14461.370519998773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topLeftCell="A10" zoomScaleNormal="100" workbookViewId="0">
      <selection activeCell="F30" sqref="F30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404" t="s">
        <v>45</v>
      </c>
      <c r="B1" s="404"/>
      <c r="C1" s="404"/>
      <c r="D1" s="404"/>
      <c r="E1" s="404"/>
      <c r="F1" s="404"/>
      <c r="G1" s="99" t="s">
        <v>86</v>
      </c>
    </row>
    <row r="2" spans="1:7">
      <c r="A2" s="404" t="s">
        <v>0</v>
      </c>
      <c r="B2" s="404"/>
      <c r="C2" s="404"/>
      <c r="D2" s="404"/>
      <c r="E2" s="404"/>
      <c r="F2" s="404"/>
      <c r="G2" s="404"/>
    </row>
    <row r="3" spans="1:7">
      <c r="A3" s="404" t="s">
        <v>104</v>
      </c>
      <c r="B3" s="404"/>
      <c r="C3" s="404"/>
      <c r="D3" s="404"/>
      <c r="E3" s="404"/>
      <c r="F3" s="404"/>
      <c r="G3" s="404"/>
    </row>
    <row r="4" spans="1:7" ht="14.45" customHeight="1">
      <c r="A4" s="405" t="s">
        <v>277</v>
      </c>
      <c r="B4" s="405"/>
      <c r="C4" s="405"/>
      <c r="D4" s="405"/>
      <c r="E4" s="405"/>
      <c r="F4" s="405"/>
      <c r="G4" s="405"/>
    </row>
    <row r="5" spans="1:7">
      <c r="A5" s="405"/>
      <c r="B5" s="405"/>
      <c r="C5" s="405"/>
      <c r="D5" s="405"/>
      <c r="E5" s="405"/>
      <c r="F5" s="405"/>
      <c r="G5" s="405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60">
        <f>'PPA Form 3.0a'!P16</f>
        <v>-1186034.4600000002</v>
      </c>
      <c r="E11" s="1" t="s">
        <v>3</v>
      </c>
      <c r="F11" s="104">
        <v>1</v>
      </c>
      <c r="G11" s="360">
        <f>F11*C11</f>
        <v>-1186034.4600000002</v>
      </c>
    </row>
    <row r="12" spans="1:7" ht="14.45" customHeight="1">
      <c r="A12" s="103">
        <v>4561002</v>
      </c>
      <c r="B12" s="1" t="s">
        <v>139</v>
      </c>
      <c r="C12" s="360">
        <f>'PPA Form 3.0a'!P17</f>
        <v>0</v>
      </c>
      <c r="E12" s="1" t="s">
        <v>3</v>
      </c>
      <c r="F12" s="104">
        <v>1</v>
      </c>
      <c r="G12" s="360">
        <f t="shared" ref="G12:G20" si="0">F12*C12</f>
        <v>0</v>
      </c>
    </row>
    <row r="13" spans="1:7">
      <c r="A13" s="103" t="s">
        <v>109</v>
      </c>
      <c r="B13" s="1" t="s">
        <v>76</v>
      </c>
      <c r="C13" s="360">
        <f>'PPA Form 3.0a'!P19</f>
        <v>54369903.359999999</v>
      </c>
      <c r="E13" s="1" t="s">
        <v>3</v>
      </c>
      <c r="F13" s="104">
        <v>1</v>
      </c>
      <c r="G13" s="360">
        <f t="shared" si="0"/>
        <v>54369903.359999999</v>
      </c>
    </row>
    <row r="14" spans="1:7" ht="14.45" customHeight="1">
      <c r="A14" s="103" t="s">
        <v>110</v>
      </c>
      <c r="B14" s="1" t="s">
        <v>77</v>
      </c>
      <c r="C14" s="360">
        <f>'PPA Form 3.0a'!P20</f>
        <v>-127002.59000000001</v>
      </c>
      <c r="E14" s="1" t="s">
        <v>5</v>
      </c>
      <c r="F14" s="104">
        <v>1</v>
      </c>
      <c r="G14" s="360">
        <f t="shared" si="0"/>
        <v>-127002.59000000001</v>
      </c>
    </row>
    <row r="15" spans="1:7">
      <c r="A15" s="103" t="s">
        <v>111</v>
      </c>
      <c r="B15" s="1" t="s">
        <v>78</v>
      </c>
      <c r="C15" s="360">
        <f>'PPA Form 3.0a'!P21</f>
        <v>1172142.3</v>
      </c>
      <c r="E15" s="1" t="s">
        <v>3</v>
      </c>
      <c r="F15" s="104">
        <v>1</v>
      </c>
      <c r="G15" s="360">
        <f t="shared" si="0"/>
        <v>1172142.3</v>
      </c>
    </row>
    <row r="16" spans="1:7" ht="14.45" customHeight="1">
      <c r="A16" s="103">
        <v>5650012</v>
      </c>
      <c r="B16" s="1" t="s">
        <v>79</v>
      </c>
      <c r="C16" s="361">
        <f>'PPA Form 3.0a'!P22</f>
        <v>1785787.0000000005</v>
      </c>
      <c r="E16" s="1" t="s">
        <v>3</v>
      </c>
      <c r="F16" s="104">
        <v>1</v>
      </c>
      <c r="G16" s="360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61">
        <f>'PPA Form 3.0a'!P23</f>
        <v>64950525.719999999</v>
      </c>
      <c r="E17" s="1" t="s">
        <v>3</v>
      </c>
      <c r="F17" s="104">
        <v>1</v>
      </c>
      <c r="G17" s="360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61">
        <f>'PPA Form 3.0a'!P24</f>
        <v>5293253.6199999992</v>
      </c>
      <c r="D18" s="105"/>
      <c r="E18" s="105" t="s">
        <v>3</v>
      </c>
      <c r="F18" s="106">
        <v>1</v>
      </c>
      <c r="G18" s="360">
        <f t="shared" si="0"/>
        <v>5293253.6199999992</v>
      </c>
    </row>
    <row r="19" spans="1:10" ht="14.45" customHeight="1">
      <c r="A19" s="103">
        <v>5650021</v>
      </c>
      <c r="B19" s="2" t="s">
        <v>209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60">
        <f t="shared" si="0"/>
        <v>724183.42999999993</v>
      </c>
    </row>
    <row r="20" spans="1:10" ht="14.45" customHeight="1">
      <c r="A20" s="103">
        <v>5650015</v>
      </c>
      <c r="B20" s="2" t="s">
        <v>210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60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62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306</v>
      </c>
      <c r="F24" s="110"/>
      <c r="G24" s="363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323</v>
      </c>
      <c r="C28" s="361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226</v>
      </c>
      <c r="C29" s="361">
        <f>'PPA Form 3.0a'!P49</f>
        <v>5157827.2100000009</v>
      </c>
      <c r="D29" s="103"/>
      <c r="E29" s="1" t="s">
        <v>5</v>
      </c>
      <c r="F29" s="104" t="s">
        <v>225</v>
      </c>
      <c r="G29" s="114">
        <f>C29</f>
        <v>5157827.2100000009</v>
      </c>
    </row>
    <row r="30" spans="1:10">
      <c r="A30" s="1" t="s">
        <v>227</v>
      </c>
      <c r="C30" s="361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61">
        <f>-'PPA Form 3.0a'!P30</f>
        <v>-407586</v>
      </c>
      <c r="E31" s="1" t="s">
        <v>3</v>
      </c>
      <c r="F31" s="1">
        <v>1</v>
      </c>
      <c r="G31" s="364">
        <f>C31*F31</f>
        <v>-407586</v>
      </c>
      <c r="J31" s="114"/>
    </row>
    <row r="32" spans="1:10">
      <c r="G32" s="114"/>
    </row>
    <row r="33" spans="1:9" ht="16.5" thickBot="1">
      <c r="A33" s="116" t="s">
        <v>102</v>
      </c>
      <c r="G33" s="365">
        <f>+G24+G28+G29-G30+G31</f>
        <v>34936618.710000008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128035674.97000001</v>
      </c>
      <c r="C38" s="366">
        <f>B38/E40</f>
        <v>0.96193421880922259</v>
      </c>
      <c r="E38" s="114">
        <f>G28+G31+SUM(G19,G18,G17,G16,G15,G11,G12,G13)</f>
        <v>128035674.97</v>
      </c>
      <c r="H38" s="243"/>
    </row>
    <row r="39" spans="1:9">
      <c r="A39" s="1" t="s">
        <v>90</v>
      </c>
      <c r="B39" s="114">
        <f>G14+G29+G20</f>
        <v>5066643.7400000012</v>
      </c>
      <c r="C39" s="366">
        <f>B39/E40</f>
        <v>3.8065781190777588E-2</v>
      </c>
      <c r="E39" s="114">
        <f>G29+G14+G20</f>
        <v>5066643.7400000012</v>
      </c>
    </row>
    <row r="40" spans="1:9">
      <c r="E40" s="114">
        <f>E39+E38</f>
        <v>133102318.70999999</v>
      </c>
    </row>
    <row r="41" spans="1:9">
      <c r="A41" s="12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O62" sqref="O62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193</v>
      </c>
      <c r="Q1" s="35"/>
    </row>
    <row r="2" spans="1:17" ht="15.75">
      <c r="A2" s="10" t="s">
        <v>194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45">
        <v>2022</v>
      </c>
      <c r="E4" s="13"/>
      <c r="F4" s="13"/>
      <c r="G4" s="13"/>
      <c r="H4" s="13"/>
      <c r="I4" s="13"/>
      <c r="J4" s="245">
        <v>2023</v>
      </c>
      <c r="K4" s="13"/>
      <c r="L4" s="13"/>
      <c r="M4" s="13"/>
      <c r="N4" s="13"/>
      <c r="O4" s="13"/>
    </row>
    <row r="5" spans="1:17">
      <c r="D5" s="5" t="s">
        <v>195</v>
      </c>
      <c r="E5" s="5" t="s">
        <v>195</v>
      </c>
      <c r="F5" s="5" t="s">
        <v>195</v>
      </c>
      <c r="G5" s="5" t="s">
        <v>195</v>
      </c>
      <c r="H5" s="5" t="s">
        <v>195</v>
      </c>
      <c r="I5" s="5" t="s">
        <v>195</v>
      </c>
      <c r="J5" s="5" t="s">
        <v>195</v>
      </c>
      <c r="K5" s="5" t="s">
        <v>195</v>
      </c>
      <c r="L5" s="5" t="s">
        <v>195</v>
      </c>
      <c r="M5" s="5" t="s">
        <v>195</v>
      </c>
      <c r="N5" s="5" t="s">
        <v>195</v>
      </c>
      <c r="O5" s="5" t="s">
        <v>195</v>
      </c>
      <c r="P5" s="4" t="s">
        <v>224</v>
      </c>
    </row>
    <row r="6" spans="1:17">
      <c r="C6" s="14" t="s">
        <v>193</v>
      </c>
      <c r="D6" s="15" t="s">
        <v>240</v>
      </c>
      <c r="E6" s="15" t="s">
        <v>239</v>
      </c>
      <c r="F6" s="15" t="s">
        <v>238</v>
      </c>
      <c r="G6" s="15" t="s">
        <v>237</v>
      </c>
      <c r="H6" s="15" t="s">
        <v>236</v>
      </c>
      <c r="I6" s="15" t="s">
        <v>235</v>
      </c>
      <c r="J6" s="15" t="s">
        <v>196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</row>
    <row r="7" spans="1:17">
      <c r="A7" s="14" t="s">
        <v>202</v>
      </c>
      <c r="C7" s="4" t="s">
        <v>249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8">
        <f>SUM(D8:O8)</f>
        <v>0</v>
      </c>
    </row>
    <row r="9" spans="1:17">
      <c r="C9" s="7"/>
      <c r="D9" s="349">
        <f t="shared" ref="D9:O9" si="0">SUM(D7:D8)</f>
        <v>2064759.9504260356</v>
      </c>
      <c r="E9" s="349">
        <f t="shared" si="0"/>
        <v>2094328.275417163</v>
      </c>
      <c r="F9" s="349">
        <f t="shared" si="0"/>
        <v>1499758.5436829729</v>
      </c>
      <c r="G9" s="349">
        <f t="shared" si="0"/>
        <v>2069823.7260345204</v>
      </c>
      <c r="H9" s="349">
        <f t="shared" si="0"/>
        <v>2471163.4662212539</v>
      </c>
      <c r="I9" s="349">
        <f t="shared" si="0"/>
        <v>2550904.0075359563</v>
      </c>
      <c r="J9" s="349">
        <f t="shared" si="0"/>
        <v>615145.72922417207</v>
      </c>
      <c r="K9" s="349">
        <f t="shared" si="0"/>
        <v>1191823.6534255105</v>
      </c>
      <c r="L9" s="349">
        <f t="shared" si="0"/>
        <v>1126676.1449328808</v>
      </c>
      <c r="M9" s="349">
        <f t="shared" si="0"/>
        <v>1045756.0943324076</v>
      </c>
      <c r="N9" s="349">
        <f t="shared" si="0"/>
        <v>908716.23109157395</v>
      </c>
      <c r="O9" s="349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204</v>
      </c>
      <c r="B11" s="6"/>
      <c r="C11" s="7" t="s">
        <v>205</v>
      </c>
      <c r="D11" s="350">
        <v>8074708</v>
      </c>
      <c r="E11" s="350">
        <v>8074708</v>
      </c>
      <c r="F11" s="350">
        <v>8074708</v>
      </c>
      <c r="G11" s="350">
        <v>8074708</v>
      </c>
      <c r="H11" s="350">
        <v>8074708</v>
      </c>
      <c r="I11" s="350">
        <v>8074708</v>
      </c>
      <c r="J11" s="350">
        <v>8074708</v>
      </c>
      <c r="K11" s="350">
        <v>8074708</v>
      </c>
      <c r="L11" s="350">
        <v>8074708</v>
      </c>
      <c r="M11" s="350">
        <v>8074708</v>
      </c>
      <c r="N11" s="350">
        <v>8074708</v>
      </c>
      <c r="O11" s="350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206</v>
      </c>
      <c r="B13" s="15" t="s">
        <v>207</v>
      </c>
      <c r="C13" s="14" t="s">
        <v>208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209</v>
      </c>
      <c r="D14" s="351">
        <v>48810.52</v>
      </c>
      <c r="E14" s="351">
        <v>48965.799999999996</v>
      </c>
      <c r="F14" s="351">
        <v>48965.829999999994</v>
      </c>
      <c r="G14" s="351">
        <v>48810.539999999994</v>
      </c>
      <c r="H14" s="351">
        <v>153302.78</v>
      </c>
      <c r="I14" s="351">
        <v>53623.65</v>
      </c>
      <c r="J14" s="351">
        <v>58323.19999999999</v>
      </c>
      <c r="K14" s="352">
        <v>52578.16</v>
      </c>
      <c r="L14" s="352">
        <v>52717.579999999987</v>
      </c>
      <c r="M14" s="352">
        <v>52673.520000000004</v>
      </c>
      <c r="N14" s="352">
        <v>52732.11</v>
      </c>
      <c r="O14" s="352">
        <v>52679.74</v>
      </c>
      <c r="P14" s="8">
        <f>SUM(D14:O14)</f>
        <v>724183.42999999993</v>
      </c>
    </row>
    <row r="15" spans="1:17">
      <c r="B15" s="5">
        <v>5650015</v>
      </c>
      <c r="C15" s="2" t="s">
        <v>210</v>
      </c>
      <c r="D15" s="351">
        <v>10422.92</v>
      </c>
      <c r="E15" s="351">
        <v>10189.969999999999</v>
      </c>
      <c r="F15" s="351">
        <v>8752.68</v>
      </c>
      <c r="G15" s="351">
        <v>8767.4600000000009</v>
      </c>
      <c r="H15" s="351">
        <v>9559.27</v>
      </c>
      <c r="I15" s="351">
        <v>11646.95</v>
      </c>
      <c r="J15" s="351">
        <v>-178.15000000000146</v>
      </c>
      <c r="K15" s="352">
        <v>-8308.08</v>
      </c>
      <c r="L15" s="352">
        <v>-4089.22</v>
      </c>
      <c r="M15" s="352">
        <v>-3527.2100000000005</v>
      </c>
      <c r="N15" s="352">
        <v>-3679.65</v>
      </c>
      <c r="O15" s="352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211</v>
      </c>
      <c r="D16" s="351">
        <v>-129430.99000000005</v>
      </c>
      <c r="E16" s="351">
        <v>-174479.76999999996</v>
      </c>
      <c r="F16" s="351">
        <v>-115083.12000000001</v>
      </c>
      <c r="G16" s="351">
        <v>-147612.88</v>
      </c>
      <c r="H16" s="351">
        <v>-173200.35</v>
      </c>
      <c r="I16" s="351">
        <v>-153785.87999999995</v>
      </c>
      <c r="J16" s="351">
        <v>360570.88999999996</v>
      </c>
      <c r="K16" s="352">
        <v>-448234.32</v>
      </c>
      <c r="L16" s="352">
        <v>108279.69000000003</v>
      </c>
      <c r="M16" s="352">
        <v>-76292.770000000019</v>
      </c>
      <c r="N16" s="352">
        <v>-94979.550000000017</v>
      </c>
      <c r="O16" s="352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212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f t="shared" si="1"/>
        <v>0</v>
      </c>
    </row>
    <row r="18" spans="1:16">
      <c r="B18" s="5">
        <v>5550155</v>
      </c>
      <c r="C18" s="2" t="s">
        <v>274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f t="shared" si="1"/>
        <v>0</v>
      </c>
    </row>
    <row r="19" spans="1:16">
      <c r="B19" s="5">
        <v>4561035</v>
      </c>
      <c r="C19" s="19" t="s">
        <v>213</v>
      </c>
      <c r="D19" s="351">
        <v>4275185.9000000004</v>
      </c>
      <c r="E19" s="351">
        <v>4275185.9000000004</v>
      </c>
      <c r="F19" s="351">
        <v>4136348.86</v>
      </c>
      <c r="G19" s="351">
        <v>4275185.9000000004</v>
      </c>
      <c r="H19" s="351">
        <v>4136348.86</v>
      </c>
      <c r="I19" s="351">
        <v>4275185.9000000004</v>
      </c>
      <c r="J19" s="351">
        <v>5007494.6999999993</v>
      </c>
      <c r="K19" s="352">
        <v>4483759.47</v>
      </c>
      <c r="L19" s="352">
        <v>4922291.51</v>
      </c>
      <c r="M19" s="352">
        <v>4806635.55</v>
      </c>
      <c r="N19" s="352">
        <v>4969088.43</v>
      </c>
      <c r="O19" s="352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214</v>
      </c>
      <c r="D20" s="351">
        <v>-28765.19</v>
      </c>
      <c r="E20" s="351">
        <v>-28122.32</v>
      </c>
      <c r="F20" s="351">
        <v>-24155.67</v>
      </c>
      <c r="G20" s="351">
        <v>-24196.47</v>
      </c>
      <c r="H20" s="351">
        <v>-26381.7</v>
      </c>
      <c r="I20" s="351">
        <v>-32143.29</v>
      </c>
      <c r="J20" s="351">
        <v>7351.130000000001</v>
      </c>
      <c r="K20" s="352">
        <v>5986.0000000000009</v>
      </c>
      <c r="L20" s="352">
        <v>6371.579999999999</v>
      </c>
      <c r="M20" s="352">
        <v>5495.88</v>
      </c>
      <c r="N20" s="352">
        <v>5733.4100000000008</v>
      </c>
      <c r="O20" s="352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215</v>
      </c>
      <c r="D21" s="351">
        <v>98683.34</v>
      </c>
      <c r="E21" s="351">
        <v>98683.34</v>
      </c>
      <c r="F21" s="351">
        <v>98683.34</v>
      </c>
      <c r="G21" s="351">
        <v>98683.34</v>
      </c>
      <c r="H21" s="351">
        <v>98683.34</v>
      </c>
      <c r="I21" s="351">
        <v>98683.34</v>
      </c>
      <c r="J21" s="351">
        <v>97473.13</v>
      </c>
      <c r="K21" s="352">
        <v>96665.58</v>
      </c>
      <c r="L21" s="352">
        <v>95858.03</v>
      </c>
      <c r="M21" s="352">
        <v>96670.65</v>
      </c>
      <c r="N21" s="352">
        <v>96693.03</v>
      </c>
      <c r="O21" s="352">
        <v>96681.84</v>
      </c>
      <c r="P21" s="8">
        <f t="shared" si="1"/>
        <v>1172142.3</v>
      </c>
    </row>
    <row r="22" spans="1:16">
      <c r="B22" s="5">
        <v>5650012</v>
      </c>
      <c r="C22" s="2" t="s">
        <v>215</v>
      </c>
      <c r="D22" s="351">
        <v>169818.77000000016</v>
      </c>
      <c r="E22" s="351">
        <v>147643.78000000003</v>
      </c>
      <c r="F22" s="351">
        <v>147676.12999999983</v>
      </c>
      <c r="G22" s="351">
        <v>147643.75</v>
      </c>
      <c r="H22" s="351">
        <v>157291.84999999998</v>
      </c>
      <c r="I22" s="351">
        <v>147646.47999999995</v>
      </c>
      <c r="J22" s="351">
        <v>160388.01</v>
      </c>
      <c r="K22" s="352">
        <v>136771.84000000003</v>
      </c>
      <c r="L22" s="352">
        <v>139978.86000000002</v>
      </c>
      <c r="M22" s="352">
        <v>140523.31</v>
      </c>
      <c r="N22" s="352">
        <v>140466.85000000003</v>
      </c>
      <c r="O22" s="352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216</v>
      </c>
      <c r="D23" s="351">
        <v>5076547.0999999996</v>
      </c>
      <c r="E23" s="351">
        <v>5076547.0999999996</v>
      </c>
      <c r="F23" s="351">
        <v>4912291.07</v>
      </c>
      <c r="G23" s="351">
        <v>5076547.0999999996</v>
      </c>
      <c r="H23" s="351">
        <v>4912291.07</v>
      </c>
      <c r="I23" s="351">
        <v>5076547.0999999996</v>
      </c>
      <c r="J23" s="351">
        <v>6072803.6699999999</v>
      </c>
      <c r="K23" s="352">
        <v>5384711.4000000004</v>
      </c>
      <c r="L23" s="352">
        <v>5854407.6800000006</v>
      </c>
      <c r="M23" s="352">
        <v>5770942.96</v>
      </c>
      <c r="N23" s="352">
        <v>5965277.6599999992</v>
      </c>
      <c r="O23" s="352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215</v>
      </c>
      <c r="D24" s="351">
        <v>429585.91</v>
      </c>
      <c r="E24" s="351">
        <v>429585.9</v>
      </c>
      <c r="F24" s="351">
        <v>429585.91000000003</v>
      </c>
      <c r="G24" s="351">
        <v>429585.9</v>
      </c>
      <c r="H24" s="351">
        <v>429585.9</v>
      </c>
      <c r="I24" s="351">
        <v>429585.9</v>
      </c>
      <c r="J24" s="351">
        <v>456996.24</v>
      </c>
      <c r="K24" s="352">
        <v>452584.95</v>
      </c>
      <c r="L24" s="352">
        <v>448173.69</v>
      </c>
      <c r="M24" s="352">
        <v>452607.37</v>
      </c>
      <c r="N24" s="352">
        <v>452714.85000000003</v>
      </c>
      <c r="O24" s="352">
        <v>452661.10000000003</v>
      </c>
      <c r="P24" s="8">
        <f>SUM(D24:O24)</f>
        <v>5293253.6199999992</v>
      </c>
    </row>
    <row r="25" spans="1:16">
      <c r="C25" s="7"/>
      <c r="D25" s="353">
        <f t="shared" ref="D25:O25" si="2">SUM(D14:D24)</f>
        <v>9950858.2800000012</v>
      </c>
      <c r="E25" s="353">
        <f t="shared" si="2"/>
        <v>9884199.7000000011</v>
      </c>
      <c r="F25" s="353">
        <f t="shared" si="2"/>
        <v>9643065.0300000012</v>
      </c>
      <c r="G25" s="353">
        <f t="shared" si="2"/>
        <v>9913414.6400000006</v>
      </c>
      <c r="H25" s="353">
        <f t="shared" si="2"/>
        <v>9697481.0200000014</v>
      </c>
      <c r="I25" s="353">
        <f t="shared" si="2"/>
        <v>9906990.1500000004</v>
      </c>
      <c r="J25" s="353">
        <f t="shared" si="2"/>
        <v>12221222.819999998</v>
      </c>
      <c r="K25" s="353">
        <f t="shared" si="2"/>
        <v>10156515</v>
      </c>
      <c r="L25" s="353">
        <f t="shared" si="2"/>
        <v>11623989.4</v>
      </c>
      <c r="M25" s="353">
        <f t="shared" si="2"/>
        <v>11245729.26</v>
      </c>
      <c r="N25" s="353">
        <f t="shared" si="2"/>
        <v>11584047.139999999</v>
      </c>
      <c r="O25" s="353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217</v>
      </c>
      <c r="D27" s="354">
        <f t="shared" ref="D27:O27" si="3">+D25-D11</f>
        <v>1876150.2800000012</v>
      </c>
      <c r="E27" s="354">
        <f t="shared" si="3"/>
        <v>1809491.7000000011</v>
      </c>
      <c r="F27" s="354">
        <f t="shared" si="3"/>
        <v>1568357.0300000012</v>
      </c>
      <c r="G27" s="354">
        <f t="shared" si="3"/>
        <v>1838706.6400000006</v>
      </c>
      <c r="H27" s="354">
        <f t="shared" si="3"/>
        <v>1622773.0200000014</v>
      </c>
      <c r="I27" s="354">
        <f t="shared" si="3"/>
        <v>1832282.1500000004</v>
      </c>
      <c r="J27" s="354">
        <f t="shared" si="3"/>
        <v>4146514.8199999984</v>
      </c>
      <c r="K27" s="354">
        <f t="shared" si="3"/>
        <v>2081807</v>
      </c>
      <c r="L27" s="354">
        <f t="shared" si="3"/>
        <v>3549281.4000000004</v>
      </c>
      <c r="M27" s="354">
        <f t="shared" si="3"/>
        <v>3171021.26</v>
      </c>
      <c r="N27" s="354">
        <f t="shared" si="3"/>
        <v>3509339.1399999987</v>
      </c>
      <c r="O27" s="354">
        <f t="shared" si="3"/>
        <v>3116357.0599999987</v>
      </c>
      <c r="P27" s="355">
        <f>SUM(D27:O27)</f>
        <v>30122081.500000004</v>
      </c>
    </row>
    <row r="28" spans="1:16">
      <c r="A28" s="6"/>
      <c r="B28" s="6"/>
      <c r="C28" s="3" t="s">
        <v>265</v>
      </c>
      <c r="D28" s="354">
        <f>D27*1</f>
        <v>1876150.2800000012</v>
      </c>
      <c r="E28" s="354">
        <f t="shared" ref="E28:O28" si="4">E27*1</f>
        <v>1809491.7000000011</v>
      </c>
      <c r="F28" s="354">
        <f t="shared" si="4"/>
        <v>1568357.0300000012</v>
      </c>
      <c r="G28" s="354">
        <f t="shared" si="4"/>
        <v>1838706.6400000006</v>
      </c>
      <c r="H28" s="354">
        <f t="shared" si="4"/>
        <v>1622773.0200000014</v>
      </c>
      <c r="I28" s="354">
        <f t="shared" si="4"/>
        <v>1832282.1500000004</v>
      </c>
      <c r="J28" s="354">
        <f t="shared" si="4"/>
        <v>4146514.8199999984</v>
      </c>
      <c r="K28" s="354">
        <f t="shared" si="4"/>
        <v>2081807</v>
      </c>
      <c r="L28" s="354">
        <f t="shared" si="4"/>
        <v>3549281.4000000004</v>
      </c>
      <c r="M28" s="354">
        <f t="shared" si="4"/>
        <v>3171021.26</v>
      </c>
      <c r="N28" s="354">
        <f t="shared" si="4"/>
        <v>3509339.1399999987</v>
      </c>
      <c r="O28" s="354">
        <f t="shared" si="4"/>
        <v>3116357.0599999987</v>
      </c>
      <c r="P28" s="355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229</v>
      </c>
      <c r="D30" s="367">
        <f>'Retail vs TO'!$C$96</f>
        <v>33926</v>
      </c>
      <c r="E30" s="367">
        <f>'Retail vs TO'!$C$96</f>
        <v>33926</v>
      </c>
      <c r="F30" s="367">
        <f>'Retail vs TO'!$C$96</f>
        <v>33926</v>
      </c>
      <c r="G30" s="367">
        <f>'Retail vs TO'!$C$96</f>
        <v>33926</v>
      </c>
      <c r="H30" s="367">
        <f>'Retail vs TO'!$C$96</f>
        <v>33926</v>
      </c>
      <c r="I30" s="367">
        <f>'Retail vs TO'!$C$96</f>
        <v>33926</v>
      </c>
      <c r="J30" s="367">
        <f>'Retail vs TO'!$C$116</f>
        <v>34005</v>
      </c>
      <c r="K30" s="367">
        <f>'Retail vs TO'!$C$116</f>
        <v>34005</v>
      </c>
      <c r="L30" s="367">
        <f>'Retail vs TO'!$C$116</f>
        <v>34005</v>
      </c>
      <c r="M30" s="367">
        <f>'Retail vs TO'!$C$116</f>
        <v>34005</v>
      </c>
      <c r="N30" s="367">
        <f>'Retail vs TO'!$C$116</f>
        <v>34005</v>
      </c>
      <c r="O30" s="367">
        <f>'Retail vs TO'!$C$116</f>
        <v>34005</v>
      </c>
      <c r="P30" s="8">
        <f>SUM(D30:O30)</f>
        <v>407586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308</v>
      </c>
      <c r="D32" s="367">
        <f>ROUND(10000000/12,2)</f>
        <v>833333.33</v>
      </c>
      <c r="E32" s="367">
        <f t="shared" ref="E32:H32" si="5">ROUND(10000000/12,2)</f>
        <v>833333.33</v>
      </c>
      <c r="F32" s="367">
        <f t="shared" si="5"/>
        <v>833333.33</v>
      </c>
      <c r="G32" s="367">
        <f t="shared" si="5"/>
        <v>833333.33</v>
      </c>
      <c r="H32" s="367">
        <f t="shared" si="5"/>
        <v>833333.33</v>
      </c>
      <c r="I32" s="367">
        <f>ROUND((10000000/12)*(8/31),2)</f>
        <v>215053.76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307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f>ROUND('Rockport Deferral'!D72,2)</f>
        <v>837120.22</v>
      </c>
      <c r="J34" s="367">
        <f>ROUND('Rockport Deferral'!D73,2)</f>
        <v>1128292.47</v>
      </c>
      <c r="K34" s="367">
        <f>ROUND('Rockport Deferral'!D74,2)</f>
        <v>1128292.47</v>
      </c>
      <c r="L34" s="367">
        <f>'Rockport Deferral'!D75</f>
        <v>1128292.4667885939</v>
      </c>
      <c r="M34" s="367">
        <f>'Rockport Deferral'!D76</f>
        <v>1128292.4667885939</v>
      </c>
      <c r="N34" s="367">
        <f>'Rockport Deferral'!D77</f>
        <v>1128292.4667885939</v>
      </c>
      <c r="O34" s="367">
        <f>'Rockport Deferral'!D78</f>
        <v>1128292.4667885939</v>
      </c>
      <c r="P34" s="8">
        <f>SUM(D34:O34)</f>
        <v>7606875.0271543749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309</v>
      </c>
      <c r="D36" s="367">
        <v>0</v>
      </c>
      <c r="E36" s="367">
        <v>0</v>
      </c>
      <c r="F36" s="367">
        <v>0</v>
      </c>
      <c r="G36" s="367">
        <v>0</v>
      </c>
      <c r="H36" s="367">
        <v>0</v>
      </c>
      <c r="I36" s="367">
        <f>ROUND(('Rockport Savings-Offset'!$D$29/12)*(23/31),2)</f>
        <v>1408789.9</v>
      </c>
      <c r="J36" s="367">
        <f>ROUND('Rockport Savings-Offset'!$D$29/12,2)</f>
        <v>1898803.78</v>
      </c>
      <c r="K36" s="367">
        <f>ROUND('Rockport Savings-Offset'!$D$29/12,2)</f>
        <v>1898803.78</v>
      </c>
      <c r="L36" s="367">
        <f>ROUND('Rockport Savings-Offset'!$D$29/12,2)</f>
        <v>1898803.78</v>
      </c>
      <c r="M36" s="367">
        <f>ROUND('Rockport Savings-Offset'!$D$29/12,2)</f>
        <v>1898803.78</v>
      </c>
      <c r="N36" s="367">
        <f>ROUND('Rockport Savings-Offset'!$D$29/12,2)</f>
        <v>1898803.78</v>
      </c>
      <c r="O36" s="367">
        <f>ROUND('Rockport Savings-Offset'!$D$29/12,2)</f>
        <v>1898803.78</v>
      </c>
      <c r="P36" s="8">
        <f>SUM(D36:O36)</f>
        <v>12801612.579999998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310</v>
      </c>
      <c r="D38" s="367">
        <v>0</v>
      </c>
      <c r="E38" s="367">
        <v>0</v>
      </c>
      <c r="F38" s="367">
        <v>0</v>
      </c>
      <c r="G38" s="367">
        <v>0</v>
      </c>
      <c r="H38" s="367">
        <v>0</v>
      </c>
      <c r="I38" s="367">
        <f>ROUND((-40831141.11/12)*(23/31),2)</f>
        <v>-2524506.04</v>
      </c>
      <c r="J38" s="367">
        <f t="shared" ref="J38:O38" si="6">ROUND((-40831141.11/12),2)</f>
        <v>-3402595.09</v>
      </c>
      <c r="K38" s="367">
        <f t="shared" si="6"/>
        <v>-3402595.09</v>
      </c>
      <c r="L38" s="367">
        <f t="shared" si="6"/>
        <v>-3402595.09</v>
      </c>
      <c r="M38" s="367">
        <f t="shared" si="6"/>
        <v>-3402595.09</v>
      </c>
      <c r="N38" s="367">
        <f t="shared" si="6"/>
        <v>-3402595.09</v>
      </c>
      <c r="O38" s="367">
        <f t="shared" si="6"/>
        <v>-3402595.09</v>
      </c>
      <c r="P38" s="8">
        <f>SUM(D38:O38)</f>
        <v>-22940076.579999998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273</v>
      </c>
      <c r="D40" s="367">
        <f>'Interest Expense Regulatory Ass'!G41</f>
        <v>54175.822131528992</v>
      </c>
      <c r="E40" s="367">
        <f>D40</f>
        <v>54175.822131528992</v>
      </c>
      <c r="F40" s="367">
        <f>E40</f>
        <v>54175.822131528992</v>
      </c>
      <c r="G40" s="367">
        <v>0</v>
      </c>
      <c r="H40" s="367">
        <v>0</v>
      </c>
      <c r="I40" s="367">
        <v>0</v>
      </c>
      <c r="J40" s="367">
        <v>0</v>
      </c>
      <c r="K40" s="367">
        <v>0</v>
      </c>
      <c r="L40" s="367">
        <v>0</v>
      </c>
      <c r="M40" s="367">
        <v>0</v>
      </c>
      <c r="N40" s="367">
        <v>0</v>
      </c>
      <c r="O40" s="367">
        <v>0</v>
      </c>
      <c r="P40" s="8">
        <f>SUM(D40:O40)</f>
        <v>162527.46639458698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311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218</v>
      </c>
      <c r="D44" s="354">
        <v>105767</v>
      </c>
      <c r="E44" s="354">
        <v>105767</v>
      </c>
      <c r="F44" s="354">
        <v>105767</v>
      </c>
      <c r="G44" s="354">
        <v>105767</v>
      </c>
      <c r="H44" s="354">
        <v>105767</v>
      </c>
      <c r="I44" s="354">
        <v>105767</v>
      </c>
      <c r="J44" s="354">
        <v>105767</v>
      </c>
      <c r="K44" s="354">
        <v>105767</v>
      </c>
      <c r="L44" s="354">
        <f>K44</f>
        <v>105767</v>
      </c>
      <c r="M44" s="354">
        <f>L44</f>
        <v>105767</v>
      </c>
      <c r="N44" s="354">
        <f>M44</f>
        <v>105767</v>
      </c>
      <c r="O44" s="354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244</v>
      </c>
      <c r="D46" s="356">
        <v>891306.23</v>
      </c>
      <c r="E46" s="356">
        <v>1779426.9</v>
      </c>
      <c r="F46" s="356">
        <v>56771.46</v>
      </c>
      <c r="G46" s="356">
        <v>50180.1</v>
      </c>
      <c r="H46" s="356">
        <v>88592.4</v>
      </c>
      <c r="I46" s="356">
        <v>62804.65</v>
      </c>
      <c r="J46" s="356">
        <v>1317352.44</v>
      </c>
      <c r="K46" s="356">
        <v>75205.399999999994</v>
      </c>
      <c r="L46" s="97">
        <v>321338.40000000002</v>
      </c>
      <c r="M46" s="356">
        <v>23375.16</v>
      </c>
      <c r="N46" s="356">
        <v>224413.69</v>
      </c>
      <c r="O46" s="356">
        <v>263024.33</v>
      </c>
    </row>
    <row r="47" spans="1:16">
      <c r="B47" s="5"/>
      <c r="C47" s="3" t="s">
        <v>245</v>
      </c>
      <c r="D47" s="356">
        <v>-94990.399999999994</v>
      </c>
      <c r="E47" s="356">
        <v>-891306.23</v>
      </c>
      <c r="F47" s="356">
        <v>-1779426.9</v>
      </c>
      <c r="G47" s="356">
        <v>-56771.46</v>
      </c>
      <c r="H47" s="356">
        <v>-50180.1</v>
      </c>
      <c r="I47" s="356">
        <v>-88592.4</v>
      </c>
      <c r="J47" s="356">
        <v>-62804.65</v>
      </c>
      <c r="K47" s="356">
        <v>-1317352.44</v>
      </c>
      <c r="L47" s="356">
        <v>-75205.399999999994</v>
      </c>
      <c r="M47" s="356">
        <v>-321338.40000000002</v>
      </c>
      <c r="N47" s="356">
        <v>-23375.16</v>
      </c>
      <c r="O47" s="356">
        <v>-224413.69</v>
      </c>
    </row>
    <row r="48" spans="1:16">
      <c r="B48" s="5"/>
      <c r="C48" s="4" t="s">
        <v>246</v>
      </c>
      <c r="D48" s="357">
        <v>94716.55</v>
      </c>
      <c r="E48" s="357">
        <v>889964.28</v>
      </c>
      <c r="F48" s="357">
        <v>1782738.92</v>
      </c>
      <c r="G48" s="357">
        <v>56788.98</v>
      </c>
      <c r="H48" s="357">
        <v>50218.15</v>
      </c>
      <c r="I48" s="357">
        <v>88510.09</v>
      </c>
      <c r="J48" s="357">
        <v>62647.45</v>
      </c>
      <c r="K48" s="357">
        <v>1317581.07</v>
      </c>
      <c r="L48" s="357">
        <v>75063.88</v>
      </c>
      <c r="M48" s="357">
        <v>322616.94</v>
      </c>
      <c r="N48" s="357">
        <v>23486.080000000002</v>
      </c>
      <c r="O48" s="357">
        <v>225460.89</v>
      </c>
    </row>
    <row r="49" spans="1:17">
      <c r="B49" s="5"/>
      <c r="C49" s="4" t="s">
        <v>219</v>
      </c>
      <c r="D49" s="356">
        <f>SUM(D46:D48)</f>
        <v>891032.38</v>
      </c>
      <c r="E49" s="356">
        <f t="shared" ref="E49:J49" si="7">SUM(E46:E48)</f>
        <v>1778084.95</v>
      </c>
      <c r="F49" s="356">
        <f t="shared" si="7"/>
        <v>60083.479999999981</v>
      </c>
      <c r="G49" s="356">
        <f t="shared" si="7"/>
        <v>50197.62</v>
      </c>
      <c r="H49" s="356">
        <f t="shared" si="7"/>
        <v>88630.45</v>
      </c>
      <c r="I49" s="356">
        <f t="shared" si="7"/>
        <v>62722.340000000004</v>
      </c>
      <c r="J49" s="356">
        <f t="shared" si="7"/>
        <v>1317195.24</v>
      </c>
      <c r="K49" s="356">
        <f t="shared" ref="K49:O49" si="8">SUM(K46:K48)</f>
        <v>75434.030000000028</v>
      </c>
      <c r="L49" s="356">
        <f t="shared" si="8"/>
        <v>321196.88</v>
      </c>
      <c r="M49" s="356">
        <f t="shared" si="8"/>
        <v>24653.699999999953</v>
      </c>
      <c r="N49" s="356">
        <f t="shared" si="8"/>
        <v>224524.61</v>
      </c>
      <c r="O49" s="356">
        <f t="shared" si="8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220</v>
      </c>
      <c r="D51" s="98">
        <f>D49-D44</f>
        <v>785265.38</v>
      </c>
      <c r="E51" s="98">
        <f t="shared" ref="E51:J51" si="9">E49-E44</f>
        <v>1672317.95</v>
      </c>
      <c r="F51" s="98">
        <f t="shared" si="9"/>
        <v>-45683.520000000019</v>
      </c>
      <c r="G51" s="98">
        <f>G49-G44</f>
        <v>-55569.38</v>
      </c>
      <c r="H51" s="98">
        <f t="shared" si="9"/>
        <v>-17136.550000000003</v>
      </c>
      <c r="I51" s="98">
        <f t="shared" si="9"/>
        <v>-43044.659999999996</v>
      </c>
      <c r="J51" s="98">
        <f t="shared" si="9"/>
        <v>1211428.24</v>
      </c>
      <c r="K51" s="98">
        <f t="shared" ref="K51:N51" si="10">K49-K44</f>
        <v>-30332.969999999972</v>
      </c>
      <c r="L51" s="98">
        <f t="shared" si="10"/>
        <v>215429.88</v>
      </c>
      <c r="M51" s="98">
        <f t="shared" si="10"/>
        <v>-81113.300000000047</v>
      </c>
      <c r="N51" s="98">
        <f t="shared" si="10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221</v>
      </c>
      <c r="D53" s="358">
        <f>(D28-D30)+D51+D40+D34+D36+D38+D42</f>
        <v>2681665.4821315301</v>
      </c>
      <c r="E53" s="358">
        <f t="shared" ref="E53:O53" si="11">(E28-E30)+E51+E40+E34+E36+E38+E42</f>
        <v>3502059.4721315303</v>
      </c>
      <c r="F53" s="358">
        <f t="shared" si="11"/>
        <v>1542923.3321315302</v>
      </c>
      <c r="G53" s="358">
        <f t="shared" si="11"/>
        <v>1749211.2600000007</v>
      </c>
      <c r="H53" s="358">
        <f t="shared" si="11"/>
        <v>1571710.4700000014</v>
      </c>
      <c r="I53" s="358">
        <f t="shared" si="11"/>
        <v>1675270.9300000002</v>
      </c>
      <c r="J53" s="358">
        <f t="shared" si="11"/>
        <v>5168983.8599999985</v>
      </c>
      <c r="K53" s="358">
        <f t="shared" si="11"/>
        <v>1855330.1900000004</v>
      </c>
      <c r="L53" s="358">
        <f t="shared" si="11"/>
        <v>3591427.4367885944</v>
      </c>
      <c r="M53" s="358">
        <f t="shared" si="11"/>
        <v>2909004.1167885941</v>
      </c>
      <c r="N53" s="358">
        <f t="shared" si="11"/>
        <v>3454812.9067885932</v>
      </c>
      <c r="O53" s="358">
        <f t="shared" si="11"/>
        <v>2865157.746788593</v>
      </c>
      <c r="P53" s="8">
        <f>SUM(D53:O53)</f>
        <v>32567557.203548968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222</v>
      </c>
      <c r="D55" s="98">
        <f t="shared" ref="D55:O55" si="12">D53-D9</f>
        <v>616905.5317054945</v>
      </c>
      <c r="E55" s="98">
        <f t="shared" si="12"/>
        <v>1407731.1967143673</v>
      </c>
      <c r="F55" s="98">
        <f t="shared" si="12"/>
        <v>43164.788448557258</v>
      </c>
      <c r="G55" s="98">
        <f t="shared" si="12"/>
        <v>-320612.46603451972</v>
      </c>
      <c r="H55" s="98">
        <f t="shared" si="12"/>
        <v>-899452.99622125248</v>
      </c>
      <c r="I55" s="98">
        <f t="shared" si="12"/>
        <v>-875633.07753595617</v>
      </c>
      <c r="J55" s="98">
        <f t="shared" si="12"/>
        <v>4553838.1307758261</v>
      </c>
      <c r="K55" s="98">
        <f t="shared" si="12"/>
        <v>663506.5365744899</v>
      </c>
      <c r="L55" s="98">
        <f t="shared" si="12"/>
        <v>2464751.2918557134</v>
      </c>
      <c r="M55" s="98">
        <f t="shared" si="12"/>
        <v>1863248.0224561864</v>
      </c>
      <c r="N55" s="98">
        <f t="shared" si="12"/>
        <v>2546096.6756970193</v>
      </c>
      <c r="O55" s="98">
        <f t="shared" si="12"/>
        <v>1640105.746788593</v>
      </c>
      <c r="P55" s="8">
        <f>SUM(D55:O55)</f>
        <v>13703649.381224519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223</v>
      </c>
      <c r="D58" s="359">
        <f>+D55+D32+34008303.95</f>
        <v>35458542.8117055</v>
      </c>
      <c r="E58" s="359">
        <f>D58+E32+E55</f>
        <v>37699607.338419862</v>
      </c>
      <c r="F58" s="359">
        <f t="shared" ref="F58:N58" si="13">+F55+E58+F32</f>
        <v>38576105.456868418</v>
      </c>
      <c r="G58" s="359">
        <f t="shared" si="13"/>
        <v>39088826.320833899</v>
      </c>
      <c r="H58" s="359">
        <f t="shared" si="13"/>
        <v>39022706.654612646</v>
      </c>
      <c r="I58" s="359">
        <f t="shared" si="13"/>
        <v>38362127.337076686</v>
      </c>
      <c r="J58" s="359">
        <f t="shared" si="13"/>
        <v>42915965.467852511</v>
      </c>
      <c r="K58" s="359">
        <f t="shared" si="13"/>
        <v>43579472.004427001</v>
      </c>
      <c r="L58" s="359">
        <f t="shared" si="13"/>
        <v>46044223.296282716</v>
      </c>
      <c r="M58" s="359">
        <f t="shared" si="13"/>
        <v>47907471.3187389</v>
      </c>
      <c r="N58" s="359">
        <f t="shared" si="13"/>
        <v>50453567.994435921</v>
      </c>
      <c r="O58" s="359">
        <f>+O55+N58+O32</f>
        <v>52093673.741224512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6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253</v>
      </c>
    </row>
    <row r="62" spans="1:17">
      <c r="O62" s="98">
        <f>O58-O60</f>
        <v>3.7977382391691208</v>
      </c>
      <c r="P62" s="4" t="s">
        <v>312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activeCell="G23" sqref="G23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401" t="s">
        <v>0</v>
      </c>
      <c r="C3" s="401"/>
      <c r="D3" s="401"/>
      <c r="E3" s="401"/>
      <c r="F3" s="401"/>
      <c r="G3" s="401"/>
    </row>
    <row r="4" spans="1:7">
      <c r="B4" s="401" t="s">
        <v>88</v>
      </c>
      <c r="C4" s="401"/>
      <c r="D4" s="401"/>
      <c r="E4" s="401"/>
      <c r="F4" s="401"/>
      <c r="G4" s="401"/>
    </row>
    <row r="5" spans="1:7">
      <c r="B5" s="406" t="str">
        <f>'Input Sheet'!$A$2</f>
        <v>12 -Month Period ended June 30, 2023</v>
      </c>
      <c r="C5" s="406"/>
      <c r="D5" s="406"/>
      <c r="E5" s="406"/>
      <c r="F5" s="406"/>
      <c r="G5" s="406"/>
    </row>
    <row r="6" spans="1:7">
      <c r="C6" s="326"/>
    </row>
    <row r="7" spans="1:7">
      <c r="B7" s="50" t="s">
        <v>1</v>
      </c>
      <c r="C7" s="50"/>
      <c r="E7" s="50"/>
      <c r="G7" s="50" t="s">
        <v>44</v>
      </c>
    </row>
    <row r="8" spans="1:7">
      <c r="A8" s="327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247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248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230</v>
      </c>
      <c r="B17" s="31" t="s">
        <v>191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190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231</v>
      </c>
      <c r="B22" s="31" t="s">
        <v>192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232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278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233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257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209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210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258</v>
      </c>
      <c r="B56" s="31" t="s">
        <v>191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190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259</v>
      </c>
      <c r="B61" s="31" t="s">
        <v>192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278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C89" sqref="C89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407"/>
      <c r="C3" s="407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279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189</v>
      </c>
      <c r="C11" s="74">
        <v>7.0486908012783164E-2</v>
      </c>
      <c r="E11" s="31" t="s">
        <v>279</v>
      </c>
    </row>
    <row r="12" spans="1:5" ht="14.45" hidden="1" customHeight="1">
      <c r="A12" s="31" t="s">
        <v>129</v>
      </c>
      <c r="B12" s="75" t="s">
        <v>188</v>
      </c>
      <c r="C12" s="76">
        <v>6.7572499999999994E-2</v>
      </c>
      <c r="E12" s="31" t="s">
        <v>280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281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241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189</v>
      </c>
      <c r="C29" s="74">
        <v>7.2097999999999995E-2</v>
      </c>
      <c r="E29" s="31" t="s">
        <v>241</v>
      </c>
    </row>
    <row r="30" spans="1:8" hidden="1">
      <c r="A30" s="31" t="s">
        <v>129</v>
      </c>
      <c r="B30" s="75" t="s">
        <v>188</v>
      </c>
      <c r="C30" s="76">
        <v>6.7572499999999994E-2</v>
      </c>
      <c r="E30" s="31" t="s">
        <v>243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242</v>
      </c>
    </row>
    <row r="35" spans="1:8" ht="13.5" hidden="1">
      <c r="A35" s="79" t="s">
        <v>135</v>
      </c>
      <c r="B35" s="43" t="s">
        <v>250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254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189</v>
      </c>
      <c r="C48" s="74">
        <v>7.1297570000000005E-2</v>
      </c>
      <c r="E48" s="31" t="s">
        <v>254</v>
      </c>
    </row>
    <row r="49" spans="1:8" hidden="1">
      <c r="A49" s="31" t="s">
        <v>129</v>
      </c>
      <c r="B49" s="75" t="s">
        <v>188</v>
      </c>
      <c r="C49" s="76">
        <v>6.7572499999999994E-2</v>
      </c>
      <c r="E49" s="31" t="s">
        <v>243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255</v>
      </c>
    </row>
    <row r="54" spans="1:8" ht="13.5" hidden="1">
      <c r="A54" s="79" t="s">
        <v>135</v>
      </c>
      <c r="B54" s="43" t="s">
        <v>256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260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261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262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189</v>
      </c>
      <c r="C68" s="74">
        <v>6.7616723895354336E-2</v>
      </c>
      <c r="E68" s="31" t="s">
        <v>260</v>
      </c>
    </row>
    <row r="69" spans="1:8" hidden="1">
      <c r="A69" s="31" t="s">
        <v>129</v>
      </c>
      <c r="B69" s="75" t="s">
        <v>263</v>
      </c>
      <c r="C69" s="76">
        <v>6.283582141416949E-2</v>
      </c>
      <c r="E69" s="31" t="s">
        <v>260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264</v>
      </c>
    </row>
    <row r="74" spans="1:8" ht="13.5" hidden="1">
      <c r="A74" s="79" t="s">
        <v>135</v>
      </c>
      <c r="B74" s="43" t="s">
        <v>272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260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261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262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189</v>
      </c>
      <c r="C88" s="74">
        <v>6.4807046708744667E-2</v>
      </c>
      <c r="E88" s="31" t="s">
        <v>284</v>
      </c>
    </row>
    <row r="89" spans="1:5">
      <c r="A89" s="31" t="s">
        <v>129</v>
      </c>
      <c r="B89" s="75" t="s">
        <v>263</v>
      </c>
      <c r="C89" s="76">
        <v>6.283582141416949E-2</v>
      </c>
      <c r="E89" s="31" t="s">
        <v>284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285</v>
      </c>
    </row>
    <row r="94" spans="1:5" ht="13.5">
      <c r="A94" s="79" t="s">
        <v>135</v>
      </c>
      <c r="B94" s="43" t="s">
        <v>272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260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261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262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189</v>
      </c>
      <c r="C108" s="74">
        <v>6.4807046708744667E-2</v>
      </c>
      <c r="E108" s="31" t="s">
        <v>284</v>
      </c>
    </row>
    <row r="109" spans="1:8">
      <c r="A109" s="31" t="s">
        <v>129</v>
      </c>
      <c r="B109" s="75" t="s">
        <v>263</v>
      </c>
      <c r="C109" s="76">
        <v>6.283582141416949E-2</v>
      </c>
      <c r="E109" s="31" t="s">
        <v>284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285</v>
      </c>
    </row>
    <row r="114" spans="1:5" ht="13.5">
      <c r="A114" s="79" t="s">
        <v>135</v>
      </c>
      <c r="B114" s="43" t="s">
        <v>272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408" t="s">
        <v>42</v>
      </c>
      <c r="B1" s="408"/>
      <c r="C1" s="408"/>
      <c r="D1" s="408"/>
    </row>
    <row r="2" spans="1:10">
      <c r="A2" s="408" t="s">
        <v>313</v>
      </c>
      <c r="B2" s="408"/>
      <c r="C2" s="408"/>
      <c r="D2" s="408"/>
    </row>
    <row r="3" spans="1:10">
      <c r="A3" s="408" t="s">
        <v>234</v>
      </c>
      <c r="B3" s="408"/>
      <c r="C3" s="408"/>
      <c r="D3" s="408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275</v>
      </c>
      <c r="D5" s="36" t="s">
        <v>282</v>
      </c>
    </row>
    <row r="6" spans="1:10">
      <c r="A6" s="127" t="s">
        <v>36</v>
      </c>
      <c r="B6" s="126"/>
      <c r="C6" s="127">
        <v>1786715414</v>
      </c>
      <c r="D6" s="127" t="s">
        <v>283</v>
      </c>
      <c r="E6" s="53"/>
    </row>
    <row r="7" spans="1:10">
      <c r="A7" s="127" t="s">
        <v>93</v>
      </c>
      <c r="B7" s="126"/>
      <c r="C7" s="127">
        <v>592021597</v>
      </c>
      <c r="D7" s="127" t="s">
        <v>283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283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283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283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283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430F61B-ED84-48EF-9F24-270E69BA07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PPA Form 1.0</vt:lpstr>
      <vt:lpstr>PPA Form 2.0 P1</vt:lpstr>
      <vt:lpstr>PPA Form 2.0 P2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Interest Expense Regulatory Ass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2023-10-23T19:56:07Z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